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hidePivotFieldList="1" defaultThemeVersion="153222"/>
  <mc:AlternateContent xmlns:mc="http://schemas.openxmlformats.org/markup-compatibility/2006">
    <mc:Choice Requires="x15">
      <x15ac:absPath xmlns:x15ac="http://schemas.microsoft.com/office/spreadsheetml/2010/11/ac" url="C:\Users\helseljw\OneDrive - WSP O365\SANDAG\RTP 2019\off_model_calculators\final_scripts\"/>
    </mc:Choice>
  </mc:AlternateContent>
  <bookViews>
    <workbookView xWindow="0" yWindow="0" windowWidth="23040" windowHeight="8955" tabRatio="812" firstSheet="1" activeTab="2"/>
  </bookViews>
  <sheets>
    <sheet name="Use Notes" sheetId="20" r:id="rId1"/>
    <sheet name="References" sheetId="25" r:id="rId2"/>
    <sheet name="Main Sheet" sheetId="14" r:id="rId3"/>
    <sheet name="Vanpool Demand - Employment" sheetId="12" r:id="rId4"/>
    <sheet name="Vanpool ODs" sheetId="24" r:id="rId5"/>
    <sheet name="SANDAG MSAs" sheetId="28" r:id="rId6"/>
    <sheet name="Vanpool Demand - ML (Non-Mil)" sheetId="15" r:id="rId7"/>
    <sheet name="Vanpool Demand - ML (Mil)" sheetId="19" r:id="rId8"/>
    <sheet name="Vanpool Demand - Subsidy" sheetId="13" r:id="rId9"/>
    <sheet name="Employment Forecast SANDAG" sheetId="10" r:id="rId10"/>
    <sheet name="Employment Forecast SCAG" sheetId="21" r:id="rId11"/>
    <sheet name="ZipCode Coordinates" sheetId="26" r:id="rId12"/>
    <sheet name="External Gateways" sheetId="27" r:id="rId13"/>
    <sheet name="Emission Factors" sheetId="18" r:id="rId14"/>
  </sheets>
  <definedNames>
    <definedName name="_xlnm._FilterDatabase" localSheetId="4" hidden="1">'Vanpool ODs'!$A$2:$W$701</definedName>
    <definedName name="ccost">'Vanpool Demand - Subsidy'!$C$61</definedName>
    <definedName name="civt" localSheetId="7">'Vanpool Demand - ML (Mil)'!$C$59</definedName>
    <definedName name="civt" localSheetId="6">'Vanpool Demand - ML (Non-Mil)'!$C$61</definedName>
    <definedName name="gpspeed" localSheetId="7">'Vanpool Demand - ML (Mil)'!#REF!</definedName>
    <definedName name="gpspeed" localSheetId="6">'Vanpool Demand - ML (Non-Mil)'!#REF!</definedName>
    <definedName name="mlspeed" localSheetId="7">'Vanpool Demand - ML (Mil)'!#REF!</definedName>
    <definedName name="mlspeed" localSheetId="6">'Vanpool Demand - ML (Non-Mil)'!#REF!</definedName>
    <definedName name="probvp" localSheetId="7">'Vanpool Demand - ML (Mil)'!$C$58</definedName>
    <definedName name="probvp" localSheetId="6">'Vanpool Demand - ML (Non-Mil)'!$C$60</definedName>
    <definedName name="subsidy_b" localSheetId="2">'Main Sheet'!$C$46</definedName>
    <definedName name="VOT">'Vanpool Demand - Subsidy'!$C$59</definedName>
  </definedNames>
  <calcPr calcId="171027"/>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7" i="18" l="1"/>
  <c r="E7" i="18"/>
  <c r="D7" i="18"/>
  <c r="C7" i="18"/>
  <c r="B7" i="18"/>
  <c r="I37" i="18" l="1"/>
  <c r="H37" i="18"/>
  <c r="G37" i="18"/>
  <c r="F37" i="18"/>
  <c r="E37" i="18"/>
  <c r="D37" i="18"/>
  <c r="C37" i="18"/>
  <c r="I34" i="18"/>
  <c r="H34" i="18"/>
  <c r="G34" i="18"/>
  <c r="F34" i="18"/>
  <c r="E34" i="18"/>
  <c r="D34" i="18"/>
  <c r="C34" i="18"/>
  <c r="B17" i="18" l="1"/>
  <c r="E18" i="18"/>
  <c r="F19" i="18" l="1"/>
  <c r="D19" i="18"/>
  <c r="C19" i="18"/>
  <c r="B19" i="18"/>
  <c r="E19" i="18"/>
  <c r="F25" i="18"/>
  <c r="D20" i="18" l="1"/>
  <c r="C21" i="18"/>
  <c r="B22" i="18"/>
  <c r="F22" i="18"/>
  <c r="E23" i="18"/>
  <c r="D24" i="18"/>
  <c r="C25" i="18"/>
  <c r="E20" i="18"/>
  <c r="D21" i="18"/>
  <c r="C22" i="18"/>
  <c r="B23" i="18"/>
  <c r="F23" i="18"/>
  <c r="E24" i="18"/>
  <c r="D25" i="18"/>
  <c r="B20" i="18"/>
  <c r="F20" i="18"/>
  <c r="E21" i="18"/>
  <c r="D22" i="18"/>
  <c r="C23" i="18"/>
  <c r="B24" i="18"/>
  <c r="F24" i="18"/>
  <c r="E25" i="18"/>
  <c r="C20" i="18"/>
  <c r="B21" i="18"/>
  <c r="F21" i="18"/>
  <c r="E22" i="18"/>
  <c r="D23" i="18"/>
  <c r="C24" i="18"/>
  <c r="B25" i="18"/>
  <c r="C59" i="13" l="1"/>
  <c r="U3" i="24" l="1"/>
  <c r="C57" i="19" l="1"/>
  <c r="E8" i="18" l="1"/>
  <c r="E9" i="18" s="1"/>
  <c r="E10" i="18" s="1"/>
  <c r="B8" i="18" l="1"/>
  <c r="B9" i="18" s="1"/>
  <c r="B10" i="18" s="1"/>
  <c r="B11" i="18" s="1"/>
  <c r="D8" i="18"/>
  <c r="D9" i="18" s="1"/>
  <c r="D10" i="18" s="1"/>
  <c r="F8" i="18"/>
  <c r="F9" i="18" s="1"/>
  <c r="F10" i="18" s="1"/>
  <c r="C8" i="18"/>
  <c r="C9" i="18" s="1"/>
  <c r="C10" i="18" s="1"/>
  <c r="AW58" i="19"/>
  <c r="AT58" i="19"/>
  <c r="AS58" i="19"/>
  <c r="AW57" i="19"/>
  <c r="AT57" i="19"/>
  <c r="AS57" i="19"/>
  <c r="AW56" i="19"/>
  <c r="AT56" i="19"/>
  <c r="AS56" i="19"/>
  <c r="AW55" i="19"/>
  <c r="AT55" i="19"/>
  <c r="AS55" i="19"/>
  <c r="AW54" i="19"/>
  <c r="AT54" i="19"/>
  <c r="AS54" i="19"/>
  <c r="AW53" i="19"/>
  <c r="AT53" i="19"/>
  <c r="AS53" i="19"/>
  <c r="AW52" i="19"/>
  <c r="AT52" i="19"/>
  <c r="AS52" i="19"/>
  <c r="AW51" i="19"/>
  <c r="AT51" i="19"/>
  <c r="AS51" i="19"/>
  <c r="AW50" i="19"/>
  <c r="AT50" i="19"/>
  <c r="AS50" i="19"/>
  <c r="AW49" i="19"/>
  <c r="AT49" i="19"/>
  <c r="AS49" i="19"/>
  <c r="AW48" i="19"/>
  <c r="AT48" i="19"/>
  <c r="AS48" i="19"/>
  <c r="AW47" i="19"/>
  <c r="AT47" i="19"/>
  <c r="AS47" i="19"/>
  <c r="AI58" i="19"/>
  <c r="AF58" i="19"/>
  <c r="AE58" i="19"/>
  <c r="AI57" i="19"/>
  <c r="AF57" i="19"/>
  <c r="AE57" i="19"/>
  <c r="AI56" i="19"/>
  <c r="AF56" i="19"/>
  <c r="AE56" i="19"/>
  <c r="AI55" i="19"/>
  <c r="AF55" i="19"/>
  <c r="AE55" i="19"/>
  <c r="AI54" i="19"/>
  <c r="AF54" i="19"/>
  <c r="AE54" i="19"/>
  <c r="AI53" i="19"/>
  <c r="AF53" i="19"/>
  <c r="AE53" i="19"/>
  <c r="AI52" i="19"/>
  <c r="AF52" i="19"/>
  <c r="AE52" i="19"/>
  <c r="AI51" i="19"/>
  <c r="AF51" i="19"/>
  <c r="AE51" i="19"/>
  <c r="AI50" i="19"/>
  <c r="AF50" i="19"/>
  <c r="AE50" i="19"/>
  <c r="AI49" i="19"/>
  <c r="AF49" i="19"/>
  <c r="AE49" i="19"/>
  <c r="AI48" i="19"/>
  <c r="AF48" i="19"/>
  <c r="AE48" i="19"/>
  <c r="AI47" i="19"/>
  <c r="AF47" i="19"/>
  <c r="AE47" i="19"/>
  <c r="C11" i="18" l="1"/>
  <c r="E11" i="18"/>
  <c r="F11" i="18"/>
  <c r="D11" i="18"/>
  <c r="E44" i="13"/>
  <c r="H14" i="13"/>
  <c r="C59" i="15" l="1"/>
  <c r="C57" i="13"/>
  <c r="S162" i="24"/>
  <c r="S484" i="24"/>
  <c r="S526" i="24"/>
  <c r="S465" i="24"/>
  <c r="S525" i="24"/>
  <c r="S507" i="24"/>
  <c r="S523" i="24"/>
  <c r="S522" i="24"/>
  <c r="S521" i="24"/>
  <c r="S19" i="24"/>
  <c r="S39" i="24"/>
  <c r="S654" i="24"/>
  <c r="S512" i="24"/>
  <c r="S610" i="24"/>
  <c r="S332" i="24"/>
  <c r="S229" i="24"/>
  <c r="S684" i="24"/>
  <c r="S356" i="24"/>
  <c r="S337" i="24"/>
  <c r="S626" i="24"/>
  <c r="S621" i="24"/>
  <c r="S606" i="24"/>
  <c r="S532" i="24"/>
  <c r="S499" i="24"/>
  <c r="S461" i="24"/>
  <c r="S450" i="24"/>
  <c r="S411" i="24"/>
  <c r="S403" i="24"/>
  <c r="S331" i="24"/>
  <c r="S286" i="24"/>
  <c r="S252" i="24"/>
  <c r="S242" i="24"/>
  <c r="S214" i="24"/>
  <c r="S159" i="24"/>
  <c r="S141" i="24"/>
  <c r="S126" i="24"/>
  <c r="S33" i="24"/>
  <c r="S10" i="24"/>
  <c r="S656" i="24"/>
  <c r="S452" i="24"/>
  <c r="S378" i="24"/>
  <c r="S334" i="24"/>
  <c r="S327" i="24"/>
  <c r="S177" i="24"/>
  <c r="S166" i="24"/>
  <c r="S55" i="24"/>
  <c r="S673" i="24"/>
  <c r="S670" i="24"/>
  <c r="S659" i="24"/>
  <c r="S650" i="24"/>
  <c r="S649" i="24"/>
  <c r="S627" i="24"/>
  <c r="S611" i="24"/>
  <c r="S595" i="24"/>
  <c r="S591" i="24"/>
  <c r="S586" i="24"/>
  <c r="S583" i="24"/>
  <c r="S575" i="24"/>
  <c r="S573" i="24"/>
  <c r="S557" i="24"/>
  <c r="S520" i="24"/>
  <c r="S515" i="24"/>
  <c r="S505" i="24"/>
  <c r="S491" i="24"/>
  <c r="S489" i="24"/>
  <c r="S480" i="24"/>
  <c r="S479" i="24"/>
  <c r="S478" i="24"/>
  <c r="S457" i="24"/>
  <c r="S446" i="24"/>
  <c r="S442" i="24"/>
  <c r="S424" i="24"/>
  <c r="S421" i="24"/>
  <c r="S420" i="24"/>
  <c r="S407" i="24"/>
  <c r="S404" i="24"/>
  <c r="S402" i="24"/>
  <c r="S396" i="24"/>
  <c r="S384" i="24"/>
  <c r="S383" i="24"/>
  <c r="S375" i="24"/>
  <c r="S374" i="24"/>
  <c r="S365" i="24"/>
  <c r="S361" i="24"/>
  <c r="S355" i="24"/>
  <c r="S345" i="24"/>
  <c r="S340" i="24"/>
  <c r="S336" i="24"/>
  <c r="S335" i="24"/>
  <c r="S329" i="24"/>
  <c r="S292" i="24"/>
  <c r="S264" i="24"/>
  <c r="S262" i="24"/>
  <c r="S254" i="24"/>
  <c r="S246" i="24"/>
  <c r="S245" i="24"/>
  <c r="S239" i="24"/>
  <c r="S236" i="24"/>
  <c r="S221" i="24"/>
  <c r="S204" i="24"/>
  <c r="S198" i="24"/>
  <c r="S186" i="24"/>
  <c r="S185" i="24"/>
  <c r="S181" i="24"/>
  <c r="S178" i="24"/>
  <c r="S172" i="24"/>
  <c r="S167" i="24"/>
  <c r="S152" i="24"/>
  <c r="S150" i="24"/>
  <c r="S147" i="24"/>
  <c r="S145" i="24"/>
  <c r="S142" i="24"/>
  <c r="S140" i="24"/>
  <c r="S137" i="24"/>
  <c r="S133" i="24"/>
  <c r="S131" i="24"/>
  <c r="S100" i="24"/>
  <c r="S92" i="24"/>
  <c r="S88" i="24"/>
  <c r="S85" i="24"/>
  <c r="S79" i="24"/>
  <c r="S78" i="24"/>
  <c r="S75" i="24"/>
  <c r="S73" i="24"/>
  <c r="S48" i="24"/>
  <c r="S40" i="24"/>
  <c r="S36" i="24"/>
  <c r="S35" i="24"/>
  <c r="S34" i="24"/>
  <c r="S21" i="24"/>
  <c r="S17" i="24"/>
  <c r="S9" i="24"/>
  <c r="S691" i="24"/>
  <c r="S690" i="24"/>
  <c r="S688" i="24"/>
  <c r="S686" i="24"/>
  <c r="S685" i="24"/>
  <c r="S680" i="24"/>
  <c r="S658" i="24"/>
  <c r="S632" i="24"/>
  <c r="S631" i="24"/>
  <c r="S625" i="24"/>
  <c r="S623" i="24"/>
  <c r="S620" i="24"/>
  <c r="S615" i="24"/>
  <c r="S614" i="24"/>
  <c r="S603" i="24"/>
  <c r="S585" i="24"/>
  <c r="S584" i="24"/>
  <c r="S580" i="24"/>
  <c r="S567" i="24"/>
  <c r="S548" i="24"/>
  <c r="S547" i="24"/>
  <c r="S545" i="24"/>
  <c r="S544" i="24"/>
  <c r="S540" i="24"/>
  <c r="S490" i="24"/>
  <c r="S487" i="24"/>
  <c r="S467" i="24"/>
  <c r="S456" i="24"/>
  <c r="S453" i="24"/>
  <c r="S451" i="24"/>
  <c r="S436" i="24"/>
  <c r="S398" i="24"/>
  <c r="S379" i="24"/>
  <c r="S362" i="24"/>
  <c r="S360" i="24"/>
  <c r="S291" i="24"/>
  <c r="S283" i="24"/>
  <c r="S274" i="24"/>
  <c r="S212" i="24"/>
  <c r="S190" i="24"/>
  <c r="S168" i="24"/>
  <c r="S163" i="24"/>
  <c r="S149" i="24"/>
  <c r="S70" i="24"/>
  <c r="S46" i="24"/>
  <c r="S15" i="24"/>
  <c r="S14" i="24"/>
  <c r="S422" i="24"/>
  <c r="S272" i="24"/>
  <c r="S445" i="24"/>
  <c r="S267" i="24"/>
  <c r="S258" i="24"/>
  <c r="S225" i="24"/>
  <c r="S83" i="24"/>
  <c r="S597" i="24"/>
  <c r="S536" i="24"/>
  <c r="S57" i="24"/>
  <c r="S655" i="24"/>
  <c r="S589" i="24"/>
  <c r="S566" i="24"/>
  <c r="S558" i="24"/>
  <c r="S448" i="24"/>
  <c r="S423" i="24"/>
  <c r="S410" i="24"/>
  <c r="S395" i="24"/>
  <c r="S376" i="24"/>
  <c r="S372" i="24"/>
  <c r="S349" i="24"/>
  <c r="S324" i="24"/>
  <c r="S306" i="24"/>
  <c r="S301" i="24"/>
  <c r="S297" i="24"/>
  <c r="S278" i="24"/>
  <c r="S266" i="24"/>
  <c r="S261" i="24"/>
  <c r="S222" i="24"/>
  <c r="S151" i="24"/>
  <c r="S76" i="24"/>
  <c r="S61" i="24"/>
  <c r="S59" i="24"/>
  <c r="S58" i="24"/>
  <c r="S399" i="24"/>
  <c r="S341" i="24"/>
  <c r="S143" i="24"/>
  <c r="S210" i="24"/>
  <c r="S405" i="24"/>
  <c r="S370" i="24"/>
  <c r="S169" i="24"/>
  <c r="S16" i="24"/>
  <c r="S604" i="24"/>
  <c r="S53" i="24"/>
  <c r="S406" i="24"/>
  <c r="S700" i="24"/>
  <c r="S687" i="24"/>
  <c r="S669" i="24"/>
  <c r="S608" i="24"/>
  <c r="S569" i="24"/>
  <c r="S552" i="24"/>
  <c r="S541" i="24"/>
  <c r="S535" i="24"/>
  <c r="S517" i="24"/>
  <c r="S514" i="24"/>
  <c r="S481" i="24"/>
  <c r="S475" i="24"/>
  <c r="S469" i="24"/>
  <c r="S462" i="24"/>
  <c r="S459" i="24"/>
  <c r="S439" i="24"/>
  <c r="S438" i="24"/>
  <c r="S432" i="24"/>
  <c r="S429" i="24"/>
  <c r="S428" i="24"/>
  <c r="S417" i="24"/>
  <c r="S413" i="24"/>
  <c r="S397" i="24"/>
  <c r="S386" i="24"/>
  <c r="S368" i="24"/>
  <c r="S364" i="24"/>
  <c r="S359" i="24"/>
  <c r="S354" i="24"/>
  <c r="S352" i="24"/>
  <c r="S344" i="24"/>
  <c r="S343" i="24"/>
  <c r="S333" i="24"/>
  <c r="S326" i="24"/>
  <c r="S325" i="24"/>
  <c r="S321" i="24"/>
  <c r="S316" i="24"/>
  <c r="S315" i="24"/>
  <c r="S314" i="24"/>
  <c r="S304" i="24"/>
  <c r="S296" i="24"/>
  <c r="S295" i="24"/>
  <c r="S294" i="24"/>
  <c r="S293" i="24"/>
  <c r="S281" i="24"/>
  <c r="S279" i="24"/>
  <c r="S275" i="24"/>
  <c r="S271" i="24"/>
  <c r="S260" i="24"/>
  <c r="S251" i="24"/>
  <c r="S241" i="24"/>
  <c r="S203" i="24"/>
  <c r="S196" i="24"/>
  <c r="S179" i="24"/>
  <c r="S153" i="24"/>
  <c r="S148" i="24"/>
  <c r="S144" i="24"/>
  <c r="S138" i="24"/>
  <c r="S90" i="24"/>
  <c r="S89" i="24"/>
  <c r="S60" i="24"/>
  <c r="S41" i="24"/>
  <c r="S30" i="24"/>
  <c r="S4" i="24"/>
  <c r="S695" i="24"/>
  <c r="S679" i="24"/>
  <c r="S663" i="24"/>
  <c r="S662" i="24"/>
  <c r="S661" i="24"/>
  <c r="S660" i="24"/>
  <c r="S629" i="24"/>
  <c r="S616" i="24"/>
  <c r="S564" i="24"/>
  <c r="S473" i="24"/>
  <c r="S414" i="24"/>
  <c r="S363" i="24"/>
  <c r="S358" i="24"/>
  <c r="S347" i="24"/>
  <c r="S342" i="24"/>
  <c r="S317" i="24"/>
  <c r="S303" i="24"/>
  <c r="S257" i="24"/>
  <c r="S235" i="24"/>
  <c r="S211" i="24"/>
  <c r="S161" i="24"/>
  <c r="S139" i="24"/>
  <c r="S135" i="24"/>
  <c r="S102" i="24"/>
  <c r="S94" i="24"/>
  <c r="S86" i="24"/>
  <c r="S52" i="24"/>
  <c r="S50" i="24"/>
  <c r="S13" i="24"/>
  <c r="S527" i="24"/>
  <c r="S483" i="24"/>
  <c r="S182" i="24"/>
  <c r="S230" i="24"/>
  <c r="S54" i="24"/>
  <c r="S449" i="24"/>
  <c r="S377" i="24"/>
  <c r="S373" i="24"/>
  <c r="S250" i="24"/>
  <c r="S103" i="24"/>
  <c r="S69" i="24"/>
  <c r="S63" i="24"/>
  <c r="S460" i="24"/>
  <c r="S72" i="24"/>
  <c r="S401" i="24"/>
  <c r="S581" i="24"/>
  <c r="S524" i="24"/>
  <c r="S464" i="24"/>
  <c r="S277" i="24"/>
  <c r="S193" i="24"/>
  <c r="S560" i="24"/>
  <c r="S380" i="24"/>
  <c r="S273" i="24"/>
  <c r="S234" i="24"/>
  <c r="S248" i="24"/>
  <c r="S284" i="24"/>
  <c r="S528" i="24"/>
  <c r="S486" i="24"/>
  <c r="S466" i="24"/>
  <c r="S391" i="24"/>
  <c r="S269" i="24"/>
  <c r="S65" i="24"/>
  <c r="S408" i="24"/>
  <c r="S693" i="24"/>
  <c r="S253" i="24"/>
  <c r="S701" i="24"/>
  <c r="S664" i="24"/>
  <c r="S634" i="24"/>
  <c r="S538" i="24"/>
  <c r="S200" i="24"/>
  <c r="S95" i="24"/>
  <c r="S697" i="24"/>
  <c r="S667" i="24"/>
  <c r="S609" i="24"/>
  <c r="S529" i="24"/>
  <c r="S393" i="24"/>
  <c r="S231" i="24"/>
  <c r="S199" i="24"/>
  <c r="S180" i="24"/>
  <c r="S154" i="24"/>
  <c r="S104" i="24"/>
  <c r="S98" i="24"/>
  <c r="S74" i="24"/>
  <c r="S42" i="24"/>
  <c r="S683" i="24"/>
  <c r="S682" i="24"/>
  <c r="S677" i="24"/>
  <c r="S668" i="24"/>
  <c r="S666" i="24"/>
  <c r="S607" i="24"/>
  <c r="S563" i="24"/>
  <c r="S533" i="24"/>
  <c r="S504" i="24"/>
  <c r="S497" i="24"/>
  <c r="S496" i="24"/>
  <c r="S488" i="24"/>
  <c r="S392" i="24"/>
  <c r="S689" i="24"/>
  <c r="S596" i="24"/>
  <c r="S510" i="24"/>
  <c r="S494" i="24"/>
  <c r="S471" i="24"/>
  <c r="S444" i="24"/>
  <c r="S415" i="24"/>
  <c r="S409" i="24"/>
  <c r="S390" i="24"/>
  <c r="S309" i="24"/>
  <c r="S158" i="24"/>
  <c r="S675" i="24"/>
  <c r="S508" i="24"/>
  <c r="S357" i="24"/>
  <c r="S302" i="24"/>
  <c r="S202" i="24"/>
  <c r="S128" i="24"/>
  <c r="S93" i="24"/>
  <c r="S68" i="24"/>
  <c r="S47" i="24"/>
  <c r="S25" i="24"/>
  <c r="S628" i="24"/>
  <c r="S322" i="24"/>
  <c r="S645" i="24"/>
  <c r="S638" i="24"/>
  <c r="S513" i="24"/>
  <c r="S381" i="24"/>
  <c r="S366" i="24"/>
  <c r="S320" i="24"/>
  <c r="S175" i="24"/>
  <c r="S136" i="24"/>
  <c r="S132" i="24"/>
  <c r="S117" i="24"/>
  <c r="S116" i="24"/>
  <c r="S110" i="24"/>
  <c r="S49" i="24"/>
  <c r="S24" i="24"/>
  <c r="S12" i="24"/>
  <c r="S11" i="24"/>
  <c r="S648" i="24"/>
  <c r="S579" i="24"/>
  <c r="S568" i="24"/>
  <c r="S509" i="24"/>
  <c r="S476" i="24"/>
  <c r="S265" i="24"/>
  <c r="S127" i="24"/>
  <c r="S114" i="24"/>
  <c r="S639" i="24"/>
  <c r="S270" i="24"/>
  <c r="S97" i="24"/>
  <c r="S22" i="24"/>
  <c r="S676" i="24"/>
  <c r="S672" i="24"/>
  <c r="S651" i="24"/>
  <c r="S643" i="24"/>
  <c r="S642" i="24"/>
  <c r="S637" i="24"/>
  <c r="S617" i="24"/>
  <c r="S600" i="24"/>
  <c r="S592" i="24"/>
  <c r="S226" i="24"/>
  <c r="S121" i="24"/>
  <c r="S115" i="24"/>
  <c r="S559" i="24"/>
  <c r="S388" i="24"/>
  <c r="S394" i="24"/>
  <c r="S636" i="24"/>
  <c r="S346" i="24"/>
  <c r="S323" i="24"/>
  <c r="S255" i="24"/>
  <c r="S124" i="24"/>
  <c r="S232" i="24"/>
  <c r="S170" i="24"/>
  <c r="S590" i="24"/>
  <c r="S531" i="24"/>
  <c r="S458" i="24"/>
  <c r="S385" i="24"/>
  <c r="S256" i="24"/>
  <c r="S189" i="24"/>
  <c r="S45" i="24"/>
  <c r="S310" i="24"/>
  <c r="S434" i="24"/>
  <c r="S640" i="24"/>
  <c r="S534" i="24"/>
  <c r="S311" i="24"/>
  <c r="S122" i="24"/>
  <c r="S493" i="24"/>
  <c r="S492" i="24"/>
  <c r="S350" i="24"/>
  <c r="S572" i="24"/>
  <c r="S551" i="24"/>
  <c r="S160" i="24"/>
  <c r="S71" i="24"/>
  <c r="S44" i="24"/>
  <c r="S681" i="24"/>
  <c r="S207" i="24"/>
  <c r="S29" i="24"/>
  <c r="S618" i="24"/>
  <c r="S570" i="24"/>
  <c r="S201" i="24"/>
  <c r="S106" i="24"/>
  <c r="S671" i="24"/>
  <c r="S549" i="24"/>
  <c r="S455" i="24"/>
  <c r="S191" i="24"/>
  <c r="S38" i="24"/>
  <c r="S7" i="24"/>
  <c r="S503" i="24"/>
  <c r="S244" i="24"/>
  <c r="S197" i="24"/>
  <c r="S101" i="24"/>
  <c r="S371" i="24"/>
  <c r="S228" i="24"/>
  <c r="S155" i="24"/>
  <c r="S118" i="24"/>
  <c r="S23" i="24"/>
  <c r="S18" i="24"/>
  <c r="S646" i="24"/>
  <c r="S550" i="24"/>
  <c r="S427" i="24"/>
  <c r="S243" i="24"/>
  <c r="S217" i="24"/>
  <c r="S129" i="24"/>
  <c r="S64" i="24"/>
  <c r="S20" i="24"/>
  <c r="S268" i="24"/>
  <c r="S218" i="24"/>
  <c r="S472" i="24"/>
  <c r="S107" i="24"/>
  <c r="S67" i="24"/>
  <c r="S56" i="24"/>
  <c r="S501" i="24"/>
  <c r="S437" i="24"/>
  <c r="S187" i="24"/>
  <c r="S164" i="24"/>
  <c r="S157" i="24"/>
  <c r="S82" i="24"/>
  <c r="S328" i="24"/>
  <c r="S282" i="24"/>
  <c r="S43" i="24"/>
  <c r="S27" i="24"/>
  <c r="S692" i="24"/>
  <c r="S633" i="24"/>
  <c r="S601" i="24"/>
  <c r="S498" i="24"/>
  <c r="S470" i="24"/>
  <c r="S431" i="24"/>
  <c r="S353" i="24"/>
  <c r="S289" i="24"/>
  <c r="S276" i="24"/>
  <c r="S249" i="24"/>
  <c r="S113" i="24"/>
  <c r="S105" i="24"/>
  <c r="S31" i="24"/>
  <c r="S518" i="24"/>
  <c r="S516" i="24"/>
  <c r="S367" i="24"/>
  <c r="S263" i="24"/>
  <c r="S209" i="24"/>
  <c r="S205" i="24"/>
  <c r="S176" i="24"/>
  <c r="S165" i="24"/>
  <c r="S134" i="24"/>
  <c r="S87" i="24"/>
  <c r="S84" i="24"/>
  <c r="S6" i="24"/>
  <c r="S5" i="24"/>
  <c r="S622" i="24"/>
  <c r="S537" i="24"/>
  <c r="S300" i="24"/>
  <c r="S111" i="24"/>
  <c r="S99" i="24"/>
  <c r="S698" i="24"/>
  <c r="S635" i="24"/>
  <c r="S588" i="24"/>
  <c r="S571" i="24"/>
  <c r="S506" i="24"/>
  <c r="S440" i="24"/>
  <c r="S416" i="24"/>
  <c r="S259" i="24"/>
  <c r="S195" i="24"/>
  <c r="S194" i="24"/>
  <c r="S174" i="24"/>
  <c r="S146" i="24"/>
  <c r="S582" i="24"/>
  <c r="S502" i="24"/>
  <c r="S426" i="24"/>
  <c r="S238" i="24"/>
  <c r="S237" i="24"/>
  <c r="S233" i="24"/>
  <c r="S77" i="24"/>
  <c r="S188" i="24"/>
  <c r="S647" i="24"/>
  <c r="S553" i="24"/>
  <c r="S419" i="24"/>
  <c r="S400" i="24"/>
  <c r="S387" i="24"/>
  <c r="S130" i="24"/>
  <c r="S120" i="24"/>
  <c r="S51" i="24"/>
  <c r="S28" i="24"/>
  <c r="S171" i="24"/>
  <c r="S219" i="24"/>
  <c r="S694" i="24"/>
  <c r="S644" i="24"/>
  <c r="S641" i="24"/>
  <c r="S599" i="24"/>
  <c r="S593" i="24"/>
  <c r="S587" i="24"/>
  <c r="S577" i="24"/>
  <c r="S574" i="24"/>
  <c r="S482" i="24"/>
  <c r="S454" i="24"/>
  <c r="S418" i="24"/>
  <c r="S348" i="24"/>
  <c r="S319" i="24"/>
  <c r="S312" i="24"/>
  <c r="S119" i="24"/>
  <c r="S37" i="24"/>
  <c r="S619" i="24"/>
  <c r="S612" i="24"/>
  <c r="S556" i="24"/>
  <c r="S485" i="24"/>
  <c r="S447" i="24"/>
  <c r="S123" i="24"/>
  <c r="S678" i="24"/>
  <c r="S674" i="24"/>
  <c r="S652" i="24"/>
  <c r="S630" i="24"/>
  <c r="S624" i="24"/>
  <c r="S576" i="24"/>
  <c r="S539" i="24"/>
  <c r="S351" i="24"/>
  <c r="S699" i="24"/>
  <c r="S500" i="24"/>
  <c r="S213" i="24"/>
  <c r="S96" i="24"/>
  <c r="S665" i="24"/>
  <c r="S546" i="24"/>
  <c r="S542" i="24"/>
  <c r="S433" i="24"/>
  <c r="S313" i="24"/>
  <c r="S653" i="24"/>
  <c r="S565" i="24"/>
  <c r="S562" i="24"/>
  <c r="S555" i="24"/>
  <c r="S543" i="24"/>
  <c r="S412" i="24"/>
  <c r="S308" i="24"/>
  <c r="S305" i="24"/>
  <c r="S287" i="24"/>
  <c r="S285" i="24"/>
  <c r="S247" i="24"/>
  <c r="S183" i="24"/>
  <c r="S112" i="24"/>
  <c r="S605" i="24"/>
  <c r="S474" i="24"/>
  <c r="S318" i="24"/>
  <c r="S220" i="24"/>
  <c r="S192" i="24"/>
  <c r="S108" i="24"/>
  <c r="S91" i="24"/>
  <c r="S62" i="24"/>
  <c r="S561" i="24"/>
  <c r="S511" i="24"/>
  <c r="S430" i="24"/>
  <c r="S425" i="24"/>
  <c r="S369" i="24"/>
  <c r="S290" i="24"/>
  <c r="S280" i="24"/>
  <c r="S216" i="24"/>
  <c r="S206" i="24"/>
  <c r="S125" i="24"/>
  <c r="S81" i="24"/>
  <c r="S80" i="24"/>
  <c r="S32" i="24"/>
  <c r="S3" i="24"/>
  <c r="S696" i="24"/>
  <c r="S657" i="24"/>
  <c r="S602" i="24"/>
  <c r="S594" i="24"/>
  <c r="S578" i="24"/>
  <c r="S468" i="24"/>
  <c r="S382" i="24"/>
  <c r="S339" i="24"/>
  <c r="S330" i="24"/>
  <c r="S298" i="24"/>
  <c r="S223" i="24"/>
  <c r="S26" i="24"/>
  <c r="S613" i="24"/>
  <c r="S598" i="24"/>
  <c r="S554" i="24"/>
  <c r="S530" i="24"/>
  <c r="S495" i="24"/>
  <c r="S477" i="24"/>
  <c r="S463" i="24"/>
  <c r="S443" i="24"/>
  <c r="S389" i="24"/>
  <c r="S307" i="24"/>
  <c r="S288" i="24"/>
  <c r="S240" i="24"/>
  <c r="S224" i="24"/>
  <c r="S215" i="24"/>
  <c r="S208" i="24"/>
  <c r="S184" i="24"/>
  <c r="S156" i="24"/>
  <c r="S109" i="24"/>
  <c r="S66" i="24"/>
  <c r="S519" i="24"/>
  <c r="S441" i="24"/>
  <c r="S435" i="24"/>
  <c r="S338" i="24"/>
  <c r="S227" i="24"/>
  <c r="S173" i="24"/>
  <c r="S8" i="24"/>
  <c r="S299" i="24"/>
  <c r="U162" i="24"/>
  <c r="T162" i="24"/>
  <c r="U484" i="24"/>
  <c r="T484" i="24"/>
  <c r="U526" i="24"/>
  <c r="T526" i="24"/>
  <c r="U465" i="24"/>
  <c r="T465" i="24"/>
  <c r="U525" i="24"/>
  <c r="T525" i="24"/>
  <c r="U507" i="24"/>
  <c r="T507" i="24"/>
  <c r="U523" i="24"/>
  <c r="T523" i="24"/>
  <c r="U522" i="24"/>
  <c r="T522" i="24"/>
  <c r="U521" i="24"/>
  <c r="T521" i="24"/>
  <c r="U19" i="24"/>
  <c r="T19" i="24"/>
  <c r="U39" i="24"/>
  <c r="T39" i="24"/>
  <c r="U654" i="24"/>
  <c r="T654" i="24"/>
  <c r="U512" i="24"/>
  <c r="T512" i="24"/>
  <c r="U610" i="24"/>
  <c r="T610" i="24"/>
  <c r="U332" i="24"/>
  <c r="T332" i="24"/>
  <c r="U229" i="24"/>
  <c r="T229" i="24"/>
  <c r="U684" i="24"/>
  <c r="T684" i="24"/>
  <c r="U356" i="24"/>
  <c r="T356" i="24"/>
  <c r="U337" i="24"/>
  <c r="T337" i="24"/>
  <c r="U626" i="24"/>
  <c r="T626" i="24"/>
  <c r="U621" i="24"/>
  <c r="T621" i="24"/>
  <c r="U606" i="24"/>
  <c r="T606" i="24"/>
  <c r="U532" i="24"/>
  <c r="T532" i="24"/>
  <c r="U499" i="24"/>
  <c r="T499" i="24"/>
  <c r="U461" i="24"/>
  <c r="T461" i="24"/>
  <c r="U450" i="24"/>
  <c r="T450" i="24"/>
  <c r="U411" i="24"/>
  <c r="T411" i="24"/>
  <c r="U403" i="24"/>
  <c r="T403" i="24"/>
  <c r="U331" i="24"/>
  <c r="T331" i="24"/>
  <c r="U286" i="24"/>
  <c r="T286" i="24"/>
  <c r="U252" i="24"/>
  <c r="T252" i="24"/>
  <c r="U242" i="24"/>
  <c r="T242" i="24"/>
  <c r="U214" i="24"/>
  <c r="T214" i="24"/>
  <c r="U159" i="24"/>
  <c r="T159" i="24"/>
  <c r="U141" i="24"/>
  <c r="T141" i="24"/>
  <c r="U126" i="24"/>
  <c r="T126" i="24"/>
  <c r="U33" i="24"/>
  <c r="T33" i="24"/>
  <c r="U10" i="24"/>
  <c r="T10" i="24"/>
  <c r="U656" i="24"/>
  <c r="T656" i="24"/>
  <c r="U452" i="24"/>
  <c r="T452" i="24"/>
  <c r="U378" i="24"/>
  <c r="T378" i="24"/>
  <c r="U334" i="24"/>
  <c r="T334" i="24"/>
  <c r="U327" i="24"/>
  <c r="T327" i="24"/>
  <c r="U177" i="24"/>
  <c r="T177" i="24"/>
  <c r="U166" i="24"/>
  <c r="T166" i="24"/>
  <c r="U55" i="24"/>
  <c r="T55" i="24"/>
  <c r="U673" i="24"/>
  <c r="T673" i="24"/>
  <c r="U670" i="24"/>
  <c r="T670" i="24"/>
  <c r="U659" i="24"/>
  <c r="T659" i="24"/>
  <c r="U650" i="24"/>
  <c r="T650" i="24"/>
  <c r="U649" i="24"/>
  <c r="T649" i="24"/>
  <c r="U627" i="24"/>
  <c r="T627" i="24"/>
  <c r="U611" i="24"/>
  <c r="T611" i="24"/>
  <c r="U595" i="24"/>
  <c r="T595" i="24"/>
  <c r="U591" i="24"/>
  <c r="T591" i="24"/>
  <c r="U586" i="24"/>
  <c r="T586" i="24"/>
  <c r="U583" i="24"/>
  <c r="T583" i="24"/>
  <c r="U575" i="24"/>
  <c r="T575" i="24"/>
  <c r="U573" i="24"/>
  <c r="T573" i="24"/>
  <c r="U557" i="24"/>
  <c r="T557" i="24"/>
  <c r="U520" i="24"/>
  <c r="T520" i="24"/>
  <c r="U515" i="24"/>
  <c r="T515" i="24"/>
  <c r="U505" i="24"/>
  <c r="T505" i="24"/>
  <c r="U491" i="24"/>
  <c r="T491" i="24"/>
  <c r="U489" i="24"/>
  <c r="T489" i="24"/>
  <c r="U480" i="24"/>
  <c r="T480" i="24"/>
  <c r="U479" i="24"/>
  <c r="T479" i="24"/>
  <c r="U478" i="24"/>
  <c r="T478" i="24"/>
  <c r="U457" i="24"/>
  <c r="T457" i="24"/>
  <c r="U446" i="24"/>
  <c r="T446" i="24"/>
  <c r="U442" i="24"/>
  <c r="T442" i="24"/>
  <c r="U424" i="24"/>
  <c r="T424" i="24"/>
  <c r="U421" i="24"/>
  <c r="T421" i="24"/>
  <c r="U420" i="24"/>
  <c r="T420" i="24"/>
  <c r="U407" i="24"/>
  <c r="T407" i="24"/>
  <c r="U404" i="24"/>
  <c r="T404" i="24"/>
  <c r="U402" i="24"/>
  <c r="T402" i="24"/>
  <c r="U396" i="24"/>
  <c r="T396" i="24"/>
  <c r="U384" i="24"/>
  <c r="T384" i="24"/>
  <c r="U383" i="24"/>
  <c r="T383" i="24"/>
  <c r="U375" i="24"/>
  <c r="T375" i="24"/>
  <c r="U374" i="24"/>
  <c r="T374" i="24"/>
  <c r="U365" i="24"/>
  <c r="T365" i="24"/>
  <c r="U361" i="24"/>
  <c r="T361" i="24"/>
  <c r="U355" i="24"/>
  <c r="T355" i="24"/>
  <c r="U345" i="24"/>
  <c r="T345" i="24"/>
  <c r="U340" i="24"/>
  <c r="T340" i="24"/>
  <c r="U336" i="24"/>
  <c r="T336" i="24"/>
  <c r="U335" i="24"/>
  <c r="T335" i="24"/>
  <c r="U329" i="24"/>
  <c r="T329" i="24"/>
  <c r="U292" i="24"/>
  <c r="T292" i="24"/>
  <c r="U264" i="24"/>
  <c r="T264" i="24"/>
  <c r="U262" i="24"/>
  <c r="T262" i="24"/>
  <c r="U254" i="24"/>
  <c r="T254" i="24"/>
  <c r="U246" i="24"/>
  <c r="T246" i="24"/>
  <c r="U245" i="24"/>
  <c r="T245" i="24"/>
  <c r="U239" i="24"/>
  <c r="T239" i="24"/>
  <c r="U236" i="24"/>
  <c r="T236" i="24"/>
  <c r="U221" i="24"/>
  <c r="T221" i="24"/>
  <c r="U204" i="24"/>
  <c r="T204" i="24"/>
  <c r="U198" i="24"/>
  <c r="T198" i="24"/>
  <c r="U186" i="24"/>
  <c r="T186" i="24"/>
  <c r="U185" i="24"/>
  <c r="T185" i="24"/>
  <c r="U181" i="24"/>
  <c r="T181" i="24"/>
  <c r="U178" i="24"/>
  <c r="T178" i="24"/>
  <c r="U172" i="24"/>
  <c r="T172" i="24"/>
  <c r="U167" i="24"/>
  <c r="T167" i="24"/>
  <c r="U152" i="24"/>
  <c r="T152" i="24"/>
  <c r="U150" i="24"/>
  <c r="T150" i="24"/>
  <c r="U147" i="24"/>
  <c r="T147" i="24"/>
  <c r="U145" i="24"/>
  <c r="T145" i="24"/>
  <c r="U142" i="24"/>
  <c r="T142" i="24"/>
  <c r="U140" i="24"/>
  <c r="T140" i="24"/>
  <c r="U137" i="24"/>
  <c r="T137" i="24"/>
  <c r="U133" i="24"/>
  <c r="T133" i="24"/>
  <c r="U131" i="24"/>
  <c r="T131" i="24"/>
  <c r="U100" i="24"/>
  <c r="T100" i="24"/>
  <c r="U92" i="24"/>
  <c r="T92" i="24"/>
  <c r="U88" i="24"/>
  <c r="T88" i="24"/>
  <c r="U85" i="24"/>
  <c r="T85" i="24"/>
  <c r="U79" i="24"/>
  <c r="T79" i="24"/>
  <c r="U78" i="24"/>
  <c r="T78" i="24"/>
  <c r="U75" i="24"/>
  <c r="T75" i="24"/>
  <c r="U73" i="24"/>
  <c r="T73" i="24"/>
  <c r="U48" i="24"/>
  <c r="T48" i="24"/>
  <c r="U40" i="24"/>
  <c r="T40" i="24"/>
  <c r="U36" i="24"/>
  <c r="T36" i="24"/>
  <c r="U35" i="24"/>
  <c r="T35" i="24"/>
  <c r="U34" i="24"/>
  <c r="T34" i="24"/>
  <c r="U21" i="24"/>
  <c r="T21" i="24"/>
  <c r="U17" i="24"/>
  <c r="T17" i="24"/>
  <c r="U9" i="24"/>
  <c r="T9" i="24"/>
  <c r="U691" i="24"/>
  <c r="T691" i="24"/>
  <c r="U690" i="24"/>
  <c r="T690" i="24"/>
  <c r="U688" i="24"/>
  <c r="T688" i="24"/>
  <c r="U686" i="24"/>
  <c r="T686" i="24"/>
  <c r="U685" i="24"/>
  <c r="T685" i="24"/>
  <c r="U680" i="24"/>
  <c r="T680" i="24"/>
  <c r="U658" i="24"/>
  <c r="T658" i="24"/>
  <c r="U632" i="24"/>
  <c r="T632" i="24"/>
  <c r="U631" i="24"/>
  <c r="T631" i="24"/>
  <c r="U625" i="24"/>
  <c r="T625" i="24"/>
  <c r="U623" i="24"/>
  <c r="T623" i="24"/>
  <c r="U620" i="24"/>
  <c r="T620" i="24"/>
  <c r="U615" i="24"/>
  <c r="T615" i="24"/>
  <c r="U614" i="24"/>
  <c r="T614" i="24"/>
  <c r="U603" i="24"/>
  <c r="T603" i="24"/>
  <c r="U585" i="24"/>
  <c r="T585" i="24"/>
  <c r="U584" i="24"/>
  <c r="T584" i="24"/>
  <c r="U580" i="24"/>
  <c r="T580" i="24"/>
  <c r="U567" i="24"/>
  <c r="T567" i="24"/>
  <c r="U548" i="24"/>
  <c r="T548" i="24"/>
  <c r="U547" i="24"/>
  <c r="T547" i="24"/>
  <c r="U545" i="24"/>
  <c r="T545" i="24"/>
  <c r="U544" i="24"/>
  <c r="T544" i="24"/>
  <c r="U540" i="24"/>
  <c r="T540" i="24"/>
  <c r="U490" i="24"/>
  <c r="T490" i="24"/>
  <c r="U487" i="24"/>
  <c r="T487" i="24"/>
  <c r="U467" i="24"/>
  <c r="T467" i="24"/>
  <c r="U456" i="24"/>
  <c r="T456" i="24"/>
  <c r="U453" i="24"/>
  <c r="T453" i="24"/>
  <c r="U451" i="24"/>
  <c r="T451" i="24"/>
  <c r="U436" i="24"/>
  <c r="T436" i="24"/>
  <c r="U398" i="24"/>
  <c r="T398" i="24"/>
  <c r="U379" i="24"/>
  <c r="T379" i="24"/>
  <c r="U362" i="24"/>
  <c r="T362" i="24"/>
  <c r="U360" i="24"/>
  <c r="T360" i="24"/>
  <c r="U291" i="24"/>
  <c r="T291" i="24"/>
  <c r="U283" i="24"/>
  <c r="T283" i="24"/>
  <c r="U274" i="24"/>
  <c r="T274" i="24"/>
  <c r="U212" i="24"/>
  <c r="T212" i="24"/>
  <c r="U190" i="24"/>
  <c r="T190" i="24"/>
  <c r="U168" i="24"/>
  <c r="T168" i="24"/>
  <c r="U163" i="24"/>
  <c r="T163" i="24"/>
  <c r="U149" i="24"/>
  <c r="T149" i="24"/>
  <c r="U70" i="24"/>
  <c r="T70" i="24"/>
  <c r="U46" i="24"/>
  <c r="T46" i="24"/>
  <c r="U15" i="24"/>
  <c r="T15" i="24"/>
  <c r="U14" i="24"/>
  <c r="T14" i="24"/>
  <c r="U422" i="24"/>
  <c r="T422" i="24"/>
  <c r="U272" i="24"/>
  <c r="T272" i="24"/>
  <c r="U445" i="24"/>
  <c r="T445" i="24"/>
  <c r="U267" i="24"/>
  <c r="T267" i="24"/>
  <c r="U258" i="24"/>
  <c r="T258" i="24"/>
  <c r="U225" i="24"/>
  <c r="T225" i="24"/>
  <c r="U83" i="24"/>
  <c r="T83" i="24"/>
  <c r="U597" i="24"/>
  <c r="T597" i="24"/>
  <c r="U536" i="24"/>
  <c r="T536" i="24"/>
  <c r="U57" i="24"/>
  <c r="T57" i="24"/>
  <c r="U655" i="24"/>
  <c r="T655" i="24"/>
  <c r="U589" i="24"/>
  <c r="T589" i="24"/>
  <c r="U566" i="24"/>
  <c r="T566" i="24"/>
  <c r="U558" i="24"/>
  <c r="T558" i="24"/>
  <c r="U448" i="24"/>
  <c r="T448" i="24"/>
  <c r="U423" i="24"/>
  <c r="T423" i="24"/>
  <c r="U410" i="24"/>
  <c r="T410" i="24"/>
  <c r="U395" i="24"/>
  <c r="T395" i="24"/>
  <c r="U376" i="24"/>
  <c r="T376" i="24"/>
  <c r="U372" i="24"/>
  <c r="T372" i="24"/>
  <c r="U349" i="24"/>
  <c r="T349" i="24"/>
  <c r="U324" i="24"/>
  <c r="T324" i="24"/>
  <c r="U306" i="24"/>
  <c r="T306" i="24"/>
  <c r="U301" i="24"/>
  <c r="T301" i="24"/>
  <c r="U297" i="24"/>
  <c r="T297" i="24"/>
  <c r="U278" i="24"/>
  <c r="T278" i="24"/>
  <c r="U266" i="24"/>
  <c r="T266" i="24"/>
  <c r="U261" i="24"/>
  <c r="T261" i="24"/>
  <c r="U222" i="24"/>
  <c r="T222" i="24"/>
  <c r="U151" i="24"/>
  <c r="T151" i="24"/>
  <c r="U76" i="24"/>
  <c r="T76" i="24"/>
  <c r="U61" i="24"/>
  <c r="T61" i="24"/>
  <c r="U59" i="24"/>
  <c r="T59" i="24"/>
  <c r="U58" i="24"/>
  <c r="T58" i="24"/>
  <c r="U399" i="24"/>
  <c r="T399" i="24"/>
  <c r="U341" i="24"/>
  <c r="T341" i="24"/>
  <c r="U143" i="24"/>
  <c r="T143" i="24"/>
  <c r="U210" i="24"/>
  <c r="T210" i="24"/>
  <c r="U405" i="24"/>
  <c r="T405" i="24"/>
  <c r="U370" i="24"/>
  <c r="T370" i="24"/>
  <c r="U169" i="24"/>
  <c r="T169" i="24"/>
  <c r="U16" i="24"/>
  <c r="T16" i="24"/>
  <c r="U604" i="24"/>
  <c r="T604" i="24"/>
  <c r="U53" i="24"/>
  <c r="T53" i="24"/>
  <c r="U406" i="24"/>
  <c r="T406" i="24"/>
  <c r="U700" i="24"/>
  <c r="T700" i="24"/>
  <c r="U687" i="24"/>
  <c r="T687" i="24"/>
  <c r="U669" i="24"/>
  <c r="T669" i="24"/>
  <c r="U608" i="24"/>
  <c r="T608" i="24"/>
  <c r="U569" i="24"/>
  <c r="T569" i="24"/>
  <c r="U552" i="24"/>
  <c r="T552" i="24"/>
  <c r="U541" i="24"/>
  <c r="T541" i="24"/>
  <c r="U535" i="24"/>
  <c r="T535" i="24"/>
  <c r="U517" i="24"/>
  <c r="T517" i="24"/>
  <c r="U514" i="24"/>
  <c r="T514" i="24"/>
  <c r="U481" i="24"/>
  <c r="T481" i="24"/>
  <c r="U475" i="24"/>
  <c r="T475" i="24"/>
  <c r="U469" i="24"/>
  <c r="T469" i="24"/>
  <c r="U462" i="24"/>
  <c r="T462" i="24"/>
  <c r="U459" i="24"/>
  <c r="T459" i="24"/>
  <c r="U439" i="24"/>
  <c r="T439" i="24"/>
  <c r="U438" i="24"/>
  <c r="T438" i="24"/>
  <c r="U432" i="24"/>
  <c r="T432" i="24"/>
  <c r="U429" i="24"/>
  <c r="T429" i="24"/>
  <c r="U428" i="24"/>
  <c r="T428" i="24"/>
  <c r="U417" i="24"/>
  <c r="T417" i="24"/>
  <c r="U413" i="24"/>
  <c r="T413" i="24"/>
  <c r="U397" i="24"/>
  <c r="T397" i="24"/>
  <c r="U386" i="24"/>
  <c r="T386" i="24"/>
  <c r="U368" i="24"/>
  <c r="T368" i="24"/>
  <c r="U364" i="24"/>
  <c r="T364" i="24"/>
  <c r="U359" i="24"/>
  <c r="T359" i="24"/>
  <c r="U354" i="24"/>
  <c r="T354" i="24"/>
  <c r="U352" i="24"/>
  <c r="T352" i="24"/>
  <c r="U344" i="24"/>
  <c r="T344" i="24"/>
  <c r="U343" i="24"/>
  <c r="T343" i="24"/>
  <c r="U333" i="24"/>
  <c r="T333" i="24"/>
  <c r="U326" i="24"/>
  <c r="T326" i="24"/>
  <c r="U325" i="24"/>
  <c r="T325" i="24"/>
  <c r="U321" i="24"/>
  <c r="T321" i="24"/>
  <c r="U316" i="24"/>
  <c r="T316" i="24"/>
  <c r="U315" i="24"/>
  <c r="T315" i="24"/>
  <c r="U314" i="24"/>
  <c r="T314" i="24"/>
  <c r="U304" i="24"/>
  <c r="T304" i="24"/>
  <c r="U296" i="24"/>
  <c r="T296" i="24"/>
  <c r="U295" i="24"/>
  <c r="T295" i="24"/>
  <c r="U294" i="24"/>
  <c r="T294" i="24"/>
  <c r="U293" i="24"/>
  <c r="T293" i="24"/>
  <c r="U281" i="24"/>
  <c r="T281" i="24"/>
  <c r="U279" i="24"/>
  <c r="T279" i="24"/>
  <c r="U275" i="24"/>
  <c r="T275" i="24"/>
  <c r="U271" i="24"/>
  <c r="T271" i="24"/>
  <c r="U260" i="24"/>
  <c r="T260" i="24"/>
  <c r="U251" i="24"/>
  <c r="T251" i="24"/>
  <c r="U241" i="24"/>
  <c r="T241" i="24"/>
  <c r="U203" i="24"/>
  <c r="T203" i="24"/>
  <c r="U196" i="24"/>
  <c r="T196" i="24"/>
  <c r="U179" i="24"/>
  <c r="T179" i="24"/>
  <c r="U153" i="24"/>
  <c r="T153" i="24"/>
  <c r="U148" i="24"/>
  <c r="T148" i="24"/>
  <c r="U144" i="24"/>
  <c r="T144" i="24"/>
  <c r="U138" i="24"/>
  <c r="T138" i="24"/>
  <c r="U90" i="24"/>
  <c r="T90" i="24"/>
  <c r="U89" i="24"/>
  <c r="T89" i="24"/>
  <c r="U60" i="24"/>
  <c r="T60" i="24"/>
  <c r="U41" i="24"/>
  <c r="T41" i="24"/>
  <c r="U30" i="24"/>
  <c r="T30" i="24"/>
  <c r="U4" i="24"/>
  <c r="T4" i="24"/>
  <c r="U695" i="24"/>
  <c r="T695" i="24"/>
  <c r="U679" i="24"/>
  <c r="T679" i="24"/>
  <c r="U663" i="24"/>
  <c r="T663" i="24"/>
  <c r="U662" i="24"/>
  <c r="T662" i="24"/>
  <c r="U661" i="24"/>
  <c r="T661" i="24"/>
  <c r="U660" i="24"/>
  <c r="T660" i="24"/>
  <c r="U629" i="24"/>
  <c r="T629" i="24"/>
  <c r="U616" i="24"/>
  <c r="T616" i="24"/>
  <c r="U564" i="24"/>
  <c r="T564" i="24"/>
  <c r="U473" i="24"/>
  <c r="T473" i="24"/>
  <c r="U414" i="24"/>
  <c r="T414" i="24"/>
  <c r="U363" i="24"/>
  <c r="T363" i="24"/>
  <c r="U358" i="24"/>
  <c r="T358" i="24"/>
  <c r="U347" i="24"/>
  <c r="T347" i="24"/>
  <c r="U342" i="24"/>
  <c r="T342" i="24"/>
  <c r="U317" i="24"/>
  <c r="T317" i="24"/>
  <c r="U303" i="24"/>
  <c r="T303" i="24"/>
  <c r="U257" i="24"/>
  <c r="T257" i="24"/>
  <c r="U235" i="24"/>
  <c r="T235" i="24"/>
  <c r="U211" i="24"/>
  <c r="T211" i="24"/>
  <c r="U161" i="24"/>
  <c r="T161" i="24"/>
  <c r="U139" i="24"/>
  <c r="T139" i="24"/>
  <c r="U135" i="24"/>
  <c r="T135" i="24"/>
  <c r="U102" i="24"/>
  <c r="T102" i="24"/>
  <c r="U94" i="24"/>
  <c r="T94" i="24"/>
  <c r="U86" i="24"/>
  <c r="T86" i="24"/>
  <c r="U52" i="24"/>
  <c r="T52" i="24"/>
  <c r="U50" i="24"/>
  <c r="T50" i="24"/>
  <c r="U13" i="24"/>
  <c r="T13" i="24"/>
  <c r="U527" i="24"/>
  <c r="T527" i="24"/>
  <c r="U483" i="24"/>
  <c r="T483" i="24"/>
  <c r="U182" i="24"/>
  <c r="T182" i="24"/>
  <c r="U230" i="24"/>
  <c r="T230" i="24"/>
  <c r="U54" i="24"/>
  <c r="T54" i="24"/>
  <c r="U449" i="24"/>
  <c r="T449" i="24"/>
  <c r="U377" i="24"/>
  <c r="T377" i="24"/>
  <c r="U373" i="24"/>
  <c r="T373" i="24"/>
  <c r="U250" i="24"/>
  <c r="T250" i="24"/>
  <c r="U103" i="24"/>
  <c r="T103" i="24"/>
  <c r="U69" i="24"/>
  <c r="T69" i="24"/>
  <c r="U63" i="24"/>
  <c r="T63" i="24"/>
  <c r="U460" i="24"/>
  <c r="T460" i="24"/>
  <c r="U72" i="24"/>
  <c r="T72" i="24"/>
  <c r="U401" i="24"/>
  <c r="T401" i="24"/>
  <c r="U581" i="24"/>
  <c r="T581" i="24"/>
  <c r="U524" i="24"/>
  <c r="T524" i="24"/>
  <c r="U464" i="24"/>
  <c r="T464" i="24"/>
  <c r="U277" i="24"/>
  <c r="T277" i="24"/>
  <c r="U193" i="24"/>
  <c r="T193" i="24"/>
  <c r="U560" i="24"/>
  <c r="T560" i="24"/>
  <c r="U380" i="24"/>
  <c r="T380" i="24"/>
  <c r="U273" i="24"/>
  <c r="T273" i="24"/>
  <c r="U234" i="24"/>
  <c r="T234" i="24"/>
  <c r="U248" i="24"/>
  <c r="T248" i="24"/>
  <c r="U284" i="24"/>
  <c r="T284" i="24"/>
  <c r="U528" i="24"/>
  <c r="T528" i="24"/>
  <c r="U486" i="24"/>
  <c r="T486" i="24"/>
  <c r="U466" i="24"/>
  <c r="T466" i="24"/>
  <c r="U391" i="24"/>
  <c r="T391" i="24"/>
  <c r="U269" i="24"/>
  <c r="T269" i="24"/>
  <c r="U65" i="24"/>
  <c r="T65" i="24"/>
  <c r="U408" i="24"/>
  <c r="T408" i="24"/>
  <c r="U693" i="24"/>
  <c r="T693" i="24"/>
  <c r="U253" i="24"/>
  <c r="T253" i="24"/>
  <c r="U701" i="24"/>
  <c r="T701" i="24"/>
  <c r="U664" i="24"/>
  <c r="T664" i="24"/>
  <c r="U634" i="24"/>
  <c r="T634" i="24"/>
  <c r="U538" i="24"/>
  <c r="T538" i="24"/>
  <c r="U200" i="24"/>
  <c r="T200" i="24"/>
  <c r="U95" i="24"/>
  <c r="T95" i="24"/>
  <c r="U697" i="24"/>
  <c r="T697" i="24"/>
  <c r="U667" i="24"/>
  <c r="T667" i="24"/>
  <c r="U609" i="24"/>
  <c r="T609" i="24"/>
  <c r="U529" i="24"/>
  <c r="T529" i="24"/>
  <c r="U393" i="24"/>
  <c r="T393" i="24"/>
  <c r="U231" i="24"/>
  <c r="T231" i="24"/>
  <c r="U199" i="24"/>
  <c r="T199" i="24"/>
  <c r="U180" i="24"/>
  <c r="T180" i="24"/>
  <c r="U154" i="24"/>
  <c r="T154" i="24"/>
  <c r="U104" i="24"/>
  <c r="T104" i="24"/>
  <c r="U98" i="24"/>
  <c r="T98" i="24"/>
  <c r="U74" i="24"/>
  <c r="T74" i="24"/>
  <c r="U42" i="24"/>
  <c r="T42" i="24"/>
  <c r="U8" i="24"/>
  <c r="T8" i="24"/>
  <c r="U299" i="24"/>
  <c r="T299" i="24"/>
  <c r="R162" i="24"/>
  <c r="Q162" i="24"/>
  <c r="P162" i="24"/>
  <c r="O162" i="24"/>
  <c r="R484" i="24"/>
  <c r="Q484" i="24"/>
  <c r="P484" i="24"/>
  <c r="O484" i="24"/>
  <c r="R526" i="24"/>
  <c r="Q526" i="24"/>
  <c r="P526" i="24"/>
  <c r="O526" i="24"/>
  <c r="R465" i="24"/>
  <c r="Q465" i="24"/>
  <c r="P465" i="24"/>
  <c r="O465" i="24"/>
  <c r="R525" i="24"/>
  <c r="Q525" i="24"/>
  <c r="P525" i="24"/>
  <c r="O525" i="24"/>
  <c r="R507" i="24"/>
  <c r="Q507" i="24"/>
  <c r="P507" i="24"/>
  <c r="O507" i="24"/>
  <c r="R523" i="24"/>
  <c r="Q523" i="24"/>
  <c r="P523" i="24"/>
  <c r="O523" i="24"/>
  <c r="R522" i="24"/>
  <c r="Q522" i="24"/>
  <c r="P522" i="24"/>
  <c r="O522" i="24"/>
  <c r="R521" i="24"/>
  <c r="Q521" i="24"/>
  <c r="P521" i="24"/>
  <c r="O521" i="24"/>
  <c r="R19" i="24"/>
  <c r="Q19" i="24"/>
  <c r="P19" i="24"/>
  <c r="O19" i="24"/>
  <c r="R39" i="24"/>
  <c r="Q39" i="24"/>
  <c r="P39" i="24"/>
  <c r="O39" i="24"/>
  <c r="R654" i="24"/>
  <c r="Q654" i="24"/>
  <c r="P654" i="24"/>
  <c r="O654" i="24"/>
  <c r="R512" i="24"/>
  <c r="Q512" i="24"/>
  <c r="P512" i="24"/>
  <c r="O512" i="24"/>
  <c r="R610" i="24"/>
  <c r="Q610" i="24"/>
  <c r="P610" i="24"/>
  <c r="O610" i="24"/>
  <c r="R332" i="24"/>
  <c r="Q332" i="24"/>
  <c r="P332" i="24"/>
  <c r="O332" i="24"/>
  <c r="R229" i="24"/>
  <c r="Q229" i="24"/>
  <c r="P229" i="24"/>
  <c r="O229" i="24"/>
  <c r="R684" i="24"/>
  <c r="Q684" i="24"/>
  <c r="P684" i="24"/>
  <c r="O684" i="24"/>
  <c r="R356" i="24"/>
  <c r="Q356" i="24"/>
  <c r="P356" i="24"/>
  <c r="O356" i="24"/>
  <c r="R337" i="24"/>
  <c r="Q337" i="24"/>
  <c r="P337" i="24"/>
  <c r="O337" i="24"/>
  <c r="R626" i="24"/>
  <c r="Q626" i="24"/>
  <c r="P626" i="24"/>
  <c r="O626" i="24"/>
  <c r="R621" i="24"/>
  <c r="Q621" i="24"/>
  <c r="P621" i="24"/>
  <c r="O621" i="24"/>
  <c r="R606" i="24"/>
  <c r="Q606" i="24"/>
  <c r="P606" i="24"/>
  <c r="O606" i="24"/>
  <c r="R532" i="24"/>
  <c r="Q532" i="24"/>
  <c r="P532" i="24"/>
  <c r="O532" i="24"/>
  <c r="R499" i="24"/>
  <c r="Q499" i="24"/>
  <c r="P499" i="24"/>
  <c r="O499" i="24"/>
  <c r="R461" i="24"/>
  <c r="Q461" i="24"/>
  <c r="P461" i="24"/>
  <c r="O461" i="24"/>
  <c r="R450" i="24"/>
  <c r="Q450" i="24"/>
  <c r="P450" i="24"/>
  <c r="O450" i="24"/>
  <c r="R411" i="24"/>
  <c r="Q411" i="24"/>
  <c r="P411" i="24"/>
  <c r="O411" i="24"/>
  <c r="R403" i="24"/>
  <c r="Q403" i="24"/>
  <c r="P403" i="24"/>
  <c r="O403" i="24"/>
  <c r="R331" i="24"/>
  <c r="Q331" i="24"/>
  <c r="P331" i="24"/>
  <c r="O331" i="24"/>
  <c r="R286" i="24"/>
  <c r="Q286" i="24"/>
  <c r="P286" i="24"/>
  <c r="O286" i="24"/>
  <c r="R252" i="24"/>
  <c r="Q252" i="24"/>
  <c r="P252" i="24"/>
  <c r="O252" i="24"/>
  <c r="R242" i="24"/>
  <c r="Q242" i="24"/>
  <c r="P242" i="24"/>
  <c r="O242" i="24"/>
  <c r="R214" i="24"/>
  <c r="Q214" i="24"/>
  <c r="P214" i="24"/>
  <c r="O214" i="24"/>
  <c r="R159" i="24"/>
  <c r="Q159" i="24"/>
  <c r="P159" i="24"/>
  <c r="O159" i="24"/>
  <c r="R141" i="24"/>
  <c r="Q141" i="24"/>
  <c r="P141" i="24"/>
  <c r="O141" i="24"/>
  <c r="R126" i="24"/>
  <c r="Q126" i="24"/>
  <c r="P126" i="24"/>
  <c r="O126" i="24"/>
  <c r="R33" i="24"/>
  <c r="Q33" i="24"/>
  <c r="P33" i="24"/>
  <c r="O33" i="24"/>
  <c r="R10" i="24"/>
  <c r="Q10" i="24"/>
  <c r="P10" i="24"/>
  <c r="O10" i="24"/>
  <c r="R656" i="24"/>
  <c r="Q656" i="24"/>
  <c r="P656" i="24"/>
  <c r="O656" i="24"/>
  <c r="R452" i="24"/>
  <c r="Q452" i="24"/>
  <c r="P452" i="24"/>
  <c r="O452" i="24"/>
  <c r="R378" i="24"/>
  <c r="Q378" i="24"/>
  <c r="P378" i="24"/>
  <c r="O378" i="24"/>
  <c r="R334" i="24"/>
  <c r="Q334" i="24"/>
  <c r="P334" i="24"/>
  <c r="O334" i="24"/>
  <c r="R327" i="24"/>
  <c r="Q327" i="24"/>
  <c r="P327" i="24"/>
  <c r="O327" i="24"/>
  <c r="R177" i="24"/>
  <c r="Q177" i="24"/>
  <c r="P177" i="24"/>
  <c r="O177" i="24"/>
  <c r="R166" i="24"/>
  <c r="Q166" i="24"/>
  <c r="P166" i="24"/>
  <c r="O166" i="24"/>
  <c r="R55" i="24"/>
  <c r="Q55" i="24"/>
  <c r="P55" i="24"/>
  <c r="O55" i="24"/>
  <c r="R673" i="24"/>
  <c r="Q673" i="24"/>
  <c r="P673" i="24"/>
  <c r="O673" i="24"/>
  <c r="R670" i="24"/>
  <c r="Q670" i="24"/>
  <c r="P670" i="24"/>
  <c r="O670" i="24"/>
  <c r="R659" i="24"/>
  <c r="Q659" i="24"/>
  <c r="P659" i="24"/>
  <c r="O659" i="24"/>
  <c r="R650" i="24"/>
  <c r="Q650" i="24"/>
  <c r="P650" i="24"/>
  <c r="O650" i="24"/>
  <c r="R649" i="24"/>
  <c r="Q649" i="24"/>
  <c r="P649" i="24"/>
  <c r="O649" i="24"/>
  <c r="R627" i="24"/>
  <c r="Q627" i="24"/>
  <c r="P627" i="24"/>
  <c r="O627" i="24"/>
  <c r="R611" i="24"/>
  <c r="Q611" i="24"/>
  <c r="P611" i="24"/>
  <c r="O611" i="24"/>
  <c r="R595" i="24"/>
  <c r="Q595" i="24"/>
  <c r="P595" i="24"/>
  <c r="O595" i="24"/>
  <c r="R591" i="24"/>
  <c r="Q591" i="24"/>
  <c r="P591" i="24"/>
  <c r="O591" i="24"/>
  <c r="R586" i="24"/>
  <c r="Q586" i="24"/>
  <c r="P586" i="24"/>
  <c r="O586" i="24"/>
  <c r="R583" i="24"/>
  <c r="Q583" i="24"/>
  <c r="P583" i="24"/>
  <c r="O583" i="24"/>
  <c r="R575" i="24"/>
  <c r="Q575" i="24"/>
  <c r="P575" i="24"/>
  <c r="O575" i="24"/>
  <c r="R573" i="24"/>
  <c r="Q573" i="24"/>
  <c r="P573" i="24"/>
  <c r="O573" i="24"/>
  <c r="R557" i="24"/>
  <c r="Q557" i="24"/>
  <c r="P557" i="24"/>
  <c r="O557" i="24"/>
  <c r="R520" i="24"/>
  <c r="Q520" i="24"/>
  <c r="P520" i="24"/>
  <c r="O520" i="24"/>
  <c r="R515" i="24"/>
  <c r="Q515" i="24"/>
  <c r="P515" i="24"/>
  <c r="O515" i="24"/>
  <c r="R505" i="24"/>
  <c r="Q505" i="24"/>
  <c r="P505" i="24"/>
  <c r="O505" i="24"/>
  <c r="R491" i="24"/>
  <c r="Q491" i="24"/>
  <c r="P491" i="24"/>
  <c r="O491" i="24"/>
  <c r="R489" i="24"/>
  <c r="Q489" i="24"/>
  <c r="P489" i="24"/>
  <c r="O489" i="24"/>
  <c r="R480" i="24"/>
  <c r="Q480" i="24"/>
  <c r="P480" i="24"/>
  <c r="O480" i="24"/>
  <c r="R479" i="24"/>
  <c r="Q479" i="24"/>
  <c r="P479" i="24"/>
  <c r="O479" i="24"/>
  <c r="R478" i="24"/>
  <c r="Q478" i="24"/>
  <c r="P478" i="24"/>
  <c r="O478" i="24"/>
  <c r="R457" i="24"/>
  <c r="Q457" i="24"/>
  <c r="P457" i="24"/>
  <c r="O457" i="24"/>
  <c r="R446" i="24"/>
  <c r="Q446" i="24"/>
  <c r="P446" i="24"/>
  <c r="O446" i="24"/>
  <c r="R442" i="24"/>
  <c r="Q442" i="24"/>
  <c r="P442" i="24"/>
  <c r="O442" i="24"/>
  <c r="R424" i="24"/>
  <c r="Q424" i="24"/>
  <c r="P424" i="24"/>
  <c r="O424" i="24"/>
  <c r="R421" i="24"/>
  <c r="Q421" i="24"/>
  <c r="P421" i="24"/>
  <c r="O421" i="24"/>
  <c r="R420" i="24"/>
  <c r="Q420" i="24"/>
  <c r="P420" i="24"/>
  <c r="O420" i="24"/>
  <c r="R407" i="24"/>
  <c r="Q407" i="24"/>
  <c r="P407" i="24"/>
  <c r="O407" i="24"/>
  <c r="R404" i="24"/>
  <c r="Q404" i="24"/>
  <c r="P404" i="24"/>
  <c r="O404" i="24"/>
  <c r="R402" i="24"/>
  <c r="Q402" i="24"/>
  <c r="P402" i="24"/>
  <c r="O402" i="24"/>
  <c r="R396" i="24"/>
  <c r="Q396" i="24"/>
  <c r="P396" i="24"/>
  <c r="O396" i="24"/>
  <c r="R384" i="24"/>
  <c r="Q384" i="24"/>
  <c r="P384" i="24"/>
  <c r="O384" i="24"/>
  <c r="R383" i="24"/>
  <c r="Q383" i="24"/>
  <c r="P383" i="24"/>
  <c r="O383" i="24"/>
  <c r="R375" i="24"/>
  <c r="Q375" i="24"/>
  <c r="P375" i="24"/>
  <c r="O375" i="24"/>
  <c r="R374" i="24"/>
  <c r="Q374" i="24"/>
  <c r="P374" i="24"/>
  <c r="O374" i="24"/>
  <c r="R365" i="24"/>
  <c r="Q365" i="24"/>
  <c r="P365" i="24"/>
  <c r="O365" i="24"/>
  <c r="R361" i="24"/>
  <c r="Q361" i="24"/>
  <c r="P361" i="24"/>
  <c r="O361" i="24"/>
  <c r="R355" i="24"/>
  <c r="Q355" i="24"/>
  <c r="P355" i="24"/>
  <c r="O355" i="24"/>
  <c r="R345" i="24"/>
  <c r="Q345" i="24"/>
  <c r="P345" i="24"/>
  <c r="O345" i="24"/>
  <c r="R340" i="24"/>
  <c r="Q340" i="24"/>
  <c r="P340" i="24"/>
  <c r="O340" i="24"/>
  <c r="R336" i="24"/>
  <c r="Q336" i="24"/>
  <c r="P336" i="24"/>
  <c r="O336" i="24"/>
  <c r="R335" i="24"/>
  <c r="Q335" i="24"/>
  <c r="P335" i="24"/>
  <c r="O335" i="24"/>
  <c r="R329" i="24"/>
  <c r="Q329" i="24"/>
  <c r="P329" i="24"/>
  <c r="O329" i="24"/>
  <c r="R292" i="24"/>
  <c r="Q292" i="24"/>
  <c r="P292" i="24"/>
  <c r="O292" i="24"/>
  <c r="R264" i="24"/>
  <c r="Q264" i="24"/>
  <c r="P264" i="24"/>
  <c r="O264" i="24"/>
  <c r="R262" i="24"/>
  <c r="Q262" i="24"/>
  <c r="P262" i="24"/>
  <c r="O262" i="24"/>
  <c r="R254" i="24"/>
  <c r="Q254" i="24"/>
  <c r="P254" i="24"/>
  <c r="O254" i="24"/>
  <c r="R246" i="24"/>
  <c r="Q246" i="24"/>
  <c r="P246" i="24"/>
  <c r="O246" i="24"/>
  <c r="R245" i="24"/>
  <c r="Q245" i="24"/>
  <c r="P245" i="24"/>
  <c r="O245" i="24"/>
  <c r="R239" i="24"/>
  <c r="Q239" i="24"/>
  <c r="P239" i="24"/>
  <c r="O239" i="24"/>
  <c r="R236" i="24"/>
  <c r="Q236" i="24"/>
  <c r="P236" i="24"/>
  <c r="O236" i="24"/>
  <c r="R221" i="24"/>
  <c r="Q221" i="24"/>
  <c r="P221" i="24"/>
  <c r="O221" i="24"/>
  <c r="R204" i="24"/>
  <c r="Q204" i="24"/>
  <c r="P204" i="24"/>
  <c r="O204" i="24"/>
  <c r="R198" i="24"/>
  <c r="Q198" i="24"/>
  <c r="P198" i="24"/>
  <c r="O198" i="24"/>
  <c r="R186" i="24"/>
  <c r="Q186" i="24"/>
  <c r="P186" i="24"/>
  <c r="O186" i="24"/>
  <c r="R185" i="24"/>
  <c r="Q185" i="24"/>
  <c r="P185" i="24"/>
  <c r="O185" i="24"/>
  <c r="R181" i="24"/>
  <c r="Q181" i="24"/>
  <c r="P181" i="24"/>
  <c r="O181" i="24"/>
  <c r="R178" i="24"/>
  <c r="Q178" i="24"/>
  <c r="P178" i="24"/>
  <c r="O178" i="24"/>
  <c r="R172" i="24"/>
  <c r="Q172" i="24"/>
  <c r="P172" i="24"/>
  <c r="O172" i="24"/>
  <c r="R167" i="24"/>
  <c r="Q167" i="24"/>
  <c r="P167" i="24"/>
  <c r="O167" i="24"/>
  <c r="R152" i="24"/>
  <c r="Q152" i="24"/>
  <c r="P152" i="24"/>
  <c r="O152" i="24"/>
  <c r="R150" i="24"/>
  <c r="Q150" i="24"/>
  <c r="P150" i="24"/>
  <c r="O150" i="24"/>
  <c r="R147" i="24"/>
  <c r="Q147" i="24"/>
  <c r="P147" i="24"/>
  <c r="O147" i="24"/>
  <c r="R145" i="24"/>
  <c r="Q145" i="24"/>
  <c r="P145" i="24"/>
  <c r="O145" i="24"/>
  <c r="R142" i="24"/>
  <c r="Q142" i="24"/>
  <c r="P142" i="24"/>
  <c r="O142" i="24"/>
  <c r="R140" i="24"/>
  <c r="Q140" i="24"/>
  <c r="P140" i="24"/>
  <c r="O140" i="24"/>
  <c r="R137" i="24"/>
  <c r="Q137" i="24"/>
  <c r="P137" i="24"/>
  <c r="O137" i="24"/>
  <c r="R133" i="24"/>
  <c r="Q133" i="24"/>
  <c r="P133" i="24"/>
  <c r="O133" i="24"/>
  <c r="R131" i="24"/>
  <c r="Q131" i="24"/>
  <c r="P131" i="24"/>
  <c r="O131" i="24"/>
  <c r="R100" i="24"/>
  <c r="Q100" i="24"/>
  <c r="P100" i="24"/>
  <c r="O100" i="24"/>
  <c r="R92" i="24"/>
  <c r="Q92" i="24"/>
  <c r="P92" i="24"/>
  <c r="O92" i="24"/>
  <c r="R88" i="24"/>
  <c r="Q88" i="24"/>
  <c r="P88" i="24"/>
  <c r="O88" i="24"/>
  <c r="R85" i="24"/>
  <c r="Q85" i="24"/>
  <c r="P85" i="24"/>
  <c r="O85" i="24"/>
  <c r="R79" i="24"/>
  <c r="Q79" i="24"/>
  <c r="P79" i="24"/>
  <c r="O79" i="24"/>
  <c r="R78" i="24"/>
  <c r="Q78" i="24"/>
  <c r="P78" i="24"/>
  <c r="O78" i="24"/>
  <c r="R75" i="24"/>
  <c r="Q75" i="24"/>
  <c r="P75" i="24"/>
  <c r="O75" i="24"/>
  <c r="R73" i="24"/>
  <c r="Q73" i="24"/>
  <c r="P73" i="24"/>
  <c r="O73" i="24"/>
  <c r="R48" i="24"/>
  <c r="Q48" i="24"/>
  <c r="P48" i="24"/>
  <c r="O48" i="24"/>
  <c r="R40" i="24"/>
  <c r="Q40" i="24"/>
  <c r="P40" i="24"/>
  <c r="O40" i="24"/>
  <c r="R36" i="24"/>
  <c r="Q36" i="24"/>
  <c r="P36" i="24"/>
  <c r="O36" i="24"/>
  <c r="R35" i="24"/>
  <c r="Q35" i="24"/>
  <c r="P35" i="24"/>
  <c r="O35" i="24"/>
  <c r="R34" i="24"/>
  <c r="Q34" i="24"/>
  <c r="P34" i="24"/>
  <c r="O34" i="24"/>
  <c r="R21" i="24"/>
  <c r="Q21" i="24"/>
  <c r="P21" i="24"/>
  <c r="O21" i="24"/>
  <c r="R17" i="24"/>
  <c r="Q17" i="24"/>
  <c r="P17" i="24"/>
  <c r="O17" i="24"/>
  <c r="R9" i="24"/>
  <c r="Q9" i="24"/>
  <c r="P9" i="24"/>
  <c r="O9" i="24"/>
  <c r="R691" i="24"/>
  <c r="Q691" i="24"/>
  <c r="P691" i="24"/>
  <c r="O691" i="24"/>
  <c r="R690" i="24"/>
  <c r="Q690" i="24"/>
  <c r="P690" i="24"/>
  <c r="O690" i="24"/>
  <c r="R688" i="24"/>
  <c r="Q688" i="24"/>
  <c r="P688" i="24"/>
  <c r="O688" i="24"/>
  <c r="R686" i="24"/>
  <c r="Q686" i="24"/>
  <c r="P686" i="24"/>
  <c r="O686" i="24"/>
  <c r="R685" i="24"/>
  <c r="Q685" i="24"/>
  <c r="P685" i="24"/>
  <c r="O685" i="24"/>
  <c r="R680" i="24"/>
  <c r="Q680" i="24"/>
  <c r="P680" i="24"/>
  <c r="O680" i="24"/>
  <c r="R658" i="24"/>
  <c r="Q658" i="24"/>
  <c r="P658" i="24"/>
  <c r="O658" i="24"/>
  <c r="R632" i="24"/>
  <c r="Q632" i="24"/>
  <c r="P632" i="24"/>
  <c r="O632" i="24"/>
  <c r="R631" i="24"/>
  <c r="Q631" i="24"/>
  <c r="P631" i="24"/>
  <c r="O631" i="24"/>
  <c r="R625" i="24"/>
  <c r="Q625" i="24"/>
  <c r="P625" i="24"/>
  <c r="O625" i="24"/>
  <c r="R623" i="24"/>
  <c r="Q623" i="24"/>
  <c r="P623" i="24"/>
  <c r="O623" i="24"/>
  <c r="R620" i="24"/>
  <c r="Q620" i="24"/>
  <c r="P620" i="24"/>
  <c r="O620" i="24"/>
  <c r="R615" i="24"/>
  <c r="Q615" i="24"/>
  <c r="P615" i="24"/>
  <c r="O615" i="24"/>
  <c r="R614" i="24"/>
  <c r="Q614" i="24"/>
  <c r="P614" i="24"/>
  <c r="O614" i="24"/>
  <c r="R603" i="24"/>
  <c r="Q603" i="24"/>
  <c r="P603" i="24"/>
  <c r="O603" i="24"/>
  <c r="R585" i="24"/>
  <c r="Q585" i="24"/>
  <c r="P585" i="24"/>
  <c r="O585" i="24"/>
  <c r="R584" i="24"/>
  <c r="Q584" i="24"/>
  <c r="P584" i="24"/>
  <c r="O584" i="24"/>
  <c r="R580" i="24"/>
  <c r="Q580" i="24"/>
  <c r="P580" i="24"/>
  <c r="O580" i="24"/>
  <c r="R567" i="24"/>
  <c r="Q567" i="24"/>
  <c r="P567" i="24"/>
  <c r="O567" i="24"/>
  <c r="R548" i="24"/>
  <c r="Q548" i="24"/>
  <c r="P548" i="24"/>
  <c r="O548" i="24"/>
  <c r="R547" i="24"/>
  <c r="Q547" i="24"/>
  <c r="P547" i="24"/>
  <c r="O547" i="24"/>
  <c r="R545" i="24"/>
  <c r="Q545" i="24"/>
  <c r="P545" i="24"/>
  <c r="O545" i="24"/>
  <c r="R544" i="24"/>
  <c r="Q544" i="24"/>
  <c r="P544" i="24"/>
  <c r="O544" i="24"/>
  <c r="R540" i="24"/>
  <c r="Q540" i="24"/>
  <c r="P540" i="24"/>
  <c r="O540" i="24"/>
  <c r="R490" i="24"/>
  <c r="Q490" i="24"/>
  <c r="P490" i="24"/>
  <c r="O490" i="24"/>
  <c r="R487" i="24"/>
  <c r="Q487" i="24"/>
  <c r="P487" i="24"/>
  <c r="O487" i="24"/>
  <c r="R467" i="24"/>
  <c r="Q467" i="24"/>
  <c r="P467" i="24"/>
  <c r="O467" i="24"/>
  <c r="R456" i="24"/>
  <c r="Q456" i="24"/>
  <c r="P456" i="24"/>
  <c r="O456" i="24"/>
  <c r="R453" i="24"/>
  <c r="Q453" i="24"/>
  <c r="P453" i="24"/>
  <c r="O453" i="24"/>
  <c r="R451" i="24"/>
  <c r="Q451" i="24"/>
  <c r="P451" i="24"/>
  <c r="O451" i="24"/>
  <c r="R436" i="24"/>
  <c r="Q436" i="24"/>
  <c r="P436" i="24"/>
  <c r="O436" i="24"/>
  <c r="R398" i="24"/>
  <c r="Q398" i="24"/>
  <c r="P398" i="24"/>
  <c r="O398" i="24"/>
  <c r="R379" i="24"/>
  <c r="Q379" i="24"/>
  <c r="P379" i="24"/>
  <c r="O379" i="24"/>
  <c r="R362" i="24"/>
  <c r="Q362" i="24"/>
  <c r="P362" i="24"/>
  <c r="O362" i="24"/>
  <c r="R360" i="24"/>
  <c r="Q360" i="24"/>
  <c r="P360" i="24"/>
  <c r="O360" i="24"/>
  <c r="R291" i="24"/>
  <c r="Q291" i="24"/>
  <c r="P291" i="24"/>
  <c r="O291" i="24"/>
  <c r="R283" i="24"/>
  <c r="Q283" i="24"/>
  <c r="P283" i="24"/>
  <c r="O283" i="24"/>
  <c r="R274" i="24"/>
  <c r="Q274" i="24"/>
  <c r="P274" i="24"/>
  <c r="O274" i="24"/>
  <c r="R212" i="24"/>
  <c r="Q212" i="24"/>
  <c r="P212" i="24"/>
  <c r="O212" i="24"/>
  <c r="R190" i="24"/>
  <c r="Q190" i="24"/>
  <c r="P190" i="24"/>
  <c r="O190" i="24"/>
  <c r="R168" i="24"/>
  <c r="Q168" i="24"/>
  <c r="P168" i="24"/>
  <c r="O168" i="24"/>
  <c r="R163" i="24"/>
  <c r="Q163" i="24"/>
  <c r="P163" i="24"/>
  <c r="O163" i="24"/>
  <c r="R149" i="24"/>
  <c r="Q149" i="24"/>
  <c r="P149" i="24"/>
  <c r="O149" i="24"/>
  <c r="R70" i="24"/>
  <c r="Q70" i="24"/>
  <c r="P70" i="24"/>
  <c r="O70" i="24"/>
  <c r="R46" i="24"/>
  <c r="Q46" i="24"/>
  <c r="P46" i="24"/>
  <c r="O46" i="24"/>
  <c r="R15" i="24"/>
  <c r="Q15" i="24"/>
  <c r="P15" i="24"/>
  <c r="O15" i="24"/>
  <c r="R14" i="24"/>
  <c r="Q14" i="24"/>
  <c r="P14" i="24"/>
  <c r="O14" i="24"/>
  <c r="R422" i="24"/>
  <c r="Q422" i="24"/>
  <c r="P422" i="24"/>
  <c r="O422" i="24"/>
  <c r="R272" i="24"/>
  <c r="Q272" i="24"/>
  <c r="P272" i="24"/>
  <c r="O272" i="24"/>
  <c r="R445" i="24"/>
  <c r="Q445" i="24"/>
  <c r="P445" i="24"/>
  <c r="O445" i="24"/>
  <c r="R267" i="24"/>
  <c r="Q267" i="24"/>
  <c r="P267" i="24"/>
  <c r="O267" i="24"/>
  <c r="R258" i="24"/>
  <c r="Q258" i="24"/>
  <c r="P258" i="24"/>
  <c r="O258" i="24"/>
  <c r="R225" i="24"/>
  <c r="Q225" i="24"/>
  <c r="P225" i="24"/>
  <c r="O225" i="24"/>
  <c r="R83" i="24"/>
  <c r="Q83" i="24"/>
  <c r="P83" i="24"/>
  <c r="O83" i="24"/>
  <c r="R597" i="24"/>
  <c r="Q597" i="24"/>
  <c r="P597" i="24"/>
  <c r="O597" i="24"/>
  <c r="R536" i="24"/>
  <c r="Q536" i="24"/>
  <c r="P536" i="24"/>
  <c r="O536" i="24"/>
  <c r="R57" i="24"/>
  <c r="Q57" i="24"/>
  <c r="P57" i="24"/>
  <c r="O57" i="24"/>
  <c r="R655" i="24"/>
  <c r="Q655" i="24"/>
  <c r="P655" i="24"/>
  <c r="O655" i="24"/>
  <c r="R589" i="24"/>
  <c r="Q589" i="24"/>
  <c r="P589" i="24"/>
  <c r="O589" i="24"/>
  <c r="R566" i="24"/>
  <c r="Q566" i="24"/>
  <c r="P566" i="24"/>
  <c r="O566" i="24"/>
  <c r="R558" i="24"/>
  <c r="Q558" i="24"/>
  <c r="P558" i="24"/>
  <c r="O558" i="24"/>
  <c r="R448" i="24"/>
  <c r="Q448" i="24"/>
  <c r="P448" i="24"/>
  <c r="O448" i="24"/>
  <c r="R423" i="24"/>
  <c r="Q423" i="24"/>
  <c r="P423" i="24"/>
  <c r="O423" i="24"/>
  <c r="R410" i="24"/>
  <c r="Q410" i="24"/>
  <c r="P410" i="24"/>
  <c r="O410" i="24"/>
  <c r="R395" i="24"/>
  <c r="Q395" i="24"/>
  <c r="P395" i="24"/>
  <c r="O395" i="24"/>
  <c r="R376" i="24"/>
  <c r="Q376" i="24"/>
  <c r="P376" i="24"/>
  <c r="O376" i="24"/>
  <c r="R372" i="24"/>
  <c r="Q372" i="24"/>
  <c r="P372" i="24"/>
  <c r="O372" i="24"/>
  <c r="R349" i="24"/>
  <c r="Q349" i="24"/>
  <c r="P349" i="24"/>
  <c r="O349" i="24"/>
  <c r="R324" i="24"/>
  <c r="Q324" i="24"/>
  <c r="P324" i="24"/>
  <c r="O324" i="24"/>
  <c r="R306" i="24"/>
  <c r="Q306" i="24"/>
  <c r="P306" i="24"/>
  <c r="O306" i="24"/>
  <c r="R301" i="24"/>
  <c r="Q301" i="24"/>
  <c r="P301" i="24"/>
  <c r="O301" i="24"/>
  <c r="R297" i="24"/>
  <c r="Q297" i="24"/>
  <c r="P297" i="24"/>
  <c r="O297" i="24"/>
  <c r="R278" i="24"/>
  <c r="Q278" i="24"/>
  <c r="P278" i="24"/>
  <c r="O278" i="24"/>
  <c r="R266" i="24"/>
  <c r="Q266" i="24"/>
  <c r="P266" i="24"/>
  <c r="O266" i="24"/>
  <c r="R261" i="24"/>
  <c r="Q261" i="24"/>
  <c r="P261" i="24"/>
  <c r="O261" i="24"/>
  <c r="R222" i="24"/>
  <c r="Q222" i="24"/>
  <c r="P222" i="24"/>
  <c r="O222" i="24"/>
  <c r="R151" i="24"/>
  <c r="Q151" i="24"/>
  <c r="P151" i="24"/>
  <c r="O151" i="24"/>
  <c r="R76" i="24"/>
  <c r="Q76" i="24"/>
  <c r="P76" i="24"/>
  <c r="O76" i="24"/>
  <c r="R61" i="24"/>
  <c r="Q61" i="24"/>
  <c r="P61" i="24"/>
  <c r="O61" i="24"/>
  <c r="R59" i="24"/>
  <c r="Q59" i="24"/>
  <c r="P59" i="24"/>
  <c r="O59" i="24"/>
  <c r="R58" i="24"/>
  <c r="Q58" i="24"/>
  <c r="P58" i="24"/>
  <c r="O58" i="24"/>
  <c r="R399" i="24"/>
  <c r="Q399" i="24"/>
  <c r="P399" i="24"/>
  <c r="O399" i="24"/>
  <c r="R341" i="24"/>
  <c r="Q341" i="24"/>
  <c r="P341" i="24"/>
  <c r="O341" i="24"/>
  <c r="R143" i="24"/>
  <c r="Q143" i="24"/>
  <c r="P143" i="24"/>
  <c r="O143" i="24"/>
  <c r="R210" i="24"/>
  <c r="Q210" i="24"/>
  <c r="P210" i="24"/>
  <c r="O210" i="24"/>
  <c r="R405" i="24"/>
  <c r="Q405" i="24"/>
  <c r="P405" i="24"/>
  <c r="O405" i="24"/>
  <c r="R370" i="24"/>
  <c r="Q370" i="24"/>
  <c r="P370" i="24"/>
  <c r="O370" i="24"/>
  <c r="R169" i="24"/>
  <c r="Q169" i="24"/>
  <c r="P169" i="24"/>
  <c r="O169" i="24"/>
  <c r="R16" i="24"/>
  <c r="Q16" i="24"/>
  <c r="P16" i="24"/>
  <c r="O16" i="24"/>
  <c r="R604" i="24"/>
  <c r="Q604" i="24"/>
  <c r="P604" i="24"/>
  <c r="O604" i="24"/>
  <c r="R53" i="24"/>
  <c r="Q53" i="24"/>
  <c r="P53" i="24"/>
  <c r="O53" i="24"/>
  <c r="R406" i="24"/>
  <c r="Q406" i="24"/>
  <c r="P406" i="24"/>
  <c r="O406" i="24"/>
  <c r="R700" i="24"/>
  <c r="Q700" i="24"/>
  <c r="P700" i="24"/>
  <c r="O700" i="24"/>
  <c r="R687" i="24"/>
  <c r="Q687" i="24"/>
  <c r="P687" i="24"/>
  <c r="O687" i="24"/>
  <c r="R669" i="24"/>
  <c r="Q669" i="24"/>
  <c r="P669" i="24"/>
  <c r="O669" i="24"/>
  <c r="R608" i="24"/>
  <c r="Q608" i="24"/>
  <c r="P608" i="24"/>
  <c r="O608" i="24"/>
  <c r="R569" i="24"/>
  <c r="Q569" i="24"/>
  <c r="P569" i="24"/>
  <c r="O569" i="24"/>
  <c r="R552" i="24"/>
  <c r="Q552" i="24"/>
  <c r="P552" i="24"/>
  <c r="O552" i="24"/>
  <c r="R541" i="24"/>
  <c r="Q541" i="24"/>
  <c r="P541" i="24"/>
  <c r="O541" i="24"/>
  <c r="R535" i="24"/>
  <c r="Q535" i="24"/>
  <c r="P535" i="24"/>
  <c r="O535" i="24"/>
  <c r="R517" i="24"/>
  <c r="Q517" i="24"/>
  <c r="P517" i="24"/>
  <c r="O517" i="24"/>
  <c r="R514" i="24"/>
  <c r="Q514" i="24"/>
  <c r="P514" i="24"/>
  <c r="O514" i="24"/>
  <c r="R481" i="24"/>
  <c r="Q481" i="24"/>
  <c r="P481" i="24"/>
  <c r="O481" i="24"/>
  <c r="R475" i="24"/>
  <c r="Q475" i="24"/>
  <c r="P475" i="24"/>
  <c r="O475" i="24"/>
  <c r="R469" i="24"/>
  <c r="Q469" i="24"/>
  <c r="P469" i="24"/>
  <c r="O469" i="24"/>
  <c r="R462" i="24"/>
  <c r="Q462" i="24"/>
  <c r="P462" i="24"/>
  <c r="O462" i="24"/>
  <c r="R459" i="24"/>
  <c r="Q459" i="24"/>
  <c r="P459" i="24"/>
  <c r="O459" i="24"/>
  <c r="R439" i="24"/>
  <c r="Q439" i="24"/>
  <c r="P439" i="24"/>
  <c r="O439" i="24"/>
  <c r="R438" i="24"/>
  <c r="Q438" i="24"/>
  <c r="P438" i="24"/>
  <c r="O438" i="24"/>
  <c r="R432" i="24"/>
  <c r="Q432" i="24"/>
  <c r="P432" i="24"/>
  <c r="O432" i="24"/>
  <c r="R429" i="24"/>
  <c r="Q429" i="24"/>
  <c r="P429" i="24"/>
  <c r="O429" i="24"/>
  <c r="R428" i="24"/>
  <c r="Q428" i="24"/>
  <c r="P428" i="24"/>
  <c r="O428" i="24"/>
  <c r="R417" i="24"/>
  <c r="Q417" i="24"/>
  <c r="P417" i="24"/>
  <c r="O417" i="24"/>
  <c r="R413" i="24"/>
  <c r="Q413" i="24"/>
  <c r="P413" i="24"/>
  <c r="O413" i="24"/>
  <c r="R397" i="24"/>
  <c r="Q397" i="24"/>
  <c r="P397" i="24"/>
  <c r="O397" i="24"/>
  <c r="R386" i="24"/>
  <c r="Q386" i="24"/>
  <c r="P386" i="24"/>
  <c r="O386" i="24"/>
  <c r="R368" i="24"/>
  <c r="Q368" i="24"/>
  <c r="P368" i="24"/>
  <c r="O368" i="24"/>
  <c r="R364" i="24"/>
  <c r="Q364" i="24"/>
  <c r="P364" i="24"/>
  <c r="O364" i="24"/>
  <c r="R359" i="24"/>
  <c r="Q359" i="24"/>
  <c r="P359" i="24"/>
  <c r="O359" i="24"/>
  <c r="R354" i="24"/>
  <c r="Q354" i="24"/>
  <c r="P354" i="24"/>
  <c r="O354" i="24"/>
  <c r="R352" i="24"/>
  <c r="Q352" i="24"/>
  <c r="P352" i="24"/>
  <c r="O352" i="24"/>
  <c r="R344" i="24"/>
  <c r="Q344" i="24"/>
  <c r="P344" i="24"/>
  <c r="O344" i="24"/>
  <c r="R343" i="24"/>
  <c r="Q343" i="24"/>
  <c r="P343" i="24"/>
  <c r="O343" i="24"/>
  <c r="R333" i="24"/>
  <c r="Q333" i="24"/>
  <c r="P333" i="24"/>
  <c r="O333" i="24"/>
  <c r="R326" i="24"/>
  <c r="Q326" i="24"/>
  <c r="P326" i="24"/>
  <c r="O326" i="24"/>
  <c r="R325" i="24"/>
  <c r="Q325" i="24"/>
  <c r="P325" i="24"/>
  <c r="O325" i="24"/>
  <c r="R321" i="24"/>
  <c r="Q321" i="24"/>
  <c r="P321" i="24"/>
  <c r="O321" i="24"/>
  <c r="R316" i="24"/>
  <c r="Q316" i="24"/>
  <c r="P316" i="24"/>
  <c r="O316" i="24"/>
  <c r="R315" i="24"/>
  <c r="Q315" i="24"/>
  <c r="P315" i="24"/>
  <c r="O315" i="24"/>
  <c r="R314" i="24"/>
  <c r="Q314" i="24"/>
  <c r="P314" i="24"/>
  <c r="O314" i="24"/>
  <c r="R304" i="24"/>
  <c r="Q304" i="24"/>
  <c r="P304" i="24"/>
  <c r="O304" i="24"/>
  <c r="R296" i="24"/>
  <c r="Q296" i="24"/>
  <c r="P296" i="24"/>
  <c r="O296" i="24"/>
  <c r="R295" i="24"/>
  <c r="Q295" i="24"/>
  <c r="P295" i="24"/>
  <c r="O295" i="24"/>
  <c r="R294" i="24"/>
  <c r="Q294" i="24"/>
  <c r="P294" i="24"/>
  <c r="O294" i="24"/>
  <c r="R293" i="24"/>
  <c r="Q293" i="24"/>
  <c r="P293" i="24"/>
  <c r="O293" i="24"/>
  <c r="R281" i="24"/>
  <c r="Q281" i="24"/>
  <c r="P281" i="24"/>
  <c r="O281" i="24"/>
  <c r="R279" i="24"/>
  <c r="Q279" i="24"/>
  <c r="P279" i="24"/>
  <c r="O279" i="24"/>
  <c r="R275" i="24"/>
  <c r="Q275" i="24"/>
  <c r="P275" i="24"/>
  <c r="O275" i="24"/>
  <c r="R271" i="24"/>
  <c r="Q271" i="24"/>
  <c r="P271" i="24"/>
  <c r="O271" i="24"/>
  <c r="R260" i="24"/>
  <c r="Q260" i="24"/>
  <c r="P260" i="24"/>
  <c r="O260" i="24"/>
  <c r="R251" i="24"/>
  <c r="Q251" i="24"/>
  <c r="P251" i="24"/>
  <c r="O251" i="24"/>
  <c r="R241" i="24"/>
  <c r="Q241" i="24"/>
  <c r="P241" i="24"/>
  <c r="O241" i="24"/>
  <c r="R203" i="24"/>
  <c r="Q203" i="24"/>
  <c r="P203" i="24"/>
  <c r="O203" i="24"/>
  <c r="R196" i="24"/>
  <c r="Q196" i="24"/>
  <c r="P196" i="24"/>
  <c r="O196" i="24"/>
  <c r="R179" i="24"/>
  <c r="Q179" i="24"/>
  <c r="P179" i="24"/>
  <c r="O179" i="24"/>
  <c r="R153" i="24"/>
  <c r="Q153" i="24"/>
  <c r="P153" i="24"/>
  <c r="O153" i="24"/>
  <c r="R148" i="24"/>
  <c r="Q148" i="24"/>
  <c r="P148" i="24"/>
  <c r="O148" i="24"/>
  <c r="R144" i="24"/>
  <c r="Q144" i="24"/>
  <c r="P144" i="24"/>
  <c r="O144" i="24"/>
  <c r="R138" i="24"/>
  <c r="Q138" i="24"/>
  <c r="P138" i="24"/>
  <c r="O138" i="24"/>
  <c r="R90" i="24"/>
  <c r="Q90" i="24"/>
  <c r="P90" i="24"/>
  <c r="O90" i="24"/>
  <c r="R89" i="24"/>
  <c r="Q89" i="24"/>
  <c r="P89" i="24"/>
  <c r="O89" i="24"/>
  <c r="R60" i="24"/>
  <c r="Q60" i="24"/>
  <c r="P60" i="24"/>
  <c r="O60" i="24"/>
  <c r="R41" i="24"/>
  <c r="Q41" i="24"/>
  <c r="P41" i="24"/>
  <c r="O41" i="24"/>
  <c r="R30" i="24"/>
  <c r="Q30" i="24"/>
  <c r="P30" i="24"/>
  <c r="O30" i="24"/>
  <c r="R4" i="24"/>
  <c r="Q4" i="24"/>
  <c r="P4" i="24"/>
  <c r="O4" i="24"/>
  <c r="R695" i="24"/>
  <c r="Q695" i="24"/>
  <c r="P695" i="24"/>
  <c r="O695" i="24"/>
  <c r="R679" i="24"/>
  <c r="Q679" i="24"/>
  <c r="P679" i="24"/>
  <c r="O679" i="24"/>
  <c r="R663" i="24"/>
  <c r="Q663" i="24"/>
  <c r="P663" i="24"/>
  <c r="O663" i="24"/>
  <c r="R662" i="24"/>
  <c r="Q662" i="24"/>
  <c r="P662" i="24"/>
  <c r="O662" i="24"/>
  <c r="R661" i="24"/>
  <c r="Q661" i="24"/>
  <c r="P661" i="24"/>
  <c r="O661" i="24"/>
  <c r="R660" i="24"/>
  <c r="Q660" i="24"/>
  <c r="P660" i="24"/>
  <c r="O660" i="24"/>
  <c r="R629" i="24"/>
  <c r="Q629" i="24"/>
  <c r="P629" i="24"/>
  <c r="O629" i="24"/>
  <c r="R616" i="24"/>
  <c r="Q616" i="24"/>
  <c r="P616" i="24"/>
  <c r="O616" i="24"/>
  <c r="R564" i="24"/>
  <c r="Q564" i="24"/>
  <c r="P564" i="24"/>
  <c r="O564" i="24"/>
  <c r="R473" i="24"/>
  <c r="Q473" i="24"/>
  <c r="P473" i="24"/>
  <c r="O473" i="24"/>
  <c r="R414" i="24"/>
  <c r="Q414" i="24"/>
  <c r="P414" i="24"/>
  <c r="O414" i="24"/>
  <c r="R363" i="24"/>
  <c r="Q363" i="24"/>
  <c r="P363" i="24"/>
  <c r="O363" i="24"/>
  <c r="R358" i="24"/>
  <c r="Q358" i="24"/>
  <c r="P358" i="24"/>
  <c r="O358" i="24"/>
  <c r="R347" i="24"/>
  <c r="Q347" i="24"/>
  <c r="P347" i="24"/>
  <c r="O347" i="24"/>
  <c r="R342" i="24"/>
  <c r="Q342" i="24"/>
  <c r="P342" i="24"/>
  <c r="O342" i="24"/>
  <c r="R317" i="24"/>
  <c r="Q317" i="24"/>
  <c r="P317" i="24"/>
  <c r="O317" i="24"/>
  <c r="R303" i="24"/>
  <c r="Q303" i="24"/>
  <c r="P303" i="24"/>
  <c r="O303" i="24"/>
  <c r="R257" i="24"/>
  <c r="Q257" i="24"/>
  <c r="P257" i="24"/>
  <c r="O257" i="24"/>
  <c r="R235" i="24"/>
  <c r="Q235" i="24"/>
  <c r="P235" i="24"/>
  <c r="O235" i="24"/>
  <c r="R211" i="24"/>
  <c r="Q211" i="24"/>
  <c r="P211" i="24"/>
  <c r="O211" i="24"/>
  <c r="R161" i="24"/>
  <c r="Q161" i="24"/>
  <c r="P161" i="24"/>
  <c r="O161" i="24"/>
  <c r="R139" i="24"/>
  <c r="Q139" i="24"/>
  <c r="P139" i="24"/>
  <c r="O139" i="24"/>
  <c r="R135" i="24"/>
  <c r="Q135" i="24"/>
  <c r="P135" i="24"/>
  <c r="O135" i="24"/>
  <c r="R102" i="24"/>
  <c r="Q102" i="24"/>
  <c r="P102" i="24"/>
  <c r="O102" i="24"/>
  <c r="R94" i="24"/>
  <c r="Q94" i="24"/>
  <c r="P94" i="24"/>
  <c r="O94" i="24"/>
  <c r="R86" i="24"/>
  <c r="Q86" i="24"/>
  <c r="P86" i="24"/>
  <c r="O86" i="24"/>
  <c r="R52" i="24"/>
  <c r="Q52" i="24"/>
  <c r="P52" i="24"/>
  <c r="O52" i="24"/>
  <c r="R50" i="24"/>
  <c r="Q50" i="24"/>
  <c r="P50" i="24"/>
  <c r="O50" i="24"/>
  <c r="R13" i="24"/>
  <c r="Q13" i="24"/>
  <c r="P13" i="24"/>
  <c r="O13" i="24"/>
  <c r="R527" i="24"/>
  <c r="Q527" i="24"/>
  <c r="P527" i="24"/>
  <c r="O527" i="24"/>
  <c r="R483" i="24"/>
  <c r="Q483" i="24"/>
  <c r="P483" i="24"/>
  <c r="O483" i="24"/>
  <c r="R182" i="24"/>
  <c r="Q182" i="24"/>
  <c r="P182" i="24"/>
  <c r="O182" i="24"/>
  <c r="R230" i="24"/>
  <c r="Q230" i="24"/>
  <c r="P230" i="24"/>
  <c r="O230" i="24"/>
  <c r="R54" i="24"/>
  <c r="Q54" i="24"/>
  <c r="P54" i="24"/>
  <c r="O54" i="24"/>
  <c r="R449" i="24"/>
  <c r="Q449" i="24"/>
  <c r="P449" i="24"/>
  <c r="O449" i="24"/>
  <c r="R377" i="24"/>
  <c r="Q377" i="24"/>
  <c r="P377" i="24"/>
  <c r="O377" i="24"/>
  <c r="R373" i="24"/>
  <c r="Q373" i="24"/>
  <c r="P373" i="24"/>
  <c r="O373" i="24"/>
  <c r="R250" i="24"/>
  <c r="Q250" i="24"/>
  <c r="P250" i="24"/>
  <c r="O250" i="24"/>
  <c r="R103" i="24"/>
  <c r="Q103" i="24"/>
  <c r="P103" i="24"/>
  <c r="O103" i="24"/>
  <c r="R69" i="24"/>
  <c r="Q69" i="24"/>
  <c r="P69" i="24"/>
  <c r="O69" i="24"/>
  <c r="R63" i="24"/>
  <c r="Q63" i="24"/>
  <c r="P63" i="24"/>
  <c r="O63" i="24"/>
  <c r="R460" i="24"/>
  <c r="Q460" i="24"/>
  <c r="P460" i="24"/>
  <c r="O460" i="24"/>
  <c r="R72" i="24"/>
  <c r="Q72" i="24"/>
  <c r="P72" i="24"/>
  <c r="O72" i="24"/>
  <c r="R401" i="24"/>
  <c r="Q401" i="24"/>
  <c r="P401" i="24"/>
  <c r="O401" i="24"/>
  <c r="R581" i="24"/>
  <c r="Q581" i="24"/>
  <c r="P581" i="24"/>
  <c r="O581" i="24"/>
  <c r="R524" i="24"/>
  <c r="Q524" i="24"/>
  <c r="P524" i="24"/>
  <c r="O524" i="24"/>
  <c r="R464" i="24"/>
  <c r="Q464" i="24"/>
  <c r="P464" i="24"/>
  <c r="O464" i="24"/>
  <c r="R277" i="24"/>
  <c r="Q277" i="24"/>
  <c r="P277" i="24"/>
  <c r="O277" i="24"/>
  <c r="R193" i="24"/>
  <c r="Q193" i="24"/>
  <c r="P193" i="24"/>
  <c r="O193" i="24"/>
  <c r="R560" i="24"/>
  <c r="Q560" i="24"/>
  <c r="P560" i="24"/>
  <c r="O560" i="24"/>
  <c r="R380" i="24"/>
  <c r="Q380" i="24"/>
  <c r="P380" i="24"/>
  <c r="O380" i="24"/>
  <c r="R273" i="24"/>
  <c r="Q273" i="24"/>
  <c r="P273" i="24"/>
  <c r="O273" i="24"/>
  <c r="R234" i="24"/>
  <c r="Q234" i="24"/>
  <c r="P234" i="24"/>
  <c r="O234" i="24"/>
  <c r="R248" i="24"/>
  <c r="Q248" i="24"/>
  <c r="P248" i="24"/>
  <c r="O248" i="24"/>
  <c r="R284" i="24"/>
  <c r="Q284" i="24"/>
  <c r="P284" i="24"/>
  <c r="O284" i="24"/>
  <c r="R528" i="24"/>
  <c r="Q528" i="24"/>
  <c r="P528" i="24"/>
  <c r="O528" i="24"/>
  <c r="R486" i="24"/>
  <c r="Q486" i="24"/>
  <c r="P486" i="24"/>
  <c r="O486" i="24"/>
  <c r="R466" i="24"/>
  <c r="Q466" i="24"/>
  <c r="P466" i="24"/>
  <c r="O466" i="24"/>
  <c r="R391" i="24"/>
  <c r="Q391" i="24"/>
  <c r="P391" i="24"/>
  <c r="O391" i="24"/>
  <c r="R269" i="24"/>
  <c r="Q269" i="24"/>
  <c r="P269" i="24"/>
  <c r="O269" i="24"/>
  <c r="R65" i="24"/>
  <c r="Q65" i="24"/>
  <c r="P65" i="24"/>
  <c r="O65" i="24"/>
  <c r="R408" i="24"/>
  <c r="Q408" i="24"/>
  <c r="P408" i="24"/>
  <c r="O408" i="24"/>
  <c r="R693" i="24"/>
  <c r="Q693" i="24"/>
  <c r="P693" i="24"/>
  <c r="O693" i="24"/>
  <c r="R253" i="24"/>
  <c r="Q253" i="24"/>
  <c r="P253" i="24"/>
  <c r="O253" i="24"/>
  <c r="R701" i="24"/>
  <c r="Q701" i="24"/>
  <c r="P701" i="24"/>
  <c r="O701" i="24"/>
  <c r="R664" i="24"/>
  <c r="Q664" i="24"/>
  <c r="P664" i="24"/>
  <c r="O664" i="24"/>
  <c r="R634" i="24"/>
  <c r="Q634" i="24"/>
  <c r="P634" i="24"/>
  <c r="O634" i="24"/>
  <c r="R538" i="24"/>
  <c r="Q538" i="24"/>
  <c r="P538" i="24"/>
  <c r="O538" i="24"/>
  <c r="R200" i="24"/>
  <c r="Q200" i="24"/>
  <c r="P200" i="24"/>
  <c r="O200" i="24"/>
  <c r="R95" i="24"/>
  <c r="Q95" i="24"/>
  <c r="P95" i="24"/>
  <c r="O95" i="24"/>
  <c r="R697" i="24"/>
  <c r="Q697" i="24"/>
  <c r="P697" i="24"/>
  <c r="O697" i="24"/>
  <c r="R667" i="24"/>
  <c r="Q667" i="24"/>
  <c r="P667" i="24"/>
  <c r="O667" i="24"/>
  <c r="R609" i="24"/>
  <c r="Q609" i="24"/>
  <c r="P609" i="24"/>
  <c r="O609" i="24"/>
  <c r="R529" i="24"/>
  <c r="Q529" i="24"/>
  <c r="P529" i="24"/>
  <c r="O529" i="24"/>
  <c r="R393" i="24"/>
  <c r="Q393" i="24"/>
  <c r="P393" i="24"/>
  <c r="O393" i="24"/>
  <c r="R231" i="24"/>
  <c r="Q231" i="24"/>
  <c r="P231" i="24"/>
  <c r="O231" i="24"/>
  <c r="R199" i="24"/>
  <c r="Q199" i="24"/>
  <c r="P199" i="24"/>
  <c r="O199" i="24"/>
  <c r="R180" i="24"/>
  <c r="Q180" i="24"/>
  <c r="P180" i="24"/>
  <c r="O180" i="24"/>
  <c r="R154" i="24"/>
  <c r="Q154" i="24"/>
  <c r="P154" i="24"/>
  <c r="O154" i="24"/>
  <c r="R104" i="24"/>
  <c r="Q104" i="24"/>
  <c r="P104" i="24"/>
  <c r="O104" i="24"/>
  <c r="R98" i="24"/>
  <c r="Q98" i="24"/>
  <c r="P98" i="24"/>
  <c r="O98" i="24"/>
  <c r="R74" i="24"/>
  <c r="Q74" i="24"/>
  <c r="P74" i="24"/>
  <c r="O74" i="24"/>
  <c r="R42" i="24"/>
  <c r="Q42" i="24"/>
  <c r="P42" i="24"/>
  <c r="O42" i="24"/>
  <c r="R683" i="24"/>
  <c r="Q683" i="24"/>
  <c r="P683" i="24"/>
  <c r="U683" i="24" s="1"/>
  <c r="O683" i="24"/>
  <c r="T683" i="24" s="1"/>
  <c r="R682" i="24"/>
  <c r="Q682" i="24"/>
  <c r="P682" i="24"/>
  <c r="U682" i="24" s="1"/>
  <c r="O682" i="24"/>
  <c r="T682" i="24" s="1"/>
  <c r="R677" i="24"/>
  <c r="Q677" i="24"/>
  <c r="P677" i="24"/>
  <c r="U677" i="24" s="1"/>
  <c r="O677" i="24"/>
  <c r="T677" i="24" s="1"/>
  <c r="R668" i="24"/>
  <c r="Q668" i="24"/>
  <c r="P668" i="24"/>
  <c r="U668" i="24" s="1"/>
  <c r="O668" i="24"/>
  <c r="T668" i="24" s="1"/>
  <c r="R666" i="24"/>
  <c r="Q666" i="24"/>
  <c r="P666" i="24"/>
  <c r="U666" i="24" s="1"/>
  <c r="O666" i="24"/>
  <c r="T666" i="24" s="1"/>
  <c r="R607" i="24"/>
  <c r="Q607" i="24"/>
  <c r="P607" i="24"/>
  <c r="U607" i="24" s="1"/>
  <c r="O607" i="24"/>
  <c r="T607" i="24" s="1"/>
  <c r="R563" i="24"/>
  <c r="Q563" i="24"/>
  <c r="P563" i="24"/>
  <c r="U563" i="24" s="1"/>
  <c r="O563" i="24"/>
  <c r="T563" i="24" s="1"/>
  <c r="R533" i="24"/>
  <c r="Q533" i="24"/>
  <c r="P533" i="24"/>
  <c r="U533" i="24" s="1"/>
  <c r="O533" i="24"/>
  <c r="T533" i="24" s="1"/>
  <c r="R504" i="24"/>
  <c r="Q504" i="24"/>
  <c r="P504" i="24"/>
  <c r="U504" i="24" s="1"/>
  <c r="O504" i="24"/>
  <c r="T504" i="24" s="1"/>
  <c r="R497" i="24"/>
  <c r="Q497" i="24"/>
  <c r="P497" i="24"/>
  <c r="U497" i="24" s="1"/>
  <c r="O497" i="24"/>
  <c r="T497" i="24" s="1"/>
  <c r="R496" i="24"/>
  <c r="Q496" i="24"/>
  <c r="P496" i="24"/>
  <c r="U496" i="24" s="1"/>
  <c r="O496" i="24"/>
  <c r="T496" i="24" s="1"/>
  <c r="R488" i="24"/>
  <c r="Q488" i="24"/>
  <c r="P488" i="24"/>
  <c r="U488" i="24" s="1"/>
  <c r="O488" i="24"/>
  <c r="T488" i="24" s="1"/>
  <c r="R392" i="24"/>
  <c r="Q392" i="24"/>
  <c r="P392" i="24"/>
  <c r="U392" i="24" s="1"/>
  <c r="O392" i="24"/>
  <c r="T392" i="24" s="1"/>
  <c r="R689" i="24"/>
  <c r="Q689" i="24"/>
  <c r="P689" i="24"/>
  <c r="U689" i="24" s="1"/>
  <c r="O689" i="24"/>
  <c r="T689" i="24" s="1"/>
  <c r="R596" i="24"/>
  <c r="Q596" i="24"/>
  <c r="P596" i="24"/>
  <c r="U596" i="24" s="1"/>
  <c r="O596" i="24"/>
  <c r="T596" i="24" s="1"/>
  <c r="R510" i="24"/>
  <c r="Q510" i="24"/>
  <c r="P510" i="24"/>
  <c r="U510" i="24" s="1"/>
  <c r="O510" i="24"/>
  <c r="T510" i="24" s="1"/>
  <c r="R494" i="24"/>
  <c r="Q494" i="24"/>
  <c r="P494" i="24"/>
  <c r="U494" i="24" s="1"/>
  <c r="O494" i="24"/>
  <c r="T494" i="24" s="1"/>
  <c r="R471" i="24"/>
  <c r="Q471" i="24"/>
  <c r="P471" i="24"/>
  <c r="U471" i="24" s="1"/>
  <c r="O471" i="24"/>
  <c r="T471" i="24" s="1"/>
  <c r="R444" i="24"/>
  <c r="Q444" i="24"/>
  <c r="P444" i="24"/>
  <c r="U444" i="24" s="1"/>
  <c r="O444" i="24"/>
  <c r="T444" i="24" s="1"/>
  <c r="R415" i="24"/>
  <c r="Q415" i="24"/>
  <c r="P415" i="24"/>
  <c r="U415" i="24" s="1"/>
  <c r="O415" i="24"/>
  <c r="T415" i="24" s="1"/>
  <c r="R409" i="24"/>
  <c r="Q409" i="24"/>
  <c r="P409" i="24"/>
  <c r="U409" i="24" s="1"/>
  <c r="O409" i="24"/>
  <c r="T409" i="24" s="1"/>
  <c r="R390" i="24"/>
  <c r="Q390" i="24"/>
  <c r="P390" i="24"/>
  <c r="U390" i="24" s="1"/>
  <c r="O390" i="24"/>
  <c r="T390" i="24" s="1"/>
  <c r="R309" i="24"/>
  <c r="Q309" i="24"/>
  <c r="P309" i="24"/>
  <c r="U309" i="24" s="1"/>
  <c r="O309" i="24"/>
  <c r="T309" i="24" s="1"/>
  <c r="R158" i="24"/>
  <c r="Q158" i="24"/>
  <c r="P158" i="24"/>
  <c r="U158" i="24" s="1"/>
  <c r="O158" i="24"/>
  <c r="T158" i="24" s="1"/>
  <c r="R675" i="24"/>
  <c r="Q675" i="24"/>
  <c r="P675" i="24"/>
  <c r="U675" i="24" s="1"/>
  <c r="O675" i="24"/>
  <c r="T675" i="24" s="1"/>
  <c r="R508" i="24"/>
  <c r="Q508" i="24"/>
  <c r="P508" i="24"/>
  <c r="U508" i="24" s="1"/>
  <c r="O508" i="24"/>
  <c r="T508" i="24" s="1"/>
  <c r="R357" i="24"/>
  <c r="Q357" i="24"/>
  <c r="P357" i="24"/>
  <c r="U357" i="24" s="1"/>
  <c r="O357" i="24"/>
  <c r="T357" i="24" s="1"/>
  <c r="R302" i="24"/>
  <c r="Q302" i="24"/>
  <c r="P302" i="24"/>
  <c r="U302" i="24" s="1"/>
  <c r="O302" i="24"/>
  <c r="T302" i="24" s="1"/>
  <c r="R202" i="24"/>
  <c r="Q202" i="24"/>
  <c r="P202" i="24"/>
  <c r="U202" i="24" s="1"/>
  <c r="O202" i="24"/>
  <c r="T202" i="24" s="1"/>
  <c r="R128" i="24"/>
  <c r="Q128" i="24"/>
  <c r="P128" i="24"/>
  <c r="U128" i="24" s="1"/>
  <c r="O128" i="24"/>
  <c r="T128" i="24" s="1"/>
  <c r="R93" i="24"/>
  <c r="Q93" i="24"/>
  <c r="P93" i="24"/>
  <c r="U93" i="24" s="1"/>
  <c r="O93" i="24"/>
  <c r="T93" i="24" s="1"/>
  <c r="R68" i="24"/>
  <c r="Q68" i="24"/>
  <c r="P68" i="24"/>
  <c r="U68" i="24" s="1"/>
  <c r="O68" i="24"/>
  <c r="T68" i="24" s="1"/>
  <c r="R47" i="24"/>
  <c r="Q47" i="24"/>
  <c r="P47" i="24"/>
  <c r="U47" i="24" s="1"/>
  <c r="O47" i="24"/>
  <c r="T47" i="24" s="1"/>
  <c r="R25" i="24"/>
  <c r="Q25" i="24"/>
  <c r="P25" i="24"/>
  <c r="U25" i="24" s="1"/>
  <c r="O25" i="24"/>
  <c r="T25" i="24" s="1"/>
  <c r="R628" i="24"/>
  <c r="Q628" i="24"/>
  <c r="P628" i="24"/>
  <c r="U628" i="24" s="1"/>
  <c r="O628" i="24"/>
  <c r="T628" i="24" s="1"/>
  <c r="R322" i="24"/>
  <c r="Q322" i="24"/>
  <c r="P322" i="24"/>
  <c r="U322" i="24" s="1"/>
  <c r="O322" i="24"/>
  <c r="T322" i="24" s="1"/>
  <c r="R645" i="24"/>
  <c r="Q645" i="24"/>
  <c r="P645" i="24"/>
  <c r="U645" i="24" s="1"/>
  <c r="O645" i="24"/>
  <c r="T645" i="24" s="1"/>
  <c r="R638" i="24"/>
  <c r="Q638" i="24"/>
  <c r="P638" i="24"/>
  <c r="U638" i="24" s="1"/>
  <c r="O638" i="24"/>
  <c r="T638" i="24" s="1"/>
  <c r="R513" i="24"/>
  <c r="Q513" i="24"/>
  <c r="P513" i="24"/>
  <c r="U513" i="24" s="1"/>
  <c r="O513" i="24"/>
  <c r="T513" i="24" s="1"/>
  <c r="R381" i="24"/>
  <c r="Q381" i="24"/>
  <c r="P381" i="24"/>
  <c r="U381" i="24" s="1"/>
  <c r="O381" i="24"/>
  <c r="T381" i="24" s="1"/>
  <c r="R366" i="24"/>
  <c r="Q366" i="24"/>
  <c r="P366" i="24"/>
  <c r="U366" i="24" s="1"/>
  <c r="O366" i="24"/>
  <c r="T366" i="24" s="1"/>
  <c r="R320" i="24"/>
  <c r="Q320" i="24"/>
  <c r="P320" i="24"/>
  <c r="U320" i="24" s="1"/>
  <c r="O320" i="24"/>
  <c r="T320" i="24" s="1"/>
  <c r="R175" i="24"/>
  <c r="Q175" i="24"/>
  <c r="P175" i="24"/>
  <c r="U175" i="24" s="1"/>
  <c r="O175" i="24"/>
  <c r="T175" i="24" s="1"/>
  <c r="R136" i="24"/>
  <c r="Q136" i="24"/>
  <c r="P136" i="24"/>
  <c r="U136" i="24" s="1"/>
  <c r="O136" i="24"/>
  <c r="T136" i="24" s="1"/>
  <c r="R132" i="24"/>
  <c r="Q132" i="24"/>
  <c r="P132" i="24"/>
  <c r="U132" i="24" s="1"/>
  <c r="O132" i="24"/>
  <c r="T132" i="24" s="1"/>
  <c r="R117" i="24"/>
  <c r="Q117" i="24"/>
  <c r="P117" i="24"/>
  <c r="U117" i="24" s="1"/>
  <c r="O117" i="24"/>
  <c r="T117" i="24" s="1"/>
  <c r="R116" i="24"/>
  <c r="Q116" i="24"/>
  <c r="P116" i="24"/>
  <c r="U116" i="24" s="1"/>
  <c r="O116" i="24"/>
  <c r="T116" i="24" s="1"/>
  <c r="R110" i="24"/>
  <c r="Q110" i="24"/>
  <c r="P110" i="24"/>
  <c r="U110" i="24" s="1"/>
  <c r="O110" i="24"/>
  <c r="T110" i="24" s="1"/>
  <c r="R49" i="24"/>
  <c r="Q49" i="24"/>
  <c r="P49" i="24"/>
  <c r="U49" i="24" s="1"/>
  <c r="O49" i="24"/>
  <c r="T49" i="24" s="1"/>
  <c r="R24" i="24"/>
  <c r="Q24" i="24"/>
  <c r="P24" i="24"/>
  <c r="U24" i="24" s="1"/>
  <c r="O24" i="24"/>
  <c r="T24" i="24" s="1"/>
  <c r="R12" i="24"/>
  <c r="Q12" i="24"/>
  <c r="P12" i="24"/>
  <c r="U12" i="24" s="1"/>
  <c r="O12" i="24"/>
  <c r="T12" i="24" s="1"/>
  <c r="R11" i="24"/>
  <c r="Q11" i="24"/>
  <c r="P11" i="24"/>
  <c r="U11" i="24" s="1"/>
  <c r="O11" i="24"/>
  <c r="T11" i="24" s="1"/>
  <c r="R648" i="24"/>
  <c r="Q648" i="24"/>
  <c r="P648" i="24"/>
  <c r="U648" i="24" s="1"/>
  <c r="O648" i="24"/>
  <c r="T648" i="24" s="1"/>
  <c r="R579" i="24"/>
  <c r="Q579" i="24"/>
  <c r="P579" i="24"/>
  <c r="U579" i="24" s="1"/>
  <c r="O579" i="24"/>
  <c r="T579" i="24" s="1"/>
  <c r="R568" i="24"/>
  <c r="Q568" i="24"/>
  <c r="P568" i="24"/>
  <c r="U568" i="24" s="1"/>
  <c r="O568" i="24"/>
  <c r="T568" i="24" s="1"/>
  <c r="R509" i="24"/>
  <c r="Q509" i="24"/>
  <c r="P509" i="24"/>
  <c r="U509" i="24" s="1"/>
  <c r="O509" i="24"/>
  <c r="T509" i="24" s="1"/>
  <c r="R476" i="24"/>
  <c r="Q476" i="24"/>
  <c r="P476" i="24"/>
  <c r="U476" i="24" s="1"/>
  <c r="O476" i="24"/>
  <c r="T476" i="24" s="1"/>
  <c r="R265" i="24"/>
  <c r="Q265" i="24"/>
  <c r="P265" i="24"/>
  <c r="U265" i="24" s="1"/>
  <c r="O265" i="24"/>
  <c r="T265" i="24" s="1"/>
  <c r="R127" i="24"/>
  <c r="Q127" i="24"/>
  <c r="P127" i="24"/>
  <c r="U127" i="24" s="1"/>
  <c r="O127" i="24"/>
  <c r="T127" i="24" s="1"/>
  <c r="R114" i="24"/>
  <c r="Q114" i="24"/>
  <c r="P114" i="24"/>
  <c r="U114" i="24" s="1"/>
  <c r="O114" i="24"/>
  <c r="T114" i="24" s="1"/>
  <c r="R639" i="24"/>
  <c r="Q639" i="24"/>
  <c r="P639" i="24"/>
  <c r="U639" i="24" s="1"/>
  <c r="O639" i="24"/>
  <c r="T639" i="24" s="1"/>
  <c r="R270" i="24"/>
  <c r="Q270" i="24"/>
  <c r="P270" i="24"/>
  <c r="U270" i="24" s="1"/>
  <c r="O270" i="24"/>
  <c r="T270" i="24" s="1"/>
  <c r="R97" i="24"/>
  <c r="Q97" i="24"/>
  <c r="P97" i="24"/>
  <c r="U97" i="24" s="1"/>
  <c r="O97" i="24"/>
  <c r="T97" i="24" s="1"/>
  <c r="R22" i="24"/>
  <c r="Q22" i="24"/>
  <c r="P22" i="24"/>
  <c r="U22" i="24" s="1"/>
  <c r="O22" i="24"/>
  <c r="T22" i="24" s="1"/>
  <c r="R676" i="24"/>
  <c r="Q676" i="24"/>
  <c r="P676" i="24"/>
  <c r="U676" i="24" s="1"/>
  <c r="O676" i="24"/>
  <c r="T676" i="24" s="1"/>
  <c r="R672" i="24"/>
  <c r="Q672" i="24"/>
  <c r="P672" i="24"/>
  <c r="U672" i="24" s="1"/>
  <c r="O672" i="24"/>
  <c r="T672" i="24" s="1"/>
  <c r="R651" i="24"/>
  <c r="Q651" i="24"/>
  <c r="P651" i="24"/>
  <c r="U651" i="24" s="1"/>
  <c r="O651" i="24"/>
  <c r="T651" i="24" s="1"/>
  <c r="R643" i="24"/>
  <c r="Q643" i="24"/>
  <c r="P643" i="24"/>
  <c r="U643" i="24" s="1"/>
  <c r="O643" i="24"/>
  <c r="T643" i="24" s="1"/>
  <c r="R642" i="24"/>
  <c r="Q642" i="24"/>
  <c r="P642" i="24"/>
  <c r="U642" i="24" s="1"/>
  <c r="O642" i="24"/>
  <c r="T642" i="24" s="1"/>
  <c r="R637" i="24"/>
  <c r="Q637" i="24"/>
  <c r="P637" i="24"/>
  <c r="U637" i="24" s="1"/>
  <c r="O637" i="24"/>
  <c r="T637" i="24" s="1"/>
  <c r="R617" i="24"/>
  <c r="Q617" i="24"/>
  <c r="P617" i="24"/>
  <c r="U617" i="24" s="1"/>
  <c r="O617" i="24"/>
  <c r="T617" i="24" s="1"/>
  <c r="R600" i="24"/>
  <c r="Q600" i="24"/>
  <c r="P600" i="24"/>
  <c r="U600" i="24" s="1"/>
  <c r="O600" i="24"/>
  <c r="T600" i="24" s="1"/>
  <c r="R592" i="24"/>
  <c r="Q592" i="24"/>
  <c r="P592" i="24"/>
  <c r="U592" i="24" s="1"/>
  <c r="O592" i="24"/>
  <c r="T592" i="24" s="1"/>
  <c r="R226" i="24"/>
  <c r="Q226" i="24"/>
  <c r="P226" i="24"/>
  <c r="U226" i="24" s="1"/>
  <c r="O226" i="24"/>
  <c r="T226" i="24" s="1"/>
  <c r="R121" i="24"/>
  <c r="Q121" i="24"/>
  <c r="P121" i="24"/>
  <c r="U121" i="24" s="1"/>
  <c r="O121" i="24"/>
  <c r="T121" i="24" s="1"/>
  <c r="R115" i="24"/>
  <c r="Q115" i="24"/>
  <c r="P115" i="24"/>
  <c r="U115" i="24" s="1"/>
  <c r="O115" i="24"/>
  <c r="T115" i="24" s="1"/>
  <c r="R559" i="24"/>
  <c r="Q559" i="24"/>
  <c r="P559" i="24"/>
  <c r="U559" i="24" s="1"/>
  <c r="O559" i="24"/>
  <c r="T559" i="24" s="1"/>
  <c r="R388" i="24"/>
  <c r="Q388" i="24"/>
  <c r="P388" i="24"/>
  <c r="U388" i="24" s="1"/>
  <c r="O388" i="24"/>
  <c r="T388" i="24" s="1"/>
  <c r="R394" i="24"/>
  <c r="Q394" i="24"/>
  <c r="P394" i="24"/>
  <c r="U394" i="24" s="1"/>
  <c r="O394" i="24"/>
  <c r="T394" i="24" s="1"/>
  <c r="R636" i="24"/>
  <c r="Q636" i="24"/>
  <c r="P636" i="24"/>
  <c r="U636" i="24" s="1"/>
  <c r="O636" i="24"/>
  <c r="T636" i="24" s="1"/>
  <c r="R346" i="24"/>
  <c r="Q346" i="24"/>
  <c r="P346" i="24"/>
  <c r="U346" i="24" s="1"/>
  <c r="O346" i="24"/>
  <c r="T346" i="24" s="1"/>
  <c r="R323" i="24"/>
  <c r="Q323" i="24"/>
  <c r="P323" i="24"/>
  <c r="U323" i="24" s="1"/>
  <c r="O323" i="24"/>
  <c r="T323" i="24" s="1"/>
  <c r="R255" i="24"/>
  <c r="Q255" i="24"/>
  <c r="P255" i="24"/>
  <c r="U255" i="24" s="1"/>
  <c r="O255" i="24"/>
  <c r="T255" i="24" s="1"/>
  <c r="R124" i="24"/>
  <c r="Q124" i="24"/>
  <c r="P124" i="24"/>
  <c r="U124" i="24" s="1"/>
  <c r="O124" i="24"/>
  <c r="T124" i="24" s="1"/>
  <c r="R232" i="24"/>
  <c r="Q232" i="24"/>
  <c r="P232" i="24"/>
  <c r="U232" i="24" s="1"/>
  <c r="O232" i="24"/>
  <c r="T232" i="24" s="1"/>
  <c r="R170" i="24"/>
  <c r="Q170" i="24"/>
  <c r="P170" i="24"/>
  <c r="U170" i="24" s="1"/>
  <c r="O170" i="24"/>
  <c r="T170" i="24" s="1"/>
  <c r="R590" i="24"/>
  <c r="Q590" i="24"/>
  <c r="P590" i="24"/>
  <c r="U590" i="24" s="1"/>
  <c r="O590" i="24"/>
  <c r="T590" i="24" s="1"/>
  <c r="R531" i="24"/>
  <c r="Q531" i="24"/>
  <c r="P531" i="24"/>
  <c r="U531" i="24" s="1"/>
  <c r="O531" i="24"/>
  <c r="T531" i="24" s="1"/>
  <c r="R458" i="24"/>
  <c r="Q458" i="24"/>
  <c r="P458" i="24"/>
  <c r="U458" i="24" s="1"/>
  <c r="O458" i="24"/>
  <c r="T458" i="24" s="1"/>
  <c r="R385" i="24"/>
  <c r="Q385" i="24"/>
  <c r="P385" i="24"/>
  <c r="U385" i="24" s="1"/>
  <c r="O385" i="24"/>
  <c r="T385" i="24" s="1"/>
  <c r="R256" i="24"/>
  <c r="Q256" i="24"/>
  <c r="P256" i="24"/>
  <c r="U256" i="24" s="1"/>
  <c r="O256" i="24"/>
  <c r="T256" i="24" s="1"/>
  <c r="R189" i="24"/>
  <c r="Q189" i="24"/>
  <c r="P189" i="24"/>
  <c r="U189" i="24" s="1"/>
  <c r="O189" i="24"/>
  <c r="T189" i="24" s="1"/>
  <c r="R45" i="24"/>
  <c r="Q45" i="24"/>
  <c r="P45" i="24"/>
  <c r="U45" i="24" s="1"/>
  <c r="O45" i="24"/>
  <c r="T45" i="24" s="1"/>
  <c r="R310" i="24"/>
  <c r="Q310" i="24"/>
  <c r="P310" i="24"/>
  <c r="U310" i="24" s="1"/>
  <c r="O310" i="24"/>
  <c r="T310" i="24" s="1"/>
  <c r="R434" i="24"/>
  <c r="Q434" i="24"/>
  <c r="P434" i="24"/>
  <c r="U434" i="24" s="1"/>
  <c r="O434" i="24"/>
  <c r="T434" i="24" s="1"/>
  <c r="R640" i="24"/>
  <c r="Q640" i="24"/>
  <c r="P640" i="24"/>
  <c r="U640" i="24" s="1"/>
  <c r="O640" i="24"/>
  <c r="T640" i="24" s="1"/>
  <c r="R534" i="24"/>
  <c r="Q534" i="24"/>
  <c r="P534" i="24"/>
  <c r="U534" i="24" s="1"/>
  <c r="O534" i="24"/>
  <c r="T534" i="24" s="1"/>
  <c r="R311" i="24"/>
  <c r="Q311" i="24"/>
  <c r="P311" i="24"/>
  <c r="U311" i="24" s="1"/>
  <c r="O311" i="24"/>
  <c r="T311" i="24" s="1"/>
  <c r="R122" i="24"/>
  <c r="Q122" i="24"/>
  <c r="P122" i="24"/>
  <c r="U122" i="24" s="1"/>
  <c r="O122" i="24"/>
  <c r="T122" i="24" s="1"/>
  <c r="R493" i="24"/>
  <c r="Q493" i="24"/>
  <c r="P493" i="24"/>
  <c r="U493" i="24" s="1"/>
  <c r="O493" i="24"/>
  <c r="T493" i="24" s="1"/>
  <c r="R492" i="24"/>
  <c r="Q492" i="24"/>
  <c r="P492" i="24"/>
  <c r="U492" i="24" s="1"/>
  <c r="O492" i="24"/>
  <c r="T492" i="24" s="1"/>
  <c r="R350" i="24"/>
  <c r="Q350" i="24"/>
  <c r="P350" i="24"/>
  <c r="U350" i="24" s="1"/>
  <c r="O350" i="24"/>
  <c r="T350" i="24" s="1"/>
  <c r="R572" i="24"/>
  <c r="Q572" i="24"/>
  <c r="P572" i="24"/>
  <c r="U572" i="24" s="1"/>
  <c r="O572" i="24"/>
  <c r="T572" i="24" s="1"/>
  <c r="R551" i="24"/>
  <c r="Q551" i="24"/>
  <c r="P551" i="24"/>
  <c r="U551" i="24" s="1"/>
  <c r="O551" i="24"/>
  <c r="T551" i="24" s="1"/>
  <c r="R160" i="24"/>
  <c r="Q160" i="24"/>
  <c r="P160" i="24"/>
  <c r="U160" i="24" s="1"/>
  <c r="O160" i="24"/>
  <c r="T160" i="24" s="1"/>
  <c r="R71" i="24"/>
  <c r="Q71" i="24"/>
  <c r="P71" i="24"/>
  <c r="U71" i="24" s="1"/>
  <c r="O71" i="24"/>
  <c r="T71" i="24" s="1"/>
  <c r="R44" i="24"/>
  <c r="Q44" i="24"/>
  <c r="P44" i="24"/>
  <c r="U44" i="24" s="1"/>
  <c r="O44" i="24"/>
  <c r="T44" i="24" s="1"/>
  <c r="R681" i="24"/>
  <c r="Q681" i="24"/>
  <c r="P681" i="24"/>
  <c r="U681" i="24" s="1"/>
  <c r="O681" i="24"/>
  <c r="T681" i="24" s="1"/>
  <c r="R207" i="24"/>
  <c r="Q207" i="24"/>
  <c r="P207" i="24"/>
  <c r="U207" i="24" s="1"/>
  <c r="O207" i="24"/>
  <c r="T207" i="24" s="1"/>
  <c r="R29" i="24"/>
  <c r="Q29" i="24"/>
  <c r="P29" i="24"/>
  <c r="U29" i="24" s="1"/>
  <c r="O29" i="24"/>
  <c r="T29" i="24" s="1"/>
  <c r="R618" i="24"/>
  <c r="Q618" i="24"/>
  <c r="P618" i="24"/>
  <c r="U618" i="24" s="1"/>
  <c r="O618" i="24"/>
  <c r="T618" i="24" s="1"/>
  <c r="R570" i="24"/>
  <c r="Q570" i="24"/>
  <c r="P570" i="24"/>
  <c r="U570" i="24" s="1"/>
  <c r="O570" i="24"/>
  <c r="T570" i="24" s="1"/>
  <c r="R201" i="24"/>
  <c r="Q201" i="24"/>
  <c r="P201" i="24"/>
  <c r="U201" i="24" s="1"/>
  <c r="O201" i="24"/>
  <c r="T201" i="24" s="1"/>
  <c r="R106" i="24"/>
  <c r="Q106" i="24"/>
  <c r="P106" i="24"/>
  <c r="U106" i="24" s="1"/>
  <c r="O106" i="24"/>
  <c r="T106" i="24" s="1"/>
  <c r="R671" i="24"/>
  <c r="Q671" i="24"/>
  <c r="P671" i="24"/>
  <c r="U671" i="24" s="1"/>
  <c r="O671" i="24"/>
  <c r="T671" i="24" s="1"/>
  <c r="R549" i="24"/>
  <c r="Q549" i="24"/>
  <c r="P549" i="24"/>
  <c r="U549" i="24" s="1"/>
  <c r="O549" i="24"/>
  <c r="T549" i="24" s="1"/>
  <c r="R455" i="24"/>
  <c r="Q455" i="24"/>
  <c r="P455" i="24"/>
  <c r="U455" i="24" s="1"/>
  <c r="O455" i="24"/>
  <c r="T455" i="24" s="1"/>
  <c r="R191" i="24"/>
  <c r="Q191" i="24"/>
  <c r="P191" i="24"/>
  <c r="U191" i="24" s="1"/>
  <c r="O191" i="24"/>
  <c r="T191" i="24" s="1"/>
  <c r="R38" i="24"/>
  <c r="Q38" i="24"/>
  <c r="P38" i="24"/>
  <c r="U38" i="24" s="1"/>
  <c r="O38" i="24"/>
  <c r="T38" i="24" s="1"/>
  <c r="R7" i="24"/>
  <c r="Q7" i="24"/>
  <c r="P7" i="24"/>
  <c r="U7" i="24" s="1"/>
  <c r="O7" i="24"/>
  <c r="T7" i="24" s="1"/>
  <c r="R503" i="24"/>
  <c r="Q503" i="24"/>
  <c r="P503" i="24"/>
  <c r="U503" i="24" s="1"/>
  <c r="O503" i="24"/>
  <c r="T503" i="24" s="1"/>
  <c r="R244" i="24"/>
  <c r="Q244" i="24"/>
  <c r="P244" i="24"/>
  <c r="U244" i="24" s="1"/>
  <c r="O244" i="24"/>
  <c r="T244" i="24" s="1"/>
  <c r="R197" i="24"/>
  <c r="Q197" i="24"/>
  <c r="P197" i="24"/>
  <c r="U197" i="24" s="1"/>
  <c r="O197" i="24"/>
  <c r="T197" i="24" s="1"/>
  <c r="R101" i="24"/>
  <c r="Q101" i="24"/>
  <c r="P101" i="24"/>
  <c r="U101" i="24" s="1"/>
  <c r="O101" i="24"/>
  <c r="T101" i="24" s="1"/>
  <c r="R371" i="24"/>
  <c r="Q371" i="24"/>
  <c r="P371" i="24"/>
  <c r="U371" i="24" s="1"/>
  <c r="O371" i="24"/>
  <c r="T371" i="24" s="1"/>
  <c r="R228" i="24"/>
  <c r="Q228" i="24"/>
  <c r="P228" i="24"/>
  <c r="U228" i="24" s="1"/>
  <c r="O228" i="24"/>
  <c r="T228" i="24" s="1"/>
  <c r="R155" i="24"/>
  <c r="Q155" i="24"/>
  <c r="P155" i="24"/>
  <c r="U155" i="24" s="1"/>
  <c r="O155" i="24"/>
  <c r="T155" i="24" s="1"/>
  <c r="R118" i="24"/>
  <c r="Q118" i="24"/>
  <c r="P118" i="24"/>
  <c r="U118" i="24" s="1"/>
  <c r="O118" i="24"/>
  <c r="T118" i="24" s="1"/>
  <c r="R23" i="24"/>
  <c r="Q23" i="24"/>
  <c r="P23" i="24"/>
  <c r="U23" i="24" s="1"/>
  <c r="O23" i="24"/>
  <c r="T23" i="24" s="1"/>
  <c r="R18" i="24"/>
  <c r="Q18" i="24"/>
  <c r="P18" i="24"/>
  <c r="U18" i="24" s="1"/>
  <c r="O18" i="24"/>
  <c r="T18" i="24" s="1"/>
  <c r="R646" i="24"/>
  <c r="Q646" i="24"/>
  <c r="P646" i="24"/>
  <c r="U646" i="24" s="1"/>
  <c r="O646" i="24"/>
  <c r="T646" i="24" s="1"/>
  <c r="R550" i="24"/>
  <c r="Q550" i="24"/>
  <c r="P550" i="24"/>
  <c r="U550" i="24" s="1"/>
  <c r="O550" i="24"/>
  <c r="T550" i="24" s="1"/>
  <c r="R427" i="24"/>
  <c r="Q427" i="24"/>
  <c r="P427" i="24"/>
  <c r="U427" i="24" s="1"/>
  <c r="O427" i="24"/>
  <c r="T427" i="24" s="1"/>
  <c r="R243" i="24"/>
  <c r="Q243" i="24"/>
  <c r="P243" i="24"/>
  <c r="U243" i="24" s="1"/>
  <c r="O243" i="24"/>
  <c r="T243" i="24" s="1"/>
  <c r="R217" i="24"/>
  <c r="Q217" i="24"/>
  <c r="P217" i="24"/>
  <c r="U217" i="24" s="1"/>
  <c r="O217" i="24"/>
  <c r="T217" i="24" s="1"/>
  <c r="R129" i="24"/>
  <c r="Q129" i="24"/>
  <c r="P129" i="24"/>
  <c r="U129" i="24" s="1"/>
  <c r="O129" i="24"/>
  <c r="T129" i="24" s="1"/>
  <c r="R64" i="24"/>
  <c r="Q64" i="24"/>
  <c r="P64" i="24"/>
  <c r="U64" i="24" s="1"/>
  <c r="O64" i="24"/>
  <c r="T64" i="24" s="1"/>
  <c r="R20" i="24"/>
  <c r="Q20" i="24"/>
  <c r="P20" i="24"/>
  <c r="U20" i="24" s="1"/>
  <c r="O20" i="24"/>
  <c r="T20" i="24" s="1"/>
  <c r="R268" i="24"/>
  <c r="Q268" i="24"/>
  <c r="P268" i="24"/>
  <c r="U268" i="24" s="1"/>
  <c r="O268" i="24"/>
  <c r="T268" i="24" s="1"/>
  <c r="R218" i="24"/>
  <c r="Q218" i="24"/>
  <c r="P218" i="24"/>
  <c r="U218" i="24" s="1"/>
  <c r="O218" i="24"/>
  <c r="T218" i="24" s="1"/>
  <c r="R472" i="24"/>
  <c r="Q472" i="24"/>
  <c r="P472" i="24"/>
  <c r="U472" i="24" s="1"/>
  <c r="O472" i="24"/>
  <c r="T472" i="24" s="1"/>
  <c r="R107" i="24"/>
  <c r="Q107" i="24"/>
  <c r="P107" i="24"/>
  <c r="U107" i="24" s="1"/>
  <c r="O107" i="24"/>
  <c r="T107" i="24" s="1"/>
  <c r="R67" i="24"/>
  <c r="Q67" i="24"/>
  <c r="P67" i="24"/>
  <c r="U67" i="24" s="1"/>
  <c r="O67" i="24"/>
  <c r="T67" i="24" s="1"/>
  <c r="R56" i="24"/>
  <c r="Q56" i="24"/>
  <c r="P56" i="24"/>
  <c r="U56" i="24" s="1"/>
  <c r="O56" i="24"/>
  <c r="T56" i="24" s="1"/>
  <c r="R501" i="24"/>
  <c r="Q501" i="24"/>
  <c r="P501" i="24"/>
  <c r="U501" i="24" s="1"/>
  <c r="O501" i="24"/>
  <c r="T501" i="24" s="1"/>
  <c r="R437" i="24"/>
  <c r="Q437" i="24"/>
  <c r="P437" i="24"/>
  <c r="U437" i="24" s="1"/>
  <c r="O437" i="24"/>
  <c r="T437" i="24" s="1"/>
  <c r="R187" i="24"/>
  <c r="Q187" i="24"/>
  <c r="P187" i="24"/>
  <c r="U187" i="24" s="1"/>
  <c r="O187" i="24"/>
  <c r="T187" i="24" s="1"/>
  <c r="R164" i="24"/>
  <c r="Q164" i="24"/>
  <c r="P164" i="24"/>
  <c r="U164" i="24" s="1"/>
  <c r="O164" i="24"/>
  <c r="T164" i="24" s="1"/>
  <c r="R157" i="24"/>
  <c r="Q157" i="24"/>
  <c r="P157" i="24"/>
  <c r="U157" i="24" s="1"/>
  <c r="O157" i="24"/>
  <c r="T157" i="24" s="1"/>
  <c r="R82" i="24"/>
  <c r="Q82" i="24"/>
  <c r="P82" i="24"/>
  <c r="U82" i="24" s="1"/>
  <c r="O82" i="24"/>
  <c r="T82" i="24" s="1"/>
  <c r="R328" i="24"/>
  <c r="Q328" i="24"/>
  <c r="P328" i="24"/>
  <c r="U328" i="24" s="1"/>
  <c r="O328" i="24"/>
  <c r="T328" i="24" s="1"/>
  <c r="R282" i="24"/>
  <c r="Q282" i="24"/>
  <c r="P282" i="24"/>
  <c r="U282" i="24" s="1"/>
  <c r="O282" i="24"/>
  <c r="T282" i="24" s="1"/>
  <c r="R43" i="24"/>
  <c r="Q43" i="24"/>
  <c r="P43" i="24"/>
  <c r="U43" i="24" s="1"/>
  <c r="O43" i="24"/>
  <c r="T43" i="24" s="1"/>
  <c r="R27" i="24"/>
  <c r="Q27" i="24"/>
  <c r="P27" i="24"/>
  <c r="U27" i="24" s="1"/>
  <c r="O27" i="24"/>
  <c r="T27" i="24" s="1"/>
  <c r="R692" i="24"/>
  <c r="Q692" i="24"/>
  <c r="P692" i="24"/>
  <c r="U692" i="24" s="1"/>
  <c r="O692" i="24"/>
  <c r="T692" i="24" s="1"/>
  <c r="R633" i="24"/>
  <c r="Q633" i="24"/>
  <c r="P633" i="24"/>
  <c r="U633" i="24" s="1"/>
  <c r="O633" i="24"/>
  <c r="T633" i="24" s="1"/>
  <c r="R601" i="24"/>
  <c r="Q601" i="24"/>
  <c r="P601" i="24"/>
  <c r="U601" i="24" s="1"/>
  <c r="O601" i="24"/>
  <c r="T601" i="24" s="1"/>
  <c r="R498" i="24"/>
  <c r="Q498" i="24"/>
  <c r="P498" i="24"/>
  <c r="U498" i="24" s="1"/>
  <c r="O498" i="24"/>
  <c r="T498" i="24" s="1"/>
  <c r="R470" i="24"/>
  <c r="Q470" i="24"/>
  <c r="P470" i="24"/>
  <c r="U470" i="24" s="1"/>
  <c r="O470" i="24"/>
  <c r="T470" i="24" s="1"/>
  <c r="R431" i="24"/>
  <c r="Q431" i="24"/>
  <c r="P431" i="24"/>
  <c r="U431" i="24" s="1"/>
  <c r="O431" i="24"/>
  <c r="T431" i="24" s="1"/>
  <c r="R353" i="24"/>
  <c r="Q353" i="24"/>
  <c r="P353" i="24"/>
  <c r="U353" i="24" s="1"/>
  <c r="O353" i="24"/>
  <c r="T353" i="24" s="1"/>
  <c r="R289" i="24"/>
  <c r="Q289" i="24"/>
  <c r="P289" i="24"/>
  <c r="U289" i="24" s="1"/>
  <c r="O289" i="24"/>
  <c r="T289" i="24" s="1"/>
  <c r="R276" i="24"/>
  <c r="Q276" i="24"/>
  <c r="P276" i="24"/>
  <c r="U276" i="24" s="1"/>
  <c r="O276" i="24"/>
  <c r="T276" i="24" s="1"/>
  <c r="R249" i="24"/>
  <c r="Q249" i="24"/>
  <c r="P249" i="24"/>
  <c r="U249" i="24" s="1"/>
  <c r="O249" i="24"/>
  <c r="T249" i="24" s="1"/>
  <c r="R113" i="24"/>
  <c r="Q113" i="24"/>
  <c r="P113" i="24"/>
  <c r="U113" i="24" s="1"/>
  <c r="O113" i="24"/>
  <c r="T113" i="24" s="1"/>
  <c r="R105" i="24"/>
  <c r="Q105" i="24"/>
  <c r="P105" i="24"/>
  <c r="U105" i="24" s="1"/>
  <c r="O105" i="24"/>
  <c r="T105" i="24" s="1"/>
  <c r="R31" i="24"/>
  <c r="Q31" i="24"/>
  <c r="P31" i="24"/>
  <c r="U31" i="24" s="1"/>
  <c r="O31" i="24"/>
  <c r="T31" i="24" s="1"/>
  <c r="R518" i="24"/>
  <c r="Q518" i="24"/>
  <c r="P518" i="24"/>
  <c r="U518" i="24" s="1"/>
  <c r="O518" i="24"/>
  <c r="T518" i="24" s="1"/>
  <c r="R516" i="24"/>
  <c r="Q516" i="24"/>
  <c r="P516" i="24"/>
  <c r="U516" i="24" s="1"/>
  <c r="O516" i="24"/>
  <c r="T516" i="24" s="1"/>
  <c r="R367" i="24"/>
  <c r="Q367" i="24"/>
  <c r="P367" i="24"/>
  <c r="U367" i="24" s="1"/>
  <c r="O367" i="24"/>
  <c r="T367" i="24" s="1"/>
  <c r="R263" i="24"/>
  <c r="Q263" i="24"/>
  <c r="P263" i="24"/>
  <c r="U263" i="24" s="1"/>
  <c r="O263" i="24"/>
  <c r="T263" i="24" s="1"/>
  <c r="R209" i="24"/>
  <c r="Q209" i="24"/>
  <c r="P209" i="24"/>
  <c r="U209" i="24" s="1"/>
  <c r="O209" i="24"/>
  <c r="T209" i="24" s="1"/>
  <c r="R205" i="24"/>
  <c r="Q205" i="24"/>
  <c r="P205" i="24"/>
  <c r="U205" i="24" s="1"/>
  <c r="O205" i="24"/>
  <c r="T205" i="24" s="1"/>
  <c r="R176" i="24"/>
  <c r="Q176" i="24"/>
  <c r="P176" i="24"/>
  <c r="U176" i="24" s="1"/>
  <c r="O176" i="24"/>
  <c r="T176" i="24" s="1"/>
  <c r="R165" i="24"/>
  <c r="Q165" i="24"/>
  <c r="P165" i="24"/>
  <c r="U165" i="24" s="1"/>
  <c r="O165" i="24"/>
  <c r="T165" i="24" s="1"/>
  <c r="R134" i="24"/>
  <c r="Q134" i="24"/>
  <c r="P134" i="24"/>
  <c r="U134" i="24" s="1"/>
  <c r="O134" i="24"/>
  <c r="T134" i="24" s="1"/>
  <c r="R87" i="24"/>
  <c r="Q87" i="24"/>
  <c r="P87" i="24"/>
  <c r="U87" i="24" s="1"/>
  <c r="O87" i="24"/>
  <c r="T87" i="24" s="1"/>
  <c r="R84" i="24"/>
  <c r="Q84" i="24"/>
  <c r="P84" i="24"/>
  <c r="U84" i="24" s="1"/>
  <c r="O84" i="24"/>
  <c r="T84" i="24" s="1"/>
  <c r="R6" i="24"/>
  <c r="Q6" i="24"/>
  <c r="P6" i="24"/>
  <c r="U6" i="24" s="1"/>
  <c r="O6" i="24"/>
  <c r="T6" i="24" s="1"/>
  <c r="R5" i="24"/>
  <c r="Q5" i="24"/>
  <c r="P5" i="24"/>
  <c r="U5" i="24" s="1"/>
  <c r="O5" i="24"/>
  <c r="T5" i="24" s="1"/>
  <c r="R622" i="24"/>
  <c r="Q622" i="24"/>
  <c r="P622" i="24"/>
  <c r="U622" i="24" s="1"/>
  <c r="O622" i="24"/>
  <c r="T622" i="24" s="1"/>
  <c r="R537" i="24"/>
  <c r="Q537" i="24"/>
  <c r="P537" i="24"/>
  <c r="U537" i="24" s="1"/>
  <c r="O537" i="24"/>
  <c r="T537" i="24" s="1"/>
  <c r="R300" i="24"/>
  <c r="Q300" i="24"/>
  <c r="P300" i="24"/>
  <c r="U300" i="24" s="1"/>
  <c r="O300" i="24"/>
  <c r="T300" i="24" s="1"/>
  <c r="R111" i="24"/>
  <c r="Q111" i="24"/>
  <c r="P111" i="24"/>
  <c r="U111" i="24" s="1"/>
  <c r="O111" i="24"/>
  <c r="T111" i="24" s="1"/>
  <c r="R99" i="24"/>
  <c r="Q99" i="24"/>
  <c r="P99" i="24"/>
  <c r="U99" i="24" s="1"/>
  <c r="O99" i="24"/>
  <c r="T99" i="24" s="1"/>
  <c r="R698" i="24"/>
  <c r="Q698" i="24"/>
  <c r="P698" i="24"/>
  <c r="U698" i="24" s="1"/>
  <c r="O698" i="24"/>
  <c r="T698" i="24" s="1"/>
  <c r="R635" i="24"/>
  <c r="Q635" i="24"/>
  <c r="P635" i="24"/>
  <c r="U635" i="24" s="1"/>
  <c r="O635" i="24"/>
  <c r="T635" i="24" s="1"/>
  <c r="R588" i="24"/>
  <c r="Q588" i="24"/>
  <c r="P588" i="24"/>
  <c r="U588" i="24" s="1"/>
  <c r="O588" i="24"/>
  <c r="T588" i="24" s="1"/>
  <c r="R571" i="24"/>
  <c r="Q571" i="24"/>
  <c r="P571" i="24"/>
  <c r="U571" i="24" s="1"/>
  <c r="O571" i="24"/>
  <c r="T571" i="24" s="1"/>
  <c r="R506" i="24"/>
  <c r="Q506" i="24"/>
  <c r="P506" i="24"/>
  <c r="U506" i="24" s="1"/>
  <c r="O506" i="24"/>
  <c r="T506" i="24" s="1"/>
  <c r="R440" i="24"/>
  <c r="Q440" i="24"/>
  <c r="P440" i="24"/>
  <c r="U440" i="24" s="1"/>
  <c r="O440" i="24"/>
  <c r="T440" i="24" s="1"/>
  <c r="R416" i="24"/>
  <c r="Q416" i="24"/>
  <c r="P416" i="24"/>
  <c r="U416" i="24" s="1"/>
  <c r="O416" i="24"/>
  <c r="T416" i="24" s="1"/>
  <c r="R259" i="24"/>
  <c r="Q259" i="24"/>
  <c r="P259" i="24"/>
  <c r="U259" i="24" s="1"/>
  <c r="O259" i="24"/>
  <c r="T259" i="24" s="1"/>
  <c r="R195" i="24"/>
  <c r="Q195" i="24"/>
  <c r="P195" i="24"/>
  <c r="U195" i="24" s="1"/>
  <c r="O195" i="24"/>
  <c r="T195" i="24" s="1"/>
  <c r="R194" i="24"/>
  <c r="Q194" i="24"/>
  <c r="P194" i="24"/>
  <c r="U194" i="24" s="1"/>
  <c r="O194" i="24"/>
  <c r="T194" i="24" s="1"/>
  <c r="R174" i="24"/>
  <c r="Q174" i="24"/>
  <c r="P174" i="24"/>
  <c r="U174" i="24" s="1"/>
  <c r="O174" i="24"/>
  <c r="T174" i="24" s="1"/>
  <c r="R146" i="24"/>
  <c r="Q146" i="24"/>
  <c r="P146" i="24"/>
  <c r="U146" i="24" s="1"/>
  <c r="O146" i="24"/>
  <c r="T146" i="24" s="1"/>
  <c r="R582" i="24"/>
  <c r="Q582" i="24"/>
  <c r="P582" i="24"/>
  <c r="U582" i="24" s="1"/>
  <c r="O582" i="24"/>
  <c r="T582" i="24" s="1"/>
  <c r="R502" i="24"/>
  <c r="Q502" i="24"/>
  <c r="P502" i="24"/>
  <c r="U502" i="24" s="1"/>
  <c r="O502" i="24"/>
  <c r="T502" i="24" s="1"/>
  <c r="R426" i="24"/>
  <c r="Q426" i="24"/>
  <c r="P426" i="24"/>
  <c r="U426" i="24" s="1"/>
  <c r="O426" i="24"/>
  <c r="T426" i="24" s="1"/>
  <c r="R238" i="24"/>
  <c r="Q238" i="24"/>
  <c r="P238" i="24"/>
  <c r="U238" i="24" s="1"/>
  <c r="O238" i="24"/>
  <c r="T238" i="24" s="1"/>
  <c r="R237" i="24"/>
  <c r="Q237" i="24"/>
  <c r="P237" i="24"/>
  <c r="U237" i="24" s="1"/>
  <c r="O237" i="24"/>
  <c r="T237" i="24" s="1"/>
  <c r="R233" i="24"/>
  <c r="Q233" i="24"/>
  <c r="P233" i="24"/>
  <c r="U233" i="24" s="1"/>
  <c r="O233" i="24"/>
  <c r="T233" i="24" s="1"/>
  <c r="R77" i="24"/>
  <c r="Q77" i="24"/>
  <c r="P77" i="24"/>
  <c r="U77" i="24" s="1"/>
  <c r="O77" i="24"/>
  <c r="T77" i="24" s="1"/>
  <c r="R188" i="24"/>
  <c r="Q188" i="24"/>
  <c r="P188" i="24"/>
  <c r="U188" i="24" s="1"/>
  <c r="O188" i="24"/>
  <c r="T188" i="24" s="1"/>
  <c r="R647" i="24"/>
  <c r="Q647" i="24"/>
  <c r="P647" i="24"/>
  <c r="U647" i="24" s="1"/>
  <c r="O647" i="24"/>
  <c r="T647" i="24" s="1"/>
  <c r="R553" i="24"/>
  <c r="Q553" i="24"/>
  <c r="P553" i="24"/>
  <c r="U553" i="24" s="1"/>
  <c r="O553" i="24"/>
  <c r="T553" i="24" s="1"/>
  <c r="R419" i="24"/>
  <c r="Q419" i="24"/>
  <c r="P419" i="24"/>
  <c r="U419" i="24" s="1"/>
  <c r="O419" i="24"/>
  <c r="T419" i="24" s="1"/>
  <c r="R400" i="24"/>
  <c r="Q400" i="24"/>
  <c r="P400" i="24"/>
  <c r="U400" i="24" s="1"/>
  <c r="O400" i="24"/>
  <c r="T400" i="24" s="1"/>
  <c r="R387" i="24"/>
  <c r="Q387" i="24"/>
  <c r="P387" i="24"/>
  <c r="U387" i="24" s="1"/>
  <c r="O387" i="24"/>
  <c r="T387" i="24" s="1"/>
  <c r="R130" i="24"/>
  <c r="Q130" i="24"/>
  <c r="P130" i="24"/>
  <c r="U130" i="24" s="1"/>
  <c r="O130" i="24"/>
  <c r="T130" i="24" s="1"/>
  <c r="R120" i="24"/>
  <c r="Q120" i="24"/>
  <c r="P120" i="24"/>
  <c r="U120" i="24" s="1"/>
  <c r="O120" i="24"/>
  <c r="T120" i="24" s="1"/>
  <c r="R51" i="24"/>
  <c r="Q51" i="24"/>
  <c r="P51" i="24"/>
  <c r="U51" i="24" s="1"/>
  <c r="O51" i="24"/>
  <c r="T51" i="24" s="1"/>
  <c r="R28" i="24"/>
  <c r="Q28" i="24"/>
  <c r="P28" i="24"/>
  <c r="U28" i="24" s="1"/>
  <c r="O28" i="24"/>
  <c r="T28" i="24" s="1"/>
  <c r="R171" i="24"/>
  <c r="Q171" i="24"/>
  <c r="P171" i="24"/>
  <c r="U171" i="24" s="1"/>
  <c r="O171" i="24"/>
  <c r="T171" i="24" s="1"/>
  <c r="R219" i="24"/>
  <c r="Q219" i="24"/>
  <c r="P219" i="24"/>
  <c r="U219" i="24" s="1"/>
  <c r="O219" i="24"/>
  <c r="T219" i="24" s="1"/>
  <c r="R694" i="24"/>
  <c r="Q694" i="24"/>
  <c r="P694" i="24"/>
  <c r="U694" i="24" s="1"/>
  <c r="O694" i="24"/>
  <c r="T694" i="24" s="1"/>
  <c r="R644" i="24"/>
  <c r="Q644" i="24"/>
  <c r="P644" i="24"/>
  <c r="U644" i="24" s="1"/>
  <c r="O644" i="24"/>
  <c r="T644" i="24" s="1"/>
  <c r="R641" i="24"/>
  <c r="Q641" i="24"/>
  <c r="P641" i="24"/>
  <c r="U641" i="24" s="1"/>
  <c r="O641" i="24"/>
  <c r="T641" i="24" s="1"/>
  <c r="R599" i="24"/>
  <c r="Q599" i="24"/>
  <c r="P599" i="24"/>
  <c r="U599" i="24" s="1"/>
  <c r="O599" i="24"/>
  <c r="T599" i="24" s="1"/>
  <c r="R593" i="24"/>
  <c r="Q593" i="24"/>
  <c r="P593" i="24"/>
  <c r="U593" i="24" s="1"/>
  <c r="O593" i="24"/>
  <c r="T593" i="24" s="1"/>
  <c r="R587" i="24"/>
  <c r="Q587" i="24"/>
  <c r="P587" i="24"/>
  <c r="U587" i="24" s="1"/>
  <c r="O587" i="24"/>
  <c r="T587" i="24" s="1"/>
  <c r="R577" i="24"/>
  <c r="Q577" i="24"/>
  <c r="P577" i="24"/>
  <c r="U577" i="24" s="1"/>
  <c r="O577" i="24"/>
  <c r="T577" i="24" s="1"/>
  <c r="R574" i="24"/>
  <c r="Q574" i="24"/>
  <c r="P574" i="24"/>
  <c r="U574" i="24" s="1"/>
  <c r="O574" i="24"/>
  <c r="T574" i="24" s="1"/>
  <c r="R482" i="24"/>
  <c r="Q482" i="24"/>
  <c r="P482" i="24"/>
  <c r="U482" i="24" s="1"/>
  <c r="O482" i="24"/>
  <c r="T482" i="24" s="1"/>
  <c r="R454" i="24"/>
  <c r="Q454" i="24"/>
  <c r="P454" i="24"/>
  <c r="U454" i="24" s="1"/>
  <c r="O454" i="24"/>
  <c r="T454" i="24" s="1"/>
  <c r="R418" i="24"/>
  <c r="Q418" i="24"/>
  <c r="P418" i="24"/>
  <c r="U418" i="24" s="1"/>
  <c r="O418" i="24"/>
  <c r="T418" i="24" s="1"/>
  <c r="R348" i="24"/>
  <c r="Q348" i="24"/>
  <c r="P348" i="24"/>
  <c r="U348" i="24" s="1"/>
  <c r="O348" i="24"/>
  <c r="T348" i="24" s="1"/>
  <c r="R319" i="24"/>
  <c r="Q319" i="24"/>
  <c r="P319" i="24"/>
  <c r="U319" i="24" s="1"/>
  <c r="O319" i="24"/>
  <c r="T319" i="24" s="1"/>
  <c r="R312" i="24"/>
  <c r="Q312" i="24"/>
  <c r="P312" i="24"/>
  <c r="U312" i="24" s="1"/>
  <c r="O312" i="24"/>
  <c r="T312" i="24" s="1"/>
  <c r="R119" i="24"/>
  <c r="Q119" i="24"/>
  <c r="P119" i="24"/>
  <c r="U119" i="24" s="1"/>
  <c r="O119" i="24"/>
  <c r="T119" i="24" s="1"/>
  <c r="R37" i="24"/>
  <c r="Q37" i="24"/>
  <c r="P37" i="24"/>
  <c r="U37" i="24" s="1"/>
  <c r="O37" i="24"/>
  <c r="T37" i="24" s="1"/>
  <c r="R619" i="24"/>
  <c r="Q619" i="24"/>
  <c r="P619" i="24"/>
  <c r="U619" i="24" s="1"/>
  <c r="O619" i="24"/>
  <c r="T619" i="24" s="1"/>
  <c r="R612" i="24"/>
  <c r="Q612" i="24"/>
  <c r="P612" i="24"/>
  <c r="U612" i="24" s="1"/>
  <c r="O612" i="24"/>
  <c r="T612" i="24" s="1"/>
  <c r="R556" i="24"/>
  <c r="Q556" i="24"/>
  <c r="P556" i="24"/>
  <c r="U556" i="24" s="1"/>
  <c r="O556" i="24"/>
  <c r="T556" i="24" s="1"/>
  <c r="R485" i="24"/>
  <c r="Q485" i="24"/>
  <c r="P485" i="24"/>
  <c r="U485" i="24" s="1"/>
  <c r="O485" i="24"/>
  <c r="T485" i="24" s="1"/>
  <c r="R447" i="24"/>
  <c r="Q447" i="24"/>
  <c r="P447" i="24"/>
  <c r="U447" i="24" s="1"/>
  <c r="O447" i="24"/>
  <c r="T447" i="24" s="1"/>
  <c r="R123" i="24"/>
  <c r="Q123" i="24"/>
  <c r="P123" i="24"/>
  <c r="U123" i="24" s="1"/>
  <c r="O123" i="24"/>
  <c r="T123" i="24" s="1"/>
  <c r="R678" i="24"/>
  <c r="Q678" i="24"/>
  <c r="P678" i="24"/>
  <c r="U678" i="24" s="1"/>
  <c r="O678" i="24"/>
  <c r="T678" i="24" s="1"/>
  <c r="R674" i="24"/>
  <c r="Q674" i="24"/>
  <c r="P674" i="24"/>
  <c r="U674" i="24" s="1"/>
  <c r="O674" i="24"/>
  <c r="T674" i="24" s="1"/>
  <c r="R652" i="24"/>
  <c r="Q652" i="24"/>
  <c r="P652" i="24"/>
  <c r="U652" i="24" s="1"/>
  <c r="O652" i="24"/>
  <c r="T652" i="24" s="1"/>
  <c r="R630" i="24"/>
  <c r="Q630" i="24"/>
  <c r="P630" i="24"/>
  <c r="U630" i="24" s="1"/>
  <c r="O630" i="24"/>
  <c r="T630" i="24" s="1"/>
  <c r="R624" i="24"/>
  <c r="Q624" i="24"/>
  <c r="P624" i="24"/>
  <c r="U624" i="24" s="1"/>
  <c r="O624" i="24"/>
  <c r="T624" i="24" s="1"/>
  <c r="R576" i="24"/>
  <c r="Q576" i="24"/>
  <c r="P576" i="24"/>
  <c r="U576" i="24" s="1"/>
  <c r="O576" i="24"/>
  <c r="T576" i="24" s="1"/>
  <c r="R539" i="24"/>
  <c r="Q539" i="24"/>
  <c r="P539" i="24"/>
  <c r="U539" i="24" s="1"/>
  <c r="O539" i="24"/>
  <c r="T539" i="24" s="1"/>
  <c r="R351" i="24"/>
  <c r="Q351" i="24"/>
  <c r="P351" i="24"/>
  <c r="U351" i="24" s="1"/>
  <c r="O351" i="24"/>
  <c r="T351" i="24" s="1"/>
  <c r="R699" i="24"/>
  <c r="Q699" i="24"/>
  <c r="P699" i="24"/>
  <c r="U699" i="24" s="1"/>
  <c r="O699" i="24"/>
  <c r="T699" i="24" s="1"/>
  <c r="R500" i="24"/>
  <c r="Q500" i="24"/>
  <c r="P500" i="24"/>
  <c r="U500" i="24" s="1"/>
  <c r="O500" i="24"/>
  <c r="T500" i="24" s="1"/>
  <c r="R213" i="24"/>
  <c r="Q213" i="24"/>
  <c r="P213" i="24"/>
  <c r="U213" i="24" s="1"/>
  <c r="O213" i="24"/>
  <c r="T213" i="24" s="1"/>
  <c r="R96" i="24"/>
  <c r="Q96" i="24"/>
  <c r="P96" i="24"/>
  <c r="U96" i="24" s="1"/>
  <c r="O96" i="24"/>
  <c r="T96" i="24" s="1"/>
  <c r="R665" i="24"/>
  <c r="Q665" i="24"/>
  <c r="P665" i="24"/>
  <c r="U665" i="24" s="1"/>
  <c r="O665" i="24"/>
  <c r="T665" i="24" s="1"/>
  <c r="R546" i="24"/>
  <c r="Q546" i="24"/>
  <c r="P546" i="24"/>
  <c r="U546" i="24" s="1"/>
  <c r="O546" i="24"/>
  <c r="T546" i="24" s="1"/>
  <c r="R542" i="24"/>
  <c r="Q542" i="24"/>
  <c r="P542" i="24"/>
  <c r="U542" i="24" s="1"/>
  <c r="O542" i="24"/>
  <c r="T542" i="24" s="1"/>
  <c r="R433" i="24"/>
  <c r="Q433" i="24"/>
  <c r="P433" i="24"/>
  <c r="U433" i="24" s="1"/>
  <c r="O433" i="24"/>
  <c r="T433" i="24" s="1"/>
  <c r="R313" i="24"/>
  <c r="Q313" i="24"/>
  <c r="P313" i="24"/>
  <c r="U313" i="24" s="1"/>
  <c r="O313" i="24"/>
  <c r="T313" i="24" s="1"/>
  <c r="R653" i="24"/>
  <c r="Q653" i="24"/>
  <c r="P653" i="24"/>
  <c r="U653" i="24" s="1"/>
  <c r="O653" i="24"/>
  <c r="T653" i="24" s="1"/>
  <c r="R565" i="24"/>
  <c r="Q565" i="24"/>
  <c r="P565" i="24"/>
  <c r="U565" i="24" s="1"/>
  <c r="O565" i="24"/>
  <c r="T565" i="24" s="1"/>
  <c r="R562" i="24"/>
  <c r="Q562" i="24"/>
  <c r="P562" i="24"/>
  <c r="U562" i="24" s="1"/>
  <c r="O562" i="24"/>
  <c r="T562" i="24" s="1"/>
  <c r="R555" i="24"/>
  <c r="Q555" i="24"/>
  <c r="P555" i="24"/>
  <c r="U555" i="24" s="1"/>
  <c r="O555" i="24"/>
  <c r="T555" i="24" s="1"/>
  <c r="R543" i="24"/>
  <c r="Q543" i="24"/>
  <c r="P543" i="24"/>
  <c r="U543" i="24" s="1"/>
  <c r="O543" i="24"/>
  <c r="T543" i="24" s="1"/>
  <c r="R412" i="24"/>
  <c r="Q412" i="24"/>
  <c r="P412" i="24"/>
  <c r="U412" i="24" s="1"/>
  <c r="O412" i="24"/>
  <c r="T412" i="24" s="1"/>
  <c r="R308" i="24"/>
  <c r="Q308" i="24"/>
  <c r="P308" i="24"/>
  <c r="U308" i="24" s="1"/>
  <c r="O308" i="24"/>
  <c r="T308" i="24" s="1"/>
  <c r="R305" i="24"/>
  <c r="Q305" i="24"/>
  <c r="P305" i="24"/>
  <c r="U305" i="24" s="1"/>
  <c r="O305" i="24"/>
  <c r="T305" i="24" s="1"/>
  <c r="R287" i="24"/>
  <c r="Q287" i="24"/>
  <c r="P287" i="24"/>
  <c r="U287" i="24" s="1"/>
  <c r="O287" i="24"/>
  <c r="T287" i="24" s="1"/>
  <c r="R285" i="24"/>
  <c r="Q285" i="24"/>
  <c r="P285" i="24"/>
  <c r="U285" i="24" s="1"/>
  <c r="O285" i="24"/>
  <c r="T285" i="24" s="1"/>
  <c r="R247" i="24"/>
  <c r="Q247" i="24"/>
  <c r="P247" i="24"/>
  <c r="U247" i="24" s="1"/>
  <c r="O247" i="24"/>
  <c r="T247" i="24" s="1"/>
  <c r="R183" i="24"/>
  <c r="Q183" i="24"/>
  <c r="P183" i="24"/>
  <c r="U183" i="24" s="1"/>
  <c r="O183" i="24"/>
  <c r="T183" i="24" s="1"/>
  <c r="R112" i="24"/>
  <c r="Q112" i="24"/>
  <c r="P112" i="24"/>
  <c r="U112" i="24" s="1"/>
  <c r="O112" i="24"/>
  <c r="T112" i="24" s="1"/>
  <c r="R605" i="24"/>
  <c r="Q605" i="24"/>
  <c r="P605" i="24"/>
  <c r="U605" i="24" s="1"/>
  <c r="O605" i="24"/>
  <c r="T605" i="24" s="1"/>
  <c r="R474" i="24"/>
  <c r="Q474" i="24"/>
  <c r="P474" i="24"/>
  <c r="U474" i="24" s="1"/>
  <c r="O474" i="24"/>
  <c r="T474" i="24" s="1"/>
  <c r="R318" i="24"/>
  <c r="Q318" i="24"/>
  <c r="P318" i="24"/>
  <c r="U318" i="24" s="1"/>
  <c r="O318" i="24"/>
  <c r="T318" i="24" s="1"/>
  <c r="R220" i="24"/>
  <c r="Q220" i="24"/>
  <c r="P220" i="24"/>
  <c r="U220" i="24" s="1"/>
  <c r="O220" i="24"/>
  <c r="T220" i="24" s="1"/>
  <c r="R192" i="24"/>
  <c r="Q192" i="24"/>
  <c r="P192" i="24"/>
  <c r="U192" i="24" s="1"/>
  <c r="O192" i="24"/>
  <c r="T192" i="24" s="1"/>
  <c r="R108" i="24"/>
  <c r="Q108" i="24"/>
  <c r="P108" i="24"/>
  <c r="U108" i="24" s="1"/>
  <c r="O108" i="24"/>
  <c r="T108" i="24" s="1"/>
  <c r="R91" i="24"/>
  <c r="Q91" i="24"/>
  <c r="P91" i="24"/>
  <c r="U91" i="24" s="1"/>
  <c r="O91" i="24"/>
  <c r="T91" i="24" s="1"/>
  <c r="R62" i="24"/>
  <c r="Q62" i="24"/>
  <c r="P62" i="24"/>
  <c r="U62" i="24" s="1"/>
  <c r="O62" i="24"/>
  <c r="T62" i="24" s="1"/>
  <c r="R561" i="24"/>
  <c r="Q561" i="24"/>
  <c r="P561" i="24"/>
  <c r="U561" i="24" s="1"/>
  <c r="O561" i="24"/>
  <c r="T561" i="24" s="1"/>
  <c r="R511" i="24"/>
  <c r="Q511" i="24"/>
  <c r="P511" i="24"/>
  <c r="U511" i="24" s="1"/>
  <c r="O511" i="24"/>
  <c r="T511" i="24" s="1"/>
  <c r="R430" i="24"/>
  <c r="Q430" i="24"/>
  <c r="P430" i="24"/>
  <c r="U430" i="24" s="1"/>
  <c r="O430" i="24"/>
  <c r="T430" i="24" s="1"/>
  <c r="R425" i="24"/>
  <c r="Q425" i="24"/>
  <c r="P425" i="24"/>
  <c r="U425" i="24" s="1"/>
  <c r="O425" i="24"/>
  <c r="T425" i="24" s="1"/>
  <c r="R369" i="24"/>
  <c r="Q369" i="24"/>
  <c r="P369" i="24"/>
  <c r="U369" i="24" s="1"/>
  <c r="O369" i="24"/>
  <c r="T369" i="24" s="1"/>
  <c r="R290" i="24"/>
  <c r="Q290" i="24"/>
  <c r="P290" i="24"/>
  <c r="U290" i="24" s="1"/>
  <c r="O290" i="24"/>
  <c r="T290" i="24" s="1"/>
  <c r="R280" i="24"/>
  <c r="Q280" i="24"/>
  <c r="P280" i="24"/>
  <c r="U280" i="24" s="1"/>
  <c r="O280" i="24"/>
  <c r="T280" i="24" s="1"/>
  <c r="R216" i="24"/>
  <c r="Q216" i="24"/>
  <c r="P216" i="24"/>
  <c r="U216" i="24" s="1"/>
  <c r="O216" i="24"/>
  <c r="T216" i="24" s="1"/>
  <c r="R206" i="24"/>
  <c r="Q206" i="24"/>
  <c r="P206" i="24"/>
  <c r="U206" i="24" s="1"/>
  <c r="O206" i="24"/>
  <c r="T206" i="24" s="1"/>
  <c r="R125" i="24"/>
  <c r="Q125" i="24"/>
  <c r="P125" i="24"/>
  <c r="U125" i="24" s="1"/>
  <c r="O125" i="24"/>
  <c r="T125" i="24" s="1"/>
  <c r="R81" i="24"/>
  <c r="Q81" i="24"/>
  <c r="P81" i="24"/>
  <c r="U81" i="24" s="1"/>
  <c r="O81" i="24"/>
  <c r="T81" i="24" s="1"/>
  <c r="R80" i="24"/>
  <c r="Q80" i="24"/>
  <c r="P80" i="24"/>
  <c r="U80" i="24" s="1"/>
  <c r="O80" i="24"/>
  <c r="T80" i="24" s="1"/>
  <c r="R32" i="24"/>
  <c r="Q32" i="24"/>
  <c r="P32" i="24"/>
  <c r="U32" i="24" s="1"/>
  <c r="O32" i="24"/>
  <c r="T32" i="24" s="1"/>
  <c r="R3" i="24"/>
  <c r="Q3" i="24"/>
  <c r="P3" i="24"/>
  <c r="O3" i="24"/>
  <c r="T3" i="24" s="1"/>
  <c r="R696" i="24"/>
  <c r="Q696" i="24"/>
  <c r="P696" i="24"/>
  <c r="U696" i="24" s="1"/>
  <c r="O696" i="24"/>
  <c r="T696" i="24" s="1"/>
  <c r="R657" i="24"/>
  <c r="Q657" i="24"/>
  <c r="P657" i="24"/>
  <c r="U657" i="24" s="1"/>
  <c r="O657" i="24"/>
  <c r="T657" i="24" s="1"/>
  <c r="R602" i="24"/>
  <c r="Q602" i="24"/>
  <c r="P602" i="24"/>
  <c r="U602" i="24" s="1"/>
  <c r="O602" i="24"/>
  <c r="T602" i="24" s="1"/>
  <c r="R594" i="24"/>
  <c r="Q594" i="24"/>
  <c r="P594" i="24"/>
  <c r="U594" i="24" s="1"/>
  <c r="O594" i="24"/>
  <c r="T594" i="24" s="1"/>
  <c r="R578" i="24"/>
  <c r="Q578" i="24"/>
  <c r="P578" i="24"/>
  <c r="U578" i="24" s="1"/>
  <c r="O578" i="24"/>
  <c r="T578" i="24" s="1"/>
  <c r="R468" i="24"/>
  <c r="Q468" i="24"/>
  <c r="P468" i="24"/>
  <c r="U468" i="24" s="1"/>
  <c r="O468" i="24"/>
  <c r="T468" i="24" s="1"/>
  <c r="R382" i="24"/>
  <c r="Q382" i="24"/>
  <c r="P382" i="24"/>
  <c r="U382" i="24" s="1"/>
  <c r="O382" i="24"/>
  <c r="T382" i="24" s="1"/>
  <c r="R339" i="24"/>
  <c r="Q339" i="24"/>
  <c r="P339" i="24"/>
  <c r="U339" i="24" s="1"/>
  <c r="O339" i="24"/>
  <c r="T339" i="24" s="1"/>
  <c r="R330" i="24"/>
  <c r="Q330" i="24"/>
  <c r="P330" i="24"/>
  <c r="U330" i="24" s="1"/>
  <c r="O330" i="24"/>
  <c r="T330" i="24" s="1"/>
  <c r="R298" i="24"/>
  <c r="Q298" i="24"/>
  <c r="P298" i="24"/>
  <c r="U298" i="24" s="1"/>
  <c r="O298" i="24"/>
  <c r="T298" i="24" s="1"/>
  <c r="R223" i="24"/>
  <c r="Q223" i="24"/>
  <c r="P223" i="24"/>
  <c r="U223" i="24" s="1"/>
  <c r="O223" i="24"/>
  <c r="T223" i="24" s="1"/>
  <c r="R26" i="24"/>
  <c r="Q26" i="24"/>
  <c r="P26" i="24"/>
  <c r="U26" i="24" s="1"/>
  <c r="O26" i="24"/>
  <c r="T26" i="24" s="1"/>
  <c r="R613" i="24"/>
  <c r="Q613" i="24"/>
  <c r="P613" i="24"/>
  <c r="U613" i="24" s="1"/>
  <c r="O613" i="24"/>
  <c r="T613" i="24" s="1"/>
  <c r="R598" i="24"/>
  <c r="Q598" i="24"/>
  <c r="P598" i="24"/>
  <c r="U598" i="24" s="1"/>
  <c r="O598" i="24"/>
  <c r="T598" i="24" s="1"/>
  <c r="R554" i="24"/>
  <c r="Q554" i="24"/>
  <c r="P554" i="24"/>
  <c r="U554" i="24" s="1"/>
  <c r="O554" i="24"/>
  <c r="T554" i="24" s="1"/>
  <c r="R530" i="24"/>
  <c r="Q530" i="24"/>
  <c r="P530" i="24"/>
  <c r="U530" i="24" s="1"/>
  <c r="O530" i="24"/>
  <c r="T530" i="24" s="1"/>
  <c r="R495" i="24"/>
  <c r="Q495" i="24"/>
  <c r="P495" i="24"/>
  <c r="U495" i="24" s="1"/>
  <c r="O495" i="24"/>
  <c r="T495" i="24" s="1"/>
  <c r="R477" i="24"/>
  <c r="Q477" i="24"/>
  <c r="P477" i="24"/>
  <c r="U477" i="24" s="1"/>
  <c r="O477" i="24"/>
  <c r="T477" i="24" s="1"/>
  <c r="R463" i="24"/>
  <c r="Q463" i="24"/>
  <c r="P463" i="24"/>
  <c r="U463" i="24" s="1"/>
  <c r="O463" i="24"/>
  <c r="T463" i="24" s="1"/>
  <c r="R443" i="24"/>
  <c r="Q443" i="24"/>
  <c r="P443" i="24"/>
  <c r="U443" i="24" s="1"/>
  <c r="O443" i="24"/>
  <c r="T443" i="24" s="1"/>
  <c r="R389" i="24"/>
  <c r="Q389" i="24"/>
  <c r="P389" i="24"/>
  <c r="U389" i="24" s="1"/>
  <c r="O389" i="24"/>
  <c r="T389" i="24" s="1"/>
  <c r="R307" i="24"/>
  <c r="Q307" i="24"/>
  <c r="P307" i="24"/>
  <c r="U307" i="24" s="1"/>
  <c r="O307" i="24"/>
  <c r="T307" i="24" s="1"/>
  <c r="R288" i="24"/>
  <c r="Q288" i="24"/>
  <c r="P288" i="24"/>
  <c r="U288" i="24" s="1"/>
  <c r="O288" i="24"/>
  <c r="T288" i="24" s="1"/>
  <c r="R240" i="24"/>
  <c r="Q240" i="24"/>
  <c r="P240" i="24"/>
  <c r="U240" i="24" s="1"/>
  <c r="O240" i="24"/>
  <c r="T240" i="24" s="1"/>
  <c r="R224" i="24"/>
  <c r="Q224" i="24"/>
  <c r="P224" i="24"/>
  <c r="U224" i="24" s="1"/>
  <c r="O224" i="24"/>
  <c r="T224" i="24" s="1"/>
  <c r="R215" i="24"/>
  <c r="Q215" i="24"/>
  <c r="P215" i="24"/>
  <c r="U215" i="24" s="1"/>
  <c r="O215" i="24"/>
  <c r="T215" i="24" s="1"/>
  <c r="R208" i="24"/>
  <c r="Q208" i="24"/>
  <c r="P208" i="24"/>
  <c r="U208" i="24" s="1"/>
  <c r="O208" i="24"/>
  <c r="T208" i="24" s="1"/>
  <c r="R184" i="24"/>
  <c r="Q184" i="24"/>
  <c r="P184" i="24"/>
  <c r="U184" i="24" s="1"/>
  <c r="O184" i="24"/>
  <c r="T184" i="24" s="1"/>
  <c r="R156" i="24"/>
  <c r="Q156" i="24"/>
  <c r="P156" i="24"/>
  <c r="U156" i="24" s="1"/>
  <c r="O156" i="24"/>
  <c r="T156" i="24" s="1"/>
  <c r="R109" i="24"/>
  <c r="Q109" i="24"/>
  <c r="P109" i="24"/>
  <c r="U109" i="24" s="1"/>
  <c r="O109" i="24"/>
  <c r="T109" i="24" s="1"/>
  <c r="R66" i="24"/>
  <c r="Q66" i="24"/>
  <c r="P66" i="24"/>
  <c r="U66" i="24" s="1"/>
  <c r="O66" i="24"/>
  <c r="T66" i="24" s="1"/>
  <c r="R519" i="24"/>
  <c r="Q519" i="24"/>
  <c r="P519" i="24"/>
  <c r="U519" i="24" s="1"/>
  <c r="O519" i="24"/>
  <c r="T519" i="24" s="1"/>
  <c r="R441" i="24"/>
  <c r="Q441" i="24"/>
  <c r="P441" i="24"/>
  <c r="U441" i="24" s="1"/>
  <c r="O441" i="24"/>
  <c r="T441" i="24" s="1"/>
  <c r="R435" i="24"/>
  <c r="Q435" i="24"/>
  <c r="P435" i="24"/>
  <c r="U435" i="24" s="1"/>
  <c r="O435" i="24"/>
  <c r="T435" i="24" s="1"/>
  <c r="R338" i="24"/>
  <c r="Q338" i="24"/>
  <c r="P338" i="24"/>
  <c r="U338" i="24" s="1"/>
  <c r="O338" i="24"/>
  <c r="T338" i="24" s="1"/>
  <c r="R227" i="24"/>
  <c r="Q227" i="24"/>
  <c r="P227" i="24"/>
  <c r="U227" i="24" s="1"/>
  <c r="O227" i="24"/>
  <c r="T227" i="24" s="1"/>
  <c r="R173" i="24"/>
  <c r="Q173" i="24"/>
  <c r="P173" i="24"/>
  <c r="U173" i="24" s="1"/>
  <c r="O173" i="24"/>
  <c r="T173" i="24" s="1"/>
  <c r="R8" i="24"/>
  <c r="Q8" i="24"/>
  <c r="P8" i="24"/>
  <c r="O8" i="24"/>
  <c r="R299" i="24"/>
  <c r="Q299" i="24"/>
  <c r="P299" i="24"/>
  <c r="O299" i="24"/>
  <c r="V7" i="24" l="1"/>
  <c r="W7" i="24" s="1"/>
  <c r="V38" i="24"/>
  <c r="W38" i="24" s="1"/>
  <c r="V191" i="24"/>
  <c r="W191" i="24" s="1"/>
  <c r="V455" i="24"/>
  <c r="W455" i="24" s="1"/>
  <c r="V549" i="24"/>
  <c r="W549" i="24" s="1"/>
  <c r="V671" i="24"/>
  <c r="W671" i="24" s="1"/>
  <c r="V106" i="24"/>
  <c r="W106" i="24" s="1"/>
  <c r="V201" i="24"/>
  <c r="W201" i="24" s="1"/>
  <c r="V570" i="24"/>
  <c r="W570" i="24" s="1"/>
  <c r="V618" i="24"/>
  <c r="W618" i="24" s="1"/>
  <c r="V29" i="24"/>
  <c r="W29" i="24" s="1"/>
  <c r="V207" i="24"/>
  <c r="W207" i="24" s="1"/>
  <c r="V681" i="24"/>
  <c r="W681" i="24" s="1"/>
  <c r="V44" i="24"/>
  <c r="W44" i="24" s="1"/>
  <c r="V71" i="24"/>
  <c r="W71" i="24" s="1"/>
  <c r="V160" i="24"/>
  <c r="W160" i="24" s="1"/>
  <c r="V551" i="24"/>
  <c r="W551" i="24" s="1"/>
  <c r="V572" i="24"/>
  <c r="W572" i="24" s="1"/>
  <c r="V350" i="24"/>
  <c r="W350" i="24" s="1"/>
  <c r="V492" i="24"/>
  <c r="W492" i="24" s="1"/>
  <c r="V493" i="24"/>
  <c r="W493" i="24" s="1"/>
  <c r="V122" i="24"/>
  <c r="W122" i="24" s="1"/>
  <c r="V311" i="24"/>
  <c r="W311" i="24" s="1"/>
  <c r="V534" i="24"/>
  <c r="W534" i="24" s="1"/>
  <c r="V640" i="24"/>
  <c r="W640" i="24" s="1"/>
  <c r="V434" i="24"/>
  <c r="W434" i="24" s="1"/>
  <c r="V310" i="24"/>
  <c r="W310" i="24" s="1"/>
  <c r="V45" i="24"/>
  <c r="W45" i="24" s="1"/>
  <c r="V189" i="24"/>
  <c r="W189" i="24" s="1"/>
  <c r="V256" i="24"/>
  <c r="W256" i="24" s="1"/>
  <c r="V385" i="24"/>
  <c r="W385" i="24" s="1"/>
  <c r="V458" i="24"/>
  <c r="W458" i="24" s="1"/>
  <c r="V531" i="24"/>
  <c r="W531" i="24" s="1"/>
  <c r="V590" i="24"/>
  <c r="W590" i="24" s="1"/>
  <c r="V170" i="24"/>
  <c r="W170" i="24" s="1"/>
  <c r="V232" i="24"/>
  <c r="W232" i="24" s="1"/>
  <c r="V124" i="24"/>
  <c r="W124" i="24" s="1"/>
  <c r="V255" i="24"/>
  <c r="W255" i="24" s="1"/>
  <c r="V323" i="24"/>
  <c r="W323" i="24" s="1"/>
  <c r="V346" i="24"/>
  <c r="W346" i="24" s="1"/>
  <c r="V636" i="24"/>
  <c r="W636" i="24" s="1"/>
  <c r="V394" i="24"/>
  <c r="W394" i="24" s="1"/>
  <c r="V388" i="24"/>
  <c r="W388" i="24" s="1"/>
  <c r="V559" i="24"/>
  <c r="W559" i="24" s="1"/>
  <c r="V115" i="24"/>
  <c r="W115" i="24" s="1"/>
  <c r="V121" i="24"/>
  <c r="W121" i="24" s="1"/>
  <c r="V226" i="24"/>
  <c r="W226" i="24" s="1"/>
  <c r="V592" i="24"/>
  <c r="W592" i="24" s="1"/>
  <c r="V600" i="24"/>
  <c r="W600" i="24" s="1"/>
  <c r="V617" i="24"/>
  <c r="W617" i="24" s="1"/>
  <c r="V637" i="24"/>
  <c r="W637" i="24" s="1"/>
  <c r="V642" i="24"/>
  <c r="W642" i="24" s="1"/>
  <c r="V643" i="24"/>
  <c r="W643" i="24" s="1"/>
  <c r="V651" i="24"/>
  <c r="W651" i="24" s="1"/>
  <c r="V672" i="24"/>
  <c r="W672" i="24" s="1"/>
  <c r="V676" i="24"/>
  <c r="W676" i="24" s="1"/>
  <c r="V22" i="24"/>
  <c r="W22" i="24" s="1"/>
  <c r="V97" i="24"/>
  <c r="W97" i="24" s="1"/>
  <c r="V270" i="24"/>
  <c r="W270" i="24" s="1"/>
  <c r="V639" i="24"/>
  <c r="W639" i="24" s="1"/>
  <c r="V114" i="24"/>
  <c r="W114" i="24" s="1"/>
  <c r="V127" i="24"/>
  <c r="W127" i="24" s="1"/>
  <c r="V265" i="24"/>
  <c r="W265" i="24" s="1"/>
  <c r="V476" i="24"/>
  <c r="W476" i="24" s="1"/>
  <c r="V509" i="24"/>
  <c r="W509" i="24" s="1"/>
  <c r="V568" i="24"/>
  <c r="W568" i="24" s="1"/>
  <c r="V579" i="24"/>
  <c r="W579" i="24" s="1"/>
  <c r="V648" i="24"/>
  <c r="W648" i="24" s="1"/>
  <c r="V11" i="24"/>
  <c r="W11" i="24" s="1"/>
  <c r="V12" i="24"/>
  <c r="W12" i="24" s="1"/>
  <c r="V24" i="24"/>
  <c r="W24" i="24" s="1"/>
  <c r="V49" i="24"/>
  <c r="W49" i="24" s="1"/>
  <c r="V110" i="24"/>
  <c r="W110" i="24" s="1"/>
  <c r="V116" i="24"/>
  <c r="W116" i="24" s="1"/>
  <c r="V117" i="24"/>
  <c r="W117" i="24" s="1"/>
  <c r="V132" i="24"/>
  <c r="W132" i="24" s="1"/>
  <c r="V136" i="24"/>
  <c r="W136" i="24" s="1"/>
  <c r="V175" i="24"/>
  <c r="W175" i="24" s="1"/>
  <c r="V320" i="24"/>
  <c r="W320" i="24" s="1"/>
  <c r="V366" i="24"/>
  <c r="W366" i="24" s="1"/>
  <c r="V381" i="24"/>
  <c r="W381" i="24" s="1"/>
  <c r="V513" i="24"/>
  <c r="W513" i="24" s="1"/>
  <c r="V638" i="24"/>
  <c r="W638" i="24" s="1"/>
  <c r="V645" i="24"/>
  <c r="W645" i="24" s="1"/>
  <c r="V322" i="24"/>
  <c r="W322" i="24" s="1"/>
  <c r="V628" i="24"/>
  <c r="W628" i="24" s="1"/>
  <c r="V25" i="24"/>
  <c r="W25" i="24" s="1"/>
  <c r="V47" i="24"/>
  <c r="W47" i="24" s="1"/>
  <c r="V68" i="24"/>
  <c r="W68" i="24" s="1"/>
  <c r="V93" i="24"/>
  <c r="W93" i="24" s="1"/>
  <c r="V128" i="24"/>
  <c r="W128" i="24" s="1"/>
  <c r="V202" i="24"/>
  <c r="W202" i="24" s="1"/>
  <c r="V302" i="24"/>
  <c r="W302" i="24" s="1"/>
  <c r="V357" i="24"/>
  <c r="W357" i="24" s="1"/>
  <c r="V508" i="24"/>
  <c r="W508" i="24" s="1"/>
  <c r="V675" i="24"/>
  <c r="W675" i="24" s="1"/>
  <c r="V158" i="24"/>
  <c r="W158" i="24" s="1"/>
  <c r="V309" i="24"/>
  <c r="W309" i="24" s="1"/>
  <c r="V390" i="24"/>
  <c r="W390" i="24" s="1"/>
  <c r="V409" i="24"/>
  <c r="W409" i="24" s="1"/>
  <c r="V415" i="24"/>
  <c r="W415" i="24" s="1"/>
  <c r="V444" i="24"/>
  <c r="W444" i="24" s="1"/>
  <c r="V471" i="24"/>
  <c r="W471" i="24" s="1"/>
  <c r="V494" i="24"/>
  <c r="W494" i="24" s="1"/>
  <c r="V510" i="24"/>
  <c r="W510" i="24" s="1"/>
  <c r="V596" i="24"/>
  <c r="W596" i="24" s="1"/>
  <c r="V689" i="24"/>
  <c r="W689" i="24" s="1"/>
  <c r="V392" i="24"/>
  <c r="W392" i="24" s="1"/>
  <c r="V488" i="24"/>
  <c r="W488" i="24" s="1"/>
  <c r="V496" i="24"/>
  <c r="W496" i="24" s="1"/>
  <c r="V497" i="24"/>
  <c r="W497" i="24" s="1"/>
  <c r="V504" i="24"/>
  <c r="W504" i="24" s="1"/>
  <c r="V533" i="24"/>
  <c r="W533" i="24" s="1"/>
  <c r="V563" i="24"/>
  <c r="W563" i="24" s="1"/>
  <c r="V607" i="24"/>
  <c r="W607" i="24" s="1"/>
  <c r="V666" i="24"/>
  <c r="W666" i="24" s="1"/>
  <c r="V668" i="24"/>
  <c r="W668" i="24" s="1"/>
  <c r="V677" i="24"/>
  <c r="W677" i="24" s="1"/>
  <c r="V682" i="24"/>
  <c r="W682" i="24" s="1"/>
  <c r="V683" i="24"/>
  <c r="W683" i="24" s="1"/>
  <c r="V173" i="24"/>
  <c r="W173" i="24" s="1"/>
  <c r="V227" i="24"/>
  <c r="W227" i="24" s="1"/>
  <c r="V338" i="24"/>
  <c r="W338" i="24" s="1"/>
  <c r="V435" i="24"/>
  <c r="W435" i="24" s="1"/>
  <c r="V441" i="24"/>
  <c r="W441" i="24" s="1"/>
  <c r="V519" i="24"/>
  <c r="W519" i="24" s="1"/>
  <c r="V66" i="24"/>
  <c r="W66" i="24" s="1"/>
  <c r="V109" i="24"/>
  <c r="W109" i="24" s="1"/>
  <c r="V156" i="24"/>
  <c r="W156" i="24" s="1"/>
  <c r="V184" i="24"/>
  <c r="W184" i="24" s="1"/>
  <c r="V208" i="24"/>
  <c r="W208" i="24" s="1"/>
  <c r="V215" i="24"/>
  <c r="W215" i="24" s="1"/>
  <c r="V224" i="24"/>
  <c r="W224" i="24" s="1"/>
  <c r="V240" i="24"/>
  <c r="W240" i="24" s="1"/>
  <c r="V288" i="24"/>
  <c r="W288" i="24" s="1"/>
  <c r="V307" i="24"/>
  <c r="W307" i="24" s="1"/>
  <c r="V389" i="24"/>
  <c r="W389" i="24" s="1"/>
  <c r="V443" i="24"/>
  <c r="W443" i="24" s="1"/>
  <c r="V463" i="24"/>
  <c r="W463" i="24" s="1"/>
  <c r="V477" i="24"/>
  <c r="W477" i="24" s="1"/>
  <c r="V495" i="24"/>
  <c r="W495" i="24" s="1"/>
  <c r="V530" i="24"/>
  <c r="W530" i="24" s="1"/>
  <c r="V554" i="24"/>
  <c r="W554" i="24" s="1"/>
  <c r="V598" i="24"/>
  <c r="W598" i="24" s="1"/>
  <c r="V613" i="24"/>
  <c r="W613" i="24" s="1"/>
  <c r="V26" i="24"/>
  <c r="W26" i="24" s="1"/>
  <c r="V223" i="24"/>
  <c r="W223" i="24" s="1"/>
  <c r="V298" i="24"/>
  <c r="W298" i="24" s="1"/>
  <c r="V330" i="24"/>
  <c r="W330" i="24" s="1"/>
  <c r="V339" i="24"/>
  <c r="W339" i="24" s="1"/>
  <c r="V382" i="24"/>
  <c r="W382" i="24" s="1"/>
  <c r="V468" i="24"/>
  <c r="W468" i="24" s="1"/>
  <c r="V578" i="24"/>
  <c r="W578" i="24" s="1"/>
  <c r="V594" i="24"/>
  <c r="W594" i="24" s="1"/>
  <c r="V602" i="24"/>
  <c r="W602" i="24" s="1"/>
  <c r="V657" i="24"/>
  <c r="W657" i="24" s="1"/>
  <c r="V696" i="24"/>
  <c r="W696" i="24" s="1"/>
  <c r="V3" i="24"/>
  <c r="W3" i="24" s="1"/>
  <c r="V32" i="24"/>
  <c r="W32" i="24" s="1"/>
  <c r="V80" i="24"/>
  <c r="W80" i="24" s="1"/>
  <c r="V81" i="24"/>
  <c r="W81" i="24" s="1"/>
  <c r="V125" i="24"/>
  <c r="W125" i="24" s="1"/>
  <c r="V206" i="24"/>
  <c r="W206" i="24" s="1"/>
  <c r="V216" i="24"/>
  <c r="W216" i="24" s="1"/>
  <c r="V280" i="24"/>
  <c r="W280" i="24" s="1"/>
  <c r="V290" i="24"/>
  <c r="W290" i="24" s="1"/>
  <c r="V369" i="24"/>
  <c r="W369" i="24" s="1"/>
  <c r="V425" i="24"/>
  <c r="W425" i="24" s="1"/>
  <c r="V430" i="24"/>
  <c r="W430" i="24" s="1"/>
  <c r="V511" i="24"/>
  <c r="W511" i="24" s="1"/>
  <c r="V561" i="24"/>
  <c r="W561" i="24" s="1"/>
  <c r="V62" i="24"/>
  <c r="W62" i="24" s="1"/>
  <c r="V91" i="24"/>
  <c r="W91" i="24" s="1"/>
  <c r="V108" i="24"/>
  <c r="W108" i="24" s="1"/>
  <c r="V192" i="24"/>
  <c r="W192" i="24" s="1"/>
  <c r="V220" i="24"/>
  <c r="W220" i="24" s="1"/>
  <c r="V318" i="24"/>
  <c r="W318" i="24" s="1"/>
  <c r="V474" i="24"/>
  <c r="W474" i="24" s="1"/>
  <c r="V605" i="24"/>
  <c r="W605" i="24" s="1"/>
  <c r="V112" i="24"/>
  <c r="W112" i="24" s="1"/>
  <c r="V183" i="24"/>
  <c r="W183" i="24" s="1"/>
  <c r="V247" i="24"/>
  <c r="W247" i="24" s="1"/>
  <c r="V285" i="24"/>
  <c r="W285" i="24" s="1"/>
  <c r="V287" i="24"/>
  <c r="W287" i="24" s="1"/>
  <c r="V305" i="24"/>
  <c r="W305" i="24" s="1"/>
  <c r="V308" i="24"/>
  <c r="W308" i="24" s="1"/>
  <c r="V412" i="24"/>
  <c r="W412" i="24" s="1"/>
  <c r="V543" i="24"/>
  <c r="W543" i="24" s="1"/>
  <c r="V555" i="24"/>
  <c r="W555" i="24" s="1"/>
  <c r="V562" i="24"/>
  <c r="W562" i="24" s="1"/>
  <c r="V565" i="24"/>
  <c r="W565" i="24" s="1"/>
  <c r="V653" i="24"/>
  <c r="W653" i="24" s="1"/>
  <c r="V313" i="24"/>
  <c r="W313" i="24" s="1"/>
  <c r="V433" i="24"/>
  <c r="W433" i="24" s="1"/>
  <c r="V542" i="24"/>
  <c r="W542" i="24" s="1"/>
  <c r="V546" i="24"/>
  <c r="W546" i="24" s="1"/>
  <c r="V665" i="24"/>
  <c r="W665" i="24" s="1"/>
  <c r="V96" i="24"/>
  <c r="W96" i="24" s="1"/>
  <c r="V213" i="24"/>
  <c r="W213" i="24" s="1"/>
  <c r="V500" i="24"/>
  <c r="W500" i="24" s="1"/>
  <c r="V699" i="24"/>
  <c r="W699" i="24" s="1"/>
  <c r="V351" i="24"/>
  <c r="W351" i="24" s="1"/>
  <c r="V539" i="24"/>
  <c r="W539" i="24" s="1"/>
  <c r="V576" i="24"/>
  <c r="W576" i="24" s="1"/>
  <c r="V624" i="24"/>
  <c r="W624" i="24" s="1"/>
  <c r="V630" i="24"/>
  <c r="W630" i="24" s="1"/>
  <c r="V652" i="24"/>
  <c r="W652" i="24" s="1"/>
  <c r="V674" i="24"/>
  <c r="W674" i="24" s="1"/>
  <c r="V678" i="24"/>
  <c r="W678" i="24" s="1"/>
  <c r="V123" i="24"/>
  <c r="W123" i="24" s="1"/>
  <c r="V447" i="24"/>
  <c r="W447" i="24" s="1"/>
  <c r="V485" i="24"/>
  <c r="W485" i="24" s="1"/>
  <c r="V556" i="24"/>
  <c r="W556" i="24" s="1"/>
  <c r="V612" i="24"/>
  <c r="W612" i="24" s="1"/>
  <c r="V619" i="24"/>
  <c r="W619" i="24" s="1"/>
  <c r="V37" i="24"/>
  <c r="W37" i="24" s="1"/>
  <c r="V119" i="24"/>
  <c r="W119" i="24" s="1"/>
  <c r="V312" i="24"/>
  <c r="W312" i="24" s="1"/>
  <c r="V319" i="24"/>
  <c r="W319" i="24" s="1"/>
  <c r="V348" i="24"/>
  <c r="W348" i="24" s="1"/>
  <c r="V418" i="24"/>
  <c r="W418" i="24" s="1"/>
  <c r="V482" i="24"/>
  <c r="W482" i="24" s="1"/>
  <c r="V574" i="24"/>
  <c r="W574" i="24" s="1"/>
  <c r="V577" i="24"/>
  <c r="W577" i="24" s="1"/>
  <c r="V587" i="24"/>
  <c r="W587" i="24" s="1"/>
  <c r="V593" i="24"/>
  <c r="W593" i="24" s="1"/>
  <c r="V599" i="24"/>
  <c r="W599" i="24" s="1"/>
  <c r="V641" i="24"/>
  <c r="W641" i="24" s="1"/>
  <c r="V644" i="24"/>
  <c r="W644" i="24" s="1"/>
  <c r="V694" i="24"/>
  <c r="W694" i="24" s="1"/>
  <c r="V219" i="24"/>
  <c r="W219" i="24" s="1"/>
  <c r="V171" i="24"/>
  <c r="W171" i="24" s="1"/>
  <c r="V28" i="24"/>
  <c r="W28" i="24" s="1"/>
  <c r="V51" i="24"/>
  <c r="W51" i="24" s="1"/>
  <c r="V120" i="24"/>
  <c r="W120" i="24" s="1"/>
  <c r="V130" i="24"/>
  <c r="W130" i="24" s="1"/>
  <c r="V387" i="24"/>
  <c r="W387" i="24" s="1"/>
  <c r="V400" i="24"/>
  <c r="W400" i="24" s="1"/>
  <c r="V419" i="24"/>
  <c r="W419" i="24" s="1"/>
  <c r="V553" i="24"/>
  <c r="W553" i="24" s="1"/>
  <c r="V647" i="24"/>
  <c r="W647" i="24" s="1"/>
  <c r="V188" i="24"/>
  <c r="W188" i="24" s="1"/>
  <c r="V77" i="24"/>
  <c r="W77" i="24" s="1"/>
  <c r="V233" i="24"/>
  <c r="W233" i="24" s="1"/>
  <c r="V237" i="24"/>
  <c r="W237" i="24" s="1"/>
  <c r="V238" i="24"/>
  <c r="W238" i="24" s="1"/>
  <c r="V426" i="24"/>
  <c r="W426" i="24" s="1"/>
  <c r="V502" i="24"/>
  <c r="W502" i="24" s="1"/>
  <c r="V582" i="24"/>
  <c r="W582" i="24" s="1"/>
  <c r="V146" i="24"/>
  <c r="W146" i="24" s="1"/>
  <c r="V174" i="24"/>
  <c r="W174" i="24" s="1"/>
  <c r="V194" i="24"/>
  <c r="W194" i="24" s="1"/>
  <c r="V195" i="24"/>
  <c r="W195" i="24" s="1"/>
  <c r="V259" i="24"/>
  <c r="W259" i="24" s="1"/>
  <c r="V416" i="24"/>
  <c r="W416" i="24" s="1"/>
  <c r="V440" i="24"/>
  <c r="W440" i="24" s="1"/>
  <c r="V506" i="24"/>
  <c r="W506" i="24" s="1"/>
  <c r="V571" i="24"/>
  <c r="W571" i="24" s="1"/>
  <c r="V588" i="24"/>
  <c r="W588" i="24" s="1"/>
  <c r="V635" i="24"/>
  <c r="W635" i="24" s="1"/>
  <c r="V698" i="24"/>
  <c r="W698" i="24" s="1"/>
  <c r="V99" i="24"/>
  <c r="W99" i="24" s="1"/>
  <c r="V111" i="24"/>
  <c r="W111" i="24" s="1"/>
  <c r="V300" i="24"/>
  <c r="W300" i="24" s="1"/>
  <c r="V537" i="24"/>
  <c r="W537" i="24" s="1"/>
  <c r="V622" i="24"/>
  <c r="W622" i="24" s="1"/>
  <c r="V5" i="24"/>
  <c r="W5" i="24" s="1"/>
  <c r="V6" i="24"/>
  <c r="W6" i="24" s="1"/>
  <c r="V84" i="24"/>
  <c r="W84" i="24" s="1"/>
  <c r="V87" i="24"/>
  <c r="W87" i="24" s="1"/>
  <c r="V134" i="24"/>
  <c r="W134" i="24" s="1"/>
  <c r="V165" i="24"/>
  <c r="W165" i="24" s="1"/>
  <c r="V176" i="24"/>
  <c r="W176" i="24" s="1"/>
  <c r="V205" i="24"/>
  <c r="W205" i="24" s="1"/>
  <c r="V209" i="24"/>
  <c r="W209" i="24" s="1"/>
  <c r="V263" i="24"/>
  <c r="W263" i="24" s="1"/>
  <c r="V367" i="24"/>
  <c r="W367" i="24" s="1"/>
  <c r="V516" i="24"/>
  <c r="W516" i="24" s="1"/>
  <c r="V518" i="24"/>
  <c r="W518" i="24" s="1"/>
  <c r="V31" i="24"/>
  <c r="W31" i="24" s="1"/>
  <c r="V105" i="24"/>
  <c r="W105" i="24" s="1"/>
  <c r="V113" i="24"/>
  <c r="W113" i="24" s="1"/>
  <c r="V249" i="24"/>
  <c r="W249" i="24" s="1"/>
  <c r="V276" i="24"/>
  <c r="W276" i="24" s="1"/>
  <c r="V289" i="24"/>
  <c r="W289" i="24" s="1"/>
  <c r="V353" i="24"/>
  <c r="W353" i="24" s="1"/>
  <c r="V431" i="24"/>
  <c r="W431" i="24" s="1"/>
  <c r="V470" i="24"/>
  <c r="W470" i="24" s="1"/>
  <c r="V498" i="24"/>
  <c r="W498" i="24" s="1"/>
  <c r="V601" i="24"/>
  <c r="W601" i="24" s="1"/>
  <c r="V633" i="24"/>
  <c r="W633" i="24" s="1"/>
  <c r="V692" i="24"/>
  <c r="W692" i="24" s="1"/>
  <c r="V27" i="24"/>
  <c r="W27" i="24" s="1"/>
  <c r="V43" i="24"/>
  <c r="W43" i="24" s="1"/>
  <c r="V282" i="24"/>
  <c r="W282" i="24" s="1"/>
  <c r="V328" i="24"/>
  <c r="W328" i="24" s="1"/>
  <c r="V82" i="24"/>
  <c r="W82" i="24" s="1"/>
  <c r="V157" i="24"/>
  <c r="W157" i="24" s="1"/>
  <c r="V164" i="24"/>
  <c r="W164" i="24" s="1"/>
  <c r="V187" i="24"/>
  <c r="W187" i="24" s="1"/>
  <c r="V437" i="24"/>
  <c r="W437" i="24" s="1"/>
  <c r="V501" i="24"/>
  <c r="W501" i="24" s="1"/>
  <c r="V56" i="24"/>
  <c r="W56" i="24" s="1"/>
  <c r="V67" i="24"/>
  <c r="W67" i="24" s="1"/>
  <c r="V107" i="24"/>
  <c r="W107" i="24" s="1"/>
  <c r="V472" i="24"/>
  <c r="W472" i="24" s="1"/>
  <c r="V218" i="24"/>
  <c r="W218" i="24" s="1"/>
  <c r="V268" i="24"/>
  <c r="W268" i="24" s="1"/>
  <c r="V20" i="24"/>
  <c r="W20" i="24" s="1"/>
  <c r="V64" i="24"/>
  <c r="W64" i="24" s="1"/>
  <c r="V129" i="24"/>
  <c r="W129" i="24" s="1"/>
  <c r="V217" i="24"/>
  <c r="W217" i="24" s="1"/>
  <c r="V243" i="24"/>
  <c r="W243" i="24" s="1"/>
  <c r="V427" i="24"/>
  <c r="W427" i="24" s="1"/>
  <c r="V550" i="24"/>
  <c r="W550" i="24" s="1"/>
  <c r="V646" i="24"/>
  <c r="W646" i="24" s="1"/>
  <c r="V18" i="24"/>
  <c r="W18" i="24" s="1"/>
  <c r="V23" i="24"/>
  <c r="W23" i="24" s="1"/>
  <c r="V118" i="24"/>
  <c r="W118" i="24" s="1"/>
  <c r="V155" i="24"/>
  <c r="W155" i="24" s="1"/>
  <c r="V228" i="24"/>
  <c r="W228" i="24" s="1"/>
  <c r="V371" i="24"/>
  <c r="W371" i="24" s="1"/>
  <c r="V101" i="24"/>
  <c r="W101" i="24" s="1"/>
  <c r="V197" i="24"/>
  <c r="W197" i="24" s="1"/>
  <c r="V244" i="24"/>
  <c r="W244" i="24" s="1"/>
  <c r="V503" i="24"/>
  <c r="W503" i="24" s="1"/>
  <c r="V8" i="24"/>
  <c r="W8" i="24" s="1"/>
  <c r="V104" i="24"/>
  <c r="W104" i="24" s="1"/>
  <c r="V231" i="24"/>
  <c r="W231" i="24" s="1"/>
  <c r="V667" i="24"/>
  <c r="W667" i="24" s="1"/>
  <c r="V538" i="24"/>
  <c r="W538" i="24" s="1"/>
  <c r="V253" i="24"/>
  <c r="W253" i="24" s="1"/>
  <c r="V269" i="24"/>
  <c r="W269" i="24" s="1"/>
  <c r="V528" i="24"/>
  <c r="W528" i="24" s="1"/>
  <c r="V454" i="24"/>
  <c r="W454" i="24" s="1"/>
  <c r="V299" i="24"/>
  <c r="W299" i="24" s="1"/>
  <c r="V98" i="24"/>
  <c r="W98" i="24" s="1"/>
  <c r="V199" i="24"/>
  <c r="W199" i="24" s="1"/>
  <c r="V609" i="24"/>
  <c r="W609" i="24" s="1"/>
  <c r="V200" i="24"/>
  <c r="W200" i="24" s="1"/>
  <c r="V701" i="24"/>
  <c r="W701" i="24" s="1"/>
  <c r="V65" i="24"/>
  <c r="W65" i="24" s="1"/>
  <c r="V486" i="24"/>
  <c r="W486" i="24" s="1"/>
  <c r="V234" i="24"/>
  <c r="W234" i="24" s="1"/>
  <c r="V193" i="24"/>
  <c r="W193" i="24" s="1"/>
  <c r="V581" i="24"/>
  <c r="W581" i="24" s="1"/>
  <c r="V63" i="24"/>
  <c r="W63" i="24" s="1"/>
  <c r="V373" i="24"/>
  <c r="W373" i="24" s="1"/>
  <c r="V230" i="24"/>
  <c r="W230" i="24" s="1"/>
  <c r="V13" i="24"/>
  <c r="W13" i="24" s="1"/>
  <c r="V94" i="24"/>
  <c r="W94" i="24" s="1"/>
  <c r="V161" i="24"/>
  <c r="W161" i="24" s="1"/>
  <c r="V303" i="24"/>
  <c r="W303" i="24" s="1"/>
  <c r="V358" i="24"/>
  <c r="W358" i="24" s="1"/>
  <c r="V564" i="24"/>
  <c r="W564" i="24" s="1"/>
  <c r="V661" i="24"/>
  <c r="W661" i="24" s="1"/>
  <c r="V695" i="24"/>
  <c r="W695" i="24" s="1"/>
  <c r="V60" i="24"/>
  <c r="W60" i="24" s="1"/>
  <c r="V144" i="24"/>
  <c r="W144" i="24" s="1"/>
  <c r="V196" i="24"/>
  <c r="W196" i="24" s="1"/>
  <c r="V260" i="24"/>
  <c r="W260" i="24" s="1"/>
  <c r="V281" i="24"/>
  <c r="W281" i="24" s="1"/>
  <c r="V296" i="24"/>
  <c r="W296" i="24" s="1"/>
  <c r="V316" i="24"/>
  <c r="W316" i="24" s="1"/>
  <c r="V333" i="24"/>
  <c r="W333" i="24" s="1"/>
  <c r="V354" i="24"/>
  <c r="W354" i="24" s="1"/>
  <c r="V386" i="24"/>
  <c r="W386" i="24" s="1"/>
  <c r="V428" i="24"/>
  <c r="W428" i="24" s="1"/>
  <c r="V439" i="24"/>
  <c r="W439" i="24" s="1"/>
  <c r="V475" i="24"/>
  <c r="W475" i="24" s="1"/>
  <c r="V535" i="24"/>
  <c r="W535" i="24" s="1"/>
  <c r="V608" i="24"/>
  <c r="W608" i="24" s="1"/>
  <c r="V406" i="24"/>
  <c r="W406" i="24" s="1"/>
  <c r="V169" i="24"/>
  <c r="W169" i="24" s="1"/>
  <c r="V143" i="24"/>
  <c r="W143" i="24" s="1"/>
  <c r="V59" i="24"/>
  <c r="W59" i="24" s="1"/>
  <c r="V222" i="24"/>
  <c r="W222" i="24" s="1"/>
  <c r="V297" i="24"/>
  <c r="W297" i="24" s="1"/>
  <c r="V349" i="24"/>
  <c r="W349" i="24" s="1"/>
  <c r="V410" i="24"/>
  <c r="W410" i="24" s="1"/>
  <c r="V566" i="24"/>
  <c r="W566" i="24" s="1"/>
  <c r="V536" i="24"/>
  <c r="W536" i="24" s="1"/>
  <c r="V258" i="24"/>
  <c r="W258" i="24" s="1"/>
  <c r="V422" i="24"/>
  <c r="W422" i="24" s="1"/>
  <c r="V70" i="24"/>
  <c r="W70" i="24" s="1"/>
  <c r="V190" i="24"/>
  <c r="W190" i="24" s="1"/>
  <c r="V291" i="24"/>
  <c r="W291" i="24" s="1"/>
  <c r="V398" i="24"/>
  <c r="W398" i="24" s="1"/>
  <c r="V456" i="24"/>
  <c r="W456" i="24" s="1"/>
  <c r="V540" i="24"/>
  <c r="W540" i="24" s="1"/>
  <c r="V548" i="24"/>
  <c r="W548" i="24" s="1"/>
  <c r="V585" i="24"/>
  <c r="W585" i="24" s="1"/>
  <c r="V620" i="24"/>
  <c r="W620" i="24" s="1"/>
  <c r="V632" i="24"/>
  <c r="W632" i="24" s="1"/>
  <c r="V686" i="24"/>
  <c r="W686" i="24" s="1"/>
  <c r="V9" i="24"/>
  <c r="W9" i="24" s="1"/>
  <c r="V35" i="24"/>
  <c r="W35" i="24" s="1"/>
  <c r="V73" i="24"/>
  <c r="W73" i="24" s="1"/>
  <c r="V85" i="24"/>
  <c r="W85" i="24" s="1"/>
  <c r="V131" i="24"/>
  <c r="W131" i="24" s="1"/>
  <c r="V142" i="24"/>
  <c r="W142" i="24" s="1"/>
  <c r="V152" i="24"/>
  <c r="W152" i="24" s="1"/>
  <c r="V181" i="24"/>
  <c r="W181" i="24" s="1"/>
  <c r="V204" i="24"/>
  <c r="W204" i="24" s="1"/>
  <c r="V245" i="24"/>
  <c r="W245" i="24" s="1"/>
  <c r="V264" i="24"/>
  <c r="W264" i="24" s="1"/>
  <c r="V336" i="24"/>
  <c r="W336" i="24" s="1"/>
  <c r="V383" i="24"/>
  <c r="W383" i="24" s="1"/>
  <c r="V424" i="24"/>
  <c r="W424" i="24" s="1"/>
  <c r="V273" i="24"/>
  <c r="W273" i="24" s="1"/>
  <c r="V277" i="24"/>
  <c r="W277" i="24" s="1"/>
  <c r="V401" i="24"/>
  <c r="W401" i="24" s="1"/>
  <c r="V69" i="24"/>
  <c r="W69" i="24" s="1"/>
  <c r="V377" i="24"/>
  <c r="W377" i="24" s="1"/>
  <c r="V182" i="24"/>
  <c r="W182" i="24" s="1"/>
  <c r="V50" i="24"/>
  <c r="W50" i="24" s="1"/>
  <c r="V102" i="24"/>
  <c r="W102" i="24" s="1"/>
  <c r="V211" i="24"/>
  <c r="W211" i="24" s="1"/>
  <c r="V317" i="24"/>
  <c r="W317" i="24" s="1"/>
  <c r="V363" i="24"/>
  <c r="W363" i="24" s="1"/>
  <c r="V616" i="24"/>
  <c r="W616" i="24" s="1"/>
  <c r="V662" i="24"/>
  <c r="W662" i="24" s="1"/>
  <c r="V4" i="24"/>
  <c r="W4" i="24" s="1"/>
  <c r="V89" i="24"/>
  <c r="W89" i="24" s="1"/>
  <c r="V148" i="24"/>
  <c r="W148" i="24" s="1"/>
  <c r="V203" i="24"/>
  <c r="W203" i="24" s="1"/>
  <c r="V271" i="24"/>
  <c r="W271" i="24" s="1"/>
  <c r="V293" i="24"/>
  <c r="W293" i="24" s="1"/>
  <c r="V304" i="24"/>
  <c r="W304" i="24" s="1"/>
  <c r="V321" i="24"/>
  <c r="W321" i="24" s="1"/>
  <c r="V343" i="24"/>
  <c r="W343" i="24" s="1"/>
  <c r="V359" i="24"/>
  <c r="W359" i="24" s="1"/>
  <c r="V397" i="24"/>
  <c r="W397" i="24" s="1"/>
  <c r="V429" i="24"/>
  <c r="W429" i="24" s="1"/>
  <c r="V459" i="24"/>
  <c r="W459" i="24" s="1"/>
  <c r="V481" i="24"/>
  <c r="W481" i="24" s="1"/>
  <c r="V541" i="24"/>
  <c r="W541" i="24" s="1"/>
  <c r="V669" i="24"/>
  <c r="W669" i="24" s="1"/>
  <c r="V53" i="24"/>
  <c r="W53" i="24" s="1"/>
  <c r="V370" i="24"/>
  <c r="W370" i="24" s="1"/>
  <c r="V341" i="24"/>
  <c r="W341" i="24" s="1"/>
  <c r="V61" i="24"/>
  <c r="W61" i="24" s="1"/>
  <c r="V261" i="24"/>
  <c r="W261" i="24" s="1"/>
  <c r="V301" i="24"/>
  <c r="W301" i="24" s="1"/>
  <c r="V372" i="24"/>
  <c r="W372" i="24" s="1"/>
  <c r="V423" i="24"/>
  <c r="W423" i="24" s="1"/>
  <c r="V589" i="24"/>
  <c r="W589" i="24" s="1"/>
  <c r="V597" i="24"/>
  <c r="W597" i="24" s="1"/>
  <c r="V267" i="24"/>
  <c r="W267" i="24" s="1"/>
  <c r="V14" i="24"/>
  <c r="W14" i="24" s="1"/>
  <c r="V149" i="24"/>
  <c r="W149" i="24" s="1"/>
  <c r="V212" i="24"/>
  <c r="W212" i="24" s="1"/>
  <c r="V360" i="24"/>
  <c r="W360" i="24" s="1"/>
  <c r="V436" i="24"/>
  <c r="W436" i="24" s="1"/>
  <c r="V467" i="24"/>
  <c r="W467" i="24" s="1"/>
  <c r="V544" i="24"/>
  <c r="W544" i="24" s="1"/>
  <c r="V567" i="24"/>
  <c r="W567" i="24" s="1"/>
  <c r="V603" i="24"/>
  <c r="W603" i="24" s="1"/>
  <c r="V623" i="24"/>
  <c r="W623" i="24" s="1"/>
  <c r="V658" i="24"/>
  <c r="W658" i="24" s="1"/>
  <c r="V688" i="24"/>
  <c r="W688" i="24" s="1"/>
  <c r="V17" i="24"/>
  <c r="W17" i="24" s="1"/>
  <c r="V36" i="24"/>
  <c r="W36" i="24" s="1"/>
  <c r="V75" i="24"/>
  <c r="W75" i="24" s="1"/>
  <c r="V88" i="24"/>
  <c r="W88" i="24" s="1"/>
  <c r="V133" i="24"/>
  <c r="W133" i="24" s="1"/>
  <c r="V145" i="24"/>
  <c r="W145" i="24" s="1"/>
  <c r="V167" i="24"/>
  <c r="W167" i="24" s="1"/>
  <c r="V185" i="24"/>
  <c r="W185" i="24" s="1"/>
  <c r="V221" i="24"/>
  <c r="W221" i="24" s="1"/>
  <c r="V246" i="24"/>
  <c r="W246" i="24" s="1"/>
  <c r="V292" i="24"/>
  <c r="W292" i="24" s="1"/>
  <c r="V340" i="24"/>
  <c r="W340" i="24" s="1"/>
  <c r="V365" i="24"/>
  <c r="W365" i="24" s="1"/>
  <c r="V384" i="24"/>
  <c r="W384" i="24" s="1"/>
  <c r="V407" i="24"/>
  <c r="W407" i="24" s="1"/>
  <c r="V442" i="24"/>
  <c r="W442" i="24" s="1"/>
  <c r="V479" i="24"/>
  <c r="W479" i="24" s="1"/>
  <c r="V505" i="24"/>
  <c r="W505" i="24" s="1"/>
  <c r="V573" i="24"/>
  <c r="W573" i="24" s="1"/>
  <c r="V591" i="24"/>
  <c r="W591" i="24" s="1"/>
  <c r="V649" i="24"/>
  <c r="W649" i="24" s="1"/>
  <c r="V673" i="24"/>
  <c r="W673" i="24" s="1"/>
  <c r="V327" i="24"/>
  <c r="W327" i="24" s="1"/>
  <c r="V656" i="24"/>
  <c r="W656" i="24" s="1"/>
  <c r="V141" i="24"/>
  <c r="W141" i="24" s="1"/>
  <c r="V252" i="24"/>
  <c r="W252" i="24" s="1"/>
  <c r="V411" i="24"/>
  <c r="W411" i="24" s="1"/>
  <c r="V532" i="24"/>
  <c r="W532" i="24" s="1"/>
  <c r="V337" i="24"/>
  <c r="W337" i="24" s="1"/>
  <c r="V332" i="24"/>
  <c r="W332" i="24" s="1"/>
  <c r="V39" i="24"/>
  <c r="W39" i="24" s="1"/>
  <c r="V523" i="24"/>
  <c r="W523" i="24" s="1"/>
  <c r="V526" i="24"/>
  <c r="W526" i="24" s="1"/>
  <c r="V42" i="24"/>
  <c r="W42" i="24" s="1"/>
  <c r="V154" i="24"/>
  <c r="W154" i="24" s="1"/>
  <c r="V393" i="24"/>
  <c r="W393" i="24" s="1"/>
  <c r="V697" i="24"/>
  <c r="W697" i="24" s="1"/>
  <c r="V634" i="24"/>
  <c r="W634" i="24" s="1"/>
  <c r="V693" i="24"/>
  <c r="W693" i="24" s="1"/>
  <c r="V391" i="24"/>
  <c r="W391" i="24" s="1"/>
  <c r="V284" i="24"/>
  <c r="W284" i="24" s="1"/>
  <c r="V380" i="24"/>
  <c r="W380" i="24" s="1"/>
  <c r="V464" i="24"/>
  <c r="W464" i="24" s="1"/>
  <c r="V72" i="24"/>
  <c r="W72" i="24" s="1"/>
  <c r="V103" i="24"/>
  <c r="W103" i="24" s="1"/>
  <c r="V449" i="24"/>
  <c r="W449" i="24" s="1"/>
  <c r="V483" i="24"/>
  <c r="W483" i="24" s="1"/>
  <c r="V52" i="24"/>
  <c r="W52" i="24" s="1"/>
  <c r="V135" i="24"/>
  <c r="W135" i="24" s="1"/>
  <c r="V235" i="24"/>
  <c r="W235" i="24" s="1"/>
  <c r="V342" i="24"/>
  <c r="W342" i="24" s="1"/>
  <c r="V414" i="24"/>
  <c r="W414" i="24" s="1"/>
  <c r="V629" i="24"/>
  <c r="W629" i="24" s="1"/>
  <c r="V663" i="24"/>
  <c r="W663" i="24" s="1"/>
  <c r="V30" i="24"/>
  <c r="W30" i="24" s="1"/>
  <c r="V90" i="24"/>
  <c r="W90" i="24" s="1"/>
  <c r="V153" i="24"/>
  <c r="W153" i="24" s="1"/>
  <c r="V241" i="24"/>
  <c r="W241" i="24" s="1"/>
  <c r="V275" i="24"/>
  <c r="W275" i="24" s="1"/>
  <c r="V294" i="24"/>
  <c r="W294" i="24" s="1"/>
  <c r="V314" i="24"/>
  <c r="W314" i="24" s="1"/>
  <c r="V325" i="24"/>
  <c r="W325" i="24" s="1"/>
  <c r="V344" i="24"/>
  <c r="W344" i="24" s="1"/>
  <c r="V364" i="24"/>
  <c r="W364" i="24" s="1"/>
  <c r="V413" i="24"/>
  <c r="W413" i="24" s="1"/>
  <c r="V432" i="24"/>
  <c r="W432" i="24" s="1"/>
  <c r="V462" i="24"/>
  <c r="W462" i="24" s="1"/>
  <c r="V514" i="24"/>
  <c r="W514" i="24" s="1"/>
  <c r="V159" i="24"/>
  <c r="W159" i="24" s="1"/>
  <c r="V484" i="24"/>
  <c r="W484" i="24" s="1"/>
  <c r="V74" i="24"/>
  <c r="W74" i="24" s="1"/>
  <c r="V180" i="24"/>
  <c r="W180" i="24" s="1"/>
  <c r="V529" i="24"/>
  <c r="W529" i="24" s="1"/>
  <c r="V95" i="24"/>
  <c r="W95" i="24" s="1"/>
  <c r="V664" i="24"/>
  <c r="W664" i="24" s="1"/>
  <c r="V408" i="24"/>
  <c r="W408" i="24" s="1"/>
  <c r="V466" i="24"/>
  <c r="W466" i="24" s="1"/>
  <c r="V248" i="24"/>
  <c r="W248" i="24" s="1"/>
  <c r="V560" i="24"/>
  <c r="W560" i="24" s="1"/>
  <c r="V524" i="24"/>
  <c r="W524" i="24" s="1"/>
  <c r="V460" i="24"/>
  <c r="W460" i="24" s="1"/>
  <c r="V250" i="24"/>
  <c r="W250" i="24" s="1"/>
  <c r="V54" i="24"/>
  <c r="W54" i="24" s="1"/>
  <c r="V527" i="24"/>
  <c r="W527" i="24" s="1"/>
  <c r="V86" i="24"/>
  <c r="W86" i="24" s="1"/>
  <c r="V139" i="24"/>
  <c r="W139" i="24" s="1"/>
  <c r="V257" i="24"/>
  <c r="W257" i="24" s="1"/>
  <c r="V347" i="24"/>
  <c r="W347" i="24" s="1"/>
  <c r="V473" i="24"/>
  <c r="W473" i="24" s="1"/>
  <c r="V660" i="24"/>
  <c r="W660" i="24" s="1"/>
  <c r="V679" i="24"/>
  <c r="W679" i="24" s="1"/>
  <c r="V41" i="24"/>
  <c r="W41" i="24" s="1"/>
  <c r="V138" i="24"/>
  <c r="W138" i="24" s="1"/>
  <c r="V179" i="24"/>
  <c r="W179" i="24" s="1"/>
  <c r="V251" i="24"/>
  <c r="W251" i="24" s="1"/>
  <c r="V279" i="24"/>
  <c r="W279" i="24" s="1"/>
  <c r="V295" i="24"/>
  <c r="W295" i="24" s="1"/>
  <c r="V315" i="24"/>
  <c r="W315" i="24" s="1"/>
  <c r="V326" i="24"/>
  <c r="W326" i="24" s="1"/>
  <c r="V352" i="24"/>
  <c r="W352" i="24" s="1"/>
  <c r="V368" i="24"/>
  <c r="W368" i="24" s="1"/>
  <c r="V417" i="24"/>
  <c r="W417" i="24" s="1"/>
  <c r="V438" i="24"/>
  <c r="W438" i="24" s="1"/>
  <c r="V469" i="24"/>
  <c r="W469" i="24" s="1"/>
  <c r="V520" i="24"/>
  <c r="W520" i="24" s="1"/>
  <c r="V517" i="24"/>
  <c r="W517" i="24" s="1"/>
  <c r="V569" i="24"/>
  <c r="W569" i="24" s="1"/>
  <c r="V700" i="24"/>
  <c r="W700" i="24" s="1"/>
  <c r="V16" i="24"/>
  <c r="W16" i="24" s="1"/>
  <c r="V210" i="24"/>
  <c r="W210" i="24" s="1"/>
  <c r="V58" i="24"/>
  <c r="W58" i="24" s="1"/>
  <c r="V151" i="24"/>
  <c r="W151" i="24" s="1"/>
  <c r="V278" i="24"/>
  <c r="W278" i="24" s="1"/>
  <c r="V324" i="24"/>
  <c r="W324" i="24" s="1"/>
  <c r="V395" i="24"/>
  <c r="W395" i="24" s="1"/>
  <c r="V558" i="24"/>
  <c r="W558" i="24" s="1"/>
  <c r="V57" i="24"/>
  <c r="W57" i="24" s="1"/>
  <c r="V225" i="24"/>
  <c r="W225" i="24" s="1"/>
  <c r="V272" i="24"/>
  <c r="W272" i="24" s="1"/>
  <c r="V46" i="24"/>
  <c r="W46" i="24" s="1"/>
  <c r="V168" i="24"/>
  <c r="W168" i="24" s="1"/>
  <c r="V283" i="24"/>
  <c r="W283" i="24" s="1"/>
  <c r="V379" i="24"/>
  <c r="W379" i="24" s="1"/>
  <c r="V453" i="24"/>
  <c r="W453" i="24" s="1"/>
  <c r="V490" i="24"/>
  <c r="W490" i="24" s="1"/>
  <c r="V547" i="24"/>
  <c r="W547" i="24" s="1"/>
  <c r="V584" i="24"/>
  <c r="W584" i="24" s="1"/>
  <c r="V615" i="24"/>
  <c r="W615" i="24" s="1"/>
  <c r="V631" i="24"/>
  <c r="W631" i="24" s="1"/>
  <c r="V685" i="24"/>
  <c r="W685" i="24" s="1"/>
  <c r="V691" i="24"/>
  <c r="W691" i="24" s="1"/>
  <c r="V34" i="24"/>
  <c r="W34" i="24" s="1"/>
  <c r="V48" i="24"/>
  <c r="W48" i="24" s="1"/>
  <c r="V79" i="24"/>
  <c r="W79" i="24" s="1"/>
  <c r="V100" i="24"/>
  <c r="W100" i="24" s="1"/>
  <c r="V140" i="24"/>
  <c r="W140" i="24" s="1"/>
  <c r="V150" i="24"/>
  <c r="W150" i="24" s="1"/>
  <c r="V178" i="24"/>
  <c r="W178" i="24" s="1"/>
  <c r="V198" i="24"/>
  <c r="W198" i="24" s="1"/>
  <c r="V239" i="24"/>
  <c r="W239" i="24" s="1"/>
  <c r="V262" i="24"/>
  <c r="W262" i="24" s="1"/>
  <c r="V335" i="24"/>
  <c r="W335" i="24" s="1"/>
  <c r="V355" i="24"/>
  <c r="W355" i="24" s="1"/>
  <c r="V375" i="24"/>
  <c r="W375" i="24" s="1"/>
  <c r="V402" i="24"/>
  <c r="W402" i="24" s="1"/>
  <c r="V421" i="24"/>
  <c r="W421" i="24" s="1"/>
  <c r="V457" i="24"/>
  <c r="W457" i="24" s="1"/>
  <c r="V489" i="24"/>
  <c r="W489" i="24" s="1"/>
  <c r="V583" i="24"/>
  <c r="W583" i="24" s="1"/>
  <c r="V611" i="24"/>
  <c r="W611" i="24" s="1"/>
  <c r="V659" i="24"/>
  <c r="W659" i="24" s="1"/>
  <c r="V166" i="24"/>
  <c r="W166" i="24" s="1"/>
  <c r="V378" i="24"/>
  <c r="W378" i="24" s="1"/>
  <c r="V33" i="24"/>
  <c r="W33" i="24" s="1"/>
  <c r="V214" i="24"/>
  <c r="W214" i="24" s="1"/>
  <c r="V331" i="24"/>
  <c r="W331" i="24" s="1"/>
  <c r="V461" i="24"/>
  <c r="W461" i="24" s="1"/>
  <c r="V621" i="24"/>
  <c r="W621" i="24" s="1"/>
  <c r="V684" i="24"/>
  <c r="W684" i="24" s="1"/>
  <c r="V512" i="24"/>
  <c r="W512" i="24" s="1"/>
  <c r="V521" i="24"/>
  <c r="W521" i="24" s="1"/>
  <c r="V525" i="24"/>
  <c r="W525" i="24" s="1"/>
  <c r="V162" i="24"/>
  <c r="W162" i="24" s="1"/>
  <c r="V361" i="24"/>
  <c r="W361" i="24" s="1"/>
  <c r="V404" i="24"/>
  <c r="W404" i="24" s="1"/>
  <c r="V478" i="24"/>
  <c r="W478" i="24" s="1"/>
  <c r="V491" i="24"/>
  <c r="W491" i="24" s="1"/>
  <c r="V557" i="24"/>
  <c r="W557" i="24" s="1"/>
  <c r="V586" i="24"/>
  <c r="W586" i="24" s="1"/>
  <c r="V627" i="24"/>
  <c r="W627" i="24" s="1"/>
  <c r="V670" i="24"/>
  <c r="W670" i="24" s="1"/>
  <c r="V177" i="24"/>
  <c r="W177" i="24" s="1"/>
  <c r="V452" i="24"/>
  <c r="W452" i="24" s="1"/>
  <c r="V126" i="24"/>
  <c r="W126" i="24" s="1"/>
  <c r="V242" i="24"/>
  <c r="W242" i="24" s="1"/>
  <c r="V403" i="24"/>
  <c r="W403" i="24" s="1"/>
  <c r="V499" i="24"/>
  <c r="W499" i="24" s="1"/>
  <c r="V626" i="24"/>
  <c r="W626" i="24" s="1"/>
  <c r="V229" i="24"/>
  <c r="W229" i="24" s="1"/>
  <c r="V654" i="24"/>
  <c r="W654" i="24" s="1"/>
  <c r="V522" i="24"/>
  <c r="W522" i="24" s="1"/>
  <c r="V465" i="24"/>
  <c r="W465" i="24" s="1"/>
  <c r="V552" i="24"/>
  <c r="W552" i="24" s="1"/>
  <c r="V687" i="24"/>
  <c r="W687" i="24" s="1"/>
  <c r="V604" i="24"/>
  <c r="W604" i="24" s="1"/>
  <c r="V405" i="24"/>
  <c r="W405" i="24" s="1"/>
  <c r="V399" i="24"/>
  <c r="W399" i="24" s="1"/>
  <c r="V76" i="24"/>
  <c r="W76" i="24" s="1"/>
  <c r="V266" i="24"/>
  <c r="W266" i="24" s="1"/>
  <c r="V306" i="24"/>
  <c r="W306" i="24" s="1"/>
  <c r="V376" i="24"/>
  <c r="W376" i="24" s="1"/>
  <c r="V448" i="24"/>
  <c r="W448" i="24" s="1"/>
  <c r="V655" i="24"/>
  <c r="W655" i="24" s="1"/>
  <c r="V83" i="24"/>
  <c r="W83" i="24" s="1"/>
  <c r="V445" i="24"/>
  <c r="W445" i="24" s="1"/>
  <c r="V15" i="24"/>
  <c r="W15" i="24" s="1"/>
  <c r="V163" i="24"/>
  <c r="W163" i="24" s="1"/>
  <c r="V274" i="24"/>
  <c r="W274" i="24" s="1"/>
  <c r="V362" i="24"/>
  <c r="W362" i="24" s="1"/>
  <c r="V451" i="24"/>
  <c r="W451" i="24" s="1"/>
  <c r="V487" i="24"/>
  <c r="W487" i="24" s="1"/>
  <c r="V545" i="24"/>
  <c r="W545" i="24" s="1"/>
  <c r="V580" i="24"/>
  <c r="W580" i="24" s="1"/>
  <c r="V614" i="24"/>
  <c r="W614" i="24" s="1"/>
  <c r="V625" i="24"/>
  <c r="W625" i="24" s="1"/>
  <c r="V680" i="24"/>
  <c r="W680" i="24" s="1"/>
  <c r="V690" i="24"/>
  <c r="W690" i="24" s="1"/>
  <c r="V21" i="24"/>
  <c r="W21" i="24" s="1"/>
  <c r="V40" i="24"/>
  <c r="W40" i="24" s="1"/>
  <c r="V78" i="24"/>
  <c r="W78" i="24" s="1"/>
  <c r="V92" i="24"/>
  <c r="W92" i="24" s="1"/>
  <c r="V137" i="24"/>
  <c r="W137" i="24" s="1"/>
  <c r="V147" i="24"/>
  <c r="W147" i="24" s="1"/>
  <c r="V172" i="24"/>
  <c r="W172" i="24" s="1"/>
  <c r="V186" i="24"/>
  <c r="W186" i="24" s="1"/>
  <c r="V236" i="24"/>
  <c r="W236" i="24" s="1"/>
  <c r="V254" i="24"/>
  <c r="W254" i="24" s="1"/>
  <c r="V329" i="24"/>
  <c r="W329" i="24" s="1"/>
  <c r="V345" i="24"/>
  <c r="W345" i="24" s="1"/>
  <c r="V374" i="24"/>
  <c r="W374" i="24" s="1"/>
  <c r="V396" i="24"/>
  <c r="W396" i="24" s="1"/>
  <c r="V420" i="24"/>
  <c r="W420" i="24" s="1"/>
  <c r="V446" i="24"/>
  <c r="W446" i="24" s="1"/>
  <c r="V480" i="24"/>
  <c r="W480" i="24" s="1"/>
  <c r="V515" i="24"/>
  <c r="W515" i="24" s="1"/>
  <c r="V575" i="24"/>
  <c r="W575" i="24" s="1"/>
  <c r="V595" i="24"/>
  <c r="W595" i="24" s="1"/>
  <c r="V650" i="24"/>
  <c r="W650" i="24" s="1"/>
  <c r="V55" i="24"/>
  <c r="W55" i="24" s="1"/>
  <c r="V334" i="24"/>
  <c r="W334" i="24" s="1"/>
  <c r="V10" i="24"/>
  <c r="W10" i="24" s="1"/>
  <c r="V286" i="24"/>
  <c r="W286" i="24" s="1"/>
  <c r="V450" i="24"/>
  <c r="W450" i="24" s="1"/>
  <c r="V606" i="24"/>
  <c r="W606" i="24" s="1"/>
  <c r="V356" i="24"/>
  <c r="W356" i="24" s="1"/>
  <c r="V610" i="24"/>
  <c r="W610" i="24" s="1"/>
  <c r="V19" i="24"/>
  <c r="W19" i="24" s="1"/>
  <c r="V507" i="24"/>
  <c r="W507" i="24" s="1"/>
  <c r="B20" i="14" l="1"/>
  <c r="B21" i="14"/>
  <c r="B22" i="14"/>
  <c r="J12" i="12" l="1"/>
  <c r="C19" i="12"/>
  <c r="C12" i="12"/>
  <c r="B28" i="14" l="1"/>
  <c r="B37" i="14" l="1"/>
  <c r="B41" i="14" s="1"/>
  <c r="J22" i="13"/>
  <c r="I22" i="13"/>
  <c r="H22" i="13"/>
  <c r="J21" i="13"/>
  <c r="I21" i="13"/>
  <c r="H21" i="13"/>
  <c r="J20" i="13"/>
  <c r="I20" i="13"/>
  <c r="H20" i="13"/>
  <c r="J19" i="13"/>
  <c r="I19" i="13"/>
  <c r="H19" i="13"/>
  <c r="J18" i="13"/>
  <c r="I18" i="13"/>
  <c r="H18" i="13"/>
  <c r="J17" i="13"/>
  <c r="I17" i="13"/>
  <c r="H17" i="13"/>
  <c r="J16" i="13"/>
  <c r="I16" i="13"/>
  <c r="H16" i="13"/>
  <c r="J15" i="13"/>
  <c r="I15" i="13"/>
  <c r="H15" i="13"/>
  <c r="J14" i="13"/>
  <c r="J44" i="13" s="1"/>
  <c r="I14" i="13"/>
  <c r="C61" i="13"/>
  <c r="E52" i="13"/>
  <c r="D52" i="13"/>
  <c r="C52" i="13"/>
  <c r="E51" i="13"/>
  <c r="D51" i="13"/>
  <c r="C51" i="13"/>
  <c r="E50" i="13"/>
  <c r="D50" i="13"/>
  <c r="C50" i="13"/>
  <c r="E49" i="13"/>
  <c r="D49" i="13"/>
  <c r="C49" i="13"/>
  <c r="E48" i="13"/>
  <c r="D48" i="13"/>
  <c r="C48" i="13"/>
  <c r="E47" i="13"/>
  <c r="D47" i="13"/>
  <c r="C47" i="13"/>
  <c r="E46" i="13"/>
  <c r="D46" i="13"/>
  <c r="C46" i="13"/>
  <c r="E45" i="13"/>
  <c r="D45" i="13"/>
  <c r="C45" i="13"/>
  <c r="D44" i="13"/>
  <c r="C44" i="13"/>
  <c r="C29" i="13"/>
  <c r="E37" i="13"/>
  <c r="D37" i="13"/>
  <c r="C37" i="13"/>
  <c r="E36" i="13"/>
  <c r="D36" i="13"/>
  <c r="C36" i="13"/>
  <c r="E35" i="13"/>
  <c r="D35" i="13"/>
  <c r="C35" i="13"/>
  <c r="E34" i="13"/>
  <c r="D34" i="13"/>
  <c r="C34" i="13"/>
  <c r="E33" i="13"/>
  <c r="D33" i="13"/>
  <c r="C33" i="13"/>
  <c r="E32" i="13"/>
  <c r="D32" i="13"/>
  <c r="C32" i="13"/>
  <c r="E31" i="13"/>
  <c r="D31" i="13"/>
  <c r="C31" i="13"/>
  <c r="E30" i="13"/>
  <c r="D30" i="13"/>
  <c r="C30" i="13"/>
  <c r="E29" i="13"/>
  <c r="D29" i="13"/>
  <c r="BD87" i="19"/>
  <c r="BC87" i="19"/>
  <c r="BB87" i="19"/>
  <c r="BA87" i="19"/>
  <c r="AZ87" i="19"/>
  <c r="BD86" i="19"/>
  <c r="BC86" i="19"/>
  <c r="BB86" i="19"/>
  <c r="BA86" i="19"/>
  <c r="AZ86" i="19"/>
  <c r="BD85" i="19"/>
  <c r="BC85" i="19"/>
  <c r="BB85" i="19"/>
  <c r="BA85" i="19"/>
  <c r="AZ85" i="19"/>
  <c r="BD84" i="19"/>
  <c r="BC84" i="19"/>
  <c r="BB84" i="19"/>
  <c r="BA84" i="19"/>
  <c r="AZ84" i="19"/>
  <c r="BD83" i="19"/>
  <c r="BC83" i="19"/>
  <c r="BB83" i="19"/>
  <c r="BA83" i="19"/>
  <c r="AZ83" i="19"/>
  <c r="BD82" i="19"/>
  <c r="BC82" i="19"/>
  <c r="BB82" i="19"/>
  <c r="BA82" i="19"/>
  <c r="AZ82" i="19"/>
  <c r="BD81" i="19"/>
  <c r="BC81" i="19"/>
  <c r="BB81" i="19"/>
  <c r="BA81" i="19"/>
  <c r="AZ81" i="19"/>
  <c r="AY92" i="19"/>
  <c r="AX92" i="19"/>
  <c r="AV92" i="19"/>
  <c r="AU92" i="19"/>
  <c r="AY91" i="19"/>
  <c r="AX91" i="19"/>
  <c r="AV91" i="19"/>
  <c r="AU91" i="19"/>
  <c r="AY90" i="19"/>
  <c r="AX90" i="19"/>
  <c r="AV90" i="19"/>
  <c r="AU90" i="19"/>
  <c r="AY89" i="19"/>
  <c r="AX89" i="19"/>
  <c r="AV89" i="19"/>
  <c r="AU89" i="19"/>
  <c r="AY88" i="19"/>
  <c r="AX88" i="19"/>
  <c r="AV88" i="19"/>
  <c r="AU88" i="19"/>
  <c r="AY87" i="19"/>
  <c r="AX87" i="19"/>
  <c r="AV87" i="19"/>
  <c r="AU87" i="19"/>
  <c r="AY86" i="19"/>
  <c r="AX86" i="19"/>
  <c r="AV86" i="19"/>
  <c r="AU86" i="19"/>
  <c r="AY85" i="19"/>
  <c r="AX85" i="19"/>
  <c r="AV85" i="19"/>
  <c r="AU85" i="19"/>
  <c r="AY84" i="19"/>
  <c r="AX84" i="19"/>
  <c r="AV84" i="19"/>
  <c r="AU84" i="19"/>
  <c r="AY83" i="19"/>
  <c r="AX83" i="19"/>
  <c r="AV83" i="19"/>
  <c r="AU83" i="19"/>
  <c r="AY82" i="19"/>
  <c r="AX82" i="19"/>
  <c r="AV82" i="19"/>
  <c r="AU82" i="19"/>
  <c r="AY81" i="19"/>
  <c r="AX81" i="19"/>
  <c r="AV81" i="19"/>
  <c r="AU81" i="19"/>
  <c r="AP87" i="19"/>
  <c r="AO87" i="19"/>
  <c r="AN87" i="19"/>
  <c r="AM87" i="19"/>
  <c r="AL87" i="19"/>
  <c r="AP86" i="19"/>
  <c r="AO86" i="19"/>
  <c r="AN86" i="19"/>
  <c r="AM86" i="19"/>
  <c r="AL86" i="19"/>
  <c r="AP85" i="19"/>
  <c r="AO85" i="19"/>
  <c r="AN85" i="19"/>
  <c r="AM85" i="19"/>
  <c r="AL85" i="19"/>
  <c r="AP84" i="19"/>
  <c r="AO84" i="19"/>
  <c r="AN84" i="19"/>
  <c r="AM84" i="19"/>
  <c r="AL84" i="19"/>
  <c r="AP83" i="19"/>
  <c r="AO83" i="19"/>
  <c r="AN83" i="19"/>
  <c r="AM83" i="19"/>
  <c r="AL83" i="19"/>
  <c r="AP82" i="19"/>
  <c r="AO82" i="19"/>
  <c r="AN82" i="19"/>
  <c r="AM82" i="19"/>
  <c r="AL82" i="19"/>
  <c r="AP81" i="19"/>
  <c r="AO81" i="19"/>
  <c r="AN81" i="19"/>
  <c r="AM81" i="19"/>
  <c r="AL81" i="19"/>
  <c r="AK92" i="19"/>
  <c r="AJ92" i="19"/>
  <c r="AH92" i="19"/>
  <c r="AG92" i="19"/>
  <c r="AK91" i="19"/>
  <c r="AJ91" i="19"/>
  <c r="AH91" i="19"/>
  <c r="AG91" i="19"/>
  <c r="AK90" i="19"/>
  <c r="AJ90" i="19"/>
  <c r="AH90" i="19"/>
  <c r="AG90" i="19"/>
  <c r="AK89" i="19"/>
  <c r="AJ89" i="19"/>
  <c r="AH89" i="19"/>
  <c r="AG89" i="19"/>
  <c r="AK88" i="19"/>
  <c r="AJ88" i="19"/>
  <c r="AH88" i="19"/>
  <c r="AG88" i="19"/>
  <c r="AK87" i="19"/>
  <c r="AJ87" i="19"/>
  <c r="AH87" i="19"/>
  <c r="AG87" i="19"/>
  <c r="AK86" i="19"/>
  <c r="AJ86" i="19"/>
  <c r="AH86" i="19"/>
  <c r="AG86" i="19"/>
  <c r="AK85" i="19"/>
  <c r="AJ85" i="19"/>
  <c r="AH85" i="19"/>
  <c r="AG85" i="19"/>
  <c r="AK84" i="19"/>
  <c r="AJ84" i="19"/>
  <c r="AH84" i="19"/>
  <c r="AG84" i="19"/>
  <c r="AK83" i="19"/>
  <c r="AJ83" i="19"/>
  <c r="AH83" i="19"/>
  <c r="AG83" i="19"/>
  <c r="AK82" i="19"/>
  <c r="AJ82" i="19"/>
  <c r="AH82" i="19"/>
  <c r="AG82" i="19"/>
  <c r="AK81" i="19"/>
  <c r="AJ81" i="19"/>
  <c r="AH81" i="19"/>
  <c r="AG81" i="19"/>
  <c r="AB87" i="19"/>
  <c r="AA87" i="19"/>
  <c r="Z87" i="19"/>
  <c r="Y87" i="19"/>
  <c r="X87" i="19"/>
  <c r="AB86" i="19"/>
  <c r="AA86" i="19"/>
  <c r="Z86" i="19"/>
  <c r="Y86" i="19"/>
  <c r="X86" i="19"/>
  <c r="AB85" i="19"/>
  <c r="AA85" i="19"/>
  <c r="Z85" i="19"/>
  <c r="Y85" i="19"/>
  <c r="X85" i="19"/>
  <c r="AB84" i="19"/>
  <c r="AA84" i="19"/>
  <c r="Z84" i="19"/>
  <c r="Y84" i="19"/>
  <c r="X84" i="19"/>
  <c r="AB83" i="19"/>
  <c r="AA83" i="19"/>
  <c r="Z83" i="19"/>
  <c r="Y83" i="19"/>
  <c r="X83" i="19"/>
  <c r="AB82" i="19"/>
  <c r="AA82" i="19"/>
  <c r="Z82" i="19"/>
  <c r="Y82" i="19"/>
  <c r="X82" i="19"/>
  <c r="AB81" i="19"/>
  <c r="AA81" i="19"/>
  <c r="Z81" i="19"/>
  <c r="Y81" i="19"/>
  <c r="X81" i="19"/>
  <c r="W92" i="19"/>
  <c r="V92" i="19"/>
  <c r="T92" i="19"/>
  <c r="S92" i="19"/>
  <c r="W91" i="19"/>
  <c r="V91" i="19"/>
  <c r="T91" i="19"/>
  <c r="S91" i="19"/>
  <c r="W90" i="19"/>
  <c r="V90" i="19"/>
  <c r="T90" i="19"/>
  <c r="S90" i="19"/>
  <c r="W89" i="19"/>
  <c r="V89" i="19"/>
  <c r="T89" i="19"/>
  <c r="S89" i="19"/>
  <c r="W88" i="19"/>
  <c r="V88" i="19"/>
  <c r="T88" i="19"/>
  <c r="S88" i="19"/>
  <c r="W87" i="19"/>
  <c r="V87" i="19"/>
  <c r="T87" i="19"/>
  <c r="S87" i="19"/>
  <c r="W86" i="19"/>
  <c r="V86" i="19"/>
  <c r="T86" i="19"/>
  <c r="S86" i="19"/>
  <c r="W85" i="19"/>
  <c r="V85" i="19"/>
  <c r="T85" i="19"/>
  <c r="S85" i="19"/>
  <c r="W84" i="19"/>
  <c r="V84" i="19"/>
  <c r="T84" i="19"/>
  <c r="S84" i="19"/>
  <c r="W83" i="19"/>
  <c r="V83" i="19"/>
  <c r="T83" i="19"/>
  <c r="S83" i="19"/>
  <c r="W82" i="19"/>
  <c r="V82" i="19"/>
  <c r="T82" i="19"/>
  <c r="S82" i="19"/>
  <c r="W81" i="19"/>
  <c r="V81" i="19"/>
  <c r="T81" i="19"/>
  <c r="S81" i="19"/>
  <c r="H34" i="13" l="1"/>
  <c r="H46" i="13"/>
  <c r="I46" i="13"/>
  <c r="I44" i="13"/>
  <c r="I32" i="13"/>
  <c r="H35" i="13"/>
  <c r="I33" i="13"/>
  <c r="J36" i="13"/>
  <c r="J34" i="13"/>
  <c r="I37" i="13"/>
  <c r="I29" i="13"/>
  <c r="H31" i="13"/>
  <c r="J33" i="13"/>
  <c r="I31" i="13"/>
  <c r="J48" i="13"/>
  <c r="I51" i="13"/>
  <c r="J51" i="13"/>
  <c r="I34" i="13"/>
  <c r="J49" i="13"/>
  <c r="I52" i="13"/>
  <c r="H49" i="13"/>
  <c r="H47" i="13"/>
  <c r="I47" i="13"/>
  <c r="H50" i="13"/>
  <c r="J52" i="13"/>
  <c r="H36" i="13"/>
  <c r="H29" i="13"/>
  <c r="J37" i="13"/>
  <c r="J32" i="13"/>
  <c r="I36" i="13"/>
  <c r="J46" i="13"/>
  <c r="H32" i="13"/>
  <c r="H33" i="13"/>
  <c r="I49" i="13"/>
  <c r="H52" i="13"/>
  <c r="H30" i="13"/>
  <c r="H45" i="13"/>
  <c r="J47" i="13"/>
  <c r="I50" i="13"/>
  <c r="I35" i="13"/>
  <c r="J35" i="13"/>
  <c r="I45" i="13"/>
  <c r="H48" i="13"/>
  <c r="J50" i="13"/>
  <c r="J45" i="13"/>
  <c r="I48" i="13"/>
  <c r="H51" i="13"/>
  <c r="H37" i="13"/>
  <c r="J30" i="13"/>
  <c r="I30" i="13"/>
  <c r="J31" i="13"/>
  <c r="J29" i="13"/>
  <c r="H44" i="13"/>
  <c r="AT17" i="12" l="1"/>
  <c r="E12" i="12"/>
  <c r="C17" i="12"/>
  <c r="G13" i="12"/>
  <c r="I14" i="12"/>
  <c r="E16" i="12"/>
  <c r="G17" i="12"/>
  <c r="I18" i="12"/>
  <c r="E20" i="12"/>
  <c r="G21" i="12"/>
  <c r="I22" i="12"/>
  <c r="K12" i="12"/>
  <c r="N13" i="12"/>
  <c r="L15" i="12"/>
  <c r="J17" i="12"/>
  <c r="M18" i="12"/>
  <c r="S18" i="12"/>
  <c r="V12" i="12"/>
  <c r="X13" i="12"/>
  <c r="T15" i="12"/>
  <c r="V16" i="12"/>
  <c r="X17" i="12"/>
  <c r="T19" i="12"/>
  <c r="V20" i="12"/>
  <c r="X21" i="12"/>
  <c r="T23" i="12"/>
  <c r="AB12" i="12"/>
  <c r="Z14" i="12"/>
  <c r="AC15" i="12"/>
  <c r="AA17" i="12"/>
  <c r="AD18" i="12"/>
  <c r="AI19" i="12"/>
  <c r="AM12" i="12"/>
  <c r="AO13" i="12"/>
  <c r="AK15" i="12"/>
  <c r="AM16" i="12"/>
  <c r="AO17" i="12"/>
  <c r="AK19" i="12"/>
  <c r="AM20" i="12"/>
  <c r="AO21" i="12"/>
  <c r="AK23" i="12"/>
  <c r="AS12" i="12"/>
  <c r="AQ14" i="12"/>
  <c r="AT15" i="12"/>
  <c r="AR17" i="12"/>
  <c r="C18" i="12"/>
  <c r="F12" i="12"/>
  <c r="H13" i="12"/>
  <c r="D15" i="12"/>
  <c r="F16" i="12"/>
  <c r="H17" i="12"/>
  <c r="D19" i="12"/>
  <c r="F20" i="12"/>
  <c r="H21" i="12"/>
  <c r="D23" i="12"/>
  <c r="L12" i="12"/>
  <c r="J14" i="12"/>
  <c r="M15" i="12"/>
  <c r="K17" i="12"/>
  <c r="N18" i="12"/>
  <c r="S19" i="12"/>
  <c r="W12" i="12"/>
  <c r="Y13" i="12"/>
  <c r="U15" i="12"/>
  <c r="W16" i="12"/>
  <c r="Y17" i="12"/>
  <c r="U19" i="12"/>
  <c r="W20" i="12"/>
  <c r="Y21" i="12"/>
  <c r="U23" i="12"/>
  <c r="AC12" i="12"/>
  <c r="AA14" i="12"/>
  <c r="AD15" i="12"/>
  <c r="AB17" i="12"/>
  <c r="AI12" i="12"/>
  <c r="AI20" i="12"/>
  <c r="AN12" i="12"/>
  <c r="AJ14" i="12"/>
  <c r="AL15" i="12"/>
  <c r="AN16" i="12"/>
  <c r="AJ18" i="12"/>
  <c r="AL19" i="12"/>
  <c r="AN20" i="12"/>
  <c r="AJ22" i="12"/>
  <c r="AL23" i="12"/>
  <c r="AT12" i="12"/>
  <c r="AR14" i="12"/>
  <c r="AP16" i="12"/>
  <c r="AS17" i="12"/>
  <c r="G12" i="12"/>
  <c r="I13" i="12"/>
  <c r="E15" i="12"/>
  <c r="G16" i="12"/>
  <c r="I17" i="12"/>
  <c r="E19" i="12"/>
  <c r="G20" i="12"/>
  <c r="I21" i="12"/>
  <c r="E23" i="12"/>
  <c r="M12" i="12"/>
  <c r="K14" i="12"/>
  <c r="N15" i="12"/>
  <c r="L17" i="12"/>
  <c r="S12" i="12"/>
  <c r="S20" i="12"/>
  <c r="X12" i="12"/>
  <c r="T14" i="12"/>
  <c r="V15" i="12"/>
  <c r="X16" i="12"/>
  <c r="T18" i="12"/>
  <c r="V19" i="12"/>
  <c r="X20" i="12"/>
  <c r="T22" i="12"/>
  <c r="V23" i="12"/>
  <c r="AD12" i="12"/>
  <c r="AB14" i="12"/>
  <c r="Z16" i="12"/>
  <c r="AC17" i="12"/>
  <c r="AI13" i="12"/>
  <c r="AI21" i="12"/>
  <c r="AO12" i="12"/>
  <c r="AK14" i="12"/>
  <c r="AM15" i="12"/>
  <c r="AO16" i="12"/>
  <c r="AK18" i="12"/>
  <c r="AM19" i="12"/>
  <c r="AO20" i="12"/>
  <c r="AK22" i="12"/>
  <c r="AM23" i="12"/>
  <c r="AP13" i="12"/>
  <c r="AS14" i="12"/>
  <c r="AQ16" i="12"/>
  <c r="B18" i="14"/>
  <c r="B17" i="14"/>
  <c r="B16" i="14"/>
  <c r="B13" i="14"/>
  <c r="B26" i="14" s="1"/>
  <c r="B12" i="14"/>
  <c r="B25" i="14" s="1"/>
  <c r="B11" i="14"/>
  <c r="B30" i="14"/>
  <c r="B29" i="14"/>
  <c r="C20" i="12"/>
  <c r="H12" i="12"/>
  <c r="D14" i="12"/>
  <c r="F15" i="12"/>
  <c r="H16" i="12"/>
  <c r="D18" i="12"/>
  <c r="F19" i="12"/>
  <c r="H20" i="12"/>
  <c r="D22" i="12"/>
  <c r="F23" i="12"/>
  <c r="N12" i="12"/>
  <c r="L14" i="12"/>
  <c r="J16" i="12"/>
  <c r="M17" i="12"/>
  <c r="S13" i="12"/>
  <c r="S21" i="12"/>
  <c r="Y12" i="12"/>
  <c r="U14" i="12"/>
  <c r="W15" i="12"/>
  <c r="Y16" i="12"/>
  <c r="U18" i="12"/>
  <c r="W19" i="12"/>
  <c r="Y20" i="12"/>
  <c r="U22" i="12"/>
  <c r="W23" i="12"/>
  <c r="Z13" i="12"/>
  <c r="AC14" i="12"/>
  <c r="AA16" i="12"/>
  <c r="AD17" i="12"/>
  <c r="AI14" i="12"/>
  <c r="AI22" i="12"/>
  <c r="AJ13" i="12"/>
  <c r="AL14" i="12"/>
  <c r="AN15" i="12"/>
  <c r="AJ17" i="12"/>
  <c r="AL18" i="12"/>
  <c r="AN19" i="12"/>
  <c r="AJ21" i="12"/>
  <c r="AL22" i="12"/>
  <c r="AN23" i="12"/>
  <c r="AQ13" i="12"/>
  <c r="AT14" i="12"/>
  <c r="AR16" i="12"/>
  <c r="AP18" i="12"/>
  <c r="C13" i="12"/>
  <c r="C21" i="12"/>
  <c r="I12" i="12"/>
  <c r="E14" i="12"/>
  <c r="G15" i="12"/>
  <c r="I16" i="12"/>
  <c r="E18" i="12"/>
  <c r="G19" i="12"/>
  <c r="I20" i="12"/>
  <c r="E22" i="12"/>
  <c r="G23" i="12"/>
  <c r="J13" i="12"/>
  <c r="M14" i="12"/>
  <c r="K16" i="12"/>
  <c r="N17" i="12"/>
  <c r="S14" i="12"/>
  <c r="S22" i="12"/>
  <c r="T13" i="12"/>
  <c r="V14" i="12"/>
  <c r="X15" i="12"/>
  <c r="T17" i="12"/>
  <c r="V18" i="12"/>
  <c r="X19" i="12"/>
  <c r="T21" i="12"/>
  <c r="V22" i="12"/>
  <c r="X23" i="12"/>
  <c r="AA13" i="12"/>
  <c r="AD14" i="12"/>
  <c r="AB16" i="12"/>
  <c r="Z18" i="12"/>
  <c r="AI15" i="12"/>
  <c r="AI23" i="12"/>
  <c r="AK13" i="12"/>
  <c r="AM14" i="12"/>
  <c r="AO15" i="12"/>
  <c r="AK17" i="12"/>
  <c r="AM18" i="12"/>
  <c r="AO19" i="12"/>
  <c r="AK21" i="12"/>
  <c r="AM22" i="12"/>
  <c r="AO23" i="12"/>
  <c r="AR13" i="12"/>
  <c r="AP15" i="12"/>
  <c r="AS16" i="12"/>
  <c r="AQ18" i="12"/>
  <c r="C14" i="12"/>
  <c r="C22" i="12"/>
  <c r="D13" i="12"/>
  <c r="F14" i="12"/>
  <c r="H15" i="12"/>
  <c r="D17" i="12"/>
  <c r="F18" i="12"/>
  <c r="H19" i="12"/>
  <c r="D21" i="12"/>
  <c r="F22" i="12"/>
  <c r="H23" i="12"/>
  <c r="K13" i="12"/>
  <c r="N14" i="12"/>
  <c r="L16" i="12"/>
  <c r="J18" i="12"/>
  <c r="S15" i="12"/>
  <c r="S23" i="12"/>
  <c r="U13" i="12"/>
  <c r="W14" i="12"/>
  <c r="Y15" i="12"/>
  <c r="U17" i="12"/>
  <c r="W18" i="12"/>
  <c r="Y19" i="12"/>
  <c r="U21" i="12"/>
  <c r="W22" i="12"/>
  <c r="Y23" i="12"/>
  <c r="AB13" i="12"/>
  <c r="Z15" i="12"/>
  <c r="AC16" i="12"/>
  <c r="AA18" i="12"/>
  <c r="AI16" i="12"/>
  <c r="AJ12" i="12"/>
  <c r="AL13" i="12"/>
  <c r="AN14" i="12"/>
  <c r="AJ16" i="12"/>
  <c r="AL17" i="12"/>
  <c r="AN18" i="12"/>
  <c r="AJ20" i="12"/>
  <c r="AL21" i="12"/>
  <c r="AN22" i="12"/>
  <c r="AP12" i="12"/>
  <c r="AS13" i="12"/>
  <c r="AQ15" i="12"/>
  <c r="AT16" i="12"/>
  <c r="AR18" i="12"/>
  <c r="C15" i="12"/>
  <c r="C23" i="12"/>
  <c r="E13" i="12"/>
  <c r="G14" i="12"/>
  <c r="I15" i="12"/>
  <c r="E17" i="12"/>
  <c r="G18" i="12"/>
  <c r="I19" i="12"/>
  <c r="E21" i="12"/>
  <c r="G22" i="12"/>
  <c r="I23" i="12"/>
  <c r="L13" i="12"/>
  <c r="J15" i="12"/>
  <c r="M16" i="12"/>
  <c r="K18" i="12"/>
  <c r="S16" i="12"/>
  <c r="T12" i="12"/>
  <c r="V13" i="12"/>
  <c r="X14" i="12"/>
  <c r="T16" i="12"/>
  <c r="V17" i="12"/>
  <c r="X18" i="12"/>
  <c r="T20" i="12"/>
  <c r="V21" i="12"/>
  <c r="X22" i="12"/>
  <c r="Z12" i="12"/>
  <c r="AC13" i="12"/>
  <c r="AA15" i="12"/>
  <c r="AD16" i="12"/>
  <c r="AB18" i="12"/>
  <c r="AI17" i="12"/>
  <c r="AK12" i="12"/>
  <c r="AM13" i="12"/>
  <c r="AO14" i="12"/>
  <c r="AK16" i="12"/>
  <c r="AM17" i="12"/>
  <c r="AO18" i="12"/>
  <c r="AK20" i="12"/>
  <c r="AM21" i="12"/>
  <c r="AO22" i="12"/>
  <c r="AQ12" i="12"/>
  <c r="AT13" i="12"/>
  <c r="AR15" i="12"/>
  <c r="AP17" i="12"/>
  <c r="AS18" i="12"/>
  <c r="C16" i="12"/>
  <c r="D12" i="12"/>
  <c r="F13" i="12"/>
  <c r="H14" i="12"/>
  <c r="D16" i="12"/>
  <c r="F17" i="12"/>
  <c r="H18" i="12"/>
  <c r="D20" i="12"/>
  <c r="F21" i="12"/>
  <c r="H22" i="12"/>
  <c r="M13" i="12"/>
  <c r="K15" i="12"/>
  <c r="N16" i="12"/>
  <c r="L18" i="12"/>
  <c r="S17" i="12"/>
  <c r="U12" i="12"/>
  <c r="W13" i="12"/>
  <c r="Y14" i="12"/>
  <c r="U16" i="12"/>
  <c r="W17" i="12"/>
  <c r="Y18" i="12"/>
  <c r="U20" i="12"/>
  <c r="W21" i="12"/>
  <c r="Y22" i="12"/>
  <c r="AA12" i="12"/>
  <c r="AD13" i="12"/>
  <c r="AB15" i="12"/>
  <c r="Z17" i="12"/>
  <c r="AC18" i="12"/>
  <c r="AI18" i="12"/>
  <c r="AL12" i="12"/>
  <c r="AN13" i="12"/>
  <c r="AJ15" i="12"/>
  <c r="AL16" i="12"/>
  <c r="AN17" i="12"/>
  <c r="AJ19" i="12"/>
  <c r="AL20" i="12"/>
  <c r="AN21" i="12"/>
  <c r="AJ23" i="12"/>
  <c r="AR12" i="12"/>
  <c r="AP14" i="12"/>
  <c r="AS15" i="12"/>
  <c r="AQ17" i="12"/>
  <c r="AT18" i="12"/>
  <c r="B55" i="14" l="1"/>
  <c r="C56" i="19"/>
  <c r="C58" i="19" s="1"/>
  <c r="C58" i="15"/>
  <c r="C60" i="15" s="1"/>
  <c r="B24" i="14"/>
  <c r="C56" i="13"/>
  <c r="C58" i="13" s="1"/>
  <c r="C68" i="13" s="1"/>
  <c r="C83" i="13" s="1"/>
  <c r="P12" i="12"/>
  <c r="C31" i="12"/>
  <c r="H70" i="15" l="1"/>
  <c r="N31" i="12"/>
  <c r="M31" i="12"/>
  <c r="L31" i="12"/>
  <c r="K31" i="12"/>
  <c r="J35" i="12"/>
  <c r="J34" i="12"/>
  <c r="J33" i="12"/>
  <c r="J32" i="12"/>
  <c r="J31" i="12"/>
  <c r="S31" i="12"/>
  <c r="AT24" i="12"/>
  <c r="AS24" i="12"/>
  <c r="AR24" i="12"/>
  <c r="AQ24" i="12"/>
  <c r="AP24" i="12"/>
  <c r="AO24" i="12"/>
  <c r="AN24" i="12"/>
  <c r="AM24" i="12"/>
  <c r="AL24" i="12"/>
  <c r="AK24" i="12"/>
  <c r="AJ24" i="12"/>
  <c r="AI24" i="12"/>
  <c r="AV23" i="12"/>
  <c r="AV22" i="12"/>
  <c r="AV21" i="12"/>
  <c r="AV20" i="12"/>
  <c r="AV19" i="12"/>
  <c r="AV18" i="12"/>
  <c r="AV17" i="12"/>
  <c r="AV16" i="12"/>
  <c r="AV15" i="12"/>
  <c r="AV14" i="12"/>
  <c r="AV13" i="12"/>
  <c r="AV12" i="12"/>
  <c r="AF23" i="12"/>
  <c r="AF22" i="12"/>
  <c r="AF21" i="12"/>
  <c r="AF20" i="12"/>
  <c r="AF19" i="12"/>
  <c r="AF18" i="12"/>
  <c r="AF17" i="12"/>
  <c r="AF16" i="12"/>
  <c r="AF15" i="12"/>
  <c r="AF14" i="12"/>
  <c r="AF13" i="12"/>
  <c r="AF12" i="12"/>
  <c r="AD24" i="12"/>
  <c r="AC24" i="12"/>
  <c r="AB24" i="12"/>
  <c r="AA24" i="12"/>
  <c r="Z24" i="12"/>
  <c r="Y24" i="12"/>
  <c r="X24" i="12"/>
  <c r="W24" i="12"/>
  <c r="V24" i="12"/>
  <c r="U24" i="12"/>
  <c r="T24" i="12"/>
  <c r="S24" i="12"/>
  <c r="P23" i="12"/>
  <c r="P22" i="12"/>
  <c r="P21" i="12"/>
  <c r="P20" i="12"/>
  <c r="P19" i="12"/>
  <c r="P18" i="12"/>
  <c r="P17" i="12"/>
  <c r="P16" i="12"/>
  <c r="P15" i="12"/>
  <c r="P14" i="12"/>
  <c r="P13" i="12"/>
  <c r="N24" i="12"/>
  <c r="M24" i="12"/>
  <c r="L24" i="12"/>
  <c r="K24" i="12"/>
  <c r="J24" i="12"/>
  <c r="I24" i="12"/>
  <c r="H24" i="12"/>
  <c r="G24" i="12"/>
  <c r="F24" i="12"/>
  <c r="F49" i="12" s="1"/>
  <c r="E24" i="12"/>
  <c r="D24" i="12"/>
  <c r="C24" i="12"/>
  <c r="B39" i="14"/>
  <c r="B38" i="14"/>
  <c r="K35" i="12"/>
  <c r="L35" i="12"/>
  <c r="M35" i="12"/>
  <c r="N35" i="12"/>
  <c r="Z31" i="12"/>
  <c r="Z35" i="12"/>
  <c r="AA31" i="12"/>
  <c r="AA35" i="12"/>
  <c r="AB31" i="12"/>
  <c r="AB35" i="12"/>
  <c r="AC31" i="12"/>
  <c r="AC35" i="12"/>
  <c r="AD31" i="12"/>
  <c r="AD35" i="12"/>
  <c r="AP31" i="12"/>
  <c r="AP35" i="12"/>
  <c r="AQ31" i="12"/>
  <c r="AQ35" i="12"/>
  <c r="AR31" i="12"/>
  <c r="AR35" i="12"/>
  <c r="AS31" i="12"/>
  <c r="AS35" i="12"/>
  <c r="AT31" i="12"/>
  <c r="AT35" i="12"/>
  <c r="K34" i="12"/>
  <c r="L34" i="12"/>
  <c r="M34" i="12"/>
  <c r="N34" i="12"/>
  <c r="Z34" i="12"/>
  <c r="AA34" i="12"/>
  <c r="AB34" i="12"/>
  <c r="AC34" i="12"/>
  <c r="AD34" i="12"/>
  <c r="AP34" i="12"/>
  <c r="AQ34" i="12"/>
  <c r="AR34" i="12"/>
  <c r="AS34" i="12"/>
  <c r="AT34" i="12"/>
  <c r="K33" i="12"/>
  <c r="L33" i="12"/>
  <c r="M33" i="12"/>
  <c r="N33" i="12"/>
  <c r="N65" i="12" s="1"/>
  <c r="Z33" i="12"/>
  <c r="AA33" i="12"/>
  <c r="AB33" i="12"/>
  <c r="AC33" i="12"/>
  <c r="AD33" i="12"/>
  <c r="AP33" i="12"/>
  <c r="AQ33" i="12"/>
  <c r="AR33" i="12"/>
  <c r="AS33" i="12"/>
  <c r="AT33" i="12"/>
  <c r="K32" i="12"/>
  <c r="L32" i="12"/>
  <c r="M32" i="12"/>
  <c r="N32" i="12"/>
  <c r="Z32" i="12"/>
  <c r="AA32" i="12"/>
  <c r="AB32" i="12"/>
  <c r="AC32" i="12"/>
  <c r="AD32" i="12"/>
  <c r="AP32" i="12"/>
  <c r="AQ32" i="12"/>
  <c r="AR32" i="12"/>
  <c r="AS32" i="12"/>
  <c r="AT32" i="12"/>
  <c r="E33" i="12"/>
  <c r="E31" i="12"/>
  <c r="C63" i="19"/>
  <c r="AY110" i="19"/>
  <c r="AX110" i="19"/>
  <c r="AV110" i="19"/>
  <c r="AU110" i="19"/>
  <c r="AK110" i="19"/>
  <c r="AJ110" i="19"/>
  <c r="AH110" i="19"/>
  <c r="AG110" i="19"/>
  <c r="W110" i="19"/>
  <c r="V110" i="19"/>
  <c r="T110" i="19"/>
  <c r="S110" i="19"/>
  <c r="I92" i="19"/>
  <c r="I110" i="19" s="1"/>
  <c r="H92" i="19"/>
  <c r="H110" i="19" s="1"/>
  <c r="F92" i="19"/>
  <c r="F110" i="19" s="1"/>
  <c r="E92" i="19"/>
  <c r="E110" i="19" s="1"/>
  <c r="AY109" i="19"/>
  <c r="AX109" i="19"/>
  <c r="AV109" i="19"/>
  <c r="AU109" i="19"/>
  <c r="AK109" i="19"/>
  <c r="AJ109" i="19"/>
  <c r="AH109" i="19"/>
  <c r="AG109" i="19"/>
  <c r="W109" i="19"/>
  <c r="V109" i="19"/>
  <c r="T109" i="19"/>
  <c r="S109" i="19"/>
  <c r="I91" i="19"/>
  <c r="I109" i="19" s="1"/>
  <c r="H91" i="19"/>
  <c r="H109" i="19" s="1"/>
  <c r="F91" i="19"/>
  <c r="F109" i="19" s="1"/>
  <c r="E91" i="19"/>
  <c r="E109" i="19" s="1"/>
  <c r="AY108" i="19"/>
  <c r="AX108" i="19"/>
  <c r="AV108" i="19"/>
  <c r="AU108" i="19"/>
  <c r="AK108" i="19"/>
  <c r="AJ108" i="19"/>
  <c r="AH108" i="19"/>
  <c r="AG108" i="19"/>
  <c r="W108" i="19"/>
  <c r="V108" i="19"/>
  <c r="T108" i="19"/>
  <c r="S108" i="19"/>
  <c r="I90" i="19"/>
  <c r="I108" i="19" s="1"/>
  <c r="H90" i="19"/>
  <c r="H108" i="19" s="1"/>
  <c r="F90" i="19"/>
  <c r="F108" i="19" s="1"/>
  <c r="E90" i="19"/>
  <c r="E108" i="19" s="1"/>
  <c r="AY107" i="19"/>
  <c r="AX107" i="19"/>
  <c r="AV107" i="19"/>
  <c r="AU107" i="19"/>
  <c r="AK107" i="19"/>
  <c r="AJ107" i="19"/>
  <c r="AH107" i="19"/>
  <c r="AG107" i="19"/>
  <c r="W107" i="19"/>
  <c r="V107" i="19"/>
  <c r="T107" i="19"/>
  <c r="S107" i="19"/>
  <c r="I89" i="19"/>
  <c r="I107" i="19" s="1"/>
  <c r="H89" i="19"/>
  <c r="H107" i="19" s="1"/>
  <c r="F89" i="19"/>
  <c r="F107" i="19" s="1"/>
  <c r="E89" i="19"/>
  <c r="E107" i="19" s="1"/>
  <c r="AY106" i="19"/>
  <c r="AX106" i="19"/>
  <c r="AV106" i="19"/>
  <c r="AU106" i="19"/>
  <c r="AK106" i="19"/>
  <c r="AJ106" i="19"/>
  <c r="AH106" i="19"/>
  <c r="AG106" i="19"/>
  <c r="W106" i="19"/>
  <c r="V106" i="19"/>
  <c r="T106" i="19"/>
  <c r="S106" i="19"/>
  <c r="I88" i="19"/>
  <c r="I106" i="19" s="1"/>
  <c r="H88" i="19"/>
  <c r="H106" i="19" s="1"/>
  <c r="F88" i="19"/>
  <c r="F106" i="19" s="1"/>
  <c r="E88" i="19"/>
  <c r="E106" i="19" s="1"/>
  <c r="BD105" i="19"/>
  <c r="BC105" i="19"/>
  <c r="BB105" i="19"/>
  <c r="BA105" i="19"/>
  <c r="AZ105" i="19"/>
  <c r="AY105" i="19"/>
  <c r="AX105" i="19"/>
  <c r="AV105" i="19"/>
  <c r="AU105" i="19"/>
  <c r="AP105" i="19"/>
  <c r="AO105" i="19"/>
  <c r="AN105" i="19"/>
  <c r="AM105" i="19"/>
  <c r="AL105" i="19"/>
  <c r="AK105" i="19"/>
  <c r="AJ105" i="19"/>
  <c r="AH105" i="19"/>
  <c r="AG105" i="19"/>
  <c r="AB105" i="19"/>
  <c r="AA105" i="19"/>
  <c r="Z105" i="19"/>
  <c r="Y105" i="19"/>
  <c r="X105" i="19"/>
  <c r="W105" i="19"/>
  <c r="V105" i="19"/>
  <c r="T105" i="19"/>
  <c r="S105" i="19"/>
  <c r="N87" i="19"/>
  <c r="N105" i="19" s="1"/>
  <c r="M87" i="19"/>
  <c r="M105" i="19" s="1"/>
  <c r="L87" i="19"/>
  <c r="L105" i="19" s="1"/>
  <c r="K87" i="19"/>
  <c r="K105" i="19" s="1"/>
  <c r="J87" i="19"/>
  <c r="J105" i="19" s="1"/>
  <c r="I87" i="19"/>
  <c r="I105" i="19" s="1"/>
  <c r="H87" i="19"/>
  <c r="H105" i="19" s="1"/>
  <c r="F87" i="19"/>
  <c r="F105" i="19" s="1"/>
  <c r="E87" i="19"/>
  <c r="E105" i="19" s="1"/>
  <c r="BD104" i="19"/>
  <c r="BC104" i="19"/>
  <c r="BB104" i="19"/>
  <c r="BA104" i="19"/>
  <c r="AZ104" i="19"/>
  <c r="AY104" i="19"/>
  <c r="AX104" i="19"/>
  <c r="AV104" i="19"/>
  <c r="AU104" i="19"/>
  <c r="AP104" i="19"/>
  <c r="AO104" i="19"/>
  <c r="AN104" i="19"/>
  <c r="AM104" i="19"/>
  <c r="AL104" i="19"/>
  <c r="AK104" i="19"/>
  <c r="AJ104" i="19"/>
  <c r="AH104" i="19"/>
  <c r="AG104" i="19"/>
  <c r="AB104" i="19"/>
  <c r="AA104" i="19"/>
  <c r="Z104" i="19"/>
  <c r="Y104" i="19"/>
  <c r="X104" i="19"/>
  <c r="W104" i="19"/>
  <c r="V104" i="19"/>
  <c r="T104" i="19"/>
  <c r="S104" i="19"/>
  <c r="N86" i="19"/>
  <c r="N104" i="19" s="1"/>
  <c r="M86" i="19"/>
  <c r="M104" i="19" s="1"/>
  <c r="L86" i="19"/>
  <c r="L104" i="19" s="1"/>
  <c r="K86" i="19"/>
  <c r="K104" i="19" s="1"/>
  <c r="J86" i="19"/>
  <c r="J104" i="19" s="1"/>
  <c r="I86" i="19"/>
  <c r="I104" i="19" s="1"/>
  <c r="H86" i="19"/>
  <c r="H104" i="19" s="1"/>
  <c r="F86" i="19"/>
  <c r="F104" i="19" s="1"/>
  <c r="E86" i="19"/>
  <c r="E104" i="19" s="1"/>
  <c r="BD103" i="19"/>
  <c r="BC103" i="19"/>
  <c r="BB103" i="19"/>
  <c r="BA103" i="19"/>
  <c r="AZ103" i="19"/>
  <c r="AY103" i="19"/>
  <c r="AX103" i="19"/>
  <c r="AV103" i="19"/>
  <c r="AU103" i="19"/>
  <c r="AP103" i="19"/>
  <c r="AO103" i="19"/>
  <c r="AN103" i="19"/>
  <c r="AM103" i="19"/>
  <c r="AL103" i="19"/>
  <c r="AK103" i="19"/>
  <c r="AJ103" i="19"/>
  <c r="AH103" i="19"/>
  <c r="AG103" i="19"/>
  <c r="AB103" i="19"/>
  <c r="AA103" i="19"/>
  <c r="Z103" i="19"/>
  <c r="Y103" i="19"/>
  <c r="X103" i="19"/>
  <c r="W103" i="19"/>
  <c r="V103" i="19"/>
  <c r="T103" i="19"/>
  <c r="S103" i="19"/>
  <c r="N85" i="19"/>
  <c r="N103" i="19" s="1"/>
  <c r="M85" i="19"/>
  <c r="M103" i="19" s="1"/>
  <c r="L85" i="19"/>
  <c r="L103" i="19" s="1"/>
  <c r="K85" i="19"/>
  <c r="K103" i="19" s="1"/>
  <c r="J85" i="19"/>
  <c r="J103" i="19" s="1"/>
  <c r="I85" i="19"/>
  <c r="I103" i="19" s="1"/>
  <c r="H85" i="19"/>
  <c r="H103" i="19" s="1"/>
  <c r="F85" i="19"/>
  <c r="F103" i="19" s="1"/>
  <c r="E85" i="19"/>
  <c r="E103" i="19" s="1"/>
  <c r="BD102" i="19"/>
  <c r="BC102" i="19"/>
  <c r="BB102" i="19"/>
  <c r="BA102" i="19"/>
  <c r="AZ102" i="19"/>
  <c r="AY102" i="19"/>
  <c r="AX102" i="19"/>
  <c r="AV102" i="19"/>
  <c r="AU102" i="19"/>
  <c r="AP102" i="19"/>
  <c r="AO102" i="19"/>
  <c r="AN102" i="19"/>
  <c r="AM102" i="19"/>
  <c r="AL102" i="19"/>
  <c r="AK102" i="19"/>
  <c r="AJ102" i="19"/>
  <c r="AH102" i="19"/>
  <c r="AG102" i="19"/>
  <c r="AB102" i="19"/>
  <c r="AA102" i="19"/>
  <c r="Z102" i="19"/>
  <c r="Y102" i="19"/>
  <c r="X102" i="19"/>
  <c r="W102" i="19"/>
  <c r="V102" i="19"/>
  <c r="T102" i="19"/>
  <c r="S102" i="19"/>
  <c r="N84" i="19"/>
  <c r="N102" i="19" s="1"/>
  <c r="M84" i="19"/>
  <c r="M102" i="19" s="1"/>
  <c r="L84" i="19"/>
  <c r="L102" i="19" s="1"/>
  <c r="K84" i="19"/>
  <c r="K102" i="19" s="1"/>
  <c r="J84" i="19"/>
  <c r="J102" i="19" s="1"/>
  <c r="I84" i="19"/>
  <c r="I102" i="19" s="1"/>
  <c r="H84" i="19"/>
  <c r="H102" i="19" s="1"/>
  <c r="F84" i="19"/>
  <c r="F102" i="19" s="1"/>
  <c r="E84" i="19"/>
  <c r="E102" i="19" s="1"/>
  <c r="BD101" i="19"/>
  <c r="BC101" i="19"/>
  <c r="BB101" i="19"/>
  <c r="BA101" i="19"/>
  <c r="AZ101" i="19"/>
  <c r="AY101" i="19"/>
  <c r="AX101" i="19"/>
  <c r="AV101" i="19"/>
  <c r="AU101" i="19"/>
  <c r="AP101" i="19"/>
  <c r="AO101" i="19"/>
  <c r="AN101" i="19"/>
  <c r="AM101" i="19"/>
  <c r="AL101" i="19"/>
  <c r="AK101" i="19"/>
  <c r="AJ101" i="19"/>
  <c r="AH101" i="19"/>
  <c r="AG101" i="19"/>
  <c r="AB101" i="19"/>
  <c r="AA101" i="19"/>
  <c r="Z101" i="19"/>
  <c r="Y101" i="19"/>
  <c r="X101" i="19"/>
  <c r="W101" i="19"/>
  <c r="V101" i="19"/>
  <c r="T101" i="19"/>
  <c r="S101" i="19"/>
  <c r="N83" i="19"/>
  <c r="N101" i="19" s="1"/>
  <c r="M83" i="19"/>
  <c r="M101" i="19" s="1"/>
  <c r="L83" i="19"/>
  <c r="L101" i="19" s="1"/>
  <c r="K83" i="19"/>
  <c r="K101" i="19" s="1"/>
  <c r="J83" i="19"/>
  <c r="J101" i="19" s="1"/>
  <c r="I83" i="19"/>
  <c r="I101" i="19" s="1"/>
  <c r="H83" i="19"/>
  <c r="H101" i="19" s="1"/>
  <c r="F83" i="19"/>
  <c r="F101" i="19" s="1"/>
  <c r="E83" i="19"/>
  <c r="E101" i="19" s="1"/>
  <c r="BD100" i="19"/>
  <c r="BC100" i="19"/>
  <c r="BB100" i="19"/>
  <c r="BA100" i="19"/>
  <c r="AZ100" i="19"/>
  <c r="AY100" i="19"/>
  <c r="AX100" i="19"/>
  <c r="AV100" i="19"/>
  <c r="AU100" i="19"/>
  <c r="AP100" i="19"/>
  <c r="AO100" i="19"/>
  <c r="AN100" i="19"/>
  <c r="AM100" i="19"/>
  <c r="AL100" i="19"/>
  <c r="AK100" i="19"/>
  <c r="AJ100" i="19"/>
  <c r="AH100" i="19"/>
  <c r="AG100" i="19"/>
  <c r="AB100" i="19"/>
  <c r="AA100" i="19"/>
  <c r="Z100" i="19"/>
  <c r="Y100" i="19"/>
  <c r="X100" i="19"/>
  <c r="W100" i="19"/>
  <c r="V100" i="19"/>
  <c r="T100" i="19"/>
  <c r="S100" i="19"/>
  <c r="N82" i="19"/>
  <c r="N100" i="19" s="1"/>
  <c r="M82" i="19"/>
  <c r="M100" i="19" s="1"/>
  <c r="L82" i="19"/>
  <c r="L100" i="19" s="1"/>
  <c r="K82" i="19"/>
  <c r="K100" i="19" s="1"/>
  <c r="J82" i="19"/>
  <c r="J100" i="19" s="1"/>
  <c r="I82" i="19"/>
  <c r="I100" i="19" s="1"/>
  <c r="H82" i="19"/>
  <c r="H100" i="19" s="1"/>
  <c r="F82" i="19"/>
  <c r="F100" i="19" s="1"/>
  <c r="E82" i="19"/>
  <c r="E100" i="19" s="1"/>
  <c r="BD99" i="19"/>
  <c r="BC99" i="19"/>
  <c r="BB99" i="19"/>
  <c r="BA99" i="19"/>
  <c r="AZ99" i="19"/>
  <c r="AY99" i="19"/>
  <c r="AX99" i="19"/>
  <c r="AV99" i="19"/>
  <c r="AU99" i="19"/>
  <c r="AP99" i="19"/>
  <c r="AO99" i="19"/>
  <c r="AN99" i="19"/>
  <c r="AM99" i="19"/>
  <c r="AL99" i="19"/>
  <c r="AK99" i="19"/>
  <c r="AJ99" i="19"/>
  <c r="AH99" i="19"/>
  <c r="AG99" i="19"/>
  <c r="AB99" i="19"/>
  <c r="AA99" i="19"/>
  <c r="Z99" i="19"/>
  <c r="Y99" i="19"/>
  <c r="X99" i="19"/>
  <c r="W99" i="19"/>
  <c r="V99" i="19"/>
  <c r="T99" i="19"/>
  <c r="S99" i="19"/>
  <c r="N81" i="19"/>
  <c r="N99" i="19" s="1"/>
  <c r="M81" i="19"/>
  <c r="M99" i="19" s="1"/>
  <c r="L81" i="19"/>
  <c r="L99" i="19" s="1"/>
  <c r="K81" i="19"/>
  <c r="K99" i="19" s="1"/>
  <c r="J81" i="19"/>
  <c r="J99" i="19" s="1"/>
  <c r="I81" i="19"/>
  <c r="I99" i="19" s="1"/>
  <c r="H81" i="19"/>
  <c r="H99" i="19" s="1"/>
  <c r="F81" i="19"/>
  <c r="F99" i="19" s="1"/>
  <c r="E81" i="19"/>
  <c r="E99" i="19" s="1"/>
  <c r="T32" i="12"/>
  <c r="Y35" i="12"/>
  <c r="X35" i="12"/>
  <c r="W35" i="12"/>
  <c r="V35" i="12"/>
  <c r="U35" i="12"/>
  <c r="T35" i="12"/>
  <c r="Y34" i="12"/>
  <c r="X34" i="12"/>
  <c r="W34" i="12"/>
  <c r="V34" i="12"/>
  <c r="U34" i="12"/>
  <c r="T34" i="12"/>
  <c r="Y33" i="12"/>
  <c r="X33" i="12"/>
  <c r="W33" i="12"/>
  <c r="V33" i="12"/>
  <c r="U33" i="12"/>
  <c r="T33" i="12"/>
  <c r="Y32" i="12"/>
  <c r="X32" i="12"/>
  <c r="W32" i="12"/>
  <c r="V32" i="12"/>
  <c r="U32" i="12"/>
  <c r="Y31" i="12"/>
  <c r="X31" i="12"/>
  <c r="W31" i="12"/>
  <c r="V31" i="12"/>
  <c r="U31" i="12"/>
  <c r="T31" i="12"/>
  <c r="S35" i="12"/>
  <c r="S34" i="12"/>
  <c r="S33" i="12"/>
  <c r="S32" i="12"/>
  <c r="I35" i="12"/>
  <c r="H35" i="12"/>
  <c r="G35" i="12"/>
  <c r="F35" i="12"/>
  <c r="E35" i="12"/>
  <c r="D35" i="12"/>
  <c r="I34" i="12"/>
  <c r="H34" i="12"/>
  <c r="G34" i="12"/>
  <c r="F34" i="12"/>
  <c r="E34" i="12"/>
  <c r="D34" i="12"/>
  <c r="I33" i="12"/>
  <c r="H33" i="12"/>
  <c r="G33" i="12"/>
  <c r="F33" i="12"/>
  <c r="D33" i="12"/>
  <c r="I32" i="12"/>
  <c r="H32" i="12"/>
  <c r="G32" i="12"/>
  <c r="F32" i="12"/>
  <c r="E32" i="12"/>
  <c r="D32" i="12"/>
  <c r="I31" i="12"/>
  <c r="H31" i="12"/>
  <c r="G31" i="12"/>
  <c r="F31" i="12"/>
  <c r="D31" i="12"/>
  <c r="C35" i="12"/>
  <c r="C34" i="12"/>
  <c r="C33" i="12"/>
  <c r="C32" i="12"/>
  <c r="E55" i="12" l="1"/>
  <c r="E45" i="12"/>
  <c r="P24" i="12"/>
  <c r="I115" i="12"/>
  <c r="I75" i="12"/>
  <c r="I95" i="12"/>
  <c r="I55" i="12"/>
  <c r="X95" i="12"/>
  <c r="X89" i="12" s="1"/>
  <c r="X75" i="12"/>
  <c r="X55" i="12"/>
  <c r="X44" i="12" s="1"/>
  <c r="X115" i="12"/>
  <c r="X112" i="12" s="1"/>
  <c r="I53" i="12"/>
  <c r="I49" i="12"/>
  <c r="I45" i="12"/>
  <c r="I54" i="12"/>
  <c r="I50" i="12"/>
  <c r="I46" i="12"/>
  <c r="I114" i="12"/>
  <c r="I112" i="12"/>
  <c r="I103" i="12"/>
  <c r="I110" i="12"/>
  <c r="I52" i="12"/>
  <c r="I47" i="12"/>
  <c r="I43" i="12"/>
  <c r="I72" i="12"/>
  <c r="I68" i="12"/>
  <c r="I64" i="12"/>
  <c r="I94" i="12"/>
  <c r="I90" i="12"/>
  <c r="I86" i="12"/>
  <c r="I51" i="12"/>
  <c r="I113" i="12"/>
  <c r="I104" i="12"/>
  <c r="I44" i="12"/>
  <c r="I74" i="12"/>
  <c r="I66" i="12"/>
  <c r="I88" i="12"/>
  <c r="I109" i="12"/>
  <c r="I106" i="12"/>
  <c r="I65" i="12"/>
  <c r="I87" i="12"/>
  <c r="I111" i="12"/>
  <c r="I108" i="12"/>
  <c r="I91" i="12"/>
  <c r="I48" i="12"/>
  <c r="I71" i="12"/>
  <c r="I63" i="12"/>
  <c r="I93" i="12"/>
  <c r="I85" i="12"/>
  <c r="I73" i="12"/>
  <c r="I69" i="12"/>
  <c r="I70" i="12"/>
  <c r="I92" i="12"/>
  <c r="I84" i="12"/>
  <c r="I105" i="12"/>
  <c r="I83" i="12"/>
  <c r="I67" i="12"/>
  <c r="I89" i="12"/>
  <c r="I107" i="12"/>
  <c r="Z109" i="12"/>
  <c r="Z87" i="12"/>
  <c r="Z65" i="12"/>
  <c r="Z104" i="12"/>
  <c r="Z68" i="12"/>
  <c r="Z107" i="12"/>
  <c r="Z88" i="12"/>
  <c r="Z66" i="12"/>
  <c r="Z105" i="12"/>
  <c r="Z83" i="12"/>
  <c r="Z69" i="12"/>
  <c r="Z103" i="12"/>
  <c r="Z89" i="12"/>
  <c r="Z67" i="12"/>
  <c r="Z108" i="12"/>
  <c r="Z86" i="12"/>
  <c r="Z43" i="12"/>
  <c r="Z64" i="12"/>
  <c r="Z46" i="12"/>
  <c r="Z44" i="12"/>
  <c r="Z63" i="12"/>
  <c r="Z45" i="12"/>
  <c r="Z106" i="12"/>
  <c r="Z49" i="12"/>
  <c r="Z48" i="12"/>
  <c r="Z85" i="12"/>
  <c r="Z47" i="12"/>
  <c r="Z84" i="12"/>
  <c r="AT88" i="12"/>
  <c r="AT66" i="12"/>
  <c r="AT105" i="12"/>
  <c r="AT83" i="12"/>
  <c r="AT69" i="12"/>
  <c r="AT108" i="12"/>
  <c r="AT103" i="12"/>
  <c r="AT89" i="12"/>
  <c r="AT67" i="12"/>
  <c r="AT106" i="12"/>
  <c r="AT84" i="12"/>
  <c r="AT104" i="12"/>
  <c r="AT68" i="12"/>
  <c r="AT109" i="12"/>
  <c r="AT87" i="12"/>
  <c r="AT64" i="12"/>
  <c r="AT48" i="12"/>
  <c r="AT46" i="12"/>
  <c r="AT44" i="12"/>
  <c r="AT43" i="12"/>
  <c r="AT65" i="12"/>
  <c r="AT107" i="12"/>
  <c r="AT45" i="12"/>
  <c r="AT86" i="12"/>
  <c r="AT85" i="12"/>
  <c r="AT63" i="12"/>
  <c r="AT49" i="12"/>
  <c r="AT47" i="12"/>
  <c r="L115" i="12"/>
  <c r="L109" i="12" s="1"/>
  <c r="L75" i="12"/>
  <c r="L95" i="12"/>
  <c r="L55" i="12"/>
  <c r="L44" i="12"/>
  <c r="L45" i="12"/>
  <c r="L47" i="12"/>
  <c r="L46" i="12"/>
  <c r="L43" i="12"/>
  <c r="L49" i="12"/>
  <c r="L48" i="12"/>
  <c r="S95" i="12"/>
  <c r="S84" i="12" s="1"/>
  <c r="S55" i="12"/>
  <c r="S47" i="12" s="1"/>
  <c r="S115" i="12"/>
  <c r="S111" i="12" s="1"/>
  <c r="S75" i="12"/>
  <c r="S64" i="12" s="1"/>
  <c r="M48" i="12"/>
  <c r="M46" i="12"/>
  <c r="M44" i="12"/>
  <c r="M47" i="12"/>
  <c r="M43" i="12"/>
  <c r="M75" i="12"/>
  <c r="M95" i="12"/>
  <c r="M115" i="12"/>
  <c r="M55" i="12"/>
  <c r="M49" i="12"/>
  <c r="M45" i="12"/>
  <c r="Z95" i="12"/>
  <c r="Z115" i="12"/>
  <c r="Z75" i="12"/>
  <c r="Z55" i="12"/>
  <c r="E75" i="12"/>
  <c r="E95" i="12"/>
  <c r="E115" i="12"/>
  <c r="K105" i="12"/>
  <c r="K104" i="12"/>
  <c r="K108" i="12"/>
  <c r="K103" i="12"/>
  <c r="K109" i="12"/>
  <c r="K107" i="12"/>
  <c r="K106" i="12"/>
  <c r="J115" i="12"/>
  <c r="J109" i="12" s="1"/>
  <c r="J75" i="12"/>
  <c r="J71" i="12" s="1"/>
  <c r="J95" i="12"/>
  <c r="J83" i="12" s="1"/>
  <c r="J55" i="12"/>
  <c r="J46" i="12" s="1"/>
  <c r="N48" i="12"/>
  <c r="N46" i="12"/>
  <c r="N44" i="12"/>
  <c r="N95" i="12"/>
  <c r="N49" i="12"/>
  <c r="N47" i="12"/>
  <c r="N45" i="12"/>
  <c r="N43" i="12"/>
  <c r="N115" i="12"/>
  <c r="N55" i="12"/>
  <c r="N75" i="12"/>
  <c r="AC88" i="12"/>
  <c r="AC66" i="12"/>
  <c r="AC105" i="12"/>
  <c r="AC83" i="12"/>
  <c r="AC69" i="12"/>
  <c r="AC108" i="12"/>
  <c r="AC103" i="12"/>
  <c r="AC89" i="12"/>
  <c r="AC67" i="12"/>
  <c r="AC106" i="12"/>
  <c r="AC84" i="12"/>
  <c r="AC104" i="12"/>
  <c r="AC68" i="12"/>
  <c r="AC86" i="12"/>
  <c r="AC64" i="12"/>
  <c r="AC107" i="12"/>
  <c r="AC44" i="12"/>
  <c r="AC85" i="12"/>
  <c r="AC47" i="12"/>
  <c r="AC63" i="12"/>
  <c r="AC45" i="12"/>
  <c r="AC109" i="12"/>
  <c r="AC87" i="12"/>
  <c r="AC46" i="12"/>
  <c r="AC43" i="12"/>
  <c r="AC49" i="12"/>
  <c r="AC48" i="12"/>
  <c r="AC65" i="12"/>
  <c r="AD75" i="12"/>
  <c r="AD115" i="12"/>
  <c r="AD55" i="12"/>
  <c r="AD95" i="12"/>
  <c r="AR95" i="12"/>
  <c r="AR55" i="12"/>
  <c r="AR75" i="12"/>
  <c r="AR115" i="12"/>
  <c r="AC115" i="12"/>
  <c r="AC95" i="12"/>
  <c r="AC75" i="12"/>
  <c r="AC55" i="12"/>
  <c r="D115" i="12"/>
  <c r="D114" i="12" s="1"/>
  <c r="D75" i="12"/>
  <c r="D72" i="12" s="1"/>
  <c r="D95" i="12"/>
  <c r="D91" i="12" s="1"/>
  <c r="D55" i="12"/>
  <c r="D50" i="12" s="1"/>
  <c r="T115" i="12"/>
  <c r="T103" i="12" s="1"/>
  <c r="T75" i="12"/>
  <c r="T73" i="12" s="1"/>
  <c r="T95" i="12"/>
  <c r="T91" i="12" s="1"/>
  <c r="T55" i="12"/>
  <c r="T50" i="12" s="1"/>
  <c r="E51" i="12"/>
  <c r="E47" i="12"/>
  <c r="E52" i="12"/>
  <c r="E48" i="12"/>
  <c r="E44" i="12"/>
  <c r="E53" i="12"/>
  <c r="E46" i="12"/>
  <c r="E111" i="12"/>
  <c r="E109" i="12"/>
  <c r="E107" i="12"/>
  <c r="E50" i="12"/>
  <c r="E74" i="12"/>
  <c r="E70" i="12"/>
  <c r="E66" i="12"/>
  <c r="E92" i="12"/>
  <c r="E88" i="12"/>
  <c r="E84" i="12"/>
  <c r="E49" i="12"/>
  <c r="E43" i="12"/>
  <c r="E110" i="12"/>
  <c r="E54" i="12"/>
  <c r="E72" i="12"/>
  <c r="E64" i="12"/>
  <c r="E94" i="12"/>
  <c r="E86" i="12"/>
  <c r="E113" i="12"/>
  <c r="E104" i="12"/>
  <c r="E112" i="12"/>
  <c r="E71" i="12"/>
  <c r="E103" i="12"/>
  <c r="E73" i="12"/>
  <c r="E65" i="12"/>
  <c r="E67" i="12"/>
  <c r="E93" i="12"/>
  <c r="E69" i="12"/>
  <c r="E91" i="12"/>
  <c r="E83" i="12"/>
  <c r="E63" i="12"/>
  <c r="E85" i="12"/>
  <c r="E106" i="12"/>
  <c r="E87" i="12"/>
  <c r="E68" i="12"/>
  <c r="E90" i="12"/>
  <c r="E114" i="12"/>
  <c r="E108" i="12"/>
  <c r="E105" i="12"/>
  <c r="E89" i="12"/>
  <c r="M107" i="12"/>
  <c r="M106" i="12"/>
  <c r="M103" i="12"/>
  <c r="M108" i="12"/>
  <c r="M104" i="12"/>
  <c r="M109" i="12"/>
  <c r="M105" i="12"/>
  <c r="AD105" i="12"/>
  <c r="AD83" i="12"/>
  <c r="AD69" i="12"/>
  <c r="AD108" i="12"/>
  <c r="AD86" i="12"/>
  <c r="AD103" i="12"/>
  <c r="AD106" i="12"/>
  <c r="AD84" i="12"/>
  <c r="AD109" i="12"/>
  <c r="AD87" i="12"/>
  <c r="AD65" i="12"/>
  <c r="AD107" i="12"/>
  <c r="AD85" i="12"/>
  <c r="AD67" i="12"/>
  <c r="AD47" i="12"/>
  <c r="AD89" i="12"/>
  <c r="AD66" i="12"/>
  <c r="AD104" i="12"/>
  <c r="AD88" i="12"/>
  <c r="AD48" i="12"/>
  <c r="AD68" i="12"/>
  <c r="AD64" i="12"/>
  <c r="AD49" i="12"/>
  <c r="AD63" i="12"/>
  <c r="AD46" i="12"/>
  <c r="AD45" i="12"/>
  <c r="AD44" i="12"/>
  <c r="AD43" i="12"/>
  <c r="AP106" i="12"/>
  <c r="AP84" i="12"/>
  <c r="AP109" i="12"/>
  <c r="AP87" i="12"/>
  <c r="AP65" i="12"/>
  <c r="AP104" i="12"/>
  <c r="AP107" i="12"/>
  <c r="AP85" i="12"/>
  <c r="AP63" i="12"/>
  <c r="AP88" i="12"/>
  <c r="AP66" i="12"/>
  <c r="AP108" i="12"/>
  <c r="AP86" i="12"/>
  <c r="AP64" i="12"/>
  <c r="AP49" i="12"/>
  <c r="AP47" i="12"/>
  <c r="AP103" i="12"/>
  <c r="AP69" i="12"/>
  <c r="AP45" i="12"/>
  <c r="AP43" i="12"/>
  <c r="AP83" i="12"/>
  <c r="AP48" i="12"/>
  <c r="AP46" i="12"/>
  <c r="AP105" i="12"/>
  <c r="AP89" i="12"/>
  <c r="AP68" i="12"/>
  <c r="AP67" i="12"/>
  <c r="AP44" i="12"/>
  <c r="C95" i="12"/>
  <c r="C86" i="12" s="1"/>
  <c r="G95" i="12"/>
  <c r="G89" i="12" s="1"/>
  <c r="G55" i="12"/>
  <c r="G44" i="12" s="1"/>
  <c r="G75" i="12"/>
  <c r="G72" i="12" s="1"/>
  <c r="G115" i="12"/>
  <c r="G112" i="12" s="1"/>
  <c r="Y115" i="12"/>
  <c r="Y104" i="12" s="1"/>
  <c r="Y95" i="12"/>
  <c r="Y92" i="12" s="1"/>
  <c r="Y55" i="12"/>
  <c r="Y48" i="12" s="1"/>
  <c r="Y75" i="12"/>
  <c r="Y66" i="12" s="1"/>
  <c r="AS115" i="12"/>
  <c r="AS95" i="12"/>
  <c r="AS55" i="12"/>
  <c r="AS75" i="12"/>
  <c r="F95" i="12"/>
  <c r="F55" i="12"/>
  <c r="F75" i="12"/>
  <c r="F115" i="12"/>
  <c r="U115" i="12"/>
  <c r="U112" i="12" s="1"/>
  <c r="U95" i="12"/>
  <c r="U88" i="12" s="1"/>
  <c r="U75" i="12"/>
  <c r="U63" i="12" s="1"/>
  <c r="U55" i="12"/>
  <c r="U50" i="12" s="1"/>
  <c r="AQ95" i="12"/>
  <c r="AQ83" i="12" s="1"/>
  <c r="AQ115" i="12"/>
  <c r="AQ109" i="12" s="1"/>
  <c r="AQ55" i="12"/>
  <c r="AQ47" i="12" s="1"/>
  <c r="AQ75" i="12"/>
  <c r="AQ64" i="12" s="1"/>
  <c r="AB115" i="12"/>
  <c r="AB108" i="12" s="1"/>
  <c r="AB75" i="12"/>
  <c r="AB64" i="12" s="1"/>
  <c r="AB95" i="12"/>
  <c r="AB86" i="12" s="1"/>
  <c r="AB55" i="12"/>
  <c r="AB49" i="12" s="1"/>
  <c r="F51" i="12"/>
  <c r="F47" i="12"/>
  <c r="F43" i="12"/>
  <c r="F54" i="12"/>
  <c r="F50" i="12"/>
  <c r="F74" i="12"/>
  <c r="F70" i="12"/>
  <c r="F66" i="12"/>
  <c r="F92" i="12"/>
  <c r="F88" i="12"/>
  <c r="F84" i="12"/>
  <c r="F109" i="12"/>
  <c r="F107" i="12"/>
  <c r="F105" i="12"/>
  <c r="F52" i="12"/>
  <c r="F45" i="12"/>
  <c r="F71" i="12"/>
  <c r="F67" i="12"/>
  <c r="F63" i="12"/>
  <c r="F93" i="12"/>
  <c r="F89" i="12"/>
  <c r="F85" i="12"/>
  <c r="F72" i="12"/>
  <c r="F68" i="12"/>
  <c r="F64" i="12"/>
  <c r="F94" i="12"/>
  <c r="F90" i="12"/>
  <c r="F86" i="12"/>
  <c r="F108" i="12"/>
  <c r="F104" i="12"/>
  <c r="F91" i="12"/>
  <c r="F83" i="12"/>
  <c r="F112" i="12"/>
  <c r="F106" i="12"/>
  <c r="F103" i="12"/>
  <c r="F110" i="12"/>
  <c r="F69" i="12"/>
  <c r="F46" i="12"/>
  <c r="F53" i="12"/>
  <c r="F48" i="12"/>
  <c r="F44" i="12"/>
  <c r="F114" i="12"/>
  <c r="F73" i="12"/>
  <c r="F65" i="12"/>
  <c r="F87" i="12"/>
  <c r="F111" i="12"/>
  <c r="F113" i="12"/>
  <c r="N107" i="12"/>
  <c r="N109" i="12"/>
  <c r="N104" i="12"/>
  <c r="N108" i="12"/>
  <c r="N103" i="12"/>
  <c r="N106" i="12"/>
  <c r="N105" i="12"/>
  <c r="AQ107" i="12"/>
  <c r="C55" i="12"/>
  <c r="C43" i="12" s="1"/>
  <c r="X84" i="12"/>
  <c r="X73" i="12"/>
  <c r="X65" i="12"/>
  <c r="X74" i="12"/>
  <c r="X66" i="12"/>
  <c r="X45" i="12"/>
  <c r="X67" i="12"/>
  <c r="X69" i="12"/>
  <c r="X71" i="12"/>
  <c r="X63" i="12"/>
  <c r="X72" i="12"/>
  <c r="X64" i="12"/>
  <c r="X48" i="12"/>
  <c r="X70" i="12"/>
  <c r="X46" i="12"/>
  <c r="X68" i="12"/>
  <c r="X51" i="12"/>
  <c r="AR104" i="12"/>
  <c r="AR68" i="12"/>
  <c r="AR107" i="12"/>
  <c r="AR85" i="12"/>
  <c r="AR63" i="12"/>
  <c r="AR105" i="12"/>
  <c r="AR83" i="12"/>
  <c r="AR69" i="12"/>
  <c r="AR108" i="12"/>
  <c r="AR86" i="12"/>
  <c r="AR64" i="12"/>
  <c r="AR106" i="12"/>
  <c r="AR84" i="12"/>
  <c r="AR103" i="12"/>
  <c r="AR88" i="12"/>
  <c r="AR65" i="12"/>
  <c r="AR43" i="12"/>
  <c r="AR109" i="12"/>
  <c r="AR87" i="12"/>
  <c r="AR67" i="12"/>
  <c r="AR44" i="12"/>
  <c r="AR89" i="12"/>
  <c r="AR66" i="12"/>
  <c r="AR49" i="12"/>
  <c r="AR47" i="12"/>
  <c r="AR45" i="12"/>
  <c r="AR46" i="12"/>
  <c r="AR48" i="12"/>
  <c r="C75" i="12"/>
  <c r="V75" i="12"/>
  <c r="V55" i="12"/>
  <c r="V115" i="12"/>
  <c r="V95" i="12"/>
  <c r="H95" i="12"/>
  <c r="H55" i="12"/>
  <c r="H115" i="12"/>
  <c r="H75" i="12"/>
  <c r="W95" i="12"/>
  <c r="W115" i="12"/>
  <c r="W75" i="12"/>
  <c r="W55" i="12"/>
  <c r="AT95" i="12"/>
  <c r="AT115" i="12"/>
  <c r="AT75" i="12"/>
  <c r="AT55" i="12"/>
  <c r="AP95" i="12"/>
  <c r="AP75" i="12"/>
  <c r="AP115" i="12"/>
  <c r="AP55" i="12"/>
  <c r="AA95" i="12"/>
  <c r="AA115" i="12"/>
  <c r="AA55" i="12"/>
  <c r="AA75" i="12"/>
  <c r="H52" i="12"/>
  <c r="H48" i="12"/>
  <c r="H44" i="12"/>
  <c r="H51" i="12"/>
  <c r="H71" i="12"/>
  <c r="H67" i="12"/>
  <c r="H63" i="12"/>
  <c r="H93" i="12"/>
  <c r="H89" i="12"/>
  <c r="H85" i="12"/>
  <c r="H105" i="12"/>
  <c r="H112" i="12"/>
  <c r="H45" i="12"/>
  <c r="H114" i="12"/>
  <c r="H103" i="12"/>
  <c r="H72" i="12"/>
  <c r="H90" i="12"/>
  <c r="H49" i="12"/>
  <c r="H47" i="12"/>
  <c r="H43" i="12"/>
  <c r="H68" i="12"/>
  <c r="H64" i="12"/>
  <c r="H94" i="12"/>
  <c r="H86" i="12"/>
  <c r="H73" i="12"/>
  <c r="H69" i="12"/>
  <c r="H65" i="12"/>
  <c r="H91" i="12"/>
  <c r="H87" i="12"/>
  <c r="H83" i="12"/>
  <c r="H106" i="12"/>
  <c r="H113" i="12"/>
  <c r="H104" i="12"/>
  <c r="H53" i="12"/>
  <c r="H74" i="12"/>
  <c r="H66" i="12"/>
  <c r="H88" i="12"/>
  <c r="H109" i="12"/>
  <c r="H46" i="12"/>
  <c r="H111" i="12"/>
  <c r="H108" i="12"/>
  <c r="H110" i="12"/>
  <c r="H107" i="12"/>
  <c r="H70" i="12"/>
  <c r="H92" i="12"/>
  <c r="H84" i="12"/>
  <c r="H50" i="12"/>
  <c r="H54" i="12"/>
  <c r="Y46" i="12"/>
  <c r="Y94" i="12"/>
  <c r="Y44" i="12"/>
  <c r="Y53" i="12"/>
  <c r="AS107" i="12"/>
  <c r="AS85" i="12"/>
  <c r="AS63" i="12"/>
  <c r="AS88" i="12"/>
  <c r="AS66" i="12"/>
  <c r="AS105" i="12"/>
  <c r="AS108" i="12"/>
  <c r="AS86" i="12"/>
  <c r="AS64" i="12"/>
  <c r="AS103" i="12"/>
  <c r="AS89" i="12"/>
  <c r="AS67" i="12"/>
  <c r="AS109" i="12"/>
  <c r="AS87" i="12"/>
  <c r="AS65" i="12"/>
  <c r="AS69" i="12"/>
  <c r="AS83" i="12"/>
  <c r="AS68" i="12"/>
  <c r="AS48" i="12"/>
  <c r="AS46" i="12"/>
  <c r="AS106" i="12"/>
  <c r="AS49" i="12"/>
  <c r="AS47" i="12"/>
  <c r="AS45" i="12"/>
  <c r="AS104" i="12"/>
  <c r="AS84" i="12"/>
  <c r="AS43" i="12"/>
  <c r="AS44" i="12"/>
  <c r="K115" i="12"/>
  <c r="K75" i="12"/>
  <c r="K95" i="12"/>
  <c r="K48" i="12"/>
  <c r="K45" i="12"/>
  <c r="K44" i="12"/>
  <c r="K47" i="12"/>
  <c r="K49" i="12"/>
  <c r="K55" i="12"/>
  <c r="K46" i="12"/>
  <c r="K43" i="12"/>
  <c r="C115" i="12"/>
  <c r="I76" i="15"/>
  <c r="I94" i="15" s="1"/>
  <c r="I112" i="15" s="1"/>
  <c r="L71" i="15"/>
  <c r="BB89" i="15" s="1"/>
  <c r="BB107" i="15" s="1"/>
  <c r="C66" i="13"/>
  <c r="C81" i="13" s="1"/>
  <c r="C70" i="13"/>
  <c r="C85" i="13" s="1"/>
  <c r="D73" i="13"/>
  <c r="D88" i="13" s="1"/>
  <c r="D68" i="13"/>
  <c r="D83" i="13" s="1"/>
  <c r="E73" i="13"/>
  <c r="E88" i="13" s="1"/>
  <c r="E68" i="13"/>
  <c r="E83" i="13" s="1"/>
  <c r="E72" i="13"/>
  <c r="E87" i="13" s="1"/>
  <c r="D71" i="13"/>
  <c r="D86" i="13" s="1"/>
  <c r="C71" i="13"/>
  <c r="C86" i="13" s="1"/>
  <c r="C69" i="13"/>
  <c r="C84" i="13" s="1"/>
  <c r="D66" i="13"/>
  <c r="D81" i="13" s="1"/>
  <c r="E71" i="13"/>
  <c r="E86" i="13" s="1"/>
  <c r="C72" i="13"/>
  <c r="C87" i="13" s="1"/>
  <c r="E66" i="13"/>
  <c r="E81" i="13" s="1"/>
  <c r="D69" i="13"/>
  <c r="D84" i="13" s="1"/>
  <c r="C67" i="13"/>
  <c r="C82" i="13" s="1"/>
  <c r="C73" i="13"/>
  <c r="C88" i="13" s="1"/>
  <c r="C65" i="13"/>
  <c r="C80" i="13" s="1"/>
  <c r="E69" i="13"/>
  <c r="E84" i="13" s="1"/>
  <c r="D65" i="13"/>
  <c r="D80" i="13" s="1"/>
  <c r="E67" i="13"/>
  <c r="E82" i="13" s="1"/>
  <c r="D72" i="13"/>
  <c r="D87" i="13" s="1"/>
  <c r="D70" i="13"/>
  <c r="D85" i="13" s="1"/>
  <c r="D67" i="13"/>
  <c r="D82" i="13" s="1"/>
  <c r="E70" i="13"/>
  <c r="E85" i="13" s="1"/>
  <c r="E65" i="13"/>
  <c r="E80" i="13" s="1"/>
  <c r="AS81" i="19"/>
  <c r="AS99" i="19" s="1"/>
  <c r="AE81" i="19"/>
  <c r="AE99" i="19" s="1"/>
  <c r="Q81" i="19"/>
  <c r="Q99" i="19" s="1"/>
  <c r="C81" i="19"/>
  <c r="C99" i="19" s="1"/>
  <c r="B43" i="14"/>
  <c r="B42" i="14"/>
  <c r="J65" i="15"/>
  <c r="AL83" i="15" s="1"/>
  <c r="AL101" i="15" s="1"/>
  <c r="C65" i="15"/>
  <c r="C83" i="15" s="1"/>
  <c r="C101" i="15" s="1"/>
  <c r="D67" i="15"/>
  <c r="AF85" i="15" s="1"/>
  <c r="AF103" i="15" s="1"/>
  <c r="L89" i="15"/>
  <c r="L107" i="15" s="1"/>
  <c r="H88" i="15"/>
  <c r="H106" i="15" s="1"/>
  <c r="AJ88" i="15"/>
  <c r="AJ106" i="15" s="1"/>
  <c r="V88" i="15"/>
  <c r="V106" i="15" s="1"/>
  <c r="AX88" i="15"/>
  <c r="AX106" i="15" s="1"/>
  <c r="D65" i="19"/>
  <c r="J67" i="19"/>
  <c r="H73" i="19"/>
  <c r="K64" i="19"/>
  <c r="F64" i="19"/>
  <c r="I66" i="19"/>
  <c r="L63" i="19"/>
  <c r="G64" i="19"/>
  <c r="L64" i="19"/>
  <c r="F65" i="19"/>
  <c r="D66" i="19"/>
  <c r="L67" i="19"/>
  <c r="N68" i="19"/>
  <c r="G65" i="19"/>
  <c r="L65" i="19"/>
  <c r="J66" i="19"/>
  <c r="C68" i="19"/>
  <c r="J68" i="19"/>
  <c r="F69" i="19"/>
  <c r="L69" i="19"/>
  <c r="F71" i="19"/>
  <c r="F74" i="19"/>
  <c r="E74" i="19"/>
  <c r="I72" i="19"/>
  <c r="H70" i="19"/>
  <c r="I67" i="19"/>
  <c r="C67" i="19"/>
  <c r="L66" i="19"/>
  <c r="C66" i="19"/>
  <c r="I64" i="19"/>
  <c r="D64" i="19"/>
  <c r="K63" i="19"/>
  <c r="G63" i="19"/>
  <c r="N65" i="19"/>
  <c r="F63" i="19"/>
  <c r="E73" i="19"/>
  <c r="E71" i="19"/>
  <c r="J69" i="19"/>
  <c r="I68" i="19"/>
  <c r="D68" i="19"/>
  <c r="J65" i="19"/>
  <c r="C64" i="19"/>
  <c r="I73" i="19"/>
  <c r="D73" i="19"/>
  <c r="F72" i="19"/>
  <c r="I71" i="19"/>
  <c r="C71" i="19"/>
  <c r="I69" i="19"/>
  <c r="C69" i="19"/>
  <c r="L68" i="19"/>
  <c r="G67" i="19"/>
  <c r="K66" i="19"/>
  <c r="G66" i="19"/>
  <c r="I65" i="19"/>
  <c r="C65" i="19"/>
  <c r="H74" i="19"/>
  <c r="C73" i="19"/>
  <c r="E70" i="19"/>
  <c r="G68" i="19"/>
  <c r="K67" i="19"/>
  <c r="F67" i="19"/>
  <c r="K65" i="19"/>
  <c r="D69" i="19"/>
  <c r="N63" i="19"/>
  <c r="N64" i="19"/>
  <c r="F66" i="19"/>
  <c r="N67" i="19"/>
  <c r="K68" i="19"/>
  <c r="H71" i="19"/>
  <c r="C72" i="19"/>
  <c r="F73" i="19"/>
  <c r="N66" i="19"/>
  <c r="D67" i="19"/>
  <c r="K69" i="19"/>
  <c r="I63" i="19"/>
  <c r="G69" i="19"/>
  <c r="D70" i="19"/>
  <c r="D63" i="19"/>
  <c r="J63" i="19"/>
  <c r="J64" i="19"/>
  <c r="F68" i="19"/>
  <c r="N69" i="19"/>
  <c r="D72" i="19"/>
  <c r="H76" i="15"/>
  <c r="M66" i="15"/>
  <c r="I74" i="15"/>
  <c r="H65" i="15"/>
  <c r="K67" i="15"/>
  <c r="D73" i="15"/>
  <c r="F65" i="15"/>
  <c r="N71" i="15"/>
  <c r="C73" i="15"/>
  <c r="H75" i="15"/>
  <c r="I70" i="15"/>
  <c r="H74" i="15"/>
  <c r="G70" i="15"/>
  <c r="F74" i="15"/>
  <c r="E76" i="15"/>
  <c r="I73" i="15"/>
  <c r="G71" i="15"/>
  <c r="N69" i="15"/>
  <c r="G66" i="15"/>
  <c r="C69" i="15"/>
  <c r="D76" i="15"/>
  <c r="H73" i="15"/>
  <c r="F71" i="15"/>
  <c r="E69" i="15"/>
  <c r="D66" i="15"/>
  <c r="D71" i="15"/>
  <c r="L68" i="15"/>
  <c r="K65" i="15"/>
  <c r="G75" i="15"/>
  <c r="F72" i="15"/>
  <c r="M70" i="15"/>
  <c r="F68" i="15"/>
  <c r="C67" i="15"/>
  <c r="D75" i="15"/>
  <c r="E72" i="15"/>
  <c r="L70" i="15"/>
  <c r="D68" i="15"/>
  <c r="I65" i="15"/>
  <c r="G76" i="15"/>
  <c r="F75" i="15"/>
  <c r="G74" i="15"/>
  <c r="E73" i="15"/>
  <c r="D70" i="15"/>
  <c r="E66" i="15"/>
  <c r="C66" i="15"/>
  <c r="E75" i="15"/>
  <c r="E74" i="15"/>
  <c r="K71" i="15"/>
  <c r="M67" i="15"/>
  <c r="M65" i="15"/>
  <c r="F76" i="15"/>
  <c r="D74" i="15"/>
  <c r="G72" i="15"/>
  <c r="H71" i="15"/>
  <c r="K69" i="15"/>
  <c r="F67" i="15"/>
  <c r="F85" i="15" s="1"/>
  <c r="C74" i="15"/>
  <c r="N64" i="12"/>
  <c r="AV24" i="12"/>
  <c r="AI33" i="12"/>
  <c r="AN34" i="12"/>
  <c r="AI35" i="12"/>
  <c r="AN32" i="12"/>
  <c r="AL35" i="12"/>
  <c r="AI34" i="12"/>
  <c r="AM32" i="12"/>
  <c r="AO32" i="12"/>
  <c r="AL34" i="12"/>
  <c r="AN35" i="12"/>
  <c r="AL32" i="12"/>
  <c r="AM33" i="12"/>
  <c r="AO33" i="12"/>
  <c r="AL31" i="12"/>
  <c r="AJ34" i="12"/>
  <c r="AK33" i="12"/>
  <c r="AI32" i="12"/>
  <c r="AN33" i="12"/>
  <c r="AM35" i="12"/>
  <c r="AL33" i="12"/>
  <c r="AK34" i="12"/>
  <c r="AK32" i="12"/>
  <c r="AK31" i="12"/>
  <c r="AM34" i="12"/>
  <c r="M89" i="12"/>
  <c r="M85" i="12"/>
  <c r="M86" i="12"/>
  <c r="M87" i="12"/>
  <c r="M84" i="12"/>
  <c r="M88" i="12"/>
  <c r="AJ31" i="12"/>
  <c r="AO31" i="12"/>
  <c r="AN31" i="12"/>
  <c r="AM31" i="12"/>
  <c r="AI31" i="12"/>
  <c r="AJ33" i="12"/>
  <c r="AO35" i="12"/>
  <c r="K83" i="12"/>
  <c r="K87" i="12"/>
  <c r="K89" i="12"/>
  <c r="K85" i="12"/>
  <c r="K84" i="12"/>
  <c r="K86" i="12"/>
  <c r="K88" i="12"/>
  <c r="AJ32" i="12"/>
  <c r="AO34" i="12"/>
  <c r="M65" i="12"/>
  <c r="M66" i="12"/>
  <c r="M69" i="12"/>
  <c r="M64" i="12"/>
  <c r="M67" i="12"/>
  <c r="M68" i="12"/>
  <c r="AJ35" i="12"/>
  <c r="AK35" i="12"/>
  <c r="C74" i="19"/>
  <c r="G74" i="19"/>
  <c r="D74" i="19"/>
  <c r="G73" i="19"/>
  <c r="G72" i="19"/>
  <c r="G71" i="19"/>
  <c r="G70" i="19"/>
  <c r="E72" i="19"/>
  <c r="D71" i="19"/>
  <c r="F70" i="19"/>
  <c r="H69" i="19"/>
  <c r="H68" i="19"/>
  <c r="H67" i="19"/>
  <c r="H66" i="19"/>
  <c r="H65" i="19"/>
  <c r="H64" i="19"/>
  <c r="H63" i="19"/>
  <c r="I74" i="19"/>
  <c r="H72" i="19"/>
  <c r="I70" i="19"/>
  <c r="C70" i="19"/>
  <c r="M69" i="19"/>
  <c r="E69" i="19"/>
  <c r="M68" i="19"/>
  <c r="E68" i="19"/>
  <c r="M67" i="19"/>
  <c r="E67" i="19"/>
  <c r="M66" i="19"/>
  <c r="E66" i="19"/>
  <c r="M65" i="19"/>
  <c r="E65" i="19"/>
  <c r="M64" i="19"/>
  <c r="E64" i="19"/>
  <c r="M63" i="19"/>
  <c r="E63" i="19"/>
  <c r="N86" i="12"/>
  <c r="L63" i="12"/>
  <c r="L68" i="12"/>
  <c r="L69" i="12"/>
  <c r="L65" i="12"/>
  <c r="L67" i="12"/>
  <c r="L64" i="12"/>
  <c r="L66" i="12"/>
  <c r="K64" i="12"/>
  <c r="K68" i="12"/>
  <c r="K66" i="12"/>
  <c r="K69" i="12"/>
  <c r="K63" i="12"/>
  <c r="K65" i="12"/>
  <c r="K67" i="12"/>
  <c r="L84" i="12"/>
  <c r="L87" i="12"/>
  <c r="L88" i="12"/>
  <c r="L89" i="12"/>
  <c r="L85" i="12"/>
  <c r="L86" i="12"/>
  <c r="N66" i="12"/>
  <c r="N68" i="12"/>
  <c r="N69" i="12"/>
  <c r="N83" i="12"/>
  <c r="N63" i="12"/>
  <c r="N84" i="12"/>
  <c r="N85" i="12"/>
  <c r="N88" i="12"/>
  <c r="N67" i="12"/>
  <c r="N89" i="12"/>
  <c r="N87" i="12"/>
  <c r="L83" i="12"/>
  <c r="AF24" i="12"/>
  <c r="B56" i="14" s="1"/>
  <c r="B64" i="14" s="1"/>
  <c r="D65" i="15"/>
  <c r="L65" i="15"/>
  <c r="F66" i="15"/>
  <c r="N66" i="15"/>
  <c r="E67" i="15"/>
  <c r="N67" i="15"/>
  <c r="E68" i="15"/>
  <c r="M68" i="15"/>
  <c r="D69" i="15"/>
  <c r="L69" i="15"/>
  <c r="F70" i="15"/>
  <c r="C68" i="15"/>
  <c r="C72" i="15"/>
  <c r="C76" i="15"/>
  <c r="G65" i="15"/>
  <c r="I66" i="15"/>
  <c r="H67" i="15"/>
  <c r="H68" i="15"/>
  <c r="G69" i="15"/>
  <c r="C70" i="15"/>
  <c r="C75" i="15"/>
  <c r="E65" i="15"/>
  <c r="K66" i="15"/>
  <c r="J67" i="15"/>
  <c r="J68" i="15"/>
  <c r="N68" i="15"/>
  <c r="I69" i="15"/>
  <c r="M69" i="15"/>
  <c r="K70" i="15"/>
  <c r="J71" i="15"/>
  <c r="I72" i="15"/>
  <c r="G73" i="15"/>
  <c r="I75" i="15"/>
  <c r="H66" i="15"/>
  <c r="L66" i="15"/>
  <c r="G67" i="15"/>
  <c r="L67" i="15"/>
  <c r="G68" i="15"/>
  <c r="K68" i="15"/>
  <c r="F69" i="15"/>
  <c r="J69" i="15"/>
  <c r="E70" i="15"/>
  <c r="N70" i="15"/>
  <c r="E71" i="15"/>
  <c r="M71" i="15"/>
  <c r="D72" i="15"/>
  <c r="N65" i="15"/>
  <c r="J66" i="15"/>
  <c r="I67" i="15"/>
  <c r="I68" i="15"/>
  <c r="H69" i="15"/>
  <c r="J70" i="15"/>
  <c r="I71" i="15"/>
  <c r="H72" i="15"/>
  <c r="F73" i="15"/>
  <c r="C71" i="15"/>
  <c r="M83" i="12"/>
  <c r="M63" i="12"/>
  <c r="Y112" i="12" l="1"/>
  <c r="X47" i="12"/>
  <c r="X54" i="12"/>
  <c r="X52" i="12"/>
  <c r="X49" i="12"/>
  <c r="AQ106" i="12"/>
  <c r="X43" i="12"/>
  <c r="X53" i="12"/>
  <c r="X50" i="12"/>
  <c r="AQ88" i="12"/>
  <c r="Y113" i="12"/>
  <c r="Y109" i="12"/>
  <c r="AQ87" i="12"/>
  <c r="Y106" i="12"/>
  <c r="AQ85" i="12"/>
  <c r="AQ86" i="12"/>
  <c r="AQ84" i="12"/>
  <c r="Y114" i="12"/>
  <c r="AQ89" i="12"/>
  <c r="Y72" i="12"/>
  <c r="G109" i="12"/>
  <c r="G104" i="12"/>
  <c r="G107" i="12"/>
  <c r="G65" i="12"/>
  <c r="G70" i="12"/>
  <c r="G73" i="12"/>
  <c r="G68" i="12"/>
  <c r="G69" i="12"/>
  <c r="G63" i="12"/>
  <c r="G67" i="12"/>
  <c r="L107" i="12"/>
  <c r="L103" i="12"/>
  <c r="G93" i="12"/>
  <c r="G90" i="12"/>
  <c r="X109" i="12"/>
  <c r="X108" i="12"/>
  <c r="Y70" i="12"/>
  <c r="X113" i="12"/>
  <c r="X111" i="12"/>
  <c r="Y69" i="12"/>
  <c r="AQ104" i="12"/>
  <c r="AQ108" i="12"/>
  <c r="AQ66" i="12"/>
  <c r="AQ103" i="12"/>
  <c r="AQ63" i="12"/>
  <c r="AQ69" i="12"/>
  <c r="AQ65" i="12"/>
  <c r="AQ68" i="12"/>
  <c r="AQ67" i="12"/>
  <c r="AQ105" i="12"/>
  <c r="Y63" i="12"/>
  <c r="Y64" i="12"/>
  <c r="Y74" i="12"/>
  <c r="X110" i="12"/>
  <c r="X87" i="12"/>
  <c r="X107" i="12"/>
  <c r="Y65" i="12"/>
  <c r="Y68" i="12"/>
  <c r="X103" i="12"/>
  <c r="X106" i="12"/>
  <c r="Y73" i="12"/>
  <c r="X105" i="12"/>
  <c r="X104" i="12"/>
  <c r="X114" i="12"/>
  <c r="Y67" i="12"/>
  <c r="Y71" i="12"/>
  <c r="L108" i="12"/>
  <c r="L105" i="12"/>
  <c r="L104" i="12"/>
  <c r="L106" i="12"/>
  <c r="G113" i="12"/>
  <c r="G103" i="12"/>
  <c r="G48" i="12"/>
  <c r="G105" i="12"/>
  <c r="G111" i="12"/>
  <c r="G114" i="12"/>
  <c r="G66" i="12"/>
  <c r="G71" i="12"/>
  <c r="G106" i="12"/>
  <c r="G64" i="12"/>
  <c r="G74" i="12"/>
  <c r="G110" i="12"/>
  <c r="G108" i="12"/>
  <c r="G92" i="12"/>
  <c r="G51" i="12"/>
  <c r="G45" i="12"/>
  <c r="G49" i="12"/>
  <c r="G50" i="12"/>
  <c r="G47" i="12"/>
  <c r="G46" i="12"/>
  <c r="G54" i="12"/>
  <c r="G53" i="12"/>
  <c r="G43" i="12"/>
  <c r="G52" i="12"/>
  <c r="Y85" i="12"/>
  <c r="Y91" i="12"/>
  <c r="Y105" i="12"/>
  <c r="Y110" i="12"/>
  <c r="Y93" i="12"/>
  <c r="Y108" i="12"/>
  <c r="Y90" i="12"/>
  <c r="Y103" i="12"/>
  <c r="Y89" i="12"/>
  <c r="Y111" i="12"/>
  <c r="Y107" i="12"/>
  <c r="Y83" i="12"/>
  <c r="Y84" i="12"/>
  <c r="Y88" i="12"/>
  <c r="Y86" i="12"/>
  <c r="Y87" i="12"/>
  <c r="Y49" i="12"/>
  <c r="Y52" i="12"/>
  <c r="Y50" i="12"/>
  <c r="Y45" i="12"/>
  <c r="Y43" i="12"/>
  <c r="Y54" i="12"/>
  <c r="AQ48" i="12"/>
  <c r="Y47" i="12"/>
  <c r="AQ43" i="12"/>
  <c r="Y51" i="12"/>
  <c r="AQ46" i="12"/>
  <c r="AQ49" i="12"/>
  <c r="AQ45" i="12"/>
  <c r="AQ44" i="12"/>
  <c r="C75" i="14"/>
  <c r="X85" i="12"/>
  <c r="X90" i="12"/>
  <c r="X92" i="12"/>
  <c r="X88" i="12"/>
  <c r="X93" i="12"/>
  <c r="G88" i="12"/>
  <c r="X83" i="12"/>
  <c r="G87" i="12"/>
  <c r="G83" i="12"/>
  <c r="X86" i="12"/>
  <c r="X91" i="12"/>
  <c r="G91" i="12"/>
  <c r="G85" i="12"/>
  <c r="X94" i="12"/>
  <c r="G94" i="12"/>
  <c r="G86" i="12"/>
  <c r="G84" i="12"/>
  <c r="B57" i="14"/>
  <c r="B89" i="14" s="1"/>
  <c r="D43" i="12"/>
  <c r="C44" i="12"/>
  <c r="AO115" i="12"/>
  <c r="AO95" i="12"/>
  <c r="AO75" i="12"/>
  <c r="AO55" i="12"/>
  <c r="W89" i="12"/>
  <c r="W87" i="12"/>
  <c r="W91" i="12"/>
  <c r="W83" i="12"/>
  <c r="W86" i="12"/>
  <c r="W88" i="12"/>
  <c r="W92" i="12"/>
  <c r="W93" i="12"/>
  <c r="W84" i="12"/>
  <c r="W85" i="12"/>
  <c r="W90" i="12"/>
  <c r="W94" i="12"/>
  <c r="V63" i="12"/>
  <c r="V67" i="12"/>
  <c r="V74" i="12"/>
  <c r="V72" i="12"/>
  <c r="V69" i="12"/>
  <c r="V64" i="12"/>
  <c r="V70" i="12"/>
  <c r="V68" i="12"/>
  <c r="V73" i="12"/>
  <c r="V71" i="12"/>
  <c r="V65" i="12"/>
  <c r="V66" i="12"/>
  <c r="AJ95" i="12"/>
  <c r="AJ115" i="12"/>
  <c r="AJ75" i="12"/>
  <c r="AJ55" i="12"/>
  <c r="AK115" i="12"/>
  <c r="AK95" i="12"/>
  <c r="AK55" i="12"/>
  <c r="AK75" i="12"/>
  <c r="C113" i="12"/>
  <c r="C107" i="12"/>
  <c r="C104" i="12"/>
  <c r="C108" i="12"/>
  <c r="C103" i="12"/>
  <c r="C110" i="12"/>
  <c r="C112" i="12"/>
  <c r="C105" i="12"/>
  <c r="C111" i="12"/>
  <c r="C114" i="12"/>
  <c r="C109" i="12"/>
  <c r="C106" i="12"/>
  <c r="AA69" i="12"/>
  <c r="AA66" i="12"/>
  <c r="AA68" i="12"/>
  <c r="AA64" i="12"/>
  <c r="AA65" i="12"/>
  <c r="AA63" i="12"/>
  <c r="AA67" i="12"/>
  <c r="C65" i="12"/>
  <c r="C71" i="12"/>
  <c r="C72" i="12"/>
  <c r="C63" i="12"/>
  <c r="C66" i="12"/>
  <c r="C64" i="12"/>
  <c r="C69" i="12"/>
  <c r="C74" i="12"/>
  <c r="C67" i="12"/>
  <c r="C68" i="12"/>
  <c r="C73" i="12"/>
  <c r="C70" i="12"/>
  <c r="AA46" i="12"/>
  <c r="AA49" i="12"/>
  <c r="AA48" i="12"/>
  <c r="AA43" i="12"/>
  <c r="AA47" i="12"/>
  <c r="AA45" i="12"/>
  <c r="AA44" i="12"/>
  <c r="AA108" i="12"/>
  <c r="AA104" i="12"/>
  <c r="AA103" i="12"/>
  <c r="AA107" i="12"/>
  <c r="AA106" i="12"/>
  <c r="AA105" i="12"/>
  <c r="AA109" i="12"/>
  <c r="AA83" i="12"/>
  <c r="AA87" i="12"/>
  <c r="AA86" i="12"/>
  <c r="AA89" i="12"/>
  <c r="AA88" i="12"/>
  <c r="AA85" i="12"/>
  <c r="AA84" i="12"/>
  <c r="AI95" i="12"/>
  <c r="AI115" i="12"/>
  <c r="AI75" i="12"/>
  <c r="AI55" i="12"/>
  <c r="AL95" i="12"/>
  <c r="AL115" i="12"/>
  <c r="AL75" i="12"/>
  <c r="AL55" i="12"/>
  <c r="W53" i="12"/>
  <c r="W49" i="12"/>
  <c r="W51" i="12"/>
  <c r="W45" i="12"/>
  <c r="W43" i="12"/>
  <c r="W47" i="12"/>
  <c r="W54" i="12"/>
  <c r="W50" i="12"/>
  <c r="W52" i="12"/>
  <c r="W46" i="12"/>
  <c r="W44" i="12"/>
  <c r="W48" i="12"/>
  <c r="V87" i="12"/>
  <c r="V92" i="12"/>
  <c r="V84" i="12"/>
  <c r="V91" i="12"/>
  <c r="V94" i="12"/>
  <c r="V89" i="12"/>
  <c r="V88" i="12"/>
  <c r="V83" i="12"/>
  <c r="V86" i="12"/>
  <c r="V85" i="12"/>
  <c r="V93" i="12"/>
  <c r="V90" i="12"/>
  <c r="AM95" i="12"/>
  <c r="AM55" i="12"/>
  <c r="AM115" i="12"/>
  <c r="AM75" i="12"/>
  <c r="W72" i="12"/>
  <c r="W70" i="12"/>
  <c r="W64" i="12"/>
  <c r="W71" i="12"/>
  <c r="W63" i="12"/>
  <c r="W73" i="12"/>
  <c r="W68" i="12"/>
  <c r="W65" i="12"/>
  <c r="W69" i="12"/>
  <c r="W67" i="12"/>
  <c r="W74" i="12"/>
  <c r="W66" i="12"/>
  <c r="V105" i="12"/>
  <c r="V110" i="12"/>
  <c r="V114" i="12"/>
  <c r="V111" i="12"/>
  <c r="V112" i="12"/>
  <c r="V106" i="12"/>
  <c r="V109" i="12"/>
  <c r="V104" i="12"/>
  <c r="V107" i="12"/>
  <c r="V108" i="12"/>
  <c r="V113" i="12"/>
  <c r="V103" i="12"/>
  <c r="AN115" i="12"/>
  <c r="AN95" i="12"/>
  <c r="AN75" i="12"/>
  <c r="AN55" i="12"/>
  <c r="W105" i="12"/>
  <c r="W109" i="12"/>
  <c r="W114" i="12"/>
  <c r="W104" i="12"/>
  <c r="W106" i="12"/>
  <c r="W111" i="12"/>
  <c r="W103" i="12"/>
  <c r="W107" i="12"/>
  <c r="W108" i="12"/>
  <c r="W113" i="12"/>
  <c r="W110" i="12"/>
  <c r="W112" i="12"/>
  <c r="V50" i="12"/>
  <c r="V49" i="12"/>
  <c r="V53" i="12"/>
  <c r="V46" i="12"/>
  <c r="V52" i="12"/>
  <c r="V51" i="12"/>
  <c r="V48" i="12"/>
  <c r="V47" i="12"/>
  <c r="V54" i="12"/>
  <c r="V44" i="12"/>
  <c r="V43" i="12"/>
  <c r="V45" i="12"/>
  <c r="U46" i="12"/>
  <c r="U69" i="12"/>
  <c r="U74" i="12"/>
  <c r="U71" i="12"/>
  <c r="U106" i="12"/>
  <c r="U85" i="12"/>
  <c r="D90" i="12"/>
  <c r="D86" i="12"/>
  <c r="D89" i="12"/>
  <c r="D88" i="12"/>
  <c r="D65" i="12"/>
  <c r="D54" i="12"/>
  <c r="AB45" i="12"/>
  <c r="AB43" i="12"/>
  <c r="AB65" i="12"/>
  <c r="AB105" i="12"/>
  <c r="T49" i="12"/>
  <c r="T54" i="12"/>
  <c r="T107" i="12"/>
  <c r="T94" i="12"/>
  <c r="T87" i="12"/>
  <c r="T111" i="12"/>
  <c r="C89" i="12"/>
  <c r="C45" i="12"/>
  <c r="C91" i="12"/>
  <c r="C51" i="12"/>
  <c r="S65" i="12"/>
  <c r="S49" i="12"/>
  <c r="S72" i="12"/>
  <c r="S69" i="12"/>
  <c r="S105" i="12"/>
  <c r="S92" i="12"/>
  <c r="J107" i="12"/>
  <c r="J49" i="12"/>
  <c r="J89" i="12"/>
  <c r="J67" i="12"/>
  <c r="U54" i="12"/>
  <c r="U110" i="12"/>
  <c r="U44" i="12"/>
  <c r="U70" i="12"/>
  <c r="U114" i="12"/>
  <c r="U93" i="12"/>
  <c r="D68" i="12"/>
  <c r="D94" i="12"/>
  <c r="D93" i="12"/>
  <c r="D92" i="12"/>
  <c r="D69" i="12"/>
  <c r="AB47" i="12"/>
  <c r="AB68" i="12"/>
  <c r="AB87" i="12"/>
  <c r="AB88" i="12"/>
  <c r="T72" i="12"/>
  <c r="T68" i="12"/>
  <c r="T63" i="12"/>
  <c r="T109" i="12"/>
  <c r="T105" i="12"/>
  <c r="T84" i="12"/>
  <c r="C50" i="12"/>
  <c r="C54" i="12"/>
  <c r="S43" i="12"/>
  <c r="S67" i="12"/>
  <c r="S90" i="12"/>
  <c r="S85" i="12"/>
  <c r="S113" i="12"/>
  <c r="S110" i="12"/>
  <c r="J105" i="12"/>
  <c r="J86" i="12"/>
  <c r="J65" i="12"/>
  <c r="J48" i="12"/>
  <c r="U73" i="12"/>
  <c r="U68" i="12"/>
  <c r="U48" i="12"/>
  <c r="U83" i="12"/>
  <c r="U105" i="12"/>
  <c r="U103" i="12"/>
  <c r="D103" i="12"/>
  <c r="D51" i="12"/>
  <c r="D64" i="12"/>
  <c r="D63" i="12"/>
  <c r="D66" i="12"/>
  <c r="D73" i="12"/>
  <c r="AB66" i="12"/>
  <c r="AB83" i="12"/>
  <c r="AB109" i="12"/>
  <c r="AB85" i="12"/>
  <c r="T64" i="12"/>
  <c r="T67" i="12"/>
  <c r="T71" i="12"/>
  <c r="T69" i="12"/>
  <c r="T113" i="12"/>
  <c r="T92" i="12"/>
  <c r="C53" i="12"/>
  <c r="C48" i="12"/>
  <c r="C47" i="12"/>
  <c r="C94" i="12"/>
  <c r="S73" i="12"/>
  <c r="S66" i="12"/>
  <c r="S93" i="12"/>
  <c r="S88" i="12"/>
  <c r="S86" i="12"/>
  <c r="S83" i="12"/>
  <c r="J108" i="12"/>
  <c r="J70" i="12"/>
  <c r="J73" i="12"/>
  <c r="J47" i="12"/>
  <c r="U87" i="12"/>
  <c r="U92" i="12"/>
  <c r="U52" i="12"/>
  <c r="U91" i="12"/>
  <c r="U113" i="12"/>
  <c r="U111" i="12"/>
  <c r="D109" i="12"/>
  <c r="D111" i="12"/>
  <c r="D107" i="12"/>
  <c r="D67" i="12"/>
  <c r="D70" i="12"/>
  <c r="D44" i="12"/>
  <c r="AB69" i="12"/>
  <c r="AB84" i="12"/>
  <c r="AB67" i="12"/>
  <c r="AB107" i="12"/>
  <c r="T44" i="12"/>
  <c r="T83" i="12"/>
  <c r="T43" i="12"/>
  <c r="T90" i="12"/>
  <c r="T104" i="12"/>
  <c r="T110" i="12"/>
  <c r="C90" i="12"/>
  <c r="C92" i="12"/>
  <c r="C85" i="12"/>
  <c r="S108" i="12"/>
  <c r="S74" i="12"/>
  <c r="S103" i="12"/>
  <c r="S68" i="12"/>
  <c r="S94" i="12"/>
  <c r="S91" i="12"/>
  <c r="J64" i="12"/>
  <c r="J88" i="12"/>
  <c r="J43" i="12"/>
  <c r="P43" i="12" s="1"/>
  <c r="J44" i="12"/>
  <c r="U43" i="12"/>
  <c r="U65" i="12"/>
  <c r="U45" i="12"/>
  <c r="U64" i="12"/>
  <c r="U109" i="12"/>
  <c r="U86" i="12"/>
  <c r="D106" i="12"/>
  <c r="D110" i="12"/>
  <c r="D71" i="12"/>
  <c r="D74" i="12"/>
  <c r="D48" i="12"/>
  <c r="AB48" i="12"/>
  <c r="AB44" i="12"/>
  <c r="AB89" i="12"/>
  <c r="T53" i="12"/>
  <c r="T52" i="12"/>
  <c r="T86" i="12"/>
  <c r="T47" i="12"/>
  <c r="T108" i="12"/>
  <c r="T112" i="12"/>
  <c r="C84" i="12"/>
  <c r="C87" i="12"/>
  <c r="S45" i="12"/>
  <c r="S106" i="12"/>
  <c r="S46" i="12"/>
  <c r="S114" i="12"/>
  <c r="S104" i="12"/>
  <c r="S109" i="12"/>
  <c r="J68" i="12"/>
  <c r="J72" i="12"/>
  <c r="J66" i="12"/>
  <c r="J45" i="12"/>
  <c r="U67" i="12"/>
  <c r="U90" i="12"/>
  <c r="U49" i="12"/>
  <c r="U72" i="12"/>
  <c r="U89" i="12"/>
  <c r="U94" i="12"/>
  <c r="D108" i="12"/>
  <c r="D52" i="12"/>
  <c r="D49" i="12"/>
  <c r="D45" i="12"/>
  <c r="D83" i="12"/>
  <c r="D53" i="12"/>
  <c r="AB46" i="12"/>
  <c r="AB106" i="12"/>
  <c r="AB103" i="12"/>
  <c r="T48" i="12"/>
  <c r="T66" i="12"/>
  <c r="T89" i="12"/>
  <c r="T51" i="12"/>
  <c r="T88" i="12"/>
  <c r="T85" i="12"/>
  <c r="C88" i="12"/>
  <c r="C49" i="12"/>
  <c r="S51" i="12"/>
  <c r="S48" i="12"/>
  <c r="S44" i="12"/>
  <c r="S54" i="12"/>
  <c r="S89" i="12"/>
  <c r="S112" i="12"/>
  <c r="J106" i="12"/>
  <c r="J85" i="12"/>
  <c r="J87" i="12"/>
  <c r="J74" i="12"/>
  <c r="U51" i="12"/>
  <c r="U47" i="12"/>
  <c r="U53" i="12"/>
  <c r="U108" i="12"/>
  <c r="U107" i="12"/>
  <c r="U104" i="12"/>
  <c r="D104" i="12"/>
  <c r="D112" i="12"/>
  <c r="D47" i="12"/>
  <c r="D87" i="12"/>
  <c r="D46" i="12"/>
  <c r="AB63" i="12"/>
  <c r="T74" i="12"/>
  <c r="T46" i="12"/>
  <c r="T65" i="12"/>
  <c r="T70" i="12"/>
  <c r="T106" i="12"/>
  <c r="T93" i="12"/>
  <c r="C46" i="12"/>
  <c r="C93" i="12"/>
  <c r="S63" i="12"/>
  <c r="S50" i="12"/>
  <c r="S52" i="12"/>
  <c r="S70" i="12"/>
  <c r="S107" i="12"/>
  <c r="J103" i="12"/>
  <c r="J69" i="12"/>
  <c r="J63" i="12"/>
  <c r="U84" i="12"/>
  <c r="U66" i="12"/>
  <c r="D113" i="12"/>
  <c r="D105" i="12"/>
  <c r="D85" i="12"/>
  <c r="D84" i="12"/>
  <c r="AB104" i="12"/>
  <c r="T45" i="12"/>
  <c r="T114" i="12"/>
  <c r="C52" i="12"/>
  <c r="C83" i="12"/>
  <c r="S53" i="12"/>
  <c r="S71" i="12"/>
  <c r="S87" i="12"/>
  <c r="J104" i="12"/>
  <c r="J84" i="12"/>
  <c r="B63" i="14"/>
  <c r="Z89" i="15"/>
  <c r="Z107" i="15" s="1"/>
  <c r="AN89" i="15"/>
  <c r="AN107" i="15" s="1"/>
  <c r="X83" i="15"/>
  <c r="X101" i="15" s="1"/>
  <c r="W94" i="15"/>
  <c r="W112" i="15" s="1"/>
  <c r="AZ83" i="15"/>
  <c r="AZ101" i="15" s="1"/>
  <c r="AK94" i="15"/>
  <c r="AK112" i="15" s="1"/>
  <c r="AY94" i="15"/>
  <c r="AY112" i="15" s="1"/>
  <c r="C76" i="14"/>
  <c r="F76" i="14"/>
  <c r="E76" i="14"/>
  <c r="D76" i="14"/>
  <c r="E78" i="14"/>
  <c r="F78" i="14"/>
  <c r="D78" i="14"/>
  <c r="C78" i="14"/>
  <c r="F79" i="14"/>
  <c r="E79" i="14"/>
  <c r="D79" i="14"/>
  <c r="C79" i="14"/>
  <c r="F75" i="14"/>
  <c r="E75" i="14"/>
  <c r="D75" i="14"/>
  <c r="J83" i="15"/>
  <c r="J101" i="15" s="1"/>
  <c r="C88" i="19"/>
  <c r="C106" i="19" s="1"/>
  <c r="AS88" i="19"/>
  <c r="AS106" i="19" s="1"/>
  <c r="Q88" i="19"/>
  <c r="Q106" i="19" s="1"/>
  <c r="AE88" i="19"/>
  <c r="AE106" i="19" s="1"/>
  <c r="C89" i="19"/>
  <c r="C107" i="19" s="1"/>
  <c r="Q89" i="19"/>
  <c r="Q107" i="19" s="1"/>
  <c r="AE89" i="19"/>
  <c r="AE107" i="19" s="1"/>
  <c r="AS89" i="19"/>
  <c r="AS107" i="19" s="1"/>
  <c r="C92" i="19"/>
  <c r="C110" i="19" s="1"/>
  <c r="Q92" i="19"/>
  <c r="Q110" i="19" s="1"/>
  <c r="AE92" i="19"/>
  <c r="AE110" i="19" s="1"/>
  <c r="AS92" i="19"/>
  <c r="AS110" i="19" s="1"/>
  <c r="D88" i="19"/>
  <c r="D106" i="19" s="1"/>
  <c r="AF88" i="19"/>
  <c r="AF106" i="19" s="1"/>
  <c r="R88" i="19"/>
  <c r="R106" i="19" s="1"/>
  <c r="AT88" i="19"/>
  <c r="AT106" i="19" s="1"/>
  <c r="G89" i="19"/>
  <c r="G107" i="19" s="1"/>
  <c r="AW89" i="19"/>
  <c r="AW107" i="19" s="1"/>
  <c r="U89" i="19"/>
  <c r="U107" i="19" s="1"/>
  <c r="AI89" i="19"/>
  <c r="AI107" i="19" s="1"/>
  <c r="G91" i="19"/>
  <c r="G109" i="19" s="1"/>
  <c r="U91" i="19"/>
  <c r="U109" i="19" s="1"/>
  <c r="AI91" i="19"/>
  <c r="AI109" i="19" s="1"/>
  <c r="AW91" i="19"/>
  <c r="AW109" i="19" s="1"/>
  <c r="G87" i="19"/>
  <c r="G105" i="19" s="1"/>
  <c r="U87" i="19"/>
  <c r="U105" i="19" s="1"/>
  <c r="AI87" i="19"/>
  <c r="AI105" i="19" s="1"/>
  <c r="AW87" i="19"/>
  <c r="AW105" i="19" s="1"/>
  <c r="G85" i="19"/>
  <c r="G103" i="19" s="1"/>
  <c r="AW85" i="19"/>
  <c r="AW103" i="19" s="1"/>
  <c r="AI85" i="19"/>
  <c r="AI103" i="19" s="1"/>
  <c r="U85" i="19"/>
  <c r="U103" i="19" s="1"/>
  <c r="C86" i="19"/>
  <c r="C104" i="19" s="1"/>
  <c r="Q86" i="19"/>
  <c r="Q104" i="19" s="1"/>
  <c r="AE86" i="19"/>
  <c r="AE104" i="19" s="1"/>
  <c r="AS86" i="19"/>
  <c r="AS104" i="19" s="1"/>
  <c r="C90" i="19"/>
  <c r="C108" i="19" s="1"/>
  <c r="Q90" i="19"/>
  <c r="Q108" i="19" s="1"/>
  <c r="AE90" i="19"/>
  <c r="AE108" i="19" s="1"/>
  <c r="AS90" i="19"/>
  <c r="AS108" i="19" s="1"/>
  <c r="G86" i="19"/>
  <c r="G104" i="19" s="1"/>
  <c r="U86" i="19"/>
  <c r="U104" i="19" s="1"/>
  <c r="AI86" i="19"/>
  <c r="AI104" i="19" s="1"/>
  <c r="AW86" i="19"/>
  <c r="AW104" i="19" s="1"/>
  <c r="C84" i="19"/>
  <c r="C102" i="19" s="1"/>
  <c r="Q84" i="19"/>
  <c r="Q102" i="19" s="1"/>
  <c r="AE84" i="19"/>
  <c r="AE102" i="19" s="1"/>
  <c r="AS84" i="19"/>
  <c r="AS102" i="19" s="1"/>
  <c r="G84" i="19"/>
  <c r="G102" i="19" s="1"/>
  <c r="AW84" i="19"/>
  <c r="AW102" i="19" s="1"/>
  <c r="AI84" i="19"/>
  <c r="AI102" i="19" s="1"/>
  <c r="U84" i="19"/>
  <c r="U102" i="19" s="1"/>
  <c r="D92" i="19"/>
  <c r="D110" i="19" s="1"/>
  <c r="AF92" i="19"/>
  <c r="AF110" i="19" s="1"/>
  <c r="AT92" i="19"/>
  <c r="AT110" i="19" s="1"/>
  <c r="R92" i="19"/>
  <c r="R110" i="19" s="1"/>
  <c r="D90" i="19"/>
  <c r="D108" i="19" s="1"/>
  <c r="R90" i="19"/>
  <c r="R108" i="19" s="1"/>
  <c r="AF90" i="19"/>
  <c r="AF108" i="19" s="1"/>
  <c r="AT90" i="19"/>
  <c r="AT108" i="19" s="1"/>
  <c r="C87" i="19"/>
  <c r="C105" i="19" s="1"/>
  <c r="AE87" i="19"/>
  <c r="AE105" i="19" s="1"/>
  <c r="Q87" i="19"/>
  <c r="Q105" i="19" s="1"/>
  <c r="AS87" i="19"/>
  <c r="AS105" i="19" s="1"/>
  <c r="D86" i="19"/>
  <c r="D104" i="19" s="1"/>
  <c r="AT86" i="19"/>
  <c r="AT104" i="19" s="1"/>
  <c r="R86" i="19"/>
  <c r="R104" i="19" s="1"/>
  <c r="AF86" i="19"/>
  <c r="AF104" i="19" s="1"/>
  <c r="G81" i="19"/>
  <c r="G99" i="19" s="1"/>
  <c r="AW81" i="19"/>
  <c r="AW99" i="19" s="1"/>
  <c r="AI81" i="19"/>
  <c r="AI99" i="19" s="1"/>
  <c r="U81" i="19"/>
  <c r="U99" i="19" s="1"/>
  <c r="G83" i="19"/>
  <c r="G101" i="19" s="1"/>
  <c r="U83" i="19"/>
  <c r="U101" i="19" s="1"/>
  <c r="AI83" i="19"/>
  <c r="AI101" i="19" s="1"/>
  <c r="AW83" i="19"/>
  <c r="AW101" i="19" s="1"/>
  <c r="G88" i="19"/>
  <c r="G106" i="19" s="1"/>
  <c r="AI88" i="19"/>
  <c r="AI106" i="19" s="1"/>
  <c r="AW88" i="19"/>
  <c r="AW106" i="19" s="1"/>
  <c r="U88" i="19"/>
  <c r="U106" i="19" s="1"/>
  <c r="G90" i="19"/>
  <c r="G108" i="19" s="1"/>
  <c r="U90" i="19"/>
  <c r="U108" i="19" s="1"/>
  <c r="AI90" i="19"/>
  <c r="AI108" i="19" s="1"/>
  <c r="AW90" i="19"/>
  <c r="AW108" i="19" s="1"/>
  <c r="G92" i="19"/>
  <c r="G110" i="19" s="1"/>
  <c r="U92" i="19"/>
  <c r="U110" i="19" s="1"/>
  <c r="AI92" i="19"/>
  <c r="AI110" i="19" s="1"/>
  <c r="AW92" i="19"/>
  <c r="AW110" i="19" s="1"/>
  <c r="C85" i="19"/>
  <c r="C103" i="19" s="1"/>
  <c r="Q85" i="19"/>
  <c r="Q103" i="19" s="1"/>
  <c r="AE85" i="19"/>
  <c r="AE103" i="19" s="1"/>
  <c r="AS85" i="19"/>
  <c r="AS103" i="19" s="1"/>
  <c r="D89" i="19"/>
  <c r="D107" i="19" s="1"/>
  <c r="R89" i="19"/>
  <c r="R107" i="19" s="1"/>
  <c r="AF89" i="19"/>
  <c r="AF107" i="19" s="1"/>
  <c r="AT89" i="19"/>
  <c r="AT107" i="19" s="1"/>
  <c r="D84" i="19"/>
  <c r="D102" i="19" s="1"/>
  <c r="AF84" i="19"/>
  <c r="AF102" i="19" s="1"/>
  <c r="AT84" i="19"/>
  <c r="AT102" i="19" s="1"/>
  <c r="R84" i="19"/>
  <c r="R102" i="19" s="1"/>
  <c r="C83" i="19"/>
  <c r="C101" i="19" s="1"/>
  <c r="AS83" i="19"/>
  <c r="AS101" i="19" s="1"/>
  <c r="Q83" i="19"/>
  <c r="Q101" i="19" s="1"/>
  <c r="AE83" i="19"/>
  <c r="AE101" i="19" s="1"/>
  <c r="D91" i="19"/>
  <c r="D109" i="19" s="1"/>
  <c r="AT91" i="19"/>
  <c r="AT109" i="19" s="1"/>
  <c r="R91" i="19"/>
  <c r="R109" i="19" s="1"/>
  <c r="AF91" i="19"/>
  <c r="AF109" i="19" s="1"/>
  <c r="G82" i="19"/>
  <c r="G100" i="19" s="1"/>
  <c r="U82" i="19"/>
  <c r="U100" i="19" s="1"/>
  <c r="AI82" i="19"/>
  <c r="AI100" i="19" s="1"/>
  <c r="AW82" i="19"/>
  <c r="AW100" i="19" s="1"/>
  <c r="D83" i="19"/>
  <c r="D101" i="19" s="1"/>
  <c r="R83" i="19"/>
  <c r="R101" i="19" s="1"/>
  <c r="AF83" i="19"/>
  <c r="AF101" i="19" s="1"/>
  <c r="AT83" i="19"/>
  <c r="AT101" i="19" s="1"/>
  <c r="D81" i="19"/>
  <c r="D99" i="19" s="1"/>
  <c r="R81" i="19"/>
  <c r="R99" i="19" s="1"/>
  <c r="AF81" i="19"/>
  <c r="AF99" i="19" s="1"/>
  <c r="AT81" i="19"/>
  <c r="AT99" i="19" s="1"/>
  <c r="D85" i="19"/>
  <c r="D103" i="19" s="1"/>
  <c r="R85" i="19"/>
  <c r="R103" i="19" s="1"/>
  <c r="AF85" i="19"/>
  <c r="AF103" i="19" s="1"/>
  <c r="AT85" i="19"/>
  <c r="AT103" i="19" s="1"/>
  <c r="D87" i="19"/>
  <c r="D105" i="19" s="1"/>
  <c r="R87" i="19"/>
  <c r="R105" i="19" s="1"/>
  <c r="AF87" i="19"/>
  <c r="AF105" i="19" s="1"/>
  <c r="AT87" i="19"/>
  <c r="AT105" i="19" s="1"/>
  <c r="C91" i="19"/>
  <c r="C109" i="19" s="1"/>
  <c r="AS91" i="19"/>
  <c r="AS109" i="19" s="1"/>
  <c r="Q91" i="19"/>
  <c r="Q109" i="19" s="1"/>
  <c r="AE91" i="19"/>
  <c r="AE109" i="19" s="1"/>
  <c r="C82" i="19"/>
  <c r="C100" i="19" s="1"/>
  <c r="AE82" i="19"/>
  <c r="AE100" i="19" s="1"/>
  <c r="AS82" i="19"/>
  <c r="AS100" i="19" s="1"/>
  <c r="Q82" i="19"/>
  <c r="Q100" i="19" s="1"/>
  <c r="D82" i="19"/>
  <c r="D100" i="19" s="1"/>
  <c r="AT82" i="19"/>
  <c r="AT100" i="19" s="1"/>
  <c r="R82" i="19"/>
  <c r="R100" i="19" s="1"/>
  <c r="AF82" i="19"/>
  <c r="AF100" i="19" s="1"/>
  <c r="Q83" i="15"/>
  <c r="Q101" i="15" s="1"/>
  <c r="D85" i="15"/>
  <c r="D103" i="15" s="1"/>
  <c r="B87" i="14"/>
  <c r="B86" i="14"/>
  <c r="B84" i="14"/>
  <c r="R85" i="15"/>
  <c r="R103" i="15" s="1"/>
  <c r="AT85" i="15"/>
  <c r="AT103" i="15" s="1"/>
  <c r="AE83" i="15"/>
  <c r="AE101" i="15" s="1"/>
  <c r="AS83" i="15"/>
  <c r="AS101" i="15" s="1"/>
  <c r="N88" i="15"/>
  <c r="N106" i="15" s="1"/>
  <c r="AB88" i="15"/>
  <c r="AB106" i="15" s="1"/>
  <c r="AP88" i="15"/>
  <c r="AP106" i="15" s="1"/>
  <c r="BD88" i="15"/>
  <c r="BD106" i="15" s="1"/>
  <c r="L84" i="15"/>
  <c r="L102" i="15" s="1"/>
  <c r="BB84" i="15"/>
  <c r="BB102" i="15" s="1"/>
  <c r="Z84" i="15"/>
  <c r="Z102" i="15" s="1"/>
  <c r="AN84" i="15"/>
  <c r="AN102" i="15" s="1"/>
  <c r="K88" i="15"/>
  <c r="K106" i="15" s="1"/>
  <c r="AM88" i="15"/>
  <c r="AM106" i="15" s="1"/>
  <c r="BA88" i="15"/>
  <c r="BA106" i="15" s="1"/>
  <c r="Y88" i="15"/>
  <c r="Y106" i="15" s="1"/>
  <c r="C92" i="15"/>
  <c r="C110" i="15" s="1"/>
  <c r="Q92" i="15"/>
  <c r="Q110" i="15" s="1"/>
  <c r="AE92" i="15"/>
  <c r="AE110" i="15" s="1"/>
  <c r="AS92" i="15"/>
  <c r="AS110" i="15" s="1"/>
  <c r="D88" i="15"/>
  <c r="D106" i="15" s="1"/>
  <c r="AF88" i="15"/>
  <c r="AF106" i="15" s="1"/>
  <c r="AT88" i="15"/>
  <c r="AT106" i="15" s="1"/>
  <c r="R88" i="15"/>
  <c r="R106" i="15" s="1"/>
  <c r="F89" i="15"/>
  <c r="F107" i="15" s="1"/>
  <c r="AH89" i="15"/>
  <c r="AH107" i="15" s="1"/>
  <c r="AV89" i="15"/>
  <c r="AV107" i="15" s="1"/>
  <c r="T89" i="15"/>
  <c r="T107" i="15" s="1"/>
  <c r="C87" i="15"/>
  <c r="C105" i="15" s="1"/>
  <c r="Q87" i="15"/>
  <c r="Q105" i="15" s="1"/>
  <c r="AE87" i="15"/>
  <c r="AE105" i="15" s="1"/>
  <c r="AS87" i="15"/>
  <c r="AS105" i="15" s="1"/>
  <c r="H92" i="15"/>
  <c r="H110" i="15" s="1"/>
  <c r="AJ92" i="15"/>
  <c r="AJ110" i="15" s="1"/>
  <c r="V92" i="15"/>
  <c r="V110" i="15" s="1"/>
  <c r="AX92" i="15"/>
  <c r="AX110" i="15" s="1"/>
  <c r="I88" i="15"/>
  <c r="I106" i="15" s="1"/>
  <c r="AY88" i="15"/>
  <c r="AY106" i="15" s="1"/>
  <c r="W88" i="15"/>
  <c r="W106" i="15" s="1"/>
  <c r="AK88" i="15"/>
  <c r="AK106" i="15" s="1"/>
  <c r="N89" i="15"/>
  <c r="N107" i="15" s="1"/>
  <c r="AP89" i="15"/>
  <c r="AP107" i="15" s="1"/>
  <c r="BD89" i="15"/>
  <c r="BD107" i="15" s="1"/>
  <c r="AB89" i="15"/>
  <c r="AB107" i="15" s="1"/>
  <c r="M84" i="15"/>
  <c r="M102" i="15" s="1"/>
  <c r="AA84" i="15"/>
  <c r="AA102" i="15" s="1"/>
  <c r="BC84" i="15"/>
  <c r="BC102" i="15" s="1"/>
  <c r="AO84" i="15"/>
  <c r="AO102" i="15" s="1"/>
  <c r="J84" i="15"/>
  <c r="J102" i="15" s="1"/>
  <c r="X84" i="15"/>
  <c r="X102" i="15" s="1"/>
  <c r="AL84" i="15"/>
  <c r="AL102" i="15" s="1"/>
  <c r="AZ84" i="15"/>
  <c r="AZ102" i="15" s="1"/>
  <c r="E88" i="15"/>
  <c r="E106" i="15" s="1"/>
  <c r="AU88" i="15"/>
  <c r="AU106" i="15" s="1"/>
  <c r="AG88" i="15"/>
  <c r="AG106" i="15" s="1"/>
  <c r="S88" i="15"/>
  <c r="S106" i="15" s="1"/>
  <c r="H84" i="15"/>
  <c r="H102" i="15" s="1"/>
  <c r="AJ84" i="15"/>
  <c r="AJ102" i="15" s="1"/>
  <c r="AX84" i="15"/>
  <c r="AX102" i="15" s="1"/>
  <c r="V84" i="15"/>
  <c r="V102" i="15" s="1"/>
  <c r="M87" i="15"/>
  <c r="M105" i="15" s="1"/>
  <c r="BC87" i="15"/>
  <c r="BC105" i="15" s="1"/>
  <c r="AO87" i="15"/>
  <c r="AO105" i="15" s="1"/>
  <c r="AA87" i="15"/>
  <c r="AA105" i="15" s="1"/>
  <c r="C88" i="15"/>
  <c r="C106" i="15" s="1"/>
  <c r="Q88" i="15"/>
  <c r="Q106" i="15" s="1"/>
  <c r="AE88" i="15"/>
  <c r="AE106" i="15" s="1"/>
  <c r="AS88" i="15"/>
  <c r="AS106" i="15" s="1"/>
  <c r="C86" i="15"/>
  <c r="C104" i="15" s="1"/>
  <c r="AS86" i="15"/>
  <c r="AS104" i="15" s="1"/>
  <c r="Q86" i="15"/>
  <c r="Q104" i="15" s="1"/>
  <c r="AE86" i="15"/>
  <c r="AE104" i="15" s="1"/>
  <c r="N84" i="15"/>
  <c r="N102" i="15" s="1"/>
  <c r="AB84" i="15"/>
  <c r="AB102" i="15" s="1"/>
  <c r="AP84" i="15"/>
  <c r="AP102" i="15" s="1"/>
  <c r="BD84" i="15"/>
  <c r="BD102" i="15" s="1"/>
  <c r="F103" i="15"/>
  <c r="AH85" i="15"/>
  <c r="AH103" i="15" s="1"/>
  <c r="AV85" i="15"/>
  <c r="AV103" i="15" s="1"/>
  <c r="T85" i="15"/>
  <c r="T103" i="15" s="1"/>
  <c r="E91" i="15"/>
  <c r="E109" i="15" s="1"/>
  <c r="S91" i="15"/>
  <c r="S109" i="15" s="1"/>
  <c r="AU91" i="15"/>
  <c r="AU109" i="15" s="1"/>
  <c r="AG91" i="15"/>
  <c r="AG109" i="15" s="1"/>
  <c r="I83" i="15"/>
  <c r="I101" i="15" s="1"/>
  <c r="W83" i="15"/>
  <c r="W101" i="15" s="1"/>
  <c r="AK83" i="15"/>
  <c r="AK101" i="15" s="1"/>
  <c r="AY83" i="15"/>
  <c r="AY101" i="15" s="1"/>
  <c r="C85" i="15"/>
  <c r="C103" i="15" s="1"/>
  <c r="AE85" i="15"/>
  <c r="AE103" i="15" s="1"/>
  <c r="AS85" i="15"/>
  <c r="AS103" i="15" s="1"/>
  <c r="Q85" i="15"/>
  <c r="Q103" i="15" s="1"/>
  <c r="H91" i="15"/>
  <c r="H109" i="15" s="1"/>
  <c r="V91" i="15"/>
  <c r="V109" i="15" s="1"/>
  <c r="AJ91" i="15"/>
  <c r="AJ109" i="15" s="1"/>
  <c r="AX91" i="15"/>
  <c r="AX109" i="15" s="1"/>
  <c r="G84" i="15"/>
  <c r="G102" i="15" s="1"/>
  <c r="U84" i="15"/>
  <c r="U102" i="15" s="1"/>
  <c r="AW84" i="15"/>
  <c r="AW102" i="15" s="1"/>
  <c r="AI84" i="15"/>
  <c r="AI102" i="15" s="1"/>
  <c r="F92" i="15"/>
  <c r="F110" i="15" s="1"/>
  <c r="T92" i="15"/>
  <c r="T110" i="15" s="1"/>
  <c r="AH92" i="15"/>
  <c r="AH110" i="15" s="1"/>
  <c r="AV92" i="15"/>
  <c r="AV110" i="15" s="1"/>
  <c r="H93" i="15"/>
  <c r="H111" i="15" s="1"/>
  <c r="AJ93" i="15"/>
  <c r="AJ111" i="15" s="1"/>
  <c r="AX93" i="15"/>
  <c r="AX111" i="15" s="1"/>
  <c r="V93" i="15"/>
  <c r="V111" i="15" s="1"/>
  <c r="H94" i="15"/>
  <c r="H112" i="15" s="1"/>
  <c r="AJ94" i="15"/>
  <c r="AJ112" i="15" s="1"/>
  <c r="AX94" i="15"/>
  <c r="AX112" i="15" s="1"/>
  <c r="V94" i="15"/>
  <c r="V112" i="15" s="1"/>
  <c r="F91" i="15"/>
  <c r="F109" i="15" s="1"/>
  <c r="AH91" i="15"/>
  <c r="AH109" i="15" s="1"/>
  <c r="AV91" i="15"/>
  <c r="AV109" i="15" s="1"/>
  <c r="T91" i="15"/>
  <c r="T109" i="15" s="1"/>
  <c r="N83" i="15"/>
  <c r="N101" i="15" s="1"/>
  <c r="AB83" i="15"/>
  <c r="AB101" i="15" s="1"/>
  <c r="AP83" i="15"/>
  <c r="AP101" i="15" s="1"/>
  <c r="BD83" i="15"/>
  <c r="BD101" i="15" s="1"/>
  <c r="J87" i="15"/>
  <c r="J105" i="15" s="1"/>
  <c r="X87" i="15"/>
  <c r="X105" i="15" s="1"/>
  <c r="AL87" i="15"/>
  <c r="AL105" i="15" s="1"/>
  <c r="AZ87" i="15"/>
  <c r="AZ105" i="15" s="1"/>
  <c r="I87" i="15"/>
  <c r="I105" i="15" s="1"/>
  <c r="W87" i="15"/>
  <c r="W105" i="15" s="1"/>
  <c r="AK87" i="15"/>
  <c r="AK105" i="15" s="1"/>
  <c r="AY87" i="15"/>
  <c r="AY105" i="15" s="1"/>
  <c r="G87" i="15"/>
  <c r="G105" i="15" s="1"/>
  <c r="AW87" i="15"/>
  <c r="AW105" i="15" s="1"/>
  <c r="U87" i="15"/>
  <c r="U105" i="15" s="1"/>
  <c r="AI87" i="15"/>
  <c r="AI105" i="15" s="1"/>
  <c r="F88" i="15"/>
  <c r="F106" i="15" s="1"/>
  <c r="AV88" i="15"/>
  <c r="AV106" i="15" s="1"/>
  <c r="AH88" i="15"/>
  <c r="AH106" i="15" s="1"/>
  <c r="T88" i="15"/>
  <c r="T106" i="15" s="1"/>
  <c r="F84" i="15"/>
  <c r="F102" i="15" s="1"/>
  <c r="AV84" i="15"/>
  <c r="AV102" i="15" s="1"/>
  <c r="T84" i="15"/>
  <c r="T102" i="15" s="1"/>
  <c r="AH84" i="15"/>
  <c r="AH102" i="15" s="1"/>
  <c r="K87" i="15"/>
  <c r="K105" i="15" s="1"/>
  <c r="Y87" i="15"/>
  <c r="Y105" i="15" s="1"/>
  <c r="AM87" i="15"/>
  <c r="AM105" i="15" s="1"/>
  <c r="BA87" i="15"/>
  <c r="BA105" i="15" s="1"/>
  <c r="M83" i="15"/>
  <c r="M101" i="15" s="1"/>
  <c r="BC83" i="15"/>
  <c r="BC101" i="15" s="1"/>
  <c r="AA83" i="15"/>
  <c r="AA101" i="15" s="1"/>
  <c r="AO83" i="15"/>
  <c r="AO101" i="15" s="1"/>
  <c r="G92" i="15"/>
  <c r="G110" i="15" s="1"/>
  <c r="U92" i="15"/>
  <c r="U110" i="15" s="1"/>
  <c r="AI92" i="15"/>
  <c r="AI110" i="15" s="1"/>
  <c r="AW92" i="15"/>
  <c r="AW110" i="15" s="1"/>
  <c r="D86" i="15"/>
  <c r="D104" i="15" s="1"/>
  <c r="AF86" i="15"/>
  <c r="AF104" i="15" s="1"/>
  <c r="R86" i="15"/>
  <c r="R104" i="15" s="1"/>
  <c r="AT86" i="15"/>
  <c r="AT104" i="15" s="1"/>
  <c r="F86" i="15"/>
  <c r="F104" i="15" s="1"/>
  <c r="AH86" i="15"/>
  <c r="AH104" i="15" s="1"/>
  <c r="AV86" i="15"/>
  <c r="AV104" i="15" s="1"/>
  <c r="T86" i="15"/>
  <c r="T104" i="15" s="1"/>
  <c r="K83" i="15"/>
  <c r="K101" i="15" s="1"/>
  <c r="Y83" i="15"/>
  <c r="Y101" i="15" s="1"/>
  <c r="BA83" i="15"/>
  <c r="BA101" i="15" s="1"/>
  <c r="AM83" i="15"/>
  <c r="AM101" i="15" s="1"/>
  <c r="D94" i="15"/>
  <c r="D112" i="15" s="1"/>
  <c r="AF94" i="15"/>
  <c r="AF112" i="15" s="1"/>
  <c r="AT94" i="15"/>
  <c r="AT112" i="15" s="1"/>
  <c r="R94" i="15"/>
  <c r="R112" i="15" s="1"/>
  <c r="N87" i="15"/>
  <c r="N105" i="15" s="1"/>
  <c r="BD87" i="15"/>
  <c r="BD105" i="15" s="1"/>
  <c r="AB87" i="15"/>
  <c r="AB105" i="15" s="1"/>
  <c r="AP87" i="15"/>
  <c r="AP105" i="15" s="1"/>
  <c r="I85" i="15"/>
  <c r="I103" i="15" s="1"/>
  <c r="W85" i="15"/>
  <c r="W103" i="15" s="1"/>
  <c r="AK85" i="15"/>
  <c r="AK103" i="15" s="1"/>
  <c r="AY85" i="15"/>
  <c r="AY103" i="15" s="1"/>
  <c r="C93" i="15"/>
  <c r="C111" i="15" s="1"/>
  <c r="AE93" i="15"/>
  <c r="AE111" i="15" s="1"/>
  <c r="AS93" i="15"/>
  <c r="AS111" i="15" s="1"/>
  <c r="Q93" i="15"/>
  <c r="Q111" i="15" s="1"/>
  <c r="H90" i="15"/>
  <c r="H108" i="15" s="1"/>
  <c r="AJ90" i="15"/>
  <c r="AJ108" i="15" s="1"/>
  <c r="AX90" i="15"/>
  <c r="AX108" i="15" s="1"/>
  <c r="V90" i="15"/>
  <c r="V108" i="15" s="1"/>
  <c r="N86" i="15"/>
  <c r="N104" i="15" s="1"/>
  <c r="BD86" i="15"/>
  <c r="BD104" i="15" s="1"/>
  <c r="AB86" i="15"/>
  <c r="AB104" i="15" s="1"/>
  <c r="AP86" i="15"/>
  <c r="AP104" i="15" s="1"/>
  <c r="L83" i="15"/>
  <c r="L101" i="15" s="1"/>
  <c r="AN83" i="15"/>
  <c r="AN101" i="15" s="1"/>
  <c r="BB83" i="15"/>
  <c r="BB101" i="15" s="1"/>
  <c r="Z83" i="15"/>
  <c r="Z101" i="15" s="1"/>
  <c r="F93" i="15"/>
  <c r="F111" i="15" s="1"/>
  <c r="AH93" i="15"/>
  <c r="AH111" i="15" s="1"/>
  <c r="AV93" i="15"/>
  <c r="AV111" i="15" s="1"/>
  <c r="T93" i="15"/>
  <c r="T111" i="15" s="1"/>
  <c r="M88" i="15"/>
  <c r="M106" i="15" s="1"/>
  <c r="AA88" i="15"/>
  <c r="AA106" i="15" s="1"/>
  <c r="AO88" i="15"/>
  <c r="AO106" i="15" s="1"/>
  <c r="BC88" i="15"/>
  <c r="BC106" i="15" s="1"/>
  <c r="D87" i="15"/>
  <c r="D105" i="15" s="1"/>
  <c r="R87" i="15"/>
  <c r="R105" i="15" s="1"/>
  <c r="AT87" i="15"/>
  <c r="AT105" i="15" s="1"/>
  <c r="AF87" i="15"/>
  <c r="AF105" i="15" s="1"/>
  <c r="D90" i="15"/>
  <c r="D108" i="15" s="1"/>
  <c r="AF90" i="15"/>
  <c r="AF108" i="15" s="1"/>
  <c r="R90" i="15"/>
  <c r="R108" i="15" s="1"/>
  <c r="AT90" i="15"/>
  <c r="AT108" i="15" s="1"/>
  <c r="G86" i="15"/>
  <c r="G104" i="15" s="1"/>
  <c r="U86" i="15"/>
  <c r="U104" i="15" s="1"/>
  <c r="AI86" i="15"/>
  <c r="AI104" i="15" s="1"/>
  <c r="AW86" i="15"/>
  <c r="AW104" i="15" s="1"/>
  <c r="G91" i="15"/>
  <c r="G109" i="15" s="1"/>
  <c r="AW91" i="15"/>
  <c r="AW109" i="15" s="1"/>
  <c r="U91" i="15"/>
  <c r="U109" i="15" s="1"/>
  <c r="AI91" i="15"/>
  <c r="AI109" i="15" s="1"/>
  <c r="J85" i="15"/>
  <c r="J103" i="15" s="1"/>
  <c r="AL85" i="15"/>
  <c r="AL103" i="15" s="1"/>
  <c r="AZ85" i="15"/>
  <c r="AZ103" i="15" s="1"/>
  <c r="X85" i="15"/>
  <c r="X103" i="15" s="1"/>
  <c r="I84" i="15"/>
  <c r="I102" i="15" s="1"/>
  <c r="AY84" i="15"/>
  <c r="AY102" i="15" s="1"/>
  <c r="W84" i="15"/>
  <c r="W102" i="15" s="1"/>
  <c r="AK84" i="15"/>
  <c r="AK102" i="15" s="1"/>
  <c r="M86" i="15"/>
  <c r="M104" i="15" s="1"/>
  <c r="AO86" i="15"/>
  <c r="AO104" i="15" s="1"/>
  <c r="BC86" i="15"/>
  <c r="BC104" i="15" s="1"/>
  <c r="AA86" i="15"/>
  <c r="AA104" i="15" s="1"/>
  <c r="D92" i="15"/>
  <c r="D110" i="15" s="1"/>
  <c r="AF92" i="15"/>
  <c r="AF110" i="15" s="1"/>
  <c r="AT92" i="15"/>
  <c r="AT110" i="15" s="1"/>
  <c r="R92" i="15"/>
  <c r="R110" i="15" s="1"/>
  <c r="E92" i="15"/>
  <c r="E110" i="15" s="1"/>
  <c r="AU92" i="15"/>
  <c r="AU110" i="15" s="1"/>
  <c r="S92" i="15"/>
  <c r="S110" i="15" s="1"/>
  <c r="AG92" i="15"/>
  <c r="AG110" i="15" s="1"/>
  <c r="D93" i="15"/>
  <c r="D111" i="15" s="1"/>
  <c r="R93" i="15"/>
  <c r="R111" i="15" s="1"/>
  <c r="AF93" i="15"/>
  <c r="AF111" i="15" s="1"/>
  <c r="AT93" i="15"/>
  <c r="AT111" i="15" s="1"/>
  <c r="G93" i="15"/>
  <c r="G111" i="15" s="1"/>
  <c r="AW93" i="15"/>
  <c r="AW111" i="15" s="1"/>
  <c r="AI93" i="15"/>
  <c r="AI111" i="15" s="1"/>
  <c r="U93" i="15"/>
  <c r="U111" i="15" s="1"/>
  <c r="E94" i="15"/>
  <c r="E112" i="15" s="1"/>
  <c r="AU94" i="15"/>
  <c r="AU112" i="15" s="1"/>
  <c r="S94" i="15"/>
  <c r="S112" i="15" s="1"/>
  <c r="AG94" i="15"/>
  <c r="AG112" i="15" s="1"/>
  <c r="K85" i="15"/>
  <c r="K103" i="15" s="1"/>
  <c r="BA85" i="15"/>
  <c r="BA103" i="15" s="1"/>
  <c r="Y85" i="15"/>
  <c r="Y103" i="15" s="1"/>
  <c r="AM85" i="15"/>
  <c r="AM103" i="15" s="1"/>
  <c r="E85" i="15"/>
  <c r="E103" i="15" s="1"/>
  <c r="S85" i="15"/>
  <c r="S103" i="15" s="1"/>
  <c r="AG85" i="15"/>
  <c r="AG103" i="15" s="1"/>
  <c r="AU85" i="15"/>
  <c r="AU103" i="15" s="1"/>
  <c r="F87" i="15"/>
  <c r="F105" i="15" s="1"/>
  <c r="AH87" i="15"/>
  <c r="AH105" i="15" s="1"/>
  <c r="T87" i="15"/>
  <c r="T105" i="15" s="1"/>
  <c r="AV87" i="15"/>
  <c r="AV105" i="15" s="1"/>
  <c r="H86" i="15"/>
  <c r="H104" i="15" s="1"/>
  <c r="AJ86" i="15"/>
  <c r="AJ104" i="15" s="1"/>
  <c r="AX86" i="15"/>
  <c r="AX104" i="15" s="1"/>
  <c r="V86" i="15"/>
  <c r="V104" i="15" s="1"/>
  <c r="L86" i="15"/>
  <c r="L104" i="15" s="1"/>
  <c r="Z86" i="15"/>
  <c r="Z104" i="15" s="1"/>
  <c r="AN86" i="15"/>
  <c r="AN104" i="15" s="1"/>
  <c r="BB86" i="15"/>
  <c r="BB104" i="15" s="1"/>
  <c r="I89" i="15"/>
  <c r="I107" i="15" s="1"/>
  <c r="W89" i="15"/>
  <c r="W107" i="15" s="1"/>
  <c r="AY89" i="15"/>
  <c r="AY107" i="15" s="1"/>
  <c r="AK89" i="15"/>
  <c r="AK107" i="15" s="1"/>
  <c r="I93" i="15"/>
  <c r="I111" i="15" s="1"/>
  <c r="W93" i="15"/>
  <c r="W111" i="15" s="1"/>
  <c r="AK93" i="15"/>
  <c r="AK111" i="15" s="1"/>
  <c r="AY93" i="15"/>
  <c r="AY111" i="15" s="1"/>
  <c r="H85" i="15"/>
  <c r="H103" i="15" s="1"/>
  <c r="AX85" i="15"/>
  <c r="AX103" i="15" s="1"/>
  <c r="V85" i="15"/>
  <c r="V103" i="15" s="1"/>
  <c r="AJ85" i="15"/>
  <c r="AJ103" i="15" s="1"/>
  <c r="G90" i="15"/>
  <c r="G108" i="15" s="1"/>
  <c r="U90" i="15"/>
  <c r="U108" i="15" s="1"/>
  <c r="AI90" i="15"/>
  <c r="AI108" i="15" s="1"/>
  <c r="AW90" i="15"/>
  <c r="AW108" i="15" s="1"/>
  <c r="G94" i="15"/>
  <c r="G112" i="15" s="1"/>
  <c r="U94" i="15"/>
  <c r="U112" i="15" s="1"/>
  <c r="AI94" i="15"/>
  <c r="AI112" i="15" s="1"/>
  <c r="AW94" i="15"/>
  <c r="AW112" i="15" s="1"/>
  <c r="H87" i="15"/>
  <c r="H105" i="15" s="1"/>
  <c r="V87" i="15"/>
  <c r="V105" i="15" s="1"/>
  <c r="AJ87" i="15"/>
  <c r="AJ105" i="15" s="1"/>
  <c r="AX87" i="15"/>
  <c r="AX105" i="15" s="1"/>
  <c r="L85" i="15"/>
  <c r="L103" i="15" s="1"/>
  <c r="Z85" i="15"/>
  <c r="Z103" i="15" s="1"/>
  <c r="AN85" i="15"/>
  <c r="AN103" i="15" s="1"/>
  <c r="BB85" i="15"/>
  <c r="BB103" i="15" s="1"/>
  <c r="I90" i="15"/>
  <c r="I108" i="15" s="1"/>
  <c r="AY90" i="15"/>
  <c r="AY108" i="15" s="1"/>
  <c r="W90" i="15"/>
  <c r="W108" i="15" s="1"/>
  <c r="AK90" i="15"/>
  <c r="AK108" i="15" s="1"/>
  <c r="K84" i="15"/>
  <c r="K102" i="15" s="1"/>
  <c r="AM84" i="15"/>
  <c r="AM102" i="15" s="1"/>
  <c r="BA84" i="15"/>
  <c r="BA102" i="15" s="1"/>
  <c r="Y84" i="15"/>
  <c r="Y102" i="15" s="1"/>
  <c r="G83" i="15"/>
  <c r="G101" i="15" s="1"/>
  <c r="AW83" i="15"/>
  <c r="AW101" i="15" s="1"/>
  <c r="U83" i="15"/>
  <c r="U101" i="15" s="1"/>
  <c r="AI83" i="15"/>
  <c r="AI101" i="15" s="1"/>
  <c r="E86" i="15"/>
  <c r="E104" i="15" s="1"/>
  <c r="AU86" i="15"/>
  <c r="AU104" i="15" s="1"/>
  <c r="S86" i="15"/>
  <c r="S104" i="15" s="1"/>
  <c r="AG86" i="15"/>
  <c r="AG104" i="15" s="1"/>
  <c r="F94" i="15"/>
  <c r="F112" i="15" s="1"/>
  <c r="T94" i="15"/>
  <c r="T112" i="15" s="1"/>
  <c r="AH94" i="15"/>
  <c r="AH112" i="15" s="1"/>
  <c r="AV94" i="15"/>
  <c r="AV112" i="15" s="1"/>
  <c r="E93" i="15"/>
  <c r="E111" i="15" s="1"/>
  <c r="S93" i="15"/>
  <c r="S111" i="15" s="1"/>
  <c r="AG93" i="15"/>
  <c r="AG111" i="15" s="1"/>
  <c r="AU93" i="15"/>
  <c r="AU111" i="15" s="1"/>
  <c r="C84" i="15"/>
  <c r="C102" i="15" s="1"/>
  <c r="Q84" i="15"/>
  <c r="Q102" i="15" s="1"/>
  <c r="AE84" i="15"/>
  <c r="AE102" i="15" s="1"/>
  <c r="AS84" i="15"/>
  <c r="AS102" i="15" s="1"/>
  <c r="D84" i="15"/>
  <c r="D102" i="15" s="1"/>
  <c r="AF84" i="15"/>
  <c r="AF102" i="15" s="1"/>
  <c r="AT84" i="15"/>
  <c r="AT102" i="15" s="1"/>
  <c r="R84" i="15"/>
  <c r="R102" i="15" s="1"/>
  <c r="H83" i="15"/>
  <c r="H101" i="15" s="1"/>
  <c r="AJ83" i="15"/>
  <c r="AJ101" i="15" s="1"/>
  <c r="AX83" i="15"/>
  <c r="AX101" i="15" s="1"/>
  <c r="V83" i="15"/>
  <c r="V101" i="15" s="1"/>
  <c r="C90" i="15"/>
  <c r="C108" i="15" s="1"/>
  <c r="AS90" i="15"/>
  <c r="AS108" i="15" s="1"/>
  <c r="Q90" i="15"/>
  <c r="Q108" i="15" s="1"/>
  <c r="AE90" i="15"/>
  <c r="AE108" i="15" s="1"/>
  <c r="L87" i="15"/>
  <c r="L105" i="15" s="1"/>
  <c r="AN87" i="15"/>
  <c r="AN105" i="15" s="1"/>
  <c r="BB87" i="15"/>
  <c r="BB105" i="15" s="1"/>
  <c r="Z87" i="15"/>
  <c r="Z105" i="15" s="1"/>
  <c r="H89" i="15"/>
  <c r="H107" i="15" s="1"/>
  <c r="V89" i="15"/>
  <c r="V107" i="15" s="1"/>
  <c r="AX89" i="15"/>
  <c r="AX107" i="15" s="1"/>
  <c r="AJ89" i="15"/>
  <c r="AJ107" i="15" s="1"/>
  <c r="M85" i="15"/>
  <c r="M103" i="15" s="1"/>
  <c r="AA85" i="15"/>
  <c r="AA103" i="15" s="1"/>
  <c r="AO85" i="15"/>
  <c r="AO103" i="15" s="1"/>
  <c r="BC85" i="15"/>
  <c r="BC103" i="15" s="1"/>
  <c r="L88" i="15"/>
  <c r="L106" i="15" s="1"/>
  <c r="BB88" i="15"/>
  <c r="BB106" i="15" s="1"/>
  <c r="Z88" i="15"/>
  <c r="Z106" i="15" s="1"/>
  <c r="AN88" i="15"/>
  <c r="AN106" i="15" s="1"/>
  <c r="G89" i="15"/>
  <c r="G107" i="15" s="1"/>
  <c r="AW89" i="15"/>
  <c r="AW107" i="15" s="1"/>
  <c r="AI89" i="15"/>
  <c r="AI107" i="15" s="1"/>
  <c r="U89" i="15"/>
  <c r="U107" i="15" s="1"/>
  <c r="F83" i="15"/>
  <c r="F101" i="15" s="1"/>
  <c r="AH83" i="15"/>
  <c r="AH101" i="15" s="1"/>
  <c r="T83" i="15"/>
  <c r="T101" i="15" s="1"/>
  <c r="AV83" i="15"/>
  <c r="AV101" i="15" s="1"/>
  <c r="K86" i="15"/>
  <c r="K104" i="15" s="1"/>
  <c r="Y86" i="15"/>
  <c r="Y104" i="15" s="1"/>
  <c r="BA86" i="15"/>
  <c r="BA104" i="15" s="1"/>
  <c r="AM86" i="15"/>
  <c r="AM104" i="15" s="1"/>
  <c r="J86" i="15"/>
  <c r="J104" i="15" s="1"/>
  <c r="AZ86" i="15"/>
  <c r="AZ104" i="15" s="1"/>
  <c r="AL86" i="15"/>
  <c r="AL104" i="15" s="1"/>
  <c r="X86" i="15"/>
  <c r="X104" i="15" s="1"/>
  <c r="D83" i="15"/>
  <c r="D101" i="15" s="1"/>
  <c r="R83" i="15"/>
  <c r="R101" i="15" s="1"/>
  <c r="AF83" i="15"/>
  <c r="AF101" i="15" s="1"/>
  <c r="AT83" i="15"/>
  <c r="AT101" i="15" s="1"/>
  <c r="K89" i="15"/>
  <c r="K107" i="15" s="1"/>
  <c r="BA89" i="15"/>
  <c r="BA107" i="15" s="1"/>
  <c r="AM89" i="15"/>
  <c r="AM107" i="15" s="1"/>
  <c r="Y89" i="15"/>
  <c r="Y107" i="15" s="1"/>
  <c r="E90" i="15"/>
  <c r="E108" i="15" s="1"/>
  <c r="AU90" i="15"/>
  <c r="AU108" i="15" s="1"/>
  <c r="S90" i="15"/>
  <c r="S108" i="15" s="1"/>
  <c r="AG90" i="15"/>
  <c r="AG108" i="15" s="1"/>
  <c r="F90" i="15"/>
  <c r="F108" i="15" s="1"/>
  <c r="T90" i="15"/>
  <c r="T108" i="15" s="1"/>
  <c r="AH90" i="15"/>
  <c r="AH108" i="15" s="1"/>
  <c r="AV90" i="15"/>
  <c r="AV108" i="15" s="1"/>
  <c r="D89" i="15"/>
  <c r="D107" i="15" s="1"/>
  <c r="R89" i="15"/>
  <c r="R107" i="15" s="1"/>
  <c r="AF89" i="15"/>
  <c r="AF107" i="15" s="1"/>
  <c r="AT89" i="15"/>
  <c r="AT107" i="15" s="1"/>
  <c r="I91" i="15"/>
  <c r="I109" i="15" s="1"/>
  <c r="W91" i="15"/>
  <c r="W109" i="15" s="1"/>
  <c r="AK91" i="15"/>
  <c r="AK109" i="15" s="1"/>
  <c r="AY91" i="15"/>
  <c r="AY109" i="15" s="1"/>
  <c r="D91" i="15"/>
  <c r="D109" i="15" s="1"/>
  <c r="R91" i="15"/>
  <c r="R109" i="15" s="1"/>
  <c r="AT91" i="15"/>
  <c r="AT109" i="15" s="1"/>
  <c r="AF91" i="15"/>
  <c r="AF109" i="15" s="1"/>
  <c r="J88" i="15"/>
  <c r="J106" i="15" s="1"/>
  <c r="X88" i="15"/>
  <c r="X106" i="15" s="1"/>
  <c r="AZ88" i="15"/>
  <c r="AZ106" i="15" s="1"/>
  <c r="AL88" i="15"/>
  <c r="AL106" i="15" s="1"/>
  <c r="M89" i="15"/>
  <c r="M107" i="15" s="1"/>
  <c r="AA89" i="15"/>
  <c r="AA107" i="15" s="1"/>
  <c r="BC89" i="15"/>
  <c r="BC107" i="15" s="1"/>
  <c r="AO89" i="15"/>
  <c r="AO107" i="15" s="1"/>
  <c r="C89" i="15"/>
  <c r="C107" i="15" s="1"/>
  <c r="AE89" i="15"/>
  <c r="AE107" i="15" s="1"/>
  <c r="Q89" i="15"/>
  <c r="Q107" i="15" s="1"/>
  <c r="AS89" i="15"/>
  <c r="AS107" i="15" s="1"/>
  <c r="I86" i="15"/>
  <c r="I104" i="15" s="1"/>
  <c r="AY86" i="15"/>
  <c r="AY104" i="15" s="1"/>
  <c r="W86" i="15"/>
  <c r="W104" i="15" s="1"/>
  <c r="AK86" i="15"/>
  <c r="AK104" i="15" s="1"/>
  <c r="E89" i="15"/>
  <c r="E107" i="15" s="1"/>
  <c r="S89" i="15"/>
  <c r="S107" i="15" s="1"/>
  <c r="AG89" i="15"/>
  <c r="AG107" i="15" s="1"/>
  <c r="AU89" i="15"/>
  <c r="AU107" i="15" s="1"/>
  <c r="G85" i="15"/>
  <c r="G103" i="15" s="1"/>
  <c r="AW85" i="15"/>
  <c r="AW103" i="15" s="1"/>
  <c r="U85" i="15"/>
  <c r="U103" i="15" s="1"/>
  <c r="AI85" i="15"/>
  <c r="AI103" i="15" s="1"/>
  <c r="J89" i="15"/>
  <c r="J107" i="15" s="1"/>
  <c r="AL89" i="15"/>
  <c r="AL107" i="15" s="1"/>
  <c r="AZ89" i="15"/>
  <c r="AZ107" i="15" s="1"/>
  <c r="X89" i="15"/>
  <c r="X107" i="15" s="1"/>
  <c r="E83" i="15"/>
  <c r="E101" i="15" s="1"/>
  <c r="S83" i="15"/>
  <c r="S101" i="15" s="1"/>
  <c r="AG83" i="15"/>
  <c r="AG101" i="15" s="1"/>
  <c r="AU83" i="15"/>
  <c r="AU101" i="15" s="1"/>
  <c r="C94" i="15"/>
  <c r="C112" i="15" s="1"/>
  <c r="AS94" i="15"/>
  <c r="AS112" i="15" s="1"/>
  <c r="Q94" i="15"/>
  <c r="Q112" i="15" s="1"/>
  <c r="AE94" i="15"/>
  <c r="AE112" i="15" s="1"/>
  <c r="N85" i="15"/>
  <c r="N103" i="15" s="1"/>
  <c r="AP85" i="15"/>
  <c r="AP103" i="15" s="1"/>
  <c r="BD85" i="15"/>
  <c r="BD103" i="15" s="1"/>
  <c r="AB85" i="15"/>
  <c r="AB103" i="15" s="1"/>
  <c r="E84" i="15"/>
  <c r="E102" i="15" s="1"/>
  <c r="AU84" i="15"/>
  <c r="AU102" i="15" s="1"/>
  <c r="AG84" i="15"/>
  <c r="AG102" i="15" s="1"/>
  <c r="S84" i="15"/>
  <c r="S102" i="15" s="1"/>
  <c r="E87" i="15"/>
  <c r="E105" i="15" s="1"/>
  <c r="S87" i="15"/>
  <c r="S105" i="15" s="1"/>
  <c r="AU87" i="15"/>
  <c r="AU105" i="15" s="1"/>
  <c r="AG87" i="15"/>
  <c r="AG105" i="15" s="1"/>
  <c r="G88" i="15"/>
  <c r="G106" i="15" s="1"/>
  <c r="U88" i="15"/>
  <c r="U106" i="15" s="1"/>
  <c r="AI88" i="15"/>
  <c r="AI106" i="15" s="1"/>
  <c r="AW88" i="15"/>
  <c r="AW106" i="15" s="1"/>
  <c r="C91" i="15"/>
  <c r="C109" i="15" s="1"/>
  <c r="AE91" i="15"/>
  <c r="AE109" i="15" s="1"/>
  <c r="AS91" i="15"/>
  <c r="AS109" i="15" s="1"/>
  <c r="Q91" i="15"/>
  <c r="Q109" i="15" s="1"/>
  <c r="I92" i="15"/>
  <c r="I110" i="15" s="1"/>
  <c r="AY92" i="15"/>
  <c r="AY110" i="15" s="1"/>
  <c r="W92" i="15"/>
  <c r="W110" i="15" s="1"/>
  <c r="AK92" i="15"/>
  <c r="AK110" i="15" s="1"/>
  <c r="B83" i="14" l="1"/>
  <c r="B94" i="14" s="1"/>
  <c r="C63" i="14"/>
  <c r="P83" i="12"/>
  <c r="P90" i="12"/>
  <c r="B90" i="14"/>
  <c r="B58" i="14"/>
  <c r="B65" i="14"/>
  <c r="B66" i="14" s="1"/>
  <c r="AF90" i="12"/>
  <c r="P48" i="12"/>
  <c r="AF85" i="12"/>
  <c r="AF91" i="12"/>
  <c r="AF67" i="12"/>
  <c r="AF70" i="12"/>
  <c r="AF52" i="12"/>
  <c r="AF50" i="12"/>
  <c r="AF108" i="12"/>
  <c r="AF88" i="12"/>
  <c r="P72" i="12"/>
  <c r="P46" i="12"/>
  <c r="P114" i="12"/>
  <c r="P64" i="12"/>
  <c r="P74" i="12"/>
  <c r="P47" i="12"/>
  <c r="P93" i="12"/>
  <c r="P84" i="12"/>
  <c r="P92" i="12"/>
  <c r="P111" i="12"/>
  <c r="P91" i="12"/>
  <c r="P71" i="12"/>
  <c r="P109" i="12"/>
  <c r="P88" i="12"/>
  <c r="P107" i="12"/>
  <c r="P50" i="12"/>
  <c r="P51" i="12"/>
  <c r="P69" i="12"/>
  <c r="P113" i="12"/>
  <c r="P49" i="12"/>
  <c r="P108" i="12"/>
  <c r="P89" i="12"/>
  <c r="P45" i="12"/>
  <c r="AF84" i="12"/>
  <c r="AF63" i="12"/>
  <c r="AF105" i="12"/>
  <c r="P68" i="12"/>
  <c r="P65" i="12"/>
  <c r="AF110" i="12"/>
  <c r="AF68" i="12"/>
  <c r="AF92" i="12"/>
  <c r="AF107" i="12"/>
  <c r="AF74" i="12"/>
  <c r="AF113" i="12"/>
  <c r="AF44" i="12"/>
  <c r="AF87" i="12"/>
  <c r="P63" i="12"/>
  <c r="P112" i="12"/>
  <c r="AF54" i="12"/>
  <c r="AF69" i="12"/>
  <c r="AF73" i="12"/>
  <c r="AF89" i="12"/>
  <c r="P73" i="12"/>
  <c r="AF106" i="12"/>
  <c r="P110" i="12"/>
  <c r="AF114" i="12"/>
  <c r="P86" i="12"/>
  <c r="P104" i="12"/>
  <c r="AF65" i="12"/>
  <c r="P87" i="12"/>
  <c r="AF51" i="12"/>
  <c r="P52" i="12"/>
  <c r="P70" i="12"/>
  <c r="AF86" i="12"/>
  <c r="P53" i="12"/>
  <c r="AF109" i="12"/>
  <c r="P103" i="12"/>
  <c r="AF72" i="12"/>
  <c r="P94" i="12"/>
  <c r="P67" i="12"/>
  <c r="AF49" i="12"/>
  <c r="AF94" i="12"/>
  <c r="P54" i="12"/>
  <c r="AF111" i="12"/>
  <c r="AF71" i="12"/>
  <c r="AF47" i="12"/>
  <c r="AF112" i="12"/>
  <c r="AF103" i="12"/>
  <c r="AF83" i="12"/>
  <c r="AF45" i="12"/>
  <c r="AF64" i="12"/>
  <c r="P105" i="12"/>
  <c r="AF93" i="12"/>
  <c r="AF66" i="12"/>
  <c r="AF46" i="12"/>
  <c r="P66" i="12"/>
  <c r="AF53" i="12"/>
  <c r="AF48" i="12"/>
  <c r="AF104" i="12"/>
  <c r="P85" i="12"/>
  <c r="P106" i="12"/>
  <c r="P44" i="12"/>
  <c r="AN53" i="12"/>
  <c r="AN45" i="12"/>
  <c r="AN47" i="12"/>
  <c r="AN54" i="12"/>
  <c r="AN51" i="12"/>
  <c r="AN49" i="12"/>
  <c r="AN52" i="12"/>
  <c r="AN50" i="12"/>
  <c r="AN44" i="12"/>
  <c r="AN48" i="12"/>
  <c r="AN43" i="12"/>
  <c r="AN46" i="12"/>
  <c r="AL50" i="12"/>
  <c r="AL51" i="12"/>
  <c r="AL49" i="12"/>
  <c r="AL43" i="12"/>
  <c r="AL47" i="12"/>
  <c r="AL54" i="12"/>
  <c r="AL48" i="12"/>
  <c r="AL46" i="12"/>
  <c r="AL53" i="12"/>
  <c r="AL45" i="12"/>
  <c r="AL52" i="12"/>
  <c r="AL44" i="12"/>
  <c r="AJ45" i="12"/>
  <c r="AJ44" i="12"/>
  <c r="AJ49" i="12"/>
  <c r="AJ47" i="12"/>
  <c r="AJ54" i="12"/>
  <c r="AJ46" i="12"/>
  <c r="AJ51" i="12"/>
  <c r="AJ52" i="12"/>
  <c r="AJ43" i="12"/>
  <c r="AJ48" i="12"/>
  <c r="AJ53" i="12"/>
  <c r="AJ50" i="12"/>
  <c r="AN73" i="12"/>
  <c r="AN65" i="12"/>
  <c r="AN69" i="12"/>
  <c r="AN72" i="12"/>
  <c r="AN74" i="12"/>
  <c r="AN64" i="12"/>
  <c r="AN68" i="12"/>
  <c r="AN71" i="12"/>
  <c r="AN67" i="12"/>
  <c r="AN66" i="12"/>
  <c r="AN70" i="12"/>
  <c r="AN63" i="12"/>
  <c r="AL67" i="12"/>
  <c r="AL72" i="12"/>
  <c r="AL74" i="12"/>
  <c r="AL70" i="12"/>
  <c r="AL73" i="12"/>
  <c r="AL65" i="12"/>
  <c r="AL69" i="12"/>
  <c r="AL68" i="12"/>
  <c r="AL64" i="12"/>
  <c r="AL71" i="12"/>
  <c r="AL66" i="12"/>
  <c r="AL63" i="12"/>
  <c r="AJ66" i="12"/>
  <c r="AJ71" i="12"/>
  <c r="AJ68" i="12"/>
  <c r="AJ63" i="12"/>
  <c r="AJ74" i="12"/>
  <c r="AJ70" i="12"/>
  <c r="AJ72" i="12"/>
  <c r="AJ67" i="12"/>
  <c r="AJ73" i="12"/>
  <c r="AJ69" i="12"/>
  <c r="AJ64" i="12"/>
  <c r="AJ65" i="12"/>
  <c r="AN92" i="12"/>
  <c r="AN84" i="12"/>
  <c r="AN89" i="12"/>
  <c r="AN94" i="12"/>
  <c r="AN87" i="12"/>
  <c r="AN90" i="12"/>
  <c r="AN86" i="12"/>
  <c r="AN93" i="12"/>
  <c r="AN85" i="12"/>
  <c r="AN88" i="12"/>
  <c r="AN91" i="12"/>
  <c r="AN83" i="12"/>
  <c r="AL114" i="12"/>
  <c r="AL109" i="12"/>
  <c r="AL112" i="12"/>
  <c r="AL106" i="12"/>
  <c r="AL104" i="12"/>
  <c r="AL108" i="12"/>
  <c r="AL111" i="12"/>
  <c r="AL107" i="12"/>
  <c r="AL103" i="12"/>
  <c r="AL113" i="12"/>
  <c r="AL110" i="12"/>
  <c r="AL105" i="12"/>
  <c r="AJ110" i="12"/>
  <c r="AJ114" i="12"/>
  <c r="AJ113" i="12"/>
  <c r="AJ106" i="12"/>
  <c r="AJ109" i="12"/>
  <c r="AJ111" i="12"/>
  <c r="AJ105" i="12"/>
  <c r="AJ103" i="12"/>
  <c r="AJ112" i="12"/>
  <c r="AJ108" i="12"/>
  <c r="AJ104" i="12"/>
  <c r="AJ107" i="12"/>
  <c r="AN113" i="12"/>
  <c r="AN107" i="12"/>
  <c r="AN105" i="12"/>
  <c r="AN108" i="12"/>
  <c r="AN111" i="12"/>
  <c r="AN103" i="12"/>
  <c r="AN114" i="12"/>
  <c r="AN104" i="12"/>
  <c r="AN106" i="12"/>
  <c r="AN109" i="12"/>
  <c r="AN110" i="12"/>
  <c r="AN112" i="12"/>
  <c r="AL84" i="12"/>
  <c r="AL91" i="12"/>
  <c r="AL88" i="12"/>
  <c r="AL83" i="12"/>
  <c r="AL94" i="12"/>
  <c r="AL86" i="12"/>
  <c r="AL89" i="12"/>
  <c r="AL93" i="12"/>
  <c r="AL90" i="12"/>
  <c r="AL85" i="12"/>
  <c r="AL92" i="12"/>
  <c r="AL87" i="12"/>
  <c r="AJ91" i="12"/>
  <c r="AJ94" i="12"/>
  <c r="AJ89" i="12"/>
  <c r="AJ92" i="12"/>
  <c r="AJ86" i="12"/>
  <c r="AJ93" i="12"/>
  <c r="AJ84" i="12"/>
  <c r="AJ88" i="12"/>
  <c r="AJ90" i="12"/>
  <c r="AJ85" i="12"/>
  <c r="AJ83" i="12"/>
  <c r="AJ87" i="12"/>
  <c r="AF43" i="12"/>
  <c r="AM72" i="12"/>
  <c r="AM73" i="12"/>
  <c r="AM64" i="12"/>
  <c r="AM70" i="12"/>
  <c r="AM67" i="12"/>
  <c r="AM68" i="12"/>
  <c r="AM71" i="12"/>
  <c r="AM63" i="12"/>
  <c r="AM74" i="12"/>
  <c r="AM65" i="12"/>
  <c r="AM66" i="12"/>
  <c r="AM69" i="12"/>
  <c r="AI47" i="12"/>
  <c r="AI50" i="12"/>
  <c r="AI53" i="12"/>
  <c r="AI52" i="12"/>
  <c r="AI45" i="12"/>
  <c r="AI44" i="12"/>
  <c r="AI49" i="12"/>
  <c r="AI48" i="12"/>
  <c r="AI46" i="12"/>
  <c r="AI43" i="12"/>
  <c r="AI51" i="12"/>
  <c r="AI54" i="12"/>
  <c r="AK67" i="12"/>
  <c r="AK74" i="12"/>
  <c r="AK70" i="12"/>
  <c r="AK73" i="12"/>
  <c r="AK71" i="12"/>
  <c r="AK66" i="12"/>
  <c r="AK68" i="12"/>
  <c r="AK65" i="12"/>
  <c r="AK63" i="12"/>
  <c r="AK72" i="12"/>
  <c r="AK69" i="12"/>
  <c r="AK64" i="12"/>
  <c r="AO52" i="12"/>
  <c r="AO46" i="12"/>
  <c r="AO43" i="12"/>
  <c r="AO53" i="12"/>
  <c r="AO48" i="12"/>
  <c r="AO45" i="12"/>
  <c r="AO50" i="12"/>
  <c r="AO47" i="12"/>
  <c r="AO49" i="12"/>
  <c r="AO44" i="12"/>
  <c r="AO54" i="12"/>
  <c r="AO51" i="12"/>
  <c r="AM104" i="12"/>
  <c r="AM114" i="12"/>
  <c r="AM106" i="12"/>
  <c r="AM107" i="12"/>
  <c r="AM110" i="12"/>
  <c r="AM103" i="12"/>
  <c r="AM113" i="12"/>
  <c r="AM111" i="12"/>
  <c r="AM105" i="12"/>
  <c r="AM109" i="12"/>
  <c r="AM108" i="12"/>
  <c r="AM112" i="12"/>
  <c r="AI63" i="12"/>
  <c r="AI71" i="12"/>
  <c r="AI72" i="12"/>
  <c r="AI64" i="12"/>
  <c r="AI68" i="12"/>
  <c r="AI67" i="12"/>
  <c r="AI73" i="12"/>
  <c r="AI70" i="12"/>
  <c r="AI69" i="12"/>
  <c r="AI65" i="12"/>
  <c r="AI66" i="12"/>
  <c r="AI74" i="12"/>
  <c r="AK44" i="12"/>
  <c r="AK51" i="12"/>
  <c r="AK48" i="12"/>
  <c r="AK45" i="12"/>
  <c r="AK49" i="12"/>
  <c r="AK50" i="12"/>
  <c r="AK54" i="12"/>
  <c r="AK43" i="12"/>
  <c r="AK46" i="12"/>
  <c r="AK53" i="12"/>
  <c r="AK52" i="12"/>
  <c r="AK47" i="12"/>
  <c r="AO74" i="12"/>
  <c r="AO66" i="12"/>
  <c r="AO70" i="12"/>
  <c r="AO73" i="12"/>
  <c r="AO65" i="12"/>
  <c r="AO72" i="12"/>
  <c r="AO67" i="12"/>
  <c r="AO71" i="12"/>
  <c r="AO69" i="12"/>
  <c r="AO64" i="12"/>
  <c r="AO63" i="12"/>
  <c r="AO68" i="12"/>
  <c r="AM54" i="12"/>
  <c r="AM46" i="12"/>
  <c r="AM50" i="12"/>
  <c r="AM47" i="12"/>
  <c r="AM51" i="12"/>
  <c r="AM48" i="12"/>
  <c r="AM43" i="12"/>
  <c r="AM49" i="12"/>
  <c r="AM52" i="12"/>
  <c r="AM53" i="12"/>
  <c r="AM44" i="12"/>
  <c r="AM45" i="12"/>
  <c r="AI110" i="12"/>
  <c r="AI111" i="12"/>
  <c r="AI105" i="12"/>
  <c r="AI103" i="12"/>
  <c r="AI109" i="12"/>
  <c r="AI114" i="12"/>
  <c r="AI106" i="12"/>
  <c r="AI107" i="12"/>
  <c r="AI113" i="12"/>
  <c r="AI112" i="12"/>
  <c r="AI108" i="12"/>
  <c r="AI104" i="12"/>
  <c r="AK92" i="12"/>
  <c r="AK86" i="12"/>
  <c r="AK84" i="12"/>
  <c r="AK88" i="12"/>
  <c r="AK83" i="12"/>
  <c r="AK90" i="12"/>
  <c r="AK87" i="12"/>
  <c r="AK94" i="12"/>
  <c r="AK93" i="12"/>
  <c r="AK91" i="12"/>
  <c r="AK85" i="12"/>
  <c r="AK89" i="12"/>
  <c r="AO84" i="12"/>
  <c r="AO87" i="12"/>
  <c r="AO88" i="12"/>
  <c r="AO91" i="12"/>
  <c r="AO83" i="12"/>
  <c r="AO93" i="12"/>
  <c r="AO85" i="12"/>
  <c r="AO89" i="12"/>
  <c r="AO94" i="12"/>
  <c r="AO86" i="12"/>
  <c r="AO92" i="12"/>
  <c r="AO90" i="12"/>
  <c r="AM85" i="12"/>
  <c r="AM94" i="12"/>
  <c r="AM86" i="12"/>
  <c r="AM93" i="12"/>
  <c r="AM89" i="12"/>
  <c r="AM92" i="12"/>
  <c r="AM84" i="12"/>
  <c r="AM91" i="12"/>
  <c r="AM87" i="12"/>
  <c r="AM88" i="12"/>
  <c r="AM90" i="12"/>
  <c r="AM83" i="12"/>
  <c r="AI90" i="12"/>
  <c r="AI94" i="12"/>
  <c r="AI86" i="12"/>
  <c r="AI92" i="12"/>
  <c r="AI93" i="12"/>
  <c r="AI89" i="12"/>
  <c r="AI91" i="12"/>
  <c r="AI85" i="12"/>
  <c r="AI83" i="12"/>
  <c r="AI88" i="12"/>
  <c r="AI87" i="12"/>
  <c r="AI84" i="12"/>
  <c r="AK106" i="12"/>
  <c r="AK112" i="12"/>
  <c r="AK107" i="12"/>
  <c r="AK104" i="12"/>
  <c r="AK113" i="12"/>
  <c r="AK108" i="12"/>
  <c r="AK109" i="12"/>
  <c r="AK111" i="12"/>
  <c r="AK105" i="12"/>
  <c r="AK103" i="12"/>
  <c r="AK110" i="12"/>
  <c r="AK114" i="12"/>
  <c r="AO114" i="12"/>
  <c r="AO108" i="12"/>
  <c r="AO106" i="12"/>
  <c r="AO109" i="12"/>
  <c r="AO105" i="12"/>
  <c r="AO103" i="12"/>
  <c r="AO113" i="12"/>
  <c r="AO112" i="12"/>
  <c r="AO111" i="12"/>
  <c r="AO107" i="12"/>
  <c r="AO104" i="12"/>
  <c r="AO110" i="12"/>
  <c r="F63" i="14"/>
  <c r="D63" i="14"/>
  <c r="E63" i="14"/>
  <c r="B95" i="14"/>
  <c r="C64" i="14"/>
  <c r="F64" i="14"/>
  <c r="D64" i="14"/>
  <c r="E64" i="14"/>
  <c r="B96" i="14" l="1"/>
  <c r="B101" i="14" s="1"/>
  <c r="AV44" i="12"/>
  <c r="P55" i="12"/>
  <c r="C55" i="14" s="1"/>
  <c r="AV106" i="12"/>
  <c r="AV54" i="12"/>
  <c r="AV108" i="12"/>
  <c r="AV50" i="12"/>
  <c r="AV92" i="12"/>
  <c r="AV103" i="12"/>
  <c r="AV68" i="12"/>
  <c r="AV72" i="12"/>
  <c r="AV63" i="12"/>
  <c r="AV46" i="12"/>
  <c r="AV105" i="12"/>
  <c r="AF95" i="12"/>
  <c r="E56" i="14" s="1"/>
  <c r="AF75" i="12"/>
  <c r="D56" i="14" s="1"/>
  <c r="AV114" i="12"/>
  <c r="F65" i="14"/>
  <c r="F66" i="14" s="1"/>
  <c r="AV87" i="12"/>
  <c r="AV52" i="12"/>
  <c r="AV67" i="12"/>
  <c r="AV84" i="12"/>
  <c r="AV91" i="12"/>
  <c r="AV74" i="12"/>
  <c r="AV53" i="12"/>
  <c r="AF55" i="12"/>
  <c r="C56" i="14" s="1"/>
  <c r="P75" i="12"/>
  <c r="D55" i="14" s="1"/>
  <c r="AV43" i="12"/>
  <c r="E65" i="14"/>
  <c r="E66" i="14" s="1"/>
  <c r="AV93" i="12"/>
  <c r="AV107" i="12"/>
  <c r="AV70" i="12"/>
  <c r="AV64" i="12"/>
  <c r="AV73" i="12"/>
  <c r="AV48" i="12"/>
  <c r="P95" i="12"/>
  <c r="E55" i="14" s="1"/>
  <c r="AF115" i="12"/>
  <c r="F56" i="14" s="1"/>
  <c r="AV47" i="12"/>
  <c r="AV45" i="12"/>
  <c r="AV112" i="12"/>
  <c r="D65" i="14"/>
  <c r="D66" i="14" s="1"/>
  <c r="AV86" i="12"/>
  <c r="AV111" i="12"/>
  <c r="AV69" i="12"/>
  <c r="AV71" i="12"/>
  <c r="AV65" i="12"/>
  <c r="AV66" i="12"/>
  <c r="AV51" i="12"/>
  <c r="AV49" i="12"/>
  <c r="AV110" i="12"/>
  <c r="AV104" i="12"/>
  <c r="P115" i="12"/>
  <c r="F55" i="14" s="1"/>
  <c r="C65" i="14"/>
  <c r="C66" i="14" s="1"/>
  <c r="AV83" i="12"/>
  <c r="AV85" i="12"/>
  <c r="AV88" i="12"/>
  <c r="AV89" i="12"/>
  <c r="AV109" i="12"/>
  <c r="AV113" i="12"/>
  <c r="AV90" i="12"/>
  <c r="AV94" i="12"/>
  <c r="E84" i="14"/>
  <c r="D84" i="14"/>
  <c r="F83" i="14"/>
  <c r="C83" i="14"/>
  <c r="F84" i="14"/>
  <c r="C84" i="14"/>
  <c r="D83" i="14"/>
  <c r="E83" i="14"/>
  <c r="B97" i="14"/>
  <c r="E87" i="14"/>
  <c r="E86" i="14"/>
  <c r="D87" i="14"/>
  <c r="D86" i="14"/>
  <c r="F87" i="14"/>
  <c r="F86" i="14"/>
  <c r="C86" i="14"/>
  <c r="C87" i="14"/>
  <c r="B104" i="14" l="1"/>
  <c r="B103" i="14"/>
  <c r="B105" i="14" s="1"/>
  <c r="B102" i="14"/>
  <c r="F94" i="14"/>
  <c r="AV115" i="12"/>
  <c r="F57" i="14" s="1"/>
  <c r="F58" i="14" s="1"/>
  <c r="AV55" i="12"/>
  <c r="C57" i="14" s="1"/>
  <c r="C58" i="14" s="1"/>
  <c r="AV75" i="12"/>
  <c r="D57" i="14" s="1"/>
  <c r="D58" i="14" s="1"/>
  <c r="AV95" i="12"/>
  <c r="E57" i="14" s="1"/>
  <c r="E58" i="14" s="1"/>
  <c r="D94" i="14"/>
  <c r="E94" i="14"/>
  <c r="C94" i="14"/>
  <c r="E95" i="14"/>
  <c r="D95" i="14"/>
  <c r="C95" i="14"/>
  <c r="F95" i="14"/>
  <c r="B106" i="14" l="1"/>
  <c r="B108" i="14" s="1"/>
  <c r="B109" i="14" s="1"/>
  <c r="C90" i="14"/>
  <c r="C89" i="14"/>
  <c r="F89" i="14"/>
  <c r="F90" i="14"/>
  <c r="E90" i="14"/>
  <c r="D89" i="14"/>
  <c r="E89" i="14"/>
  <c r="D90" i="14"/>
  <c r="F96" i="14" l="1"/>
  <c r="E96" i="14"/>
  <c r="C96" i="14"/>
  <c r="D96" i="14"/>
  <c r="C103" i="14" l="1"/>
  <c r="F102" i="14"/>
  <c r="F103" i="14"/>
  <c r="F105" i="14" s="1"/>
  <c r="E102" i="14"/>
  <c r="E103" i="14"/>
  <c r="E105" i="14" s="1"/>
  <c r="F97" i="14"/>
  <c r="D97" i="14"/>
  <c r="D103" i="14"/>
  <c r="C101" i="14"/>
  <c r="C104" i="14" s="1"/>
  <c r="F101" i="14"/>
  <c r="F104" i="14" s="1"/>
  <c r="E97" i="14"/>
  <c r="E101" i="14"/>
  <c r="E104" i="14" s="1"/>
  <c r="C97" i="14"/>
  <c r="C102" i="14"/>
  <c r="D102" i="14"/>
  <c r="D101" i="14"/>
  <c r="D104" i="14" s="1"/>
  <c r="F106" i="14" l="1"/>
  <c r="F108" i="14" s="1"/>
  <c r="F109" i="14" s="1"/>
  <c r="E106" i="14"/>
  <c r="E108" i="14" s="1"/>
  <c r="E109" i="14" s="1"/>
  <c r="C105" i="14"/>
  <c r="C106" i="14" s="1"/>
  <c r="C108" i="14" s="1"/>
  <c r="C109" i="14" s="1"/>
  <c r="D105" i="14"/>
  <c r="D106" i="14" s="1"/>
  <c r="D108" i="14" s="1"/>
  <c r="D109" i="14" s="1"/>
</calcChain>
</file>

<file path=xl/comments1.xml><?xml version="1.0" encoding="utf-8"?>
<comments xmlns="http://schemas.openxmlformats.org/spreadsheetml/2006/main">
  <authors>
    <author>Ayala, Krystal</author>
  </authors>
  <commentList>
    <comment ref="C7" authorId="0" shapeId="0">
      <text>
        <r>
          <rPr>
            <b/>
            <sz val="9"/>
            <color indexed="81"/>
            <rFont val="Tahoma"/>
            <family val="2"/>
          </rPr>
          <t>Ayala, Krystal:</t>
        </r>
        <r>
          <rPr>
            <sz val="9"/>
            <color indexed="81"/>
            <rFont val="Tahoma"/>
            <family val="2"/>
          </rPr>
          <t xml:space="preserve">
Source will need to be updated upon final approval of Series 14 and release of ABM 14.0.0</t>
        </r>
      </text>
    </comment>
    <comment ref="C11" authorId="0" shapeId="0">
      <text>
        <r>
          <rPr>
            <b/>
            <sz val="9"/>
            <color indexed="81"/>
            <rFont val="Tahoma"/>
            <family val="2"/>
          </rPr>
          <t>Ayala, Krystal:</t>
        </r>
        <r>
          <rPr>
            <sz val="9"/>
            <color indexed="81"/>
            <rFont val="Tahoma"/>
            <family val="2"/>
          </rPr>
          <t xml:space="preserve">
Need skim source from Ying
</t>
        </r>
        <r>
          <rPr>
            <b/>
            <sz val="9"/>
            <color indexed="81"/>
            <rFont val="Tahoma"/>
            <family val="2"/>
          </rPr>
          <t>John Helsel:</t>
        </r>
        <r>
          <rPr>
            <sz val="9"/>
            <color indexed="81"/>
            <rFont val="Tahoma"/>
            <family val="2"/>
          </rPr>
          <t xml:space="preserve">
The EMFAC values are 14.0.0, what does that mean for the ABM?</t>
        </r>
      </text>
    </comment>
    <comment ref="C15" authorId="0" shapeId="0">
      <text>
        <r>
          <rPr>
            <b/>
            <sz val="9"/>
            <color indexed="81"/>
            <rFont val="Tahoma"/>
            <family val="2"/>
          </rPr>
          <t>Ayala, Krystal:</t>
        </r>
        <r>
          <rPr>
            <sz val="9"/>
            <color indexed="81"/>
            <rFont val="Tahoma"/>
            <family val="2"/>
          </rPr>
          <t xml:space="preserve">
Need source from Ying</t>
        </r>
      </text>
    </comment>
    <comment ref="C22" authorId="0" shapeId="0">
      <text>
        <r>
          <rPr>
            <b/>
            <sz val="9"/>
            <color indexed="81"/>
            <rFont val="Tahoma"/>
            <family val="2"/>
          </rPr>
          <t xml:space="preserve">Ayala, Krystal:
</t>
        </r>
        <r>
          <rPr>
            <sz val="9"/>
            <color indexed="81"/>
            <rFont val="Tahoma"/>
            <family val="2"/>
          </rPr>
          <t xml:space="preserve">
Either update to EMFAC 2014 or use EMFAC 2017 if approved by EPA and CARB decides to use 2017. Reference correct ABM version.</t>
        </r>
      </text>
    </comment>
    <comment ref="C32" authorId="0" shapeId="0">
      <text>
        <r>
          <rPr>
            <b/>
            <sz val="9"/>
            <color indexed="81"/>
            <rFont val="Tahoma"/>
            <family val="2"/>
          </rPr>
          <t>Ayala, Krystal:</t>
        </r>
        <r>
          <rPr>
            <sz val="9"/>
            <color indexed="81"/>
            <rFont val="Tahoma"/>
            <family val="2"/>
          </rPr>
          <t xml:space="preserve">
Need source from Ying</t>
        </r>
      </text>
    </comment>
  </commentList>
</comments>
</file>

<file path=xl/comments2.xml><?xml version="1.0" encoding="utf-8"?>
<comments xmlns="http://schemas.openxmlformats.org/spreadsheetml/2006/main">
  <authors>
    <author>Ayala, Krystal</author>
    <author>John Helsel</author>
  </authors>
  <commentList>
    <comment ref="A10" authorId="0" shapeId="0">
      <text>
        <r>
          <rPr>
            <b/>
            <sz val="9"/>
            <color indexed="81"/>
            <rFont val="Tahoma"/>
            <family val="2"/>
          </rPr>
          <t>Ayala, Krystal (9/7/18):</t>
        </r>
        <r>
          <rPr>
            <sz val="9"/>
            <color indexed="81"/>
            <rFont val="Tahoma"/>
            <family val="2"/>
          </rPr>
          <t xml:space="preserve">
John-
Please advise on the  baseline year reference. This calculator (as with carshare &amp; bikeshare) used 2018 data to inform the baseline year assumptions. It is much more apparent in this calculator that the baseline data is not 2016 rather is based on June 30, 2018 vanpool data (see notes in Column G). Do you suggest we maintain as is?
</t>
        </r>
        <r>
          <rPr>
            <b/>
            <sz val="9"/>
            <color indexed="81"/>
            <rFont val="Tahoma"/>
            <family val="2"/>
          </rPr>
          <t>JWH: The ABM baseline is 2016, so the travel times, costs, and other inputs derived from the model represent 2016 conditions. But 2018 information was used to determine the service levels for regional vanpools because they provide a more representative estimate of how vanpools will operate in the future than the 2016 conditions.
I changed the cell so that it says Currently active vans instead of Baseline number of vans (2016).</t>
        </r>
      </text>
    </comment>
    <comment ref="A45" authorId="0" shapeId="0">
      <text>
        <r>
          <rPr>
            <b/>
            <sz val="9"/>
            <color indexed="81"/>
            <rFont val="Tahoma"/>
            <family val="2"/>
          </rPr>
          <t>Ayala, Krystal:</t>
        </r>
        <r>
          <rPr>
            <sz val="9"/>
            <color indexed="81"/>
            <rFont val="Tahoma"/>
            <family val="2"/>
          </rPr>
          <t xml:space="preserve">
John-
See coment in cell A9 regarding the baseline year reference.
</t>
        </r>
        <r>
          <rPr>
            <b/>
            <sz val="9"/>
            <color indexed="81"/>
            <rFont val="Tahoma"/>
            <family val="2"/>
          </rPr>
          <t>JWH: see my response. Leave baseline year as 2016, but the current vanpool data is from 2018.</t>
        </r>
      </text>
    </comment>
    <comment ref="B107" authorId="1" shapeId="0">
      <text>
        <r>
          <rPr>
            <b/>
            <sz val="9"/>
            <color indexed="81"/>
            <rFont val="Tahoma"/>
            <charset val="1"/>
          </rPr>
          <t>John Helsel:</t>
        </r>
        <r>
          <rPr>
            <sz val="9"/>
            <color indexed="81"/>
            <rFont val="Tahoma"/>
            <charset val="1"/>
          </rPr>
          <t xml:space="preserve">
Per Ying's direction, made total population a static input, removed model data sheet.</t>
        </r>
      </text>
    </comment>
  </commentList>
</comments>
</file>

<file path=xl/comments3.xml><?xml version="1.0" encoding="utf-8"?>
<comments xmlns="http://schemas.openxmlformats.org/spreadsheetml/2006/main">
  <authors>
    <author>Ayala, Krystal</author>
  </authors>
  <commentList>
    <comment ref="B5" authorId="0" shapeId="0">
      <text>
        <r>
          <rPr>
            <b/>
            <sz val="9"/>
            <color indexed="81"/>
            <rFont val="Tahoma"/>
            <family val="2"/>
          </rPr>
          <t>Ayala, Krystal:</t>
        </r>
        <r>
          <rPr>
            <sz val="9"/>
            <color indexed="81"/>
            <rFont val="Tahoma"/>
            <family val="2"/>
          </rPr>
          <t xml:space="preserve">
This sheet currently does not assume that vanpools will service certain industries/employers where there currently are no vanpools. For example, vanpools historically are great transportation options for biotech companies/industries. As there are more biotech companies in the region (per the Series 14 forecast), vanpools wiill proportionally grow.
On the other hand, there are currently no vanpools that serve the hospitality industry. This calc does not assume that vanpools will serve the hospitality industry even if there is significant employment growth.
</t>
        </r>
        <r>
          <rPr>
            <b/>
            <sz val="9"/>
            <color indexed="81"/>
            <rFont val="Tahoma"/>
            <family val="2"/>
          </rPr>
          <t>SANDAG, 9/7/18:
This still remains to be incorporated into the calculator. Suggest we leave as is and specify in the memo that the calculator does not account for growth in vanpools where there are currently none (i.e. growth in hospitality industry will now impact vanpool program even if we dedicate outreach to these types of employers)</t>
        </r>
      </text>
    </comment>
    <comment ref="B7" authorId="0" shapeId="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List>
</comments>
</file>

<file path=xl/comments4.xml><?xml version="1.0" encoding="utf-8"?>
<comments xmlns="http://schemas.openxmlformats.org/spreadsheetml/2006/main">
  <authors>
    <author>Ayala, Krystal</author>
    <author>John Helsel</author>
  </authors>
  <commentList>
    <comment ref="B8" authorId="0" shapeId="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B25" authorId="0" shapeId="0">
      <text>
        <r>
          <rPr>
            <b/>
            <sz val="9"/>
            <color indexed="81"/>
            <rFont val="Tahoma"/>
            <family val="2"/>
          </rPr>
          <t>Ayala, Krystal (9/7/18):</t>
        </r>
        <r>
          <rPr>
            <sz val="9"/>
            <color indexed="81"/>
            <rFont val="Tahoma"/>
            <family val="2"/>
          </rPr>
          <t xml:space="preserve">
John,
Please advise on preferred method for sources within this worksheet and others. This calculator indicates more specific references to skims and model-based inputs than the others within individual sheets. These types of references need to be consistent with the Use Notes tab, within other worksheets, and amongst other calc workbooks too.
FYI, microtransit calc also relies heavily on model trip data &amp; skims but does not have these sources listed. These two should be consistent in format/style.
</t>
        </r>
        <r>
          <rPr>
            <b/>
            <sz val="9"/>
            <color indexed="81"/>
            <rFont val="Tahoma"/>
            <family val="2"/>
          </rPr>
          <t>JWH: Will wait until I hear back from Ying</t>
        </r>
      </text>
    </comment>
    <comment ref="B27" authorId="0" shapeId="0">
      <text>
        <r>
          <rPr>
            <b/>
            <sz val="9"/>
            <color indexed="81"/>
            <rFont val="Tahoma"/>
            <family val="2"/>
          </rPr>
          <t>Ayala, Krystal:</t>
        </r>
        <r>
          <rPr>
            <sz val="9"/>
            <color indexed="81"/>
            <rFont val="Tahoma"/>
            <family val="2"/>
          </rPr>
          <t xml:space="preserve">
John-
I'm not familiar with this source and it's not specified in the Use Notes tab. Can you advise whether we need to add to Use Notes or if it's already captured? 
</t>
        </r>
        <r>
          <rPr>
            <b/>
            <sz val="9"/>
            <color indexed="81"/>
            <rFont val="Tahoma"/>
            <family val="2"/>
          </rPr>
          <t>JWH: This is captured in cell use notes, cell E18</t>
        </r>
      </text>
    </comment>
    <comment ref="C59" authorId="0" shapeId="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t>
        </r>
      </text>
    </comment>
    <comment ref="C61" authorId="1" shapeId="0">
      <text>
        <r>
          <rPr>
            <b/>
            <sz val="9"/>
            <color indexed="81"/>
            <rFont val="Tahoma"/>
            <family val="2"/>
          </rPr>
          <t>John Helsel:</t>
        </r>
        <r>
          <rPr>
            <sz val="9"/>
            <color indexed="81"/>
            <rFont val="Tahoma"/>
            <family val="2"/>
          </rPr>
          <t xml:space="preserve">
Update with value from Ying for 14.0.0</t>
        </r>
      </text>
    </comment>
    <comment ref="D61" authorId="0" shapeId="0">
      <text>
        <r>
          <rPr>
            <b/>
            <sz val="9"/>
            <color indexed="81"/>
            <rFont val="Tahoma"/>
            <family val="2"/>
          </rPr>
          <t>Ayala, Krystal (9/7/18):</t>
        </r>
        <r>
          <rPr>
            <sz val="9"/>
            <color indexed="81"/>
            <rFont val="Tahoma"/>
            <family val="2"/>
          </rPr>
          <t xml:space="preserve">
John-
As with other model references, can you advise on the preferred name for SANDAG ABM notes?</t>
        </r>
      </text>
    </comment>
  </commentList>
</comments>
</file>

<file path=xl/comments5.xml><?xml version="1.0" encoding="utf-8"?>
<comments xmlns="http://schemas.openxmlformats.org/spreadsheetml/2006/main">
  <authors>
    <author>Ayala, Krystal</author>
    <author>John Helsel</author>
  </authors>
  <commentList>
    <comment ref="B8" authorId="0" shapeId="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B25" authorId="0" shapeId="0">
      <text>
        <r>
          <rPr>
            <b/>
            <sz val="9"/>
            <color indexed="81"/>
            <rFont val="Tahoma"/>
            <family val="2"/>
          </rPr>
          <t>Ayala, Krystal (9/7/18):</t>
        </r>
        <r>
          <rPr>
            <sz val="9"/>
            <color indexed="81"/>
            <rFont val="Tahoma"/>
            <family val="2"/>
          </rPr>
          <t xml:space="preserve">
John,
Please advise on preferred method for sources within this worksheet and others. This calculator indicates more specific references to skims and model-based inputs than the others within individual sheets. These types of references need to be consistent with the Use Notes tab, within other worksheets, and amongst other calc workbooks too.
</t>
        </r>
        <r>
          <rPr>
            <b/>
            <sz val="9"/>
            <color indexed="81"/>
            <rFont val="Tahoma"/>
            <family val="2"/>
          </rPr>
          <t>JWH: Will update when I receive direction from Ying.</t>
        </r>
      </text>
    </comment>
    <comment ref="C57" authorId="0" shapeId="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t>
        </r>
        <r>
          <rPr>
            <b/>
            <sz val="9"/>
            <color indexed="81"/>
            <rFont val="Tahoma"/>
            <family val="2"/>
          </rPr>
          <t xml:space="preserve">Should this value be based on modeling data? </t>
        </r>
        <r>
          <rPr>
            <sz val="9"/>
            <color indexed="81"/>
            <rFont val="Tahoma"/>
            <family val="2"/>
          </rPr>
          <t xml:space="preserve">TDM staff is unable to validate the % of trips over 50 miles long based on survey results.
</t>
        </r>
        <r>
          <rPr>
            <b/>
            <sz val="9"/>
            <color indexed="81"/>
            <rFont val="Tahoma"/>
            <family val="2"/>
          </rPr>
          <t>SANDAG (9/7/18):
Item still pending direction from modeling or WSP. 
JWH: See non-mil tab</t>
        </r>
      </text>
    </comment>
    <comment ref="C59" authorId="1" shapeId="0">
      <text>
        <r>
          <rPr>
            <b/>
            <sz val="9"/>
            <color indexed="81"/>
            <rFont val="Tahoma"/>
            <family val="2"/>
          </rPr>
          <t>John Helsel:</t>
        </r>
        <r>
          <rPr>
            <sz val="9"/>
            <color indexed="81"/>
            <rFont val="Tahoma"/>
            <family val="2"/>
          </rPr>
          <t xml:space="preserve">
update with 14.0.0 from Ying.</t>
        </r>
      </text>
    </comment>
    <comment ref="D59" authorId="0" shapeId="0">
      <text>
        <r>
          <rPr>
            <b/>
            <sz val="9"/>
            <color indexed="81"/>
            <rFont val="Tahoma"/>
            <family val="2"/>
          </rPr>
          <t>Ayala, Krystal (9/7/18):</t>
        </r>
        <r>
          <rPr>
            <sz val="9"/>
            <color indexed="81"/>
            <rFont val="Tahoma"/>
            <family val="2"/>
          </rPr>
          <t xml:space="preserve">
John-
As with other model references, can you advise on the preferred name for SANDAG ABM notes?
</t>
        </r>
        <r>
          <rPr>
            <b/>
            <sz val="9"/>
            <color indexed="81"/>
            <rFont val="Tahoma"/>
            <family val="2"/>
          </rPr>
          <t>JWH: will update when I hear from Ying</t>
        </r>
      </text>
    </comment>
  </commentList>
</comments>
</file>

<file path=xl/comments6.xml><?xml version="1.0" encoding="utf-8"?>
<comments xmlns="http://schemas.openxmlformats.org/spreadsheetml/2006/main">
  <authors>
    <author>Ayala, Krystal</author>
    <author>John Helsel</author>
  </authors>
  <commentList>
    <comment ref="B8" authorId="0" shapeId="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C59" authorId="0" shapeId="0">
      <text>
        <r>
          <rPr>
            <b/>
            <sz val="9"/>
            <color indexed="81"/>
            <rFont val="Tahoma"/>
            <family val="2"/>
          </rPr>
          <t>Ayala, Krystal:</t>
        </r>
        <r>
          <rPr>
            <sz val="9"/>
            <color indexed="81"/>
            <rFont val="Tahoma"/>
            <family val="2"/>
          </rPr>
          <t xml:space="preserve">
Per modeling feedback during the Peer Review Panel, the value of time metric should be updated using median HH income data from the model rather than ACS data. Rosella indicated that using the median income value (lower than average), will make the calculator more cost-sensitive &amp; responsive to changes in the vanpool subsidy.
Does modeling staff feel comfortable using the median household income value rather than the average? What base year should be used: 2016 or 2018?</t>
        </r>
        <r>
          <rPr>
            <b/>
            <sz val="9"/>
            <color indexed="81"/>
            <rFont val="Tahoma"/>
            <family val="2"/>
          </rPr>
          <t xml:space="preserve">
</t>
        </r>
        <r>
          <rPr>
            <sz val="9"/>
            <color indexed="81"/>
            <rFont val="Tahoma"/>
            <family val="2"/>
          </rPr>
          <t xml:space="preserve">Per Rosella,
But as an example, if we were to assume that the subsidy for vans of 10 or more seats increases by $100 (to $500), then the calculator would predict 5 additional vans in 2050 if using the mean income, and 7 additional vans in 2050 if using the median income.
</t>
        </r>
        <r>
          <rPr>
            <b/>
            <sz val="9"/>
            <color indexed="81"/>
            <rFont val="Tahoma"/>
            <family val="2"/>
          </rPr>
          <t>SANDAG (9/7/18): 
John- This item is still pending direction from modeling. Please concur with Ying &amp; Rosella that we can use median HH income from the model rather than average income from ACS.
John Helsel:
Resolved.</t>
        </r>
      </text>
    </comment>
    <comment ref="D59" authorId="1" shapeId="0">
      <text>
        <r>
          <rPr>
            <b/>
            <sz val="9"/>
            <color indexed="81"/>
            <rFont val="Tahoma"/>
            <family val="2"/>
          </rPr>
          <t>John Helsel:</t>
        </r>
        <r>
          <rPr>
            <sz val="9"/>
            <color indexed="81"/>
            <rFont val="Tahoma"/>
            <family val="2"/>
          </rPr>
          <t xml:space="preserve">
Updated methodology/value for median value</t>
        </r>
      </text>
    </comment>
    <comment ref="C60" authorId="1" shapeId="0">
      <text>
        <r>
          <rPr>
            <b/>
            <sz val="9"/>
            <color indexed="81"/>
            <rFont val="Tahoma"/>
            <family val="2"/>
          </rPr>
          <t>John Helsel:</t>
        </r>
        <r>
          <rPr>
            <sz val="9"/>
            <color indexed="81"/>
            <rFont val="Tahoma"/>
            <family val="2"/>
          </rPr>
          <t xml:space="preserve">
update with 14.0.0 from Ying.</t>
        </r>
      </text>
    </comment>
  </commentList>
</comments>
</file>

<file path=xl/comments7.xml><?xml version="1.0" encoding="utf-8"?>
<comments xmlns="http://schemas.openxmlformats.org/spreadsheetml/2006/main">
  <authors>
    <author>Mangan, Marisa</author>
  </authors>
  <commentList>
    <comment ref="E5" authorId="0" shapeId="0">
      <text>
        <r>
          <rPr>
            <b/>
            <sz val="9"/>
            <color indexed="81"/>
            <rFont val="Tahoma"/>
            <family val="2"/>
          </rPr>
          <t>Mangan, Marisa (9/7/18):</t>
        </r>
        <r>
          <rPr>
            <sz val="9"/>
            <color indexed="81"/>
            <rFont val="Tahoma"/>
            <family val="2"/>
          </rPr>
          <t xml:space="preserve">
John, did you happen to check these lat/longs? This tab was added after a member of our modeling staff reviewed this workbook during internal peer review process
</t>
        </r>
        <r>
          <rPr>
            <b/>
            <sz val="9"/>
            <color indexed="81"/>
            <rFont val="Tahoma"/>
            <family val="2"/>
          </rPr>
          <t>JWH: Added map with gateway locations.</t>
        </r>
      </text>
    </comment>
  </commentList>
</comments>
</file>

<file path=xl/sharedStrings.xml><?xml version="1.0" encoding="utf-8"?>
<sst xmlns="http://schemas.openxmlformats.org/spreadsheetml/2006/main" count="7489" uniqueCount="675">
  <si>
    <t>Year</t>
  </si>
  <si>
    <t>Variable</t>
  </si>
  <si>
    <t>year</t>
  </si>
  <si>
    <t>Military</t>
  </si>
  <si>
    <t>Federal Non-Military</t>
  </si>
  <si>
    <t>Non-Federal</t>
  </si>
  <si>
    <t>Current vanpool operations</t>
  </si>
  <si>
    <t>scenario_id</t>
  </si>
  <si>
    <t>msa_modeling_1</t>
  </si>
  <si>
    <t>name</t>
  </si>
  <si>
    <t>emp_ag</t>
  </si>
  <si>
    <t>emp_const_non_bldg_prod</t>
  </si>
  <si>
    <t>emp_const_non_bldg_office</t>
  </si>
  <si>
    <t>emp_utilities_prod</t>
  </si>
  <si>
    <t>emp_utilities_office</t>
  </si>
  <si>
    <t>emp_const_bldg_prod</t>
  </si>
  <si>
    <t>emp_const_bldg_office</t>
  </si>
  <si>
    <t>emp_mfg_prod</t>
  </si>
  <si>
    <t>emp_mfg_office</t>
  </si>
  <si>
    <t>emp_whsle_whs</t>
  </si>
  <si>
    <t>emp_trans</t>
  </si>
  <si>
    <t>emp_retail</t>
  </si>
  <si>
    <t>emp_prof_bus_svcs</t>
  </si>
  <si>
    <t>emp_prof_bus_svcs_bldg_maint</t>
  </si>
  <si>
    <t>emp_pvt_ed_k12</t>
  </si>
  <si>
    <t>emp_pvt_ed_post_k12_oth</t>
  </si>
  <si>
    <t>emp_health</t>
  </si>
  <si>
    <t>emp_personal_svcs_office</t>
  </si>
  <si>
    <t>emp_amusement</t>
  </si>
  <si>
    <t>emp_hotel</t>
  </si>
  <si>
    <t>emp_restaurant_bar</t>
  </si>
  <si>
    <t>emp_personal_svcs_retail</t>
  </si>
  <si>
    <t>emp_religious</t>
  </si>
  <si>
    <t>emp_pvt_hh</t>
  </si>
  <si>
    <t>emp_state_local_gov_ent</t>
  </si>
  <si>
    <t>emp_fed_non_mil</t>
  </si>
  <si>
    <t>emp_fed_mil</t>
  </si>
  <si>
    <t>emp_state_local_gov_blue</t>
  </si>
  <si>
    <t>emp_state_local_gov_white</t>
  </si>
  <si>
    <t>emp_public_ed</t>
  </si>
  <si>
    <t>emp_own_occ_dwell_mgmt</t>
  </si>
  <si>
    <t>emp_total</t>
  </si>
  <si>
    <t>CENTRAL</t>
  </si>
  <si>
    <t>NORTH CITY</t>
  </si>
  <si>
    <t>SOUTH SUBURBAN</t>
  </si>
  <si>
    <t>EAST SUBURBAN</t>
  </si>
  <si>
    <t>NORTH COUNTY WEST</t>
  </si>
  <si>
    <t>NORTH COUNTY EAST</t>
  </si>
  <si>
    <t>EAST COUNTY</t>
  </si>
  <si>
    <t>ORIGIN</t>
  </si>
  <si>
    <t>DESTINATION</t>
  </si>
  <si>
    <t>N CITY</t>
  </si>
  <si>
    <t>S SUBURBAN</t>
  </si>
  <si>
    <t>E SUBURBAN</t>
  </si>
  <si>
    <t>NC WEST</t>
  </si>
  <si>
    <t>NC EAST</t>
  </si>
  <si>
    <t>E COUNTY</t>
  </si>
  <si>
    <t>LA</t>
  </si>
  <si>
    <t>SB</t>
  </si>
  <si>
    <t>OR</t>
  </si>
  <si>
    <t>RV</t>
  </si>
  <si>
    <t>IM</t>
  </si>
  <si>
    <t>Current market share</t>
  </si>
  <si>
    <t>Vanpool person trips</t>
  </si>
  <si>
    <t>Total person trips</t>
  </si>
  <si>
    <t>marginal disutility of time</t>
  </si>
  <si>
    <t>TOTAL</t>
  </si>
  <si>
    <t>FORECAST YEAR</t>
  </si>
  <si>
    <t>Federal</t>
  </si>
  <si>
    <t>n/a</t>
  </si>
  <si>
    <t>Vehicle seating capacity</t>
  </si>
  <si>
    <t>Less than 10 seats</t>
  </si>
  <si>
    <t>10 seats or more</t>
  </si>
  <si>
    <t>Share of lease cost subsidized by SANDAG, 2016</t>
  </si>
  <si>
    <t>Share of lease cost subsidized by SANDAG, 2020-2050</t>
  </si>
  <si>
    <t>2020-2050</t>
  </si>
  <si>
    <t>Average value of time for work trips, $/hr</t>
  </si>
  <si>
    <t>Assume no effect on military vans due to additional subsidies available to military personnel</t>
  </si>
  <si>
    <t>All vanpools</t>
  </si>
  <si>
    <t>Scenario ID</t>
  </si>
  <si>
    <t>DESTINATION (Military Bases)</t>
  </si>
  <si>
    <t>Naval Base Coronado, Naval Base San Diego</t>
  </si>
  <si>
    <t>Camp Pendleton</t>
  </si>
  <si>
    <t>CALCULATOR DATA and PLAN/POLICY INPUTS</t>
  </si>
  <si>
    <t>Data Item</t>
  </si>
  <si>
    <t>Source</t>
  </si>
  <si>
    <t>Location</t>
  </si>
  <si>
    <t>Required Input Data</t>
  </si>
  <si>
    <t>CALCULATOR PARAMETERS AND PRINCIPAL ASSUMPTIONS</t>
  </si>
  <si>
    <t>Parameter</t>
  </si>
  <si>
    <t>Details</t>
  </si>
  <si>
    <t>Employment forecast</t>
  </si>
  <si>
    <t>For each scenario year and MSA:</t>
  </si>
  <si>
    <t>jobs by industry category (SANDAG ABM classification)</t>
  </si>
  <si>
    <t>Employment</t>
  </si>
  <si>
    <t>Military employment at destination MSA</t>
  </si>
  <si>
    <t>Total non-federal employment at destination MSA</t>
  </si>
  <si>
    <t>County</t>
  </si>
  <si>
    <t>VN</t>
  </si>
  <si>
    <t>Source:</t>
  </si>
  <si>
    <t>Employment Forecast SANDAG</t>
  </si>
  <si>
    <t>Employment Forecast SCAG</t>
  </si>
  <si>
    <t>For each scenario year and SCAG county:</t>
  </si>
  <si>
    <t>total employment</t>
  </si>
  <si>
    <t>For each scenario year:</t>
  </si>
  <si>
    <t>ML Time Savings (Mil)</t>
  </si>
  <si>
    <t>ML Time Savings (Non Mil)</t>
  </si>
  <si>
    <t>Vanpool Industry</t>
  </si>
  <si>
    <t>[travel times averaged to MSA at both origin and destination; see [traveltimesavings.R]</t>
  </si>
  <si>
    <t>[travel times averaged to MSA at trip origin and to base location TAZ(s) at trip destination; see [traveltimesavings.R]]</t>
  </si>
  <si>
    <t>TAZ-to-TAZ travel time, Drive alone toll [STM_2016.CSV]</t>
  </si>
  <si>
    <t>TAZ-to-TAZ travel time, Shared-ride 2P HOV toll [HTM_2016.CSV]</t>
  </si>
  <si>
    <t>See [traveltimesavings.R] for calculation details</t>
  </si>
  <si>
    <t>SANDAG ABM highway LOS Skims</t>
  </si>
  <si>
    <t>Coefficient of in-vehicle travel time</t>
  </si>
  <si>
    <t>Vanpool mode market share</t>
  </si>
  <si>
    <t>Source:  SCAG 2016-2040 RTP/SCS
Received from Mana Sangkapichai Apr 09, 2018</t>
  </si>
  <si>
    <t>Used to calculate elasticity of demand with respect to travel time.  Input to the demand elasticity formula.  Estimated by assuming that the market for vanpools is work trips longer than 50 miles (one-way).  ACS 2011-2016 reports ~30,000 San Diego workers (~2%) travel 90+ minutes to work (excludes persons that reside in Riverside, San Bernardino and Imperial counties, which are a large share of vanpool program participants).  Employee Commute Survey reports 7% of respondents reported living 50+ miles away from work.  Demand elasticity calculation uses the 2% estimate (conservative assumption that results in less elastic demand).</t>
  </si>
  <si>
    <t>Average lease cost</t>
  </si>
  <si>
    <t>Lease Subsidy</t>
  </si>
  <si>
    <t>Average reported cost of van leases, by industry type and van seats.  Used to estimate elasticity of demand with respect to trip cost.</t>
  </si>
  <si>
    <t>Average work trips per month</t>
  </si>
  <si>
    <t>Assumed at 44 work trips per month (22 work days, 2 trips per day).  Used to calculate average lease cost per trip (input to demand elasticity calculation).</t>
  </si>
  <si>
    <t>Lease subsidy</t>
  </si>
  <si>
    <t>Lease subsidy, vans with fewer than 10 seats</t>
  </si>
  <si>
    <t>Lease subsidy, vans with 10 seats or more</t>
  </si>
  <si>
    <t>For 2016 and all future years:</t>
  </si>
  <si>
    <t>Main Sheet</t>
  </si>
  <si>
    <t>ML Time Savings (military and non-military)
Lease Subsidy</t>
  </si>
  <si>
    <t>Average value of time</t>
  </si>
  <si>
    <t>Average one-way vanpool mileage</t>
  </si>
  <si>
    <t>Average van capacity (seats)</t>
  </si>
  <si>
    <t>Based on historical data reported by vanpool participants to SANDAG.</t>
  </si>
  <si>
    <t>Average van occupancy</t>
  </si>
  <si>
    <r>
      <t xml:space="preserve">Based on historical data reported by vanpool participants to SANDAG, </t>
    </r>
    <r>
      <rPr>
        <i/>
        <sz val="11"/>
        <color theme="1"/>
        <rFont val="Calibri"/>
        <family val="2"/>
        <scheme val="minor"/>
      </rPr>
      <t>excluding distance traveled outside of San Diego County</t>
    </r>
    <r>
      <rPr>
        <sz val="11"/>
        <color theme="1"/>
        <rFont val="Calibri"/>
        <family val="2"/>
        <scheme val="minor"/>
      </rPr>
      <t>.</t>
    </r>
  </si>
  <si>
    <t>Emission factors</t>
  </si>
  <si>
    <t>Per capita GHG reduction (lbs/person)</t>
  </si>
  <si>
    <t>Total population</t>
  </si>
  <si>
    <t>Emission Factors</t>
  </si>
  <si>
    <t>Travel times, non-milatary base destinations</t>
  </si>
  <si>
    <t>Travel times, military base destinations</t>
  </si>
  <si>
    <t>Van ID</t>
  </si>
  <si>
    <t>Employer</t>
  </si>
  <si>
    <t>Industry</t>
  </si>
  <si>
    <t>Origin City</t>
  </si>
  <si>
    <t>Vanpool Destination</t>
  </si>
  <si>
    <t>Origin Zip</t>
  </si>
  <si>
    <t>Destination ZIP</t>
  </si>
  <si>
    <t>Daily Round Trip Mileage</t>
  </si>
  <si>
    <t>Van Type</t>
  </si>
  <si>
    <t>Vehicle Capacity</t>
  </si>
  <si>
    <t>Available Seats (SelfReported)</t>
  </si>
  <si>
    <t>Origin MSA</t>
  </si>
  <si>
    <t>Destination MSA</t>
  </si>
  <si>
    <t>Temecula</t>
  </si>
  <si>
    <t>Carlsbad</t>
  </si>
  <si>
    <t>Escondido</t>
  </si>
  <si>
    <t>Hemet</t>
  </si>
  <si>
    <t>Murrieta</t>
  </si>
  <si>
    <t>Ramona</t>
  </si>
  <si>
    <t>San Jacinto</t>
  </si>
  <si>
    <t>Winchester</t>
  </si>
  <si>
    <t>San Diego</t>
  </si>
  <si>
    <t>Health Care &amp; Social Assistance</t>
  </si>
  <si>
    <t>American Specialty Health</t>
  </si>
  <si>
    <t>Chula Vista</t>
  </si>
  <si>
    <t>Manufacturing</t>
  </si>
  <si>
    <t>Lake Elsinore</t>
  </si>
  <si>
    <t>Fontana</t>
  </si>
  <si>
    <t>Riverside</t>
  </si>
  <si>
    <t>Menifee</t>
  </si>
  <si>
    <t>BAE Systems</t>
  </si>
  <si>
    <t>Wildomar</t>
  </si>
  <si>
    <t>Moreno Valley</t>
  </si>
  <si>
    <t>San Ysidro</t>
  </si>
  <si>
    <t>Calexico</t>
  </si>
  <si>
    <t>El Centro</t>
  </si>
  <si>
    <t>Imperial Beach</t>
  </si>
  <si>
    <t>Barney &amp; Barney</t>
  </si>
  <si>
    <t>Finance &amp; Insurance</t>
  </si>
  <si>
    <t>Barona Casino</t>
  </si>
  <si>
    <t>Arts, Entertainment, &amp; Recreation</t>
  </si>
  <si>
    <t>Beckman Coulter</t>
  </si>
  <si>
    <t>Board of Equalization</t>
  </si>
  <si>
    <t>Bureau of Prisons</t>
  </si>
  <si>
    <t>Caliber Home Loans</t>
  </si>
  <si>
    <t>Callaway Golf</t>
  </si>
  <si>
    <t>CALTRANS</t>
  </si>
  <si>
    <t>San Marcos</t>
  </si>
  <si>
    <t>Trabuco Cyn</t>
  </si>
  <si>
    <t>Valley Center</t>
  </si>
  <si>
    <t>Perris</t>
  </si>
  <si>
    <t>Sun City</t>
  </si>
  <si>
    <t>Corona</t>
  </si>
  <si>
    <t>Spring Valley</t>
  </si>
  <si>
    <t>San diego</t>
  </si>
  <si>
    <t>El Cajon</t>
  </si>
  <si>
    <t>Oceanside</t>
  </si>
  <si>
    <t>Professional, Scientific, &amp; Technical Services</t>
  </si>
  <si>
    <t>Carefusion</t>
  </si>
  <si>
    <t>City of San Diego</t>
  </si>
  <si>
    <t>Pine Valley</t>
  </si>
  <si>
    <t>Cobham Advanced Electronic Solutions</t>
  </si>
  <si>
    <t>National City</t>
  </si>
  <si>
    <t>Costco</t>
  </si>
  <si>
    <t>La Mesa</t>
  </si>
  <si>
    <t>Poway</t>
  </si>
  <si>
    <t>County of San Diego</t>
  </si>
  <si>
    <t>DCMA</t>
  </si>
  <si>
    <t>DEA</t>
  </si>
  <si>
    <t>Vista</t>
  </si>
  <si>
    <t>DEI Holdings</t>
  </si>
  <si>
    <t>Delta Design</t>
  </si>
  <si>
    <t>Department of Defense</t>
  </si>
  <si>
    <t>Fallbrook</t>
  </si>
  <si>
    <t>Department of Veterans Affair</t>
  </si>
  <si>
    <t>Laguna Niguel</t>
  </si>
  <si>
    <t>Dept of Justice</t>
  </si>
  <si>
    <t>VA Medical Center</t>
  </si>
  <si>
    <t>DHS</t>
  </si>
  <si>
    <t>Santee</t>
  </si>
  <si>
    <t>East County Transitional Living</t>
  </si>
  <si>
    <t>East County Transitional Lving</t>
  </si>
  <si>
    <t>Food And Drug Administration</t>
  </si>
  <si>
    <t>Geico</t>
  </si>
  <si>
    <t>Gen Probe</t>
  </si>
  <si>
    <t>Genentech</t>
  </si>
  <si>
    <t>General Atomics</t>
  </si>
  <si>
    <t>GIA</t>
  </si>
  <si>
    <t>Tusin</t>
  </si>
  <si>
    <t>Golden Acorn Casino</t>
  </si>
  <si>
    <t>Jacumba</t>
  </si>
  <si>
    <t>Potero</t>
  </si>
  <si>
    <t>Heber</t>
  </si>
  <si>
    <t>Imperial</t>
  </si>
  <si>
    <t>Grand Pacific Palisades</t>
  </si>
  <si>
    <t>HME</t>
  </si>
  <si>
    <t>Homeland Security Investigations</t>
  </si>
  <si>
    <t>Illumina</t>
  </si>
  <si>
    <t>Aliso Viejo</t>
  </si>
  <si>
    <t>Encinitas</t>
  </si>
  <si>
    <t>IRS</t>
  </si>
  <si>
    <t>Jerome's Furniture</t>
  </si>
  <si>
    <t>Johnson Matthey</t>
  </si>
  <si>
    <t>JR Filanc Construction</t>
  </si>
  <si>
    <t>Construction</t>
  </si>
  <si>
    <t>Kaiser Permanente</t>
  </si>
  <si>
    <t>MA Engineers</t>
  </si>
  <si>
    <t>Bonita</t>
  </si>
  <si>
    <t>Magnaflow</t>
  </si>
  <si>
    <t>Mission Viejo</t>
  </si>
  <si>
    <t>Orange</t>
  </si>
  <si>
    <t>March Air Force Base</t>
  </si>
  <si>
    <t>MCAS Miramar</t>
  </si>
  <si>
    <t>MCRD</t>
  </si>
  <si>
    <t>Metropolitian Correction Center</t>
  </si>
  <si>
    <t>Miller Marine</t>
  </si>
  <si>
    <t>NAB</t>
  </si>
  <si>
    <t>NASNI</t>
  </si>
  <si>
    <t>Westminster</t>
  </si>
  <si>
    <t>Lakeside</t>
  </si>
  <si>
    <t>Highland</t>
  </si>
  <si>
    <t>Canyon Lake</t>
  </si>
  <si>
    <t>Nassco</t>
  </si>
  <si>
    <t>Alpine</t>
  </si>
  <si>
    <t>Holtville</t>
  </si>
  <si>
    <t>Naval Base El Centro</t>
  </si>
  <si>
    <t>Naval Medical Center</t>
  </si>
  <si>
    <t>NAVFAC Southwest</t>
  </si>
  <si>
    <t>Navy</t>
  </si>
  <si>
    <t>Navy Broadway Complex</t>
  </si>
  <si>
    <t>Northrop Grumman</t>
  </si>
  <si>
    <t>Los Angeles</t>
  </si>
  <si>
    <t>Pacific Life Insurance</t>
  </si>
  <si>
    <t>Newport Beach</t>
  </si>
  <si>
    <t>Palomar Medical Center</t>
  </si>
  <si>
    <t>Port of San Diego</t>
  </si>
  <si>
    <t>Qualcomm</t>
  </si>
  <si>
    <t>Irvine</t>
  </si>
  <si>
    <t>RJ Donovan Correction Facility</t>
  </si>
  <si>
    <t>RJ Donovan Correctional Facility</t>
  </si>
  <si>
    <t>Lemon Grove</t>
  </si>
  <si>
    <t>RV Solutions</t>
  </si>
  <si>
    <t>San Diego Airport Authority</t>
  </si>
  <si>
    <t>San Diego Safari Park</t>
  </si>
  <si>
    <t>San Diego Superior Court</t>
  </si>
  <si>
    <t>San Diego Unified School District</t>
  </si>
  <si>
    <t>San Diego Zoo</t>
  </si>
  <si>
    <t>Scripps 4S</t>
  </si>
  <si>
    <t>Scripps Clinic</t>
  </si>
  <si>
    <t>Scripps Coastal Medical Group</t>
  </si>
  <si>
    <t>Scripps Health</t>
  </si>
  <si>
    <t>Scripps Medical Foundation</t>
  </si>
  <si>
    <t>SDG&amp;E</t>
  </si>
  <si>
    <t>Utilities</t>
  </si>
  <si>
    <t>San Clemente</t>
  </si>
  <si>
    <t>Sharp</t>
  </si>
  <si>
    <t>Sharp Healthcare</t>
  </si>
  <si>
    <t>Sharp Hospital</t>
  </si>
  <si>
    <t>Sharp Memorial Hospital</t>
  </si>
  <si>
    <t>Solar Turbines</t>
  </si>
  <si>
    <t>Eastvale</t>
  </si>
  <si>
    <t>SONGS</t>
  </si>
  <si>
    <t>Lake Elisnore</t>
  </si>
  <si>
    <t>Sony</t>
  </si>
  <si>
    <t>Sound United</t>
  </si>
  <si>
    <t>Southwest Marine</t>
  </si>
  <si>
    <t>SPAWAR</t>
  </si>
  <si>
    <t>Teradata Corp</t>
  </si>
  <si>
    <t>Thermo Fisher Scientific</t>
  </si>
  <si>
    <t>TSA</t>
  </si>
  <si>
    <t>UCSD</t>
  </si>
  <si>
    <t>Union Bank</t>
  </si>
  <si>
    <t>United Health Care (Optum Rx)</t>
  </si>
  <si>
    <t>United States District Courts</t>
  </si>
  <si>
    <t>US Border Patrol</t>
  </si>
  <si>
    <t>Laguna Beach</t>
  </si>
  <si>
    <t>US Navy</t>
  </si>
  <si>
    <t>VA Administrative Building</t>
  </si>
  <si>
    <t>VA Hospital</t>
  </si>
  <si>
    <t>Volcano Corporation</t>
  </si>
  <si>
    <t>Watkins Manufacturing</t>
  </si>
  <si>
    <t>Zimmer Dental</t>
  </si>
  <si>
    <t>Central</t>
  </si>
  <si>
    <t>North County West</t>
  </si>
  <si>
    <t>North County East</t>
  </si>
  <si>
    <t>East Suburban</t>
  </si>
  <si>
    <t>North City</t>
  </si>
  <si>
    <t>South Suburban</t>
  </si>
  <si>
    <t>East County</t>
  </si>
  <si>
    <t>Industry Type</t>
  </si>
  <si>
    <t>For destinations outside San Diego county, used total employment (no military employment estimate available)</t>
  </si>
  <si>
    <t>For destinations outside San Diego county, used total employment (no federal non-military employment estimate available)</t>
  </si>
  <si>
    <t>For destinations outside San Diego county, used total employment (no non-federal employment estimate available)</t>
  </si>
  <si>
    <t>ORIGIN MSA</t>
  </si>
  <si>
    <t>DESTINATION MSA</t>
  </si>
  <si>
    <t>Ref. No.</t>
  </si>
  <si>
    <t>Citation / Source</t>
  </si>
  <si>
    <t>Description</t>
  </si>
  <si>
    <t>Train, K. Qualitative Choice Analysis.  Theory, Econometrics, and an Application to Automobile Demand.  The MIT Press:  Cambridge, MA, 1993.</t>
  </si>
  <si>
    <t>Derivation of demand elasticity for logit mode choice models</t>
  </si>
  <si>
    <t>Travel time savings is the zone to zone difference in travel time between the "drive alone no toll" travel time and the "shared ride 2p toll" travel time, averaged over MSAs.</t>
  </si>
  <si>
    <t xml:space="preserve"> Probability of vanpooling (probvp) = vanpool trips / total person trips longer than 50 miles</t>
  </si>
  <si>
    <t>cost per trip per person = monthly lease cost / (avg. number of occupants) / trips per month</t>
  </si>
  <si>
    <t>trips per month = 22 workdays per month * 2 trips per day</t>
  </si>
  <si>
    <t>avg. occupants</t>
  </si>
  <si>
    <t>= seating capacity * avg. occupancy</t>
  </si>
  <si>
    <t xml:space="preserve"> unsubsized cost = lease cost per person per trip * (1 - % subsidized cost)</t>
  </si>
  <si>
    <t>Proportion of the lease cost paid by SANDAG in 2016, not to exceed 50% of the monthly lease.</t>
  </si>
  <si>
    <t>Proportion of the lease cost paid by SANDAG in future years, not to exceed 50% of the monthly lease.</t>
  </si>
  <si>
    <t>In-vehicle time coefficient (civt) of the work trip mode choice model, SANDAG ABM</t>
  </si>
  <si>
    <t>marginal disutility of cost, ccost (utils/cent)</t>
  </si>
  <si>
    <t>Derived from the definition of value of time (marginal disutility of time / marginal disutility of cost); 0.6 is a unit conversion factor required because VOT is in $/hr, civt is in minutes, and ccost should be expressed in cents</t>
  </si>
  <si>
    <t>Unsubsidized cost per person, per trip (cents), 2016</t>
  </si>
  <si>
    <t>Unsubsidized cost per person, per trip (cents), 2020-2050</t>
  </si>
  <si>
    <t>EMFAC CO2 Emission Factors</t>
  </si>
  <si>
    <t>SB375 CO2 Total Running Emissions (RunEx) (short tons)</t>
  </si>
  <si>
    <t>SB375 CO2 RunEx Emission Factor (EF) (tons/mile)</t>
  </si>
  <si>
    <t>SB375 CO2 Trip Start Emissions (StartEx) (tons)</t>
  </si>
  <si>
    <t>SB375 CO2 StartEx Emission Factor (EF) (tons/trip)</t>
  </si>
  <si>
    <t>Plan CO2 Emissions</t>
  </si>
  <si>
    <t>Scenario Year</t>
  </si>
  <si>
    <t>Regional Population</t>
  </si>
  <si>
    <r>
      <t xml:space="preserve">Daily CO2 emissions (short tons)
</t>
    </r>
    <r>
      <rPr>
        <i/>
        <sz val="11"/>
        <color theme="1"/>
        <rFont val="Calibri"/>
        <family val="2"/>
        <scheme val="minor"/>
      </rPr>
      <t>Sum of running emissions and trip start emissions</t>
    </r>
  </si>
  <si>
    <r>
      <t xml:space="preserve">Daily emissions per capita (short tons)
</t>
    </r>
    <r>
      <rPr>
        <i/>
        <sz val="11"/>
        <color theme="1"/>
        <rFont val="Calibri"/>
        <family val="2"/>
        <scheme val="minor"/>
      </rPr>
      <t>Daily emissions / regional population</t>
    </r>
  </si>
  <si>
    <r>
      <t xml:space="preserve">Daily emissions per capita (lbs)
</t>
    </r>
    <r>
      <rPr>
        <i/>
        <sz val="11"/>
        <color theme="1"/>
        <rFont val="Calibri"/>
        <family val="2"/>
        <scheme val="minor"/>
      </rPr>
      <t>1 short ton = 2000 lbs</t>
    </r>
  </si>
  <si>
    <r>
      <t xml:space="preserve">Modeled reduction compared to baseline
</t>
    </r>
    <r>
      <rPr>
        <i/>
        <sz val="11"/>
        <color theme="1"/>
        <rFont val="Calibri"/>
        <family val="2"/>
        <scheme val="minor"/>
      </rPr>
      <t>Percent change relative to 2016</t>
    </r>
  </si>
  <si>
    <t>VMT and GHG Reduction Calculations</t>
  </si>
  <si>
    <t>Inputs / Assumptions</t>
  </si>
  <si>
    <t>Notes</t>
  </si>
  <si>
    <t>Assumes that the number of vanpools changes proportionally with employment at the destination MSA (County if vanpool destination is outside San Diego County).</t>
  </si>
  <si>
    <t>Percent vans 9 seats or less</t>
  </si>
  <si>
    <t>9 seats or less</t>
  </si>
  <si>
    <t>10 or more seats</t>
  </si>
  <si>
    <t>Average passengers per van, including the driver</t>
  </si>
  <si>
    <t>Average passengers per van, excluding the driver</t>
  </si>
  <si>
    <t>Total daily vehicle trip reduction</t>
  </si>
  <si>
    <t>Total daily VMT reduction</t>
  </si>
  <si>
    <t>GHG reduction due to cold starts (short tons)</t>
  </si>
  <si>
    <t>= vehicle trip reduction * trip starts GHG emission factor</t>
  </si>
  <si>
    <t>GHG reduction due to VMT (short tons)</t>
  </si>
  <si>
    <t>= VMT reduction * running GHG emission factor</t>
  </si>
  <si>
    <t>Total GHG reduction (short tons)</t>
  </si>
  <si>
    <t>= trip + VMT GHG emission reduction</t>
  </si>
  <si>
    <t xml:space="preserve">= GHG emissions (in tons) * 2000 lbs per ton / population </t>
  </si>
  <si>
    <t>Trips (cold starts) regional emissions (ton)</t>
  </si>
  <si>
    <t>Running CO2 regional emissions (ton)</t>
  </si>
  <si>
    <t>Regional vmt</t>
  </si>
  <si>
    <t>Regional trips</t>
  </si>
  <si>
    <t>Current vanpool inventory</t>
  </si>
  <si>
    <t>Vanpool ODs</t>
  </si>
  <si>
    <t>Inventory of vanpools in operation during base year (2016).  Required data for each vanpool includes trip origin, trip destination, employment industry (federal military, federal non-military, non-federal), van capacity, roundtrip mileage.  Trip origin and destination aggregated to MSAs if inside San Diego County, and to County if outside San Diego County.</t>
  </si>
  <si>
    <t>VMT reduced in San Diego County</t>
  </si>
  <si>
    <t>EMFAC 2017, SANDAG ABM 13.3.2</t>
  </si>
  <si>
    <t>Regional VMT</t>
  </si>
  <si>
    <t>Regional Vehicle Trips</t>
  </si>
  <si>
    <t>Draft Series 14: 2050 Regional Growth Forecast/San Diego Forward: The Regional Plan in ABM 13.3.2</t>
  </si>
  <si>
    <t>SANDAG Vanpool Program Data</t>
  </si>
  <si>
    <t>SCAG 2016-2040 RTP/SCS, Received from Mana Sangkapichai Apr 09, 2018</t>
  </si>
  <si>
    <t>San Diego Military Bases by MSA</t>
  </si>
  <si>
    <t>2014 Ford E150 - 7 Seats</t>
  </si>
  <si>
    <t>2017 Chevrolet Traverse - 7 Seats</t>
  </si>
  <si>
    <t>Riverside County</t>
  </si>
  <si>
    <t>2015 Chevrolet Express 2500 - 8 Seats</t>
  </si>
  <si>
    <t>Government &amp; Public Administration</t>
  </si>
  <si>
    <t>Boulevard</t>
  </si>
  <si>
    <t>2018 Nissan Pathfinder - 7 Seats</t>
  </si>
  <si>
    <t>2017 Ford Expedition - 8 Seats</t>
  </si>
  <si>
    <t>2018 Ford Explorer - 7 Seats</t>
  </si>
  <si>
    <t>2016 Ford Expedition - 8 Seats</t>
  </si>
  <si>
    <t>2018 Ford TRANS - 12 Seats</t>
  </si>
  <si>
    <t>Education Services &amp; Academic Institutions</t>
  </si>
  <si>
    <t>2015 Chevrolet Express - 10 Seats</t>
  </si>
  <si>
    <t>La Jolla</t>
  </si>
  <si>
    <t>2016 Chevrolet Traverse - 8 Seats</t>
  </si>
  <si>
    <t>Retail Trade</t>
  </si>
  <si>
    <t>2018 Volkswagen ATLAS - 7 Seats</t>
  </si>
  <si>
    <t>2015 Chevrolet Travesre - 7 Seats</t>
  </si>
  <si>
    <t>2015 Chevrolet Express 2500 - 9 Seats</t>
  </si>
  <si>
    <t>2019 Kia Sorento - 7 Seats</t>
  </si>
  <si>
    <t>2017 Buick Enclave - 7 Seats</t>
  </si>
  <si>
    <t>2017 GMC Acadia - 7 Seats</t>
  </si>
  <si>
    <t>2018 Ford TRANS - 8 Seats</t>
  </si>
  <si>
    <t>2018 Ford EXPE - 8 Seats</t>
  </si>
  <si>
    <t>2016 Ford Explorer - 7 Seats</t>
  </si>
  <si>
    <t>Campo</t>
  </si>
  <si>
    <t>2016 Chevrolet Express 2500 - 14 Seats</t>
  </si>
  <si>
    <t>2017 Ford Transit - 7 Seats</t>
  </si>
  <si>
    <t>2016 Chevrolet Traverse - 7 Seats</t>
  </si>
  <si>
    <t>2016 Chevrolet Express 2500 - 9 Seats</t>
  </si>
  <si>
    <t>2016 Ford Transit - 14 Seats</t>
  </si>
  <si>
    <t>Imperial County</t>
  </si>
  <si>
    <t>2017 Dodge Durango - 7 Seats</t>
  </si>
  <si>
    <t>Naval Base Point Loma</t>
  </si>
  <si>
    <t>2018 Ford EXPL - 7 Seats</t>
  </si>
  <si>
    <t>2017 Ford Transit - 15 Seats</t>
  </si>
  <si>
    <t>2017 Chevrolet Express 2500 - 8 Seats</t>
  </si>
  <si>
    <t>2015 Chevrolet Express 3500 - 15 Seats</t>
  </si>
  <si>
    <t>Spring Vally</t>
  </si>
  <si>
    <t>Orange County</t>
  </si>
  <si>
    <t>2015 Chevrolet Express Express 3500 - 12 Seats</t>
  </si>
  <si>
    <t>2016 Chevrolet Express 2500 - 8 Seats</t>
  </si>
  <si>
    <t>2017 Chevrolet Express 2500 - 10 Seats</t>
  </si>
  <si>
    <t>2012 Ford E350 - 15 Seats</t>
  </si>
  <si>
    <t>2015 Ford Transit - 15 Seats</t>
  </si>
  <si>
    <t>2017 Ford Transit - 14 Seats</t>
  </si>
  <si>
    <t>2017 Ford Transit - 10 Seats</t>
  </si>
  <si>
    <t>US Border Patrol - Pine Valley</t>
  </si>
  <si>
    <t>2016 Ford Transit - 10 Seats</t>
  </si>
  <si>
    <t>2015 Ford Transit - 8 Seats</t>
  </si>
  <si>
    <t>2015 Chevrolet Express 2500 - 10 Seats</t>
  </si>
  <si>
    <t>Naval Base San Diego</t>
  </si>
  <si>
    <t>Accommodation</t>
  </si>
  <si>
    <t>2014 Ford E150 - 8 Seats</t>
  </si>
  <si>
    <t>San Onofre</t>
  </si>
  <si>
    <t>2018 Dodge Durango - 7 Seats</t>
  </si>
  <si>
    <t>2015 Chevrolet Express 2500 - 7 Seats</t>
  </si>
  <si>
    <t>Poway/Murrieta</t>
  </si>
  <si>
    <t>2015 Ford Expedition - 8 Seats</t>
  </si>
  <si>
    <t>2017 Ford Transit - 8 Seats</t>
  </si>
  <si>
    <t>2017 Nissan PATH - 7 Seats</t>
  </si>
  <si>
    <t>2016 Chevrolet Express 2500 - 12 Seats</t>
  </si>
  <si>
    <t>2013 Ford E350 - 10 Seats</t>
  </si>
  <si>
    <t>2014 Ford E350 - 15 Seats</t>
  </si>
  <si>
    <t>2013 Ford E350 - 14 Seats</t>
  </si>
  <si>
    <t>2018 Ford TRANS - 15 Seats</t>
  </si>
  <si>
    <t>2017 Ford Transit - 9 Seats</t>
  </si>
  <si>
    <t>Naval Air Facility - El Centro</t>
  </si>
  <si>
    <t>2018 Infiniti QX60 - 7 Seats</t>
  </si>
  <si>
    <t>Veterans Administrative Building</t>
  </si>
  <si>
    <t>2015 Ford Transit - 10 Seats</t>
  </si>
  <si>
    <t>2018 Nissan ARMADA - 8 Seats</t>
  </si>
  <si>
    <t>2013 Chevrolet Traverse - 7 Seats</t>
  </si>
  <si>
    <t>2018 Toyota HIGH - 7 Seats</t>
  </si>
  <si>
    <t>Contract Services Group, Inc.</t>
  </si>
  <si>
    <t>2018 Ford TRANS - 10 Seats</t>
  </si>
  <si>
    <t>Management of Companies &amp; Enterprises</t>
  </si>
  <si>
    <t>Contract Services Group</t>
  </si>
  <si>
    <t>2018 Ford TRANS - 14 Seats</t>
  </si>
  <si>
    <t>BAE Systems Inc.</t>
  </si>
  <si>
    <t>2016 Chevrolet Express 2500 - 10 Seats</t>
  </si>
  <si>
    <t>2017 Chevrolet Express - 12 Seats</t>
  </si>
  <si>
    <t>Brawley</t>
  </si>
  <si>
    <t>ATK Space Systems</t>
  </si>
  <si>
    <t>San Bernardino County</t>
  </si>
  <si>
    <t>2015 Chevrolet Travers - 7 Seats</t>
  </si>
  <si>
    <t>Transportation &amp; Warehousing</t>
  </si>
  <si>
    <t>2018 Ford TRANS - 9 Seats</t>
  </si>
  <si>
    <t>2018 Ford TRANS - 7 Seats</t>
  </si>
  <si>
    <t>2015 Chevrolet Express Express 3500 - 10 Seats</t>
  </si>
  <si>
    <t>2015 Chevrolet Express Express 3500 - 15 Seats</t>
  </si>
  <si>
    <t>2015 Chevrolet Express 3500 - 12 Seats</t>
  </si>
  <si>
    <t>2016 Ford Transit - 7 Seats</t>
  </si>
  <si>
    <t>US Coast Guard Air Station</t>
  </si>
  <si>
    <t>Navy - Point Loma</t>
  </si>
  <si>
    <t>Navy - North Island</t>
  </si>
  <si>
    <t>2014 Chevrolet Express 3500 - 13 Seats</t>
  </si>
  <si>
    <t>San Diego State University</t>
  </si>
  <si>
    <t>2015 Chevrolet Travese - 8 Seats</t>
  </si>
  <si>
    <t>2016 Ford Transit - 9 Seats</t>
  </si>
  <si>
    <t>2014 Chevrolet Express 3500 - 9 Seats</t>
  </si>
  <si>
    <t>2016 Ford Transit - 8 Seats</t>
  </si>
  <si>
    <t>CAA - Immigration</t>
  </si>
  <si>
    <t>Lisi Medical</t>
  </si>
  <si>
    <t>Temescal Valley</t>
  </si>
  <si>
    <t>2017 Toyota HIGH - 7 Seats</t>
  </si>
  <si>
    <t>VA Administration Office</t>
  </si>
  <si>
    <t>Metropolitan Correction Center</t>
  </si>
  <si>
    <t>2014 Chevrolet Traverse - 7 Seats</t>
  </si>
  <si>
    <t>Camp Pendleton North</t>
  </si>
  <si>
    <t>Coronado</t>
  </si>
  <si>
    <t>Cubic Corporation</t>
  </si>
  <si>
    <t>UTC Aerospace Systems</t>
  </si>
  <si>
    <t>2012 Ford E350 - 10 Seats</t>
  </si>
  <si>
    <t>2013 Dodge Grand Caravan - 7 Seats</t>
  </si>
  <si>
    <t>2016 GMC Acadia - 7 Seats</t>
  </si>
  <si>
    <t>CeloNova Biosciences</t>
  </si>
  <si>
    <t>2014 Chevrolet Express 2500 - 10 Seats</t>
  </si>
  <si>
    <t>2016 Chevrolet Express 3500 - 12 Seats</t>
  </si>
  <si>
    <t>2015 Ford Transit - 7 Seats</t>
  </si>
  <si>
    <t>Intel</t>
  </si>
  <si>
    <t>Ladera Rancho</t>
  </si>
  <si>
    <t>2016 Chevrolet Travese - 7 Seats</t>
  </si>
  <si>
    <t>RIVERSIDE COUNTY</t>
  </si>
  <si>
    <t>ORANGE COUNTY</t>
  </si>
  <si>
    <t>IMPERIAL COUNTY</t>
  </si>
  <si>
    <t>SAN BERNARDINO COUNTY</t>
  </si>
  <si>
    <t>LOS ANGELES COUNTY</t>
  </si>
  <si>
    <t>Los Angeles County</t>
  </si>
  <si>
    <t>Vanpool person trips average weekday (based on the number of active vanpools operating in 2018, and assuming on average 6 persons per van, 2 vanpool trips per day)</t>
  </si>
  <si>
    <t>= percent change in per capita GHG reduction</t>
  </si>
  <si>
    <t>ZIP_CODE</t>
  </si>
  <si>
    <t>LAT</t>
  </si>
  <si>
    <t>LONG</t>
  </si>
  <si>
    <t>LAT_FEET</t>
  </si>
  <si>
    <t>LONG_FEET</t>
  </si>
  <si>
    <t>Origin Zip 
Latitude</t>
  </si>
  <si>
    <t>Origin Zip Longitude</t>
  </si>
  <si>
    <t>Destination Zip Latitude</t>
  </si>
  <si>
    <t>Destination Zip Longitude</t>
  </si>
  <si>
    <t>Home County</t>
  </si>
  <si>
    <t>Gateway</t>
  </si>
  <si>
    <t>Gateway Latitude</t>
  </si>
  <si>
    <t>Gateway Longitude</t>
  </si>
  <si>
    <t>I-8</t>
  </si>
  <si>
    <t>I-15</t>
  </si>
  <si>
    <t>I-5</t>
  </si>
  <si>
    <t>San Diego County Gateways</t>
  </si>
  <si>
    <t>In-County Roundtrip Mileage</t>
  </si>
  <si>
    <t>Out-of-County One-way Mileage</t>
  </si>
  <si>
    <t>SANDAG ABM 13.3.2</t>
  </si>
  <si>
    <t>SANDAG ABM 13.3.2
Trip mode choice model, Work tours</t>
  </si>
  <si>
    <t>SANDAG Vanpool Program Data.  Active vanpools as of June 30, 2018.  Salesforce report.</t>
  </si>
  <si>
    <r>
      <rPr>
        <i/>
        <sz val="10"/>
        <color theme="1"/>
        <rFont val="Calibri"/>
        <family val="2"/>
        <scheme val="minor"/>
      </rPr>
      <t>= total vans * average occupants (exc. driver) * 2 trips per day</t>
    </r>
  </si>
  <si>
    <t>= total vans * average occupants (exc. driver) * round trip mileage, trip total</t>
  </si>
  <si>
    <t>= total vans * average occupants (exc. driver) * round trip mileage within San Diego</t>
  </si>
  <si>
    <t>Total 2016 San Diego County workers</t>
  </si>
  <si>
    <t>American Community Survey (2016, 1-Year Release)</t>
  </si>
  <si>
    <t>Used to calculate elasticity of demand with respect to travel time and with respect to trip cost.  Input to the demand elasticity formula.</t>
  </si>
  <si>
    <t>American Community Survey (2011-2016 5-Year Release);
SANDAG Vanpool Program</t>
  </si>
  <si>
    <t>Used to calculate vanpool mode market share, an input to the demand elasticity formula (value rounded to 1.6 million workers).</t>
  </si>
  <si>
    <t>Daily work trips with one-way distance of 50 miles or more (1.6M workers, 2 trips per worker on average; 4.9% of all trips are 50+ miles long) [2]</t>
  </si>
  <si>
    <t>Daily work trips with one-way distance of 50 miles or more (1.6M workers, 2 trips per worker on average; 4.9% of all trips are 50+ miles long) [2], [3]</t>
  </si>
  <si>
    <t>Estimation of the proportion of workers that travel more than 50 miles to work, based on a sample of 4,330 commuters.</t>
  </si>
  <si>
    <t>SANDAG Vanpool Survey for National Transit Database Reporting,  FY 2017/2018</t>
  </si>
  <si>
    <t>Postal zipcode centroid coordinates</t>
  </si>
  <si>
    <t>Zipcode Coordinates</t>
  </si>
  <si>
    <t>Used to approximate the distance traveled by vanpools outside San Diego County</t>
  </si>
  <si>
    <t>County gateway centroids</t>
  </si>
  <si>
    <t>External Gateway</t>
  </si>
  <si>
    <t>Used to approximate the distance traveled by vanpools outside San Diego County.  Gateways are assumed as follows, based on home county:
   Los Angeles and Orange counties:  Interstate 5
   Riverside and San Bernardino counties:  Interstate 15
   Imperial county:  Interstate 8</t>
  </si>
  <si>
    <t>ESRI USPS zipcode area boundary shapefile
https://www.arcgis.com/home/item.html?id=8d2012a2016e484dafaac0451f9aea24</t>
  </si>
  <si>
    <t>US Census Bureau TIGER line file
https://www.census.gov/geo/maps-data/data/tiger-line.html</t>
  </si>
  <si>
    <t>These locations are used to calculate vanpool distance traveled outside of San Diego County.  The latitude &amp; longitude values below correspond approximately to the intersection of the county boundary and the principal highways into San Diego.</t>
  </si>
  <si>
    <t>SANDAG 2018 Commute Behavior Survey</t>
  </si>
  <si>
    <t>EMFAC</t>
  </si>
  <si>
    <t>EMFAC Year</t>
  </si>
  <si>
    <t>2035 Scenario Name</t>
  </si>
  <si>
    <t>2035nb</t>
  </si>
  <si>
    <t>EMFAC Values</t>
  </si>
  <si>
    <t>2025nb</t>
  </si>
  <si>
    <t>SB375 CO2 RunEx</t>
  </si>
  <si>
    <t>SB375 VMT</t>
  </si>
  <si>
    <t>SB375 CO2 RunEx EF
(tons per mile)</t>
  </si>
  <si>
    <t>SB375 CO2 StartEx</t>
  </si>
  <si>
    <t>SB375 Vehicle Trips</t>
  </si>
  <si>
    <t>SB375 CO2 StartEx EF
(tons per trip)</t>
  </si>
  <si>
    <t>Active vanpools as of June 30, 2018, SANDAG  Vanpool Program</t>
  </si>
  <si>
    <t xml:space="preserve">Active vanpools as of June 30, 2018, SANDAG  Vanpool Program. </t>
  </si>
  <si>
    <t>Avg. round trip mileage, Vanpool trip distance in San Diego County only</t>
  </si>
  <si>
    <t>Avg. round trip mileage, Vanpool trip distance</t>
  </si>
  <si>
    <t>Accounts for vanpool travel within San Diego County only. Out-of-county distance approximated based on home zipcode coordinates.</t>
  </si>
  <si>
    <t>Average vanpool capacity (seats)</t>
  </si>
  <si>
    <t>Average observed vanpool occupancy</t>
  </si>
  <si>
    <t>Based on Vanpool Survey for National Transit Database Reporting, FY 2017. Average observed vanpool capacity includes the driver. The survey did not collect information about workers' industry, therefore the observed vanpool occupancy is assumed to be consistent for military, federal, and non-military vans.</t>
  </si>
  <si>
    <t>Based on existing SANDAG Vanpool Program subsidy of up to $400 per month per vanpool</t>
  </si>
  <si>
    <t>= average passengers per van - 1</t>
  </si>
  <si>
    <t>= average vanpool capacity * average observed vanpool occupancy</t>
  </si>
  <si>
    <t>SANDAG Vanpool Program Subsidy</t>
  </si>
  <si>
    <t>Based on existing SANDAG Vanpool Program subsidy of up to $400 per month per vanpool. SANDAG is proposing to maintain the existing subsidy amount in future years.</t>
  </si>
  <si>
    <t xml:space="preserve">Historically, the SANDAG Vanpool Program has been succcessful in establishing vanpools in certain industries. This includes the military, federal government &amp; public administration, and non-federal industries like manufacturing, and the professional, scientific, and technical services. Based on existing vanpool program trends and employment growth forecasts, this strategy assumes that SANDAG will continue to conduct targeted vanpool outreach to specific industries to support future program growth. 
</t>
  </si>
  <si>
    <t>Source: Active vanpools as of June 30, 2018, SANDAG Vanpool Program</t>
  </si>
  <si>
    <t>Active vanpools as of June 30, 2018, SANDAG Vanpool Program</t>
  </si>
  <si>
    <t>Source: Draft Series 14: 2050 Regional Growth Forecast/San Diego Forward: The Regional Plan in ABM 13.3.2; SCAG 2016-2040 RTP/SCS</t>
  </si>
  <si>
    <t>= Base year vanpools * (scenario year employment @ destination MSA / base year employment @ destination MSA)</t>
  </si>
  <si>
    <t>2. Vanpool demand due to managed lane investments</t>
  </si>
  <si>
    <t>3. Vanpool demand due to lease subsidy</t>
  </si>
  <si>
    <t>Vanpool demand due to regional employment growth</t>
  </si>
  <si>
    <t>Baseline military vanpools, 2016</t>
  </si>
  <si>
    <t>Baseline federal, non-military vanpools, 2016</t>
  </si>
  <si>
    <t>Baseline non-federal vanpools, 2016</t>
  </si>
  <si>
    <t>Projected military vanpools,  2020</t>
  </si>
  <si>
    <t>Projected military vanpools, 2025</t>
  </si>
  <si>
    <t>Projected military vanpools, 2035</t>
  </si>
  <si>
    <t>Projected military vanpools, 2050</t>
  </si>
  <si>
    <t>Federal, non-military employment at destination MSA</t>
  </si>
  <si>
    <t>Projected federal, non-military vanpools, 2020</t>
  </si>
  <si>
    <t>Projected federal, non-military vanpools, 2025</t>
  </si>
  <si>
    <t>Projected federal, non-military vanpools, 2035</t>
  </si>
  <si>
    <t>Projected federal, non-military vanpools, 2050</t>
  </si>
  <si>
    <t>Projected non-federal vanpools, 2020</t>
  </si>
  <si>
    <t>Projected non-federal vanpools, 2025</t>
  </si>
  <si>
    <t>Projected non-federal vanpools, 2035</t>
  </si>
  <si>
    <t>Projected non-federal vanpools, 2050</t>
  </si>
  <si>
    <t>Zone to zone (MGRA) travel time, averaged over MSAs. For origins or destinations outside San Diego county, travel time was calculated to/from the county border, using the most likely entry/exit external zone.</t>
  </si>
  <si>
    <t>Vanpool person trips average weekday (based on the number of active vanpools as of June 30, 2018, and assuming on average 6 persons per van, 2 vanpool trips per day)</t>
  </si>
  <si>
    <t>Elasticity of demand for vanpooling with respect to travel time, per origin-destination travel market</t>
  </si>
  <si>
    <t>Vanpool growth factor due to ML time savings, 2020</t>
  </si>
  <si>
    <t>Vanpool growth factor due to ML time savings, 2025</t>
  </si>
  <si>
    <t>Vanpool growth factor due to ML time savings, 2035</t>
  </si>
  <si>
    <t>Vanpool growth factor due to ML time savings, 2050</t>
  </si>
  <si>
    <t>Percent change in demand for vanpooling due to ML time savings, 2050</t>
  </si>
  <si>
    <t>Percent change in demand for vanpooling due to ML time savings, 2035</t>
  </si>
  <si>
    <t>Percent change in demand for vanpooling due to ML time savings, 2025</t>
  </si>
  <si>
    <t>Percent change in demand for vanpooling due to ML time savings, 2020</t>
  </si>
  <si>
    <t>Average travel time savings (minutes), 2020</t>
  </si>
  <si>
    <t>Average travel time savings (minutes), 2025</t>
  </si>
  <si>
    <t>Average travel time savings (minutes), 2035</t>
  </si>
  <si>
    <t>Average travel time savings (minutes), 2050</t>
  </si>
  <si>
    <t>DESTINATION MSA (MILITARY BASES)</t>
  </si>
  <si>
    <t>Vanpool demand due to changes in subsidy structure</t>
  </si>
  <si>
    <t>Average lease cost based on existing vanpool fleet ($), 2016</t>
  </si>
  <si>
    <t>Average one-way weekday travel time (minutes) based on existing vanpool fleet, 2016</t>
  </si>
  <si>
    <t>Average lease cost per person per trip (cents), 2016</t>
  </si>
  <si>
    <t>Source: Active vanpools as of June 30, 2018, SANDAG Vanpool Program; no information available for some vehicle capacities.</t>
  </si>
  <si>
    <t>Elasticity of demand for vanpooling with respect to cost</t>
  </si>
  <si>
    <t>Percent change in demand for vanpooling due to increase in subsidy, 2020-2050</t>
  </si>
  <si>
    <t>1. Vanpool demand due to regional employment growth</t>
  </si>
  <si>
    <t>Vanpool Program Growth Estimates</t>
  </si>
  <si>
    <t>Induced demand for vanpools as the region builds managed lanes which result in travel time savings relative to traveling on general purpose lanes.  Travel time savings vary by trip origin and destination, and by scenario year.</t>
  </si>
  <si>
    <t>Accounts for vanpool growth due to an increase in the subsidy based on the vanpool vehicle size. This assumption does not apply in 2016 or to military vanpools.  Military vanpools receive the Transportation Incentive Program  (TIP) in addition to the SANDAG subsidy and are assumed to be unlikely incentivized by further cost reductions.
Please note that SANDAG is proposing to maintain the existing subsidy amount in future years.</t>
  </si>
  <si>
    <t>Total vanpools due to regional employment growth</t>
  </si>
  <si>
    <t>Total vanpools due to managed lane infrastructure investments</t>
  </si>
  <si>
    <t>Vanpool growth rate due to a subsidy increase</t>
  </si>
  <si>
    <t>New vanpools due to a subsidy increase</t>
  </si>
  <si>
    <t xml:space="preserve">TOTAL VANPOOLS </t>
  </si>
  <si>
    <t>VMT and GHG Reduction Results</t>
  </si>
  <si>
    <t>Per capita GHG reduction</t>
  </si>
  <si>
    <t>Military vanpool demand due to managed lane infrastructure investments</t>
  </si>
  <si>
    <t>Federal and non-military vanpool demand due to managed lane infrastructure investments</t>
  </si>
  <si>
    <t>Per ABM 14.0.0</t>
  </si>
  <si>
    <t xml:space="preserve">The SANDAG Vanpool Program provides up to $400 per month per qualified vanpool in the program. This calculator assumes that demand for vanpools would respond to a change in the current vanpool subsidy that would reduce the cost of leasing a van. As the subsidy increases, vanpoolers would pay less per trip than under teh current lease subsidy and so more persons would join the program. The change in vanpool demand is calculated via the elasticity of choice probabilities in which the elasticity is the percent change in demand associated with a percent change in trip cost: 
          % change in vanpool trips = elasticity wrt trip cost * % change in trip cost
This calculator uses a logit discrete choice model to model vanpool mode shifts. The formula for logit elasticity with respect to trip cost:
          elasticity = (marginal disutility with respect to trip cost)  * (trip cost) / (1 - probability of vanpooling)  [1]
</t>
  </si>
  <si>
    <t>Vanpools in the San Diego region can use managed lanes (HOV, toll lanes) to shorten their commute time during peak travel periods. This calculator assumes that demand for vanpools would respond to a change in the current vanpool subsidy that would reduce the cost of leasing a van. As the subsidy increases, vanpoolers would pay less per trip than under teh current lease subsidy and so more persons would join the program.  The vanpool demand response is calculated via the elasticity of choice probabilities in which the elasticity is the percent change in demand associated with a percent change in travel time: 
          % change in vanpool trips = elasticity wrt travel time * % change in travel time
This calculator uses a logit discrete choice model to model vanpool mode shifts. The formula for logit elasticity with respect to travel time:
          elasticity = (marginal disutility wrt travel time)  * (travel time) / (1 - probability of vanpooling)  [1]</t>
  </si>
  <si>
    <t>Vanpools in the San Diego region can use managed lanes (HOV, toll lanes) to shorten their commute time during peak travel periods. This calculator assumes that demand for vanpools would respond to a change in the current vanpool subsidy that would reduce the cost of leasing a van. The vanpool demand response is calculated via the elasticity of choice probabilities in which the elasticity is the percent change in demand associated with a percent change in travel time: 
          % change in vanpool trips = elasticity wrt travel time * % change in travel time
This calculator uses a logit discrete choice model to model vanpool mode shifts. The formula for logit elasticity with respect to travel time:
          elasticity = (marginal disutility wrt travel time)  * (travel time) / (1 - probability of vanpooling)  [1]</t>
  </si>
  <si>
    <t>Currently active vans</t>
  </si>
  <si>
    <t>Preliminary Series 14 Forecast</t>
  </si>
  <si>
    <t>Estimated as 1/3 of the median hourly  wage for San Diego County; annual median household income in San Diego in 2016 was $61,400 per Preliminary Series 14 Forecast.</t>
  </si>
  <si>
    <t>Derived value ($9.80/hr), estimated as one-third median household income for San Diego region ($61,400), expressed as an hourly wage rate ($29.52/hr).   The value of time is used to calculate an average coefficient of cost, for the demand elasticity formula.</t>
  </si>
  <si>
    <t>Value</t>
  </si>
  <si>
    <t>Will be specified by SANDAG. Can only take 2014 or 2017.</t>
  </si>
  <si>
    <t>Only 1 scenario for each model year can be specified per worksheet. Scenario names can be specified as any string, assuming that same name is applied to the Emissions Factors tab.</t>
  </si>
  <si>
    <t>2035_D</t>
  </si>
  <si>
    <t>2035_E_minus</t>
  </si>
  <si>
    <t>2035_F</t>
  </si>
  <si>
    <t>Source:  Regional Travel Demand Model, EMFAC 2017 Emission Factors,  ABM 14.0.0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</si>
</sst>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6" formatCode="&quot;$&quot;#,##0_);[Red]\(&quot;$&quot;#,##0\)"/>
    <numFmt numFmtId="43" formatCode="_(* #,##0.00_);_(* \(#,##0.00\);_(* &quot;-&quot;??_);_(@_)"/>
    <numFmt numFmtId="164" formatCode="0.0%"/>
    <numFmt numFmtId="165" formatCode="_(* #,##0_);_(* \(#,##0\);_(* &quot;-&quot;??_);_(@_)"/>
    <numFmt numFmtId="166" formatCode="0.0"/>
    <numFmt numFmtId="167" formatCode="0.000"/>
    <numFmt numFmtId="168" formatCode="#,##0.0"/>
    <numFmt numFmtId="169" formatCode="0.00000"/>
    <numFmt numFmtId="170" formatCode="0.0000"/>
    <numFmt numFmtId="171" formatCode="&quot;$&quot;#,##0"/>
  </numFmts>
  <fonts count="31"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0"/>
      <color rgb="FFFF0000"/>
      <name val="Calibri"/>
      <family val="2"/>
      <scheme val="minor"/>
    </font>
    <font>
      <b/>
      <sz val="10"/>
      <color theme="1"/>
      <name val="Calibri"/>
      <family val="2"/>
      <scheme val="minor"/>
    </font>
    <font>
      <b/>
      <sz val="10"/>
      <name val="Calibri"/>
      <family val="2"/>
      <scheme val="minor"/>
    </font>
    <font>
      <sz val="11"/>
      <name val="Calibri"/>
      <family val="2"/>
      <scheme val="minor"/>
    </font>
    <font>
      <sz val="10"/>
      <color theme="0" tint="-0.499984740745262"/>
      <name val="Calibri"/>
      <family val="2"/>
      <scheme val="minor"/>
    </font>
    <font>
      <b/>
      <sz val="12"/>
      <color theme="1"/>
      <name val="Calibri"/>
      <family val="2"/>
      <scheme val="minor"/>
    </font>
    <font>
      <b/>
      <i/>
      <sz val="10"/>
      <color theme="1"/>
      <name val="Calibri"/>
      <family val="2"/>
      <scheme val="minor"/>
    </font>
    <font>
      <b/>
      <sz val="16"/>
      <color theme="1"/>
      <name val="Calibri"/>
      <family val="2"/>
      <scheme val="minor"/>
    </font>
    <font>
      <b/>
      <sz val="14"/>
      <color theme="1"/>
      <name val="Calibri"/>
      <family val="2"/>
      <scheme val="minor"/>
    </font>
    <font>
      <b/>
      <sz val="12"/>
      <name val="Calibri"/>
      <family val="2"/>
      <scheme val="minor"/>
    </font>
    <font>
      <sz val="10"/>
      <name val="Calibri"/>
      <family val="2"/>
      <scheme val="minor"/>
    </font>
    <font>
      <i/>
      <sz val="11"/>
      <color theme="2" tint="-0.249977111117893"/>
      <name val="Calibri"/>
      <family val="2"/>
      <scheme val="minor"/>
    </font>
    <font>
      <sz val="10"/>
      <color rgb="FF000000"/>
      <name val="Arial"/>
      <family val="2"/>
    </font>
    <font>
      <u/>
      <sz val="11"/>
      <color theme="10"/>
      <name val="Calibri"/>
      <family val="2"/>
      <scheme val="minor"/>
    </font>
    <font>
      <sz val="9"/>
      <color indexed="81"/>
      <name val="Tahoma"/>
      <family val="2"/>
    </font>
    <font>
      <b/>
      <sz val="9"/>
      <color indexed="81"/>
      <name val="Tahoma"/>
      <family val="2"/>
    </font>
    <font>
      <i/>
      <sz val="11"/>
      <color theme="1"/>
      <name val="Calibri"/>
      <family val="2"/>
      <scheme val="minor"/>
    </font>
    <font>
      <b/>
      <sz val="10"/>
      <color theme="0"/>
      <name val="Calibri"/>
      <family val="2"/>
      <scheme val="minor"/>
    </font>
    <font>
      <b/>
      <sz val="11"/>
      <color rgb="FF000000"/>
      <name val="Calibri"/>
      <family val="2"/>
    </font>
    <font>
      <sz val="11"/>
      <color rgb="FF000000"/>
      <name val="Calibri"/>
      <family val="2"/>
    </font>
    <font>
      <i/>
      <sz val="10"/>
      <color theme="1"/>
      <name val="Calibri"/>
      <family val="2"/>
      <scheme val="minor"/>
    </font>
    <font>
      <b/>
      <sz val="11"/>
      <color theme="0"/>
      <name val="Calibri"/>
      <family val="2"/>
      <scheme val="minor"/>
    </font>
    <font>
      <sz val="11"/>
      <color theme="0"/>
      <name val="Calibri"/>
      <family val="2"/>
      <scheme val="minor"/>
    </font>
    <font>
      <sz val="11"/>
      <color rgb="FFFF0000"/>
      <name val="Calibri"/>
      <family val="2"/>
    </font>
    <font>
      <sz val="10"/>
      <color theme="0"/>
      <name val="Calibri"/>
      <family val="2"/>
      <scheme val="minor"/>
    </font>
    <font>
      <sz val="9"/>
      <color indexed="81"/>
      <name val="Tahoma"/>
      <charset val="1"/>
    </font>
    <font>
      <b/>
      <sz val="9"/>
      <color indexed="81"/>
      <name val="Tahoma"/>
      <charset val="1"/>
    </font>
  </fonts>
  <fills count="15">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39997558519241921"/>
        <bgColor rgb="FFC0C0C0"/>
      </patternFill>
    </fill>
    <fill>
      <patternFill patternType="solid">
        <fgColor theme="6" tint="0.39997558519241921"/>
        <bgColor rgb="FFC0C0C0"/>
      </patternFill>
    </fill>
    <fill>
      <patternFill patternType="solid">
        <fgColor rgb="FF0070C0"/>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4" tint="-0.249977111117893"/>
        <bgColor indexed="64"/>
      </patternFill>
    </fill>
  </fills>
  <borders count="4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hair">
        <color auto="1"/>
      </bottom>
      <diagonal/>
    </border>
    <border>
      <left/>
      <right style="hair">
        <color auto="1"/>
      </right>
      <top/>
      <bottom/>
      <diagonal/>
    </border>
    <border>
      <left/>
      <right style="hair">
        <color auto="1"/>
      </right>
      <top/>
      <bottom style="hair">
        <color auto="1"/>
      </bottom>
      <diagonal/>
    </border>
    <border>
      <left/>
      <right style="hair">
        <color auto="1"/>
      </right>
      <top style="hair">
        <color auto="1"/>
      </top>
      <bottom/>
      <diagonal/>
    </border>
    <border>
      <left/>
      <right/>
      <top style="hair">
        <color auto="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auto="1"/>
      </left>
      <right style="hair">
        <color theme="0"/>
      </right>
      <top style="hair">
        <color auto="1"/>
      </top>
      <bottom style="hair">
        <color theme="0"/>
      </bottom>
      <diagonal/>
    </border>
    <border>
      <left style="hair">
        <color theme="0"/>
      </left>
      <right style="hair">
        <color theme="0"/>
      </right>
      <top style="hair">
        <color auto="1"/>
      </top>
      <bottom style="hair">
        <color theme="0"/>
      </bottom>
      <diagonal/>
    </border>
    <border>
      <left style="hair">
        <color theme="0"/>
      </left>
      <right style="thin">
        <color indexed="64"/>
      </right>
      <top style="hair">
        <color auto="1"/>
      </top>
      <bottom style="hair">
        <color theme="0"/>
      </bottom>
      <diagonal/>
    </border>
    <border>
      <left style="hair">
        <color auto="1"/>
      </left>
      <right style="hair">
        <color theme="0"/>
      </right>
      <top style="hair">
        <color theme="0"/>
      </top>
      <bottom style="hair">
        <color theme="0"/>
      </bottom>
      <diagonal/>
    </border>
    <border>
      <left style="hair">
        <color theme="0"/>
      </left>
      <right style="hair">
        <color theme="0"/>
      </right>
      <top style="hair">
        <color theme="0"/>
      </top>
      <bottom style="hair">
        <color theme="0"/>
      </bottom>
      <diagonal/>
    </border>
    <border>
      <left style="hair">
        <color theme="0"/>
      </left>
      <right style="thin">
        <color indexed="64"/>
      </right>
      <top style="hair">
        <color theme="0"/>
      </top>
      <bottom style="hair">
        <color theme="0"/>
      </bottom>
      <diagonal/>
    </border>
    <border>
      <left style="hair">
        <color auto="1"/>
      </left>
      <right style="hair">
        <color theme="0"/>
      </right>
      <top style="hair">
        <color theme="0"/>
      </top>
      <bottom style="thin">
        <color indexed="64"/>
      </bottom>
      <diagonal/>
    </border>
    <border>
      <left style="hair">
        <color theme="0"/>
      </left>
      <right style="hair">
        <color theme="0"/>
      </right>
      <top style="hair">
        <color theme="0"/>
      </top>
      <bottom style="thin">
        <color indexed="64"/>
      </bottom>
      <diagonal/>
    </border>
    <border>
      <left style="hair">
        <color theme="0"/>
      </left>
      <right style="thin">
        <color indexed="64"/>
      </right>
      <top style="hair">
        <color theme="0"/>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7" fillId="0" borderId="0" applyNumberFormat="0" applyFill="0" applyBorder="0" applyAlignment="0" applyProtection="0"/>
    <xf numFmtId="0" fontId="1" fillId="0" borderId="0"/>
  </cellStyleXfs>
  <cellXfs count="412">
    <xf numFmtId="0" fontId="0" fillId="0" borderId="0" xfId="0"/>
    <xf numFmtId="0" fontId="2" fillId="0" borderId="0" xfId="0" applyFont="1"/>
    <xf numFmtId="0" fontId="3" fillId="0" borderId="0" xfId="0" applyFont="1" applyFill="1" applyAlignment="1">
      <alignment horizontal="left"/>
    </xf>
    <xf numFmtId="0" fontId="4" fillId="0" borderId="0" xfId="0" applyFont="1"/>
    <xf numFmtId="0" fontId="3" fillId="0" borderId="0" xfId="0" applyFont="1"/>
    <xf numFmtId="0" fontId="5" fillId="0" borderId="0" xfId="0" applyFont="1" applyFill="1" applyBorder="1" applyAlignment="1">
      <alignment wrapText="1"/>
    </xf>
    <xf numFmtId="0" fontId="5" fillId="0" borderId="0" xfId="0" applyFont="1" applyBorder="1" applyAlignment="1">
      <alignment horizontal="center"/>
    </xf>
    <xf numFmtId="3" fontId="3" fillId="0" borderId="0" xfId="0" applyNumberFormat="1" applyFont="1" applyFill="1" applyBorder="1"/>
    <xf numFmtId="0" fontId="3" fillId="0" borderId="0" xfId="0" applyFont="1" applyFill="1" applyBorder="1" applyAlignment="1">
      <alignment horizontal="left" wrapText="1" indent="1"/>
    </xf>
    <xf numFmtId="0" fontId="3" fillId="0" borderId="0" xfId="0" applyFont="1" applyFill="1"/>
    <xf numFmtId="10" fontId="3" fillId="0" borderId="0" xfId="1" applyNumberFormat="1" applyFont="1"/>
    <xf numFmtId="0" fontId="3" fillId="0" borderId="0" xfId="0" applyFont="1" applyBorder="1" applyAlignment="1">
      <alignment horizontal="left" wrapText="1" indent="3"/>
    </xf>
    <xf numFmtId="0" fontId="3" fillId="0" borderId="0" xfId="0" applyFont="1" applyBorder="1" applyAlignment="1">
      <alignment horizontal="left" wrapText="1"/>
    </xf>
    <xf numFmtId="0" fontId="3" fillId="0" borderId="0" xfId="0" applyFont="1" applyBorder="1" applyAlignment="1">
      <alignment horizontal="left" wrapText="1" indent="5"/>
    </xf>
    <xf numFmtId="3" fontId="8" fillId="0" borderId="0" xfId="0" applyNumberFormat="1" applyFont="1" applyFill="1" applyBorder="1"/>
    <xf numFmtId="9" fontId="3" fillId="0" borderId="0" xfId="1" applyFont="1" applyFill="1" applyBorder="1"/>
    <xf numFmtId="9" fontId="3" fillId="0" borderId="0" xfId="1" applyFont="1" applyFill="1" applyBorder="1" applyAlignment="1">
      <alignment horizontal="left" indent="3"/>
    </xf>
    <xf numFmtId="3" fontId="3" fillId="0" borderId="0" xfId="0" applyNumberFormat="1" applyFont="1" applyFill="1" applyBorder="1" applyAlignment="1">
      <alignment horizontal="left" indent="3"/>
    </xf>
    <xf numFmtId="0" fontId="3" fillId="0" borderId="0" xfId="0" applyFont="1" applyAlignment="1">
      <alignment horizontal="left" indent="3"/>
    </xf>
    <xf numFmtId="0" fontId="3" fillId="0" borderId="0" xfId="0" applyFont="1" applyAlignment="1">
      <alignment horizontal="left" wrapText="1"/>
    </xf>
    <xf numFmtId="0" fontId="9" fillId="0" borderId="0" xfId="0" applyFont="1" applyBorder="1" applyAlignment="1">
      <alignment horizontal="left"/>
    </xf>
    <xf numFmtId="0" fontId="10" fillId="0" borderId="0" xfId="0" applyFont="1" applyBorder="1" applyAlignment="1">
      <alignment wrapText="1"/>
    </xf>
    <xf numFmtId="0" fontId="10" fillId="0" borderId="0" xfId="0" applyFont="1" applyBorder="1" applyAlignment="1">
      <alignment horizontal="left" wrapText="1"/>
    </xf>
    <xf numFmtId="0" fontId="6" fillId="0" borderId="0" xfId="0" applyNumberFormat="1" applyFont="1" applyFill="1" applyBorder="1" applyAlignment="1">
      <alignment horizontal="center"/>
    </xf>
    <xf numFmtId="0" fontId="0" fillId="4" borderId="0" xfId="0" applyFill="1"/>
    <xf numFmtId="0" fontId="1" fillId="0" borderId="0" xfId="3" applyBorder="1"/>
    <xf numFmtId="0" fontId="0" fillId="0" borderId="0" xfId="3" applyFont="1" applyBorder="1"/>
    <xf numFmtId="9" fontId="0" fillId="0" borderId="0" xfId="1" applyFont="1"/>
    <xf numFmtId="0" fontId="11" fillId="0" borderId="0" xfId="0" applyFont="1"/>
    <xf numFmtId="0" fontId="12" fillId="0" borderId="0" xfId="0" applyFont="1"/>
    <xf numFmtId="0" fontId="0" fillId="0" borderId="0" xfId="0" applyAlignment="1">
      <alignment horizontal="right"/>
    </xf>
    <xf numFmtId="0" fontId="2" fillId="0" borderId="0" xfId="0" applyFont="1" applyBorder="1" applyAlignment="1"/>
    <xf numFmtId="165" fontId="0" fillId="0" borderId="0" xfId="2" applyNumberFormat="1" applyFont="1"/>
    <xf numFmtId="0" fontId="0" fillId="0" borderId="0" xfId="0" applyAlignment="1">
      <alignment horizontal="left"/>
    </xf>
    <xf numFmtId="0" fontId="2" fillId="0" borderId="0" xfId="0" applyFont="1" applyAlignment="1"/>
    <xf numFmtId="0" fontId="0" fillId="0" borderId="0" xfId="0" applyAlignment="1">
      <alignment horizontal="center"/>
    </xf>
    <xf numFmtId="0" fontId="0" fillId="0" borderId="0" xfId="0" applyAlignment="1">
      <alignment horizontal="left" wrapText="1"/>
    </xf>
    <xf numFmtId="6" fontId="3" fillId="0" borderId="0" xfId="1" applyNumberFormat="1" applyFont="1" applyFill="1" applyBorder="1"/>
    <xf numFmtId="9" fontId="3" fillId="0" borderId="0" xfId="1" applyFont="1" applyFill="1" applyBorder="1" applyAlignment="1">
      <alignment horizontal="left" vertical="top" indent="3"/>
    </xf>
    <xf numFmtId="9" fontId="3" fillId="0" borderId="0" xfId="1" applyFont="1" applyFill="1" applyBorder="1" applyAlignment="1">
      <alignment horizontal="right" wrapText="1" indent="3"/>
    </xf>
    <xf numFmtId="0" fontId="0" fillId="0" borderId="0" xfId="0" applyFill="1"/>
    <xf numFmtId="6" fontId="12" fillId="0" borderId="0" xfId="0" applyNumberFormat="1" applyFont="1" applyFill="1"/>
    <xf numFmtId="9" fontId="0" fillId="0" borderId="0" xfId="1" applyFont="1" applyAlignment="1">
      <alignment horizontal="center"/>
    </xf>
    <xf numFmtId="0" fontId="0" fillId="0" borderId="0" xfId="0" applyAlignment="1">
      <alignment horizontal="right" wrapText="1"/>
    </xf>
    <xf numFmtId="167" fontId="0" fillId="0" borderId="0" xfId="1" applyNumberFormat="1" applyFont="1" applyAlignment="1">
      <alignment horizontal="center"/>
    </xf>
    <xf numFmtId="165" fontId="3" fillId="0" borderId="0" xfId="2" applyNumberFormat="1" applyFont="1" applyFill="1" applyBorder="1" applyAlignment="1">
      <alignment horizontal="center"/>
    </xf>
    <xf numFmtId="1" fontId="0" fillId="3" borderId="0" xfId="0" applyNumberFormat="1" applyFill="1"/>
    <xf numFmtId="166" fontId="0" fillId="0" borderId="0" xfId="0" applyNumberFormat="1" applyFill="1"/>
    <xf numFmtId="9" fontId="0" fillId="0" borderId="0" xfId="1" applyFont="1" applyFill="1"/>
    <xf numFmtId="2" fontId="0" fillId="0" borderId="0" xfId="1" applyNumberFormat="1" applyFont="1" applyFill="1"/>
    <xf numFmtId="166" fontId="0" fillId="3" borderId="0" xfId="3" applyNumberFormat="1" applyFont="1" applyFill="1" applyBorder="1"/>
    <xf numFmtId="164" fontId="14" fillId="0" borderId="0" xfId="0" applyNumberFormat="1" applyFont="1" applyFill="1" applyBorder="1" applyAlignment="1">
      <alignment horizontal="center"/>
    </xf>
    <xf numFmtId="0" fontId="14" fillId="0" borderId="0" xfId="0" applyFont="1" applyFill="1"/>
    <xf numFmtId="0" fontId="14" fillId="0" borderId="0" xfId="0" applyNumberFormat="1" applyFont="1" applyFill="1" applyBorder="1" applyAlignment="1">
      <alignment horizontal="right"/>
    </xf>
    <xf numFmtId="1" fontId="14" fillId="0" borderId="0" xfId="0" applyNumberFormat="1" applyFont="1" applyFill="1" applyBorder="1" applyAlignment="1">
      <alignment horizontal="right"/>
    </xf>
    <xf numFmtId="166" fontId="3" fillId="0" borderId="0" xfId="1" applyNumberFormat="1" applyFont="1" applyFill="1" applyBorder="1" applyAlignment="1">
      <alignment horizontal="right" vertical="top"/>
    </xf>
    <xf numFmtId="0" fontId="0" fillId="0" borderId="1" xfId="0" applyBorder="1"/>
    <xf numFmtId="0" fontId="2" fillId="0" borderId="1" xfId="0" applyFont="1" applyBorder="1"/>
    <xf numFmtId="0" fontId="15" fillId="0" borderId="1" xfId="0" applyFont="1" applyBorder="1"/>
    <xf numFmtId="0" fontId="7" fillId="0" borderId="0" xfId="0" applyFont="1" applyFill="1" applyAlignment="1">
      <alignment vertical="top" wrapText="1"/>
    </xf>
    <xf numFmtId="0" fontId="6" fillId="0" borderId="0" xfId="0" applyNumberFormat="1" applyFont="1" applyFill="1" applyBorder="1" applyAlignment="1">
      <alignment horizontal="center"/>
    </xf>
    <xf numFmtId="0" fontId="9" fillId="0" borderId="0" xfId="0" applyFont="1"/>
    <xf numFmtId="0" fontId="2" fillId="5" borderId="2" xfId="0" applyFont="1" applyFill="1" applyBorder="1" applyAlignment="1">
      <alignment vertical="center"/>
    </xf>
    <xf numFmtId="0" fontId="2" fillId="5" borderId="3" xfId="0" applyFont="1" applyFill="1" applyBorder="1" applyAlignment="1">
      <alignment vertical="center"/>
    </xf>
    <xf numFmtId="0" fontId="2" fillId="5" borderId="4" xfId="0" applyFont="1" applyFill="1" applyBorder="1" applyAlignment="1">
      <alignment vertical="center"/>
    </xf>
    <xf numFmtId="0" fontId="2" fillId="0" borderId="2" xfId="0" applyFont="1" applyBorder="1"/>
    <xf numFmtId="0" fontId="2" fillId="0" borderId="3" xfId="0" applyFont="1" applyBorder="1"/>
    <xf numFmtId="0" fontId="2" fillId="0" borderId="4" xfId="0" applyFont="1" applyBorder="1"/>
    <xf numFmtId="0" fontId="0" fillId="0" borderId="0" xfId="0" applyBorder="1"/>
    <xf numFmtId="0" fontId="0" fillId="2" borderId="0" xfId="3" applyFont="1" applyFill="1" applyBorder="1"/>
    <xf numFmtId="0" fontId="14" fillId="0" borderId="0" xfId="0" quotePrefix="1" applyNumberFormat="1" applyFont="1" applyFill="1" applyBorder="1" applyAlignment="1">
      <alignment horizontal="center"/>
    </xf>
    <xf numFmtId="0" fontId="2" fillId="0" borderId="13" xfId="0" applyFont="1" applyBorder="1" applyAlignment="1"/>
    <xf numFmtId="0" fontId="1" fillId="0" borderId="13" xfId="3" applyBorder="1"/>
    <xf numFmtId="0" fontId="0" fillId="0" borderId="13" xfId="3" applyFont="1" applyBorder="1"/>
    <xf numFmtId="1" fontId="0" fillId="3" borderId="13" xfId="0" applyNumberFormat="1" applyFill="1" applyBorder="1"/>
    <xf numFmtId="0" fontId="0" fillId="0" borderId="15" xfId="3" applyFont="1" applyBorder="1"/>
    <xf numFmtId="1" fontId="0" fillId="3" borderId="14" xfId="0" applyNumberFormat="1" applyFill="1" applyBorder="1"/>
    <xf numFmtId="1" fontId="0" fillId="3" borderId="15" xfId="0" applyNumberFormat="1" applyFill="1" applyBorder="1"/>
    <xf numFmtId="166" fontId="0" fillId="3" borderId="13" xfId="3" applyNumberFormat="1" applyFont="1" applyFill="1" applyBorder="1"/>
    <xf numFmtId="166" fontId="3" fillId="0" borderId="0" xfId="1" applyNumberFormat="1" applyFont="1" applyFill="1" applyBorder="1"/>
    <xf numFmtId="6" fontId="3" fillId="3" borderId="0" xfId="1" applyNumberFormat="1" applyFont="1" applyFill="1" applyBorder="1"/>
    <xf numFmtId="0" fontId="5" fillId="0" borderId="0" xfId="0" applyFont="1" applyBorder="1" applyAlignment="1">
      <alignment horizontal="left" wrapText="1"/>
    </xf>
    <xf numFmtId="165" fontId="6" fillId="0" borderId="0" xfId="0" applyNumberFormat="1" applyFont="1" applyFill="1" applyBorder="1" applyAlignment="1">
      <alignment horizontal="center"/>
    </xf>
    <xf numFmtId="165" fontId="14" fillId="0" borderId="0" xfId="0" applyNumberFormat="1" applyFont="1" applyFill="1" applyBorder="1" applyAlignment="1">
      <alignment horizontal="center"/>
    </xf>
    <xf numFmtId="0" fontId="5" fillId="0" borderId="0" xfId="0" applyFont="1" applyBorder="1" applyAlignment="1">
      <alignment horizontal="left" wrapText="1" indent="3"/>
    </xf>
    <xf numFmtId="0" fontId="5" fillId="0" borderId="0" xfId="0" applyFont="1" applyFill="1" applyBorder="1" applyAlignment="1">
      <alignment horizontal="center"/>
    </xf>
    <xf numFmtId="166" fontId="0" fillId="3" borderId="17" xfId="3" applyNumberFormat="1" applyFont="1" applyFill="1" applyBorder="1"/>
    <xf numFmtId="166" fontId="0" fillId="3" borderId="16" xfId="3" applyNumberFormat="1" applyFont="1" applyFill="1" applyBorder="1"/>
    <xf numFmtId="166" fontId="0" fillId="3" borderId="14" xfId="3" applyNumberFormat="1" applyFont="1" applyFill="1" applyBorder="1"/>
    <xf numFmtId="166" fontId="0" fillId="3" borderId="15" xfId="3" applyNumberFormat="1" applyFont="1" applyFill="1" applyBorder="1"/>
    <xf numFmtId="165" fontId="0" fillId="6" borderId="0" xfId="2" applyNumberFormat="1" applyFont="1" applyFill="1"/>
    <xf numFmtId="0" fontId="0" fillId="6" borderId="0" xfId="0" applyFill="1"/>
    <xf numFmtId="0" fontId="3" fillId="0" borderId="0" xfId="0" applyFont="1" applyAlignment="1">
      <alignment horizontal="left"/>
    </xf>
    <xf numFmtId="0" fontId="0" fillId="5" borderId="5" xfId="0" applyFill="1" applyBorder="1" applyAlignment="1">
      <alignment vertical="top"/>
    </xf>
    <xf numFmtId="0" fontId="0" fillId="5" borderId="6" xfId="0" applyFill="1" applyBorder="1" applyAlignment="1">
      <alignment vertical="top"/>
    </xf>
    <xf numFmtId="0" fontId="17" fillId="5" borderId="6" xfId="4" applyFill="1" applyBorder="1" applyAlignment="1">
      <alignment vertical="top"/>
    </xf>
    <xf numFmtId="0" fontId="0" fillId="5" borderId="7" xfId="0" applyFill="1" applyBorder="1" applyAlignment="1">
      <alignment horizontal="left" vertical="top"/>
    </xf>
    <xf numFmtId="0" fontId="0" fillId="5" borderId="8" xfId="0" applyFill="1" applyBorder="1" applyAlignment="1">
      <alignment vertical="top"/>
    </xf>
    <xf numFmtId="0" fontId="0" fillId="5" borderId="0" xfId="0" applyFill="1" applyBorder="1" applyAlignment="1">
      <alignment vertical="top"/>
    </xf>
    <xf numFmtId="0" fontId="0" fillId="5" borderId="10" xfId="0" applyFill="1" applyBorder="1" applyAlignment="1">
      <alignment vertical="top"/>
    </xf>
    <xf numFmtId="0" fontId="0" fillId="5" borderId="11" xfId="0" applyFill="1" applyBorder="1" applyAlignment="1">
      <alignment vertical="top"/>
    </xf>
    <xf numFmtId="0" fontId="0" fillId="0" borderId="5" xfId="0" applyBorder="1"/>
    <xf numFmtId="0" fontId="0" fillId="0" borderId="6" xfId="0" applyBorder="1"/>
    <xf numFmtId="0" fontId="17" fillId="0" borderId="6" xfId="4" applyBorder="1"/>
    <xf numFmtId="0" fontId="0" fillId="0" borderId="7" xfId="0" applyBorder="1"/>
    <xf numFmtId="0" fontId="0" fillId="0" borderId="8" xfId="0" applyBorder="1"/>
    <xf numFmtId="0" fontId="0" fillId="0" borderId="9" xfId="0" applyBorder="1" applyAlignment="1">
      <alignment horizontal="left" indent="2"/>
    </xf>
    <xf numFmtId="0" fontId="17" fillId="0" borderId="0" xfId="4" applyBorder="1"/>
    <xf numFmtId="0" fontId="0" fillId="0" borderId="9" xfId="0" applyBorder="1"/>
    <xf numFmtId="0" fontId="0" fillId="0" borderId="10" xfId="0" applyBorder="1"/>
    <xf numFmtId="0" fontId="0" fillId="0" borderId="11" xfId="0" applyBorder="1"/>
    <xf numFmtId="0" fontId="0" fillId="0" borderId="12" xfId="0" applyBorder="1" applyAlignment="1">
      <alignment horizontal="left" indent="2"/>
    </xf>
    <xf numFmtId="0" fontId="0" fillId="0" borderId="12" xfId="0" applyBorder="1" applyAlignment="1">
      <alignment horizontal="left" wrapText="1" indent="2"/>
    </xf>
    <xf numFmtId="0" fontId="0" fillId="0" borderId="5" xfId="0" applyBorder="1" applyAlignment="1">
      <alignment wrapText="1"/>
    </xf>
    <xf numFmtId="0" fontId="0" fillId="0" borderId="2" xfId="0" applyBorder="1" applyAlignment="1">
      <alignment vertical="top" wrapText="1"/>
    </xf>
    <xf numFmtId="0" fontId="0" fillId="0" borderId="3" xfId="0" applyBorder="1" applyAlignment="1">
      <alignment vertical="top" wrapText="1"/>
    </xf>
    <xf numFmtId="0" fontId="17" fillId="0" borderId="3" xfId="4" applyBorder="1" applyAlignment="1">
      <alignment vertical="top"/>
    </xf>
    <xf numFmtId="0" fontId="0" fillId="0" borderId="4" xfId="0" applyBorder="1" applyAlignment="1">
      <alignment vertical="top" wrapText="1"/>
    </xf>
    <xf numFmtId="0" fontId="17" fillId="0" borderId="3" xfId="4" applyBorder="1" applyAlignment="1">
      <alignment vertical="top" wrapText="1"/>
    </xf>
    <xf numFmtId="0" fontId="0" fillId="0" borderId="2" xfId="0" applyBorder="1" applyAlignment="1">
      <alignment vertical="top"/>
    </xf>
    <xf numFmtId="43" fontId="0" fillId="0" borderId="0" xfId="0" applyNumberFormat="1"/>
    <xf numFmtId="164" fontId="0" fillId="0" borderId="0" xfId="1" applyNumberFormat="1" applyFont="1"/>
    <xf numFmtId="9" fontId="0" fillId="0" borderId="0" xfId="1" applyNumberFormat="1" applyFont="1" applyFill="1"/>
    <xf numFmtId="0" fontId="0" fillId="0" borderId="0" xfId="0" applyAlignment="1"/>
    <xf numFmtId="0" fontId="0" fillId="0" borderId="0" xfId="0" applyAlignment="1">
      <alignment wrapText="1"/>
    </xf>
    <xf numFmtId="0" fontId="22" fillId="8" borderId="1" xfId="0" applyFont="1" applyFill="1" applyBorder="1" applyAlignment="1" applyProtection="1">
      <alignment horizontal="center" vertical="center" wrapText="1"/>
    </xf>
    <xf numFmtId="0" fontId="22" fillId="8" borderId="0" xfId="5" applyFont="1" applyFill="1" applyBorder="1" applyAlignment="1" applyProtection="1">
      <alignment horizontal="center" vertical="center" wrapText="1"/>
    </xf>
    <xf numFmtId="0" fontId="22" fillId="9" borderId="1" xfId="0" applyFont="1" applyFill="1" applyBorder="1" applyAlignment="1" applyProtection="1">
      <alignment horizontal="center" vertical="center" wrapText="1"/>
    </xf>
    <xf numFmtId="0" fontId="23" fillId="0" borderId="1" xfId="0" applyFont="1" applyFill="1" applyBorder="1" applyAlignment="1" applyProtection="1">
      <alignment vertical="center" wrapText="1"/>
    </xf>
    <xf numFmtId="0" fontId="23" fillId="0" borderId="1" xfId="0" applyFont="1" applyFill="1" applyBorder="1" applyAlignment="1" applyProtection="1">
      <alignment vertical="center"/>
    </xf>
    <xf numFmtId="0" fontId="23" fillId="0" borderId="1" xfId="0" applyFont="1" applyFill="1" applyBorder="1" applyAlignment="1" applyProtection="1">
      <alignment horizontal="right" vertical="center"/>
    </xf>
    <xf numFmtId="0" fontId="23" fillId="0" borderId="1" xfId="0" applyNumberFormat="1" applyFont="1" applyFill="1" applyBorder="1" applyAlignment="1" applyProtection="1">
      <alignment vertical="center"/>
    </xf>
    <xf numFmtId="0" fontId="23" fillId="7" borderId="1" xfId="0" applyFont="1" applyFill="1" applyBorder="1" applyAlignment="1" applyProtection="1">
      <alignment vertical="center" wrapText="1"/>
    </xf>
    <xf numFmtId="0" fontId="24" fillId="0" borderId="0" xfId="0" applyFont="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3" borderId="0" xfId="0" applyFill="1" applyBorder="1"/>
    <xf numFmtId="0" fontId="0" fillId="3" borderId="9" xfId="0" applyFill="1" applyBorder="1"/>
    <xf numFmtId="0" fontId="0" fillId="0" borderId="0" xfId="0" applyFill="1" applyBorder="1"/>
    <xf numFmtId="0" fontId="0" fillId="0" borderId="9" xfId="0" applyFill="1" applyBorder="1"/>
    <xf numFmtId="0" fontId="0" fillId="3" borderId="10" xfId="0" applyFill="1" applyBorder="1"/>
    <xf numFmtId="0" fontId="0" fillId="3" borderId="11" xfId="0" applyFill="1" applyBorder="1"/>
    <xf numFmtId="0" fontId="0" fillId="0" borderId="12" xfId="0" applyFill="1" applyBorder="1"/>
    <xf numFmtId="0" fontId="0" fillId="0" borderId="0" xfId="0" applyFont="1" applyBorder="1"/>
    <xf numFmtId="0" fontId="0" fillId="0" borderId="9" xfId="0" applyFont="1" applyBorder="1"/>
    <xf numFmtId="0" fontId="2" fillId="0" borderId="8" xfId="0" applyFont="1" applyBorder="1"/>
    <xf numFmtId="0" fontId="0" fillId="0" borderId="9" xfId="3" applyFont="1" applyBorder="1"/>
    <xf numFmtId="0" fontId="2" fillId="0" borderId="10" xfId="0" applyFont="1" applyBorder="1"/>
    <xf numFmtId="0" fontId="2" fillId="0" borderId="11" xfId="0" applyFont="1" applyBorder="1"/>
    <xf numFmtId="0" fontId="2" fillId="0" borderId="12" xfId="0" applyFont="1" applyBorder="1"/>
    <xf numFmtId="0" fontId="0" fillId="0" borderId="18" xfId="0" applyBorder="1"/>
    <xf numFmtId="0" fontId="0" fillId="0" borderId="19" xfId="0" applyBorder="1"/>
    <xf numFmtId="0" fontId="0" fillId="0" borderId="20" xfId="0" applyBorder="1"/>
    <xf numFmtId="0" fontId="2" fillId="0" borderId="19" xfId="0" applyFont="1" applyBorder="1"/>
    <xf numFmtId="0" fontId="2" fillId="0" borderId="20" xfId="0" applyFont="1" applyBorder="1"/>
    <xf numFmtId="0" fontId="2" fillId="0" borderId="18" xfId="0" applyFont="1" applyBorder="1"/>
    <xf numFmtId="0" fontId="2" fillId="0" borderId="19" xfId="0" applyFont="1" applyBorder="1" applyAlignment="1">
      <alignment horizontal="right"/>
    </xf>
    <xf numFmtId="0" fontId="2" fillId="0" borderId="7" xfId="0" applyFont="1" applyFill="1" applyBorder="1" applyAlignment="1">
      <alignment horizontal="center"/>
    </xf>
    <xf numFmtId="0" fontId="0" fillId="0" borderId="9" xfId="0" applyFont="1" applyFill="1" applyBorder="1"/>
    <xf numFmtId="0" fontId="0" fillId="0" borderId="9" xfId="3" applyFont="1" applyFill="1" applyBorder="1"/>
    <xf numFmtId="0" fontId="0" fillId="0" borderId="7" xfId="0" applyFill="1" applyBorder="1"/>
    <xf numFmtId="0" fontId="2" fillId="0" borderId="12" xfId="0" applyFont="1" applyFill="1" applyBorder="1"/>
    <xf numFmtId="0" fontId="0" fillId="0" borderId="0" xfId="3" applyFont="1" applyFill="1" applyBorder="1"/>
    <xf numFmtId="165" fontId="0" fillId="0" borderId="0" xfId="2" applyNumberFormat="1" applyFont="1" applyFill="1"/>
    <xf numFmtId="0" fontId="0" fillId="0" borderId="8" xfId="0" applyBorder="1" applyAlignment="1">
      <alignment horizontal="left"/>
    </xf>
    <xf numFmtId="165" fontId="0" fillId="0" borderId="0" xfId="2" applyNumberFormat="1" applyFont="1" applyBorder="1"/>
    <xf numFmtId="165" fontId="0" fillId="2" borderId="0" xfId="2" applyNumberFormat="1" applyFont="1" applyFill="1" applyBorder="1"/>
    <xf numFmtId="165" fontId="0" fillId="2" borderId="9" xfId="2" applyNumberFormat="1" applyFont="1" applyFill="1" applyBorder="1"/>
    <xf numFmtId="0" fontId="0" fillId="0" borderId="10" xfId="0" applyBorder="1" applyAlignment="1">
      <alignment horizontal="left"/>
    </xf>
    <xf numFmtId="165" fontId="0" fillId="0" borderId="11" xfId="2" applyNumberFormat="1" applyFont="1" applyBorder="1"/>
    <xf numFmtId="165" fontId="0" fillId="2" borderId="11" xfId="2" applyNumberFormat="1" applyFont="1" applyFill="1" applyBorder="1"/>
    <xf numFmtId="165" fontId="0" fillId="2" borderId="12" xfId="2" applyNumberFormat="1" applyFont="1" applyFill="1" applyBorder="1"/>
    <xf numFmtId="0" fontId="0" fillId="0" borderId="6" xfId="3" applyFont="1" applyBorder="1"/>
    <xf numFmtId="0" fontId="0" fillId="0" borderId="7" xfId="3" applyFont="1" applyBorder="1"/>
    <xf numFmtId="0" fontId="0" fillId="0" borderId="2" xfId="0" applyBorder="1"/>
    <xf numFmtId="0" fontId="0" fillId="2" borderId="9" xfId="3" applyFont="1" applyFill="1" applyBorder="1"/>
    <xf numFmtId="0" fontId="0" fillId="0" borderId="5" xfId="0" applyFill="1" applyBorder="1"/>
    <xf numFmtId="0" fontId="20" fillId="0" borderId="0" xfId="0" quotePrefix="1" applyFont="1"/>
    <xf numFmtId="0" fontId="0" fillId="0" borderId="6" xfId="0" applyFill="1" applyBorder="1"/>
    <xf numFmtId="0" fontId="2" fillId="0" borderId="9" xfId="0" applyFont="1" applyBorder="1" applyAlignment="1">
      <alignment horizontal="right"/>
    </xf>
    <xf numFmtId="0" fontId="2" fillId="0" borderId="11" xfId="0" applyFont="1" applyFill="1" applyBorder="1"/>
    <xf numFmtId="0" fontId="0" fillId="0" borderId="18" xfId="0" applyFill="1" applyBorder="1"/>
    <xf numFmtId="0" fontId="0" fillId="0" borderId="19" xfId="0" applyFill="1" applyBorder="1"/>
    <xf numFmtId="0" fontId="0" fillId="0" borderId="20" xfId="0" applyFill="1" applyBorder="1"/>
    <xf numFmtId="0" fontId="2" fillId="0" borderId="18" xfId="0" applyFont="1" applyBorder="1" applyAlignment="1">
      <alignment horizontal="right"/>
    </xf>
    <xf numFmtId="0" fontId="2" fillId="0" borderId="20" xfId="0" applyFont="1" applyBorder="1" applyAlignment="1">
      <alignment horizontal="right"/>
    </xf>
    <xf numFmtId="0" fontId="0" fillId="3" borderId="22" xfId="0" applyFill="1" applyBorder="1"/>
    <xf numFmtId="0" fontId="0" fillId="3" borderId="13" xfId="0" applyFill="1" applyBorder="1"/>
    <xf numFmtId="0" fontId="0" fillId="3" borderId="23" xfId="0" applyFill="1" applyBorder="1"/>
    <xf numFmtId="0" fontId="0" fillId="3" borderId="24" xfId="0" applyFill="1" applyBorder="1"/>
    <xf numFmtId="0" fontId="0" fillId="3" borderId="14" xfId="0" applyFill="1" applyBorder="1"/>
    <xf numFmtId="0" fontId="0" fillId="3" borderId="15" xfId="0" applyFill="1" applyBorder="1"/>
    <xf numFmtId="0" fontId="0" fillId="3" borderId="25" xfId="0" applyFill="1" applyBorder="1"/>
    <xf numFmtId="0" fontId="0" fillId="0" borderId="26" xfId="0" applyFill="1" applyBorder="1" applyAlignment="1">
      <alignment horizontal="center"/>
    </xf>
    <xf numFmtId="0" fontId="0" fillId="0" borderId="27" xfId="0" applyFill="1" applyBorder="1"/>
    <xf numFmtId="0" fontId="0" fillId="0" borderId="28" xfId="0" applyFill="1" applyBorder="1"/>
    <xf numFmtId="0" fontId="0" fillId="0" borderId="29" xfId="0" applyFill="1" applyBorder="1"/>
    <xf numFmtId="0" fontId="0" fillId="0" borderId="30" xfId="0" applyFill="1" applyBorder="1"/>
    <xf numFmtId="0" fontId="0" fillId="0" borderId="31" xfId="0" applyFill="1" applyBorder="1"/>
    <xf numFmtId="0" fontId="0" fillId="0" borderId="30" xfId="0" applyFill="1" applyBorder="1" applyAlignment="1">
      <alignment horizontal="center"/>
    </xf>
    <xf numFmtId="0" fontId="0" fillId="0" borderId="32" xfId="0" applyFill="1" applyBorder="1"/>
    <xf numFmtId="0" fontId="0" fillId="0" borderId="33" xfId="0" applyFill="1" applyBorder="1"/>
    <xf numFmtId="0" fontId="0" fillId="0" borderId="34" xfId="0" applyFill="1" applyBorder="1"/>
    <xf numFmtId="0" fontId="0" fillId="0" borderId="13" xfId="0" applyFill="1" applyBorder="1"/>
    <xf numFmtId="0" fontId="0" fillId="0" borderId="23" xfId="0" applyFill="1" applyBorder="1"/>
    <xf numFmtId="0" fontId="0" fillId="0" borderId="21" xfId="0" applyBorder="1"/>
    <xf numFmtId="0" fontId="0" fillId="0" borderId="0" xfId="0" applyAlignment="1">
      <alignment horizontal="center"/>
    </xf>
    <xf numFmtId="0" fontId="0" fillId="0" borderId="0" xfId="0" applyAlignment="1">
      <alignment vertical="top" wrapText="1"/>
    </xf>
    <xf numFmtId="0" fontId="0" fillId="0" borderId="0" xfId="0" applyAlignment="1">
      <alignment wrapText="1"/>
    </xf>
    <xf numFmtId="0" fontId="2" fillId="0" borderId="12" xfId="0" applyFont="1" applyBorder="1" applyAlignment="1">
      <alignment horizontal="right"/>
    </xf>
    <xf numFmtId="1" fontId="0" fillId="3" borderId="0" xfId="0" applyNumberFormat="1" applyFill="1" applyAlignment="1">
      <alignment horizontal="center"/>
    </xf>
    <xf numFmtId="166" fontId="0" fillId="0" borderId="35" xfId="0" applyNumberFormat="1" applyFill="1" applyBorder="1"/>
    <xf numFmtId="166" fontId="0" fillId="0" borderId="36" xfId="0" applyNumberFormat="1" applyFill="1" applyBorder="1"/>
    <xf numFmtId="166" fontId="0" fillId="0" borderId="37" xfId="0" applyNumberFormat="1" applyFill="1" applyBorder="1"/>
    <xf numFmtId="166" fontId="0" fillId="0" borderId="38" xfId="0" applyNumberFormat="1" applyFill="1" applyBorder="1"/>
    <xf numFmtId="166" fontId="0" fillId="0" borderId="39" xfId="0" applyNumberFormat="1" applyFill="1" applyBorder="1"/>
    <xf numFmtId="166" fontId="0" fillId="0" borderId="40" xfId="0" applyNumberFormat="1" applyFill="1" applyBorder="1"/>
    <xf numFmtId="166" fontId="0" fillId="0" borderId="41" xfId="0" applyNumberFormat="1" applyFill="1" applyBorder="1"/>
    <xf numFmtId="166" fontId="0" fillId="0" borderId="42" xfId="0" applyNumberFormat="1" applyFill="1" applyBorder="1"/>
    <xf numFmtId="166" fontId="0" fillId="0" borderId="43" xfId="0" applyNumberFormat="1" applyFill="1" applyBorder="1"/>
    <xf numFmtId="166" fontId="0" fillId="0" borderId="39" xfId="0" applyNumberFormat="1" applyFill="1" applyBorder="1" applyAlignment="1">
      <alignment horizontal="center"/>
    </xf>
    <xf numFmtId="166" fontId="0" fillId="0" borderId="13" xfId="0" applyNumberFormat="1" applyFill="1" applyBorder="1"/>
    <xf numFmtId="9" fontId="0" fillId="0" borderId="13" xfId="1" applyFont="1" applyFill="1" applyBorder="1"/>
    <xf numFmtId="2" fontId="0" fillId="0" borderId="13" xfId="1" applyNumberFormat="1" applyFont="1" applyFill="1" applyBorder="1"/>
    <xf numFmtId="166" fontId="0" fillId="0" borderId="14" xfId="0" applyNumberFormat="1" applyFill="1" applyBorder="1"/>
    <xf numFmtId="166" fontId="0" fillId="0" borderId="15" xfId="0" applyNumberFormat="1" applyFill="1" applyBorder="1"/>
    <xf numFmtId="9" fontId="0" fillId="0" borderId="14" xfId="1" applyFont="1" applyFill="1" applyBorder="1"/>
    <xf numFmtId="9" fontId="0" fillId="0" borderId="15" xfId="1" applyFont="1" applyFill="1" applyBorder="1"/>
    <xf numFmtId="2" fontId="0" fillId="0" borderId="14" xfId="1" applyNumberFormat="1" applyFont="1" applyFill="1" applyBorder="1"/>
    <xf numFmtId="2" fontId="0" fillId="0" borderId="15" xfId="1" applyNumberFormat="1" applyFont="1" applyFill="1" applyBorder="1"/>
    <xf numFmtId="0" fontId="12" fillId="0" borderId="0" xfId="0" applyFont="1" applyAlignment="1">
      <alignment wrapText="1"/>
    </xf>
    <xf numFmtId="0" fontId="12" fillId="0" borderId="0" xfId="0" applyFont="1" applyAlignment="1">
      <alignment horizontal="center"/>
    </xf>
    <xf numFmtId="0" fontId="0" fillId="0" borderId="0" xfId="0" applyAlignment="1">
      <alignment horizontal="center" vertical="center"/>
    </xf>
    <xf numFmtId="0" fontId="17" fillId="0" borderId="0" xfId="4" applyAlignment="1">
      <alignment vertical="top" wrapText="1"/>
    </xf>
    <xf numFmtId="0" fontId="20" fillId="0" borderId="0" xfId="0" applyFont="1" applyAlignment="1">
      <alignment horizontal="left" wrapText="1"/>
    </xf>
    <xf numFmtId="0" fontId="20" fillId="0" borderId="0" xfId="0" applyFont="1" applyAlignment="1">
      <alignment horizontal="left"/>
    </xf>
    <xf numFmtId="0" fontId="0" fillId="0" borderId="14" xfId="3" applyFont="1" applyBorder="1"/>
    <xf numFmtId="1" fontId="0" fillId="3" borderId="0" xfId="0" quotePrefix="1" applyNumberFormat="1" applyFill="1" applyAlignment="1">
      <alignment horizontal="center"/>
    </xf>
    <xf numFmtId="165" fontId="0" fillId="3" borderId="0" xfId="2" applyNumberFormat="1" applyFont="1" applyFill="1" applyAlignment="1">
      <alignment horizontal="right"/>
    </xf>
    <xf numFmtId="0" fontId="20" fillId="0" borderId="0" xfId="0" applyFont="1" applyFill="1"/>
    <xf numFmtId="0" fontId="20" fillId="0" borderId="0" xfId="0" quotePrefix="1" applyFont="1" applyFill="1" applyAlignment="1">
      <alignment horizontal="right"/>
    </xf>
    <xf numFmtId="9" fontId="0" fillId="0" borderId="0" xfId="1" applyFont="1" applyFill="1" applyAlignment="1">
      <alignment horizontal="center"/>
    </xf>
    <xf numFmtId="0" fontId="20" fillId="0" borderId="0" xfId="0" quotePrefix="1" applyFont="1" applyAlignment="1">
      <alignment vertical="top"/>
    </xf>
    <xf numFmtId="169" fontId="0" fillId="0" borderId="0" xfId="0" applyNumberFormat="1" applyFill="1"/>
    <xf numFmtId="165" fontId="0" fillId="0" borderId="0" xfId="2" applyNumberFormat="1" applyFont="1" applyAlignment="1">
      <alignment horizontal="right" indent="1"/>
    </xf>
    <xf numFmtId="165" fontId="0" fillId="0" borderId="0" xfId="2" applyNumberFormat="1" applyFont="1" applyAlignment="1">
      <alignment horizontal="left" indent="1"/>
    </xf>
    <xf numFmtId="0" fontId="0" fillId="0" borderId="0" xfId="0" applyFont="1"/>
    <xf numFmtId="0" fontId="2" fillId="0" borderId="5" xfId="0" applyFont="1" applyBorder="1" applyAlignment="1">
      <alignment vertical="center"/>
    </xf>
    <xf numFmtId="0" fontId="2" fillId="0" borderId="10" xfId="0" applyFont="1" applyBorder="1" applyAlignment="1">
      <alignment vertical="center"/>
    </xf>
    <xf numFmtId="0" fontId="0" fillId="0" borderId="8" xfId="0" applyFont="1" applyBorder="1" applyAlignment="1">
      <alignment wrapText="1"/>
    </xf>
    <xf numFmtId="0" fontId="0" fillId="0" borderId="10" xfId="0" applyFont="1" applyBorder="1" applyAlignment="1">
      <alignment wrapText="1"/>
    </xf>
    <xf numFmtId="0" fontId="0" fillId="0" borderId="11" xfId="0" applyFont="1" applyBorder="1" applyAlignment="1">
      <alignment vertical="center"/>
    </xf>
    <xf numFmtId="0" fontId="0" fillId="0" borderId="12" xfId="0" applyFont="1" applyBorder="1" applyAlignment="1">
      <alignment vertical="center"/>
    </xf>
    <xf numFmtId="3" fontId="27" fillId="0" borderId="0" xfId="0" applyNumberFormat="1" applyFont="1" applyFill="1" applyBorder="1" applyAlignment="1">
      <alignment horizontal="right" vertical="center"/>
    </xf>
    <xf numFmtId="169" fontId="23" fillId="0" borderId="0" xfId="0" applyNumberFormat="1" applyFont="1" applyBorder="1" applyAlignment="1">
      <alignment horizontal="right" vertical="center"/>
    </xf>
    <xf numFmtId="2" fontId="23" fillId="0" borderId="0" xfId="0" applyNumberFormat="1" applyFont="1" applyBorder="1" applyAlignment="1">
      <alignment horizontal="right" vertical="center"/>
    </xf>
    <xf numFmtId="0" fontId="23" fillId="0" borderId="5" xfId="0" applyFont="1" applyBorder="1" applyAlignment="1">
      <alignment vertical="center"/>
    </xf>
    <xf numFmtId="3" fontId="23" fillId="0" borderId="6" xfId="0" applyNumberFormat="1" applyFont="1" applyFill="1" applyBorder="1" applyAlignment="1">
      <alignment horizontal="right" vertical="center"/>
    </xf>
    <xf numFmtId="3" fontId="27" fillId="0" borderId="9" xfId="0" applyNumberFormat="1" applyFont="1" applyFill="1" applyBorder="1" applyAlignment="1">
      <alignment horizontal="right" vertical="center"/>
    </xf>
    <xf numFmtId="169" fontId="23" fillId="0" borderId="9" xfId="0" applyNumberFormat="1" applyFont="1" applyBorder="1" applyAlignment="1">
      <alignment horizontal="right" vertical="center"/>
    </xf>
    <xf numFmtId="2" fontId="23" fillId="0" borderId="9" xfId="0" applyNumberFormat="1" applyFont="1" applyBorder="1" applyAlignment="1">
      <alignment horizontal="right" vertical="center"/>
    </xf>
    <xf numFmtId="164" fontId="0" fillId="0" borderId="11" xfId="1" applyNumberFormat="1" applyFont="1" applyBorder="1"/>
    <xf numFmtId="164" fontId="0" fillId="0" borderId="12" xfId="1" applyNumberFormat="1" applyFont="1" applyBorder="1"/>
    <xf numFmtId="0" fontId="12" fillId="0" borderId="0" xfId="0" applyFont="1" applyBorder="1" applyAlignment="1">
      <alignment horizontal="left"/>
    </xf>
    <xf numFmtId="0" fontId="3" fillId="0" borderId="13" xfId="0" applyFont="1" applyBorder="1" applyAlignment="1">
      <alignment horizontal="left" wrapText="1" indent="3"/>
    </xf>
    <xf numFmtId="3" fontId="3" fillId="0" borderId="13" xfId="0" applyNumberFormat="1" applyFont="1" applyFill="1" applyBorder="1"/>
    <xf numFmtId="0" fontId="3" fillId="0" borderId="13" xfId="0" applyFont="1" applyBorder="1" applyAlignment="1">
      <alignment horizontal="left" wrapText="1" indent="5"/>
    </xf>
    <xf numFmtId="9" fontId="3" fillId="0" borderId="13" xfId="1" applyFont="1" applyFill="1" applyBorder="1"/>
    <xf numFmtId="9" fontId="3" fillId="3" borderId="13" xfId="1" applyNumberFormat="1" applyFont="1" applyFill="1" applyBorder="1" applyAlignment="1">
      <alignment horizontal="right" vertical="top"/>
    </xf>
    <xf numFmtId="9" fontId="3" fillId="0" borderId="13" xfId="1" applyFont="1" applyFill="1" applyBorder="1" applyAlignment="1">
      <alignment horizontal="left" indent="3"/>
    </xf>
    <xf numFmtId="3" fontId="3" fillId="0" borderId="13" xfId="0" applyNumberFormat="1" applyFont="1" applyFill="1" applyBorder="1" applyAlignment="1">
      <alignment horizontal="left" indent="3"/>
    </xf>
    <xf numFmtId="166" fontId="3" fillId="0" borderId="13" xfId="1" applyNumberFormat="1" applyFont="1" applyFill="1" applyBorder="1" applyAlignment="1">
      <alignment horizontal="right" vertical="top"/>
    </xf>
    <xf numFmtId="0" fontId="3" fillId="0" borderId="13" xfId="0" applyFont="1" applyBorder="1" applyAlignment="1">
      <alignment horizontal="left" wrapText="1"/>
    </xf>
    <xf numFmtId="166" fontId="3" fillId="0" borderId="13" xfId="1" applyNumberFormat="1" applyFont="1" applyFill="1" applyBorder="1"/>
    <xf numFmtId="6" fontId="3" fillId="3" borderId="13" xfId="1" applyNumberFormat="1" applyFont="1" applyFill="1" applyBorder="1"/>
    <xf numFmtId="0" fontId="21" fillId="10" borderId="0" xfId="0" applyNumberFormat="1" applyFont="1" applyFill="1" applyBorder="1" applyAlignment="1"/>
    <xf numFmtId="0" fontId="26" fillId="10" borderId="0" xfId="0" applyFont="1" applyFill="1" applyAlignment="1"/>
    <xf numFmtId="0" fontId="28" fillId="10" borderId="0" xfId="0" applyFont="1" applyFill="1"/>
    <xf numFmtId="0" fontId="25" fillId="10" borderId="0" xfId="0" applyNumberFormat="1" applyFont="1" applyFill="1" applyBorder="1" applyAlignment="1"/>
    <xf numFmtId="0" fontId="26" fillId="10" borderId="0" xfId="0" applyFont="1" applyFill="1" applyAlignment="1">
      <alignment vertical="top" wrapText="1"/>
    </xf>
    <xf numFmtId="164" fontId="14" fillId="0" borderId="0" xfId="1" applyNumberFormat="1" applyFont="1" applyFill="1" applyBorder="1" applyAlignment="1">
      <alignment horizontal="center"/>
    </xf>
    <xf numFmtId="164" fontId="14" fillId="0" borderId="0" xfId="1" quotePrefix="1" applyNumberFormat="1" applyFont="1" applyFill="1" applyBorder="1" applyAlignment="1">
      <alignment horizontal="center"/>
    </xf>
    <xf numFmtId="1" fontId="14" fillId="0" borderId="0" xfId="0" applyNumberFormat="1" applyFont="1" applyFill="1" applyBorder="1" applyAlignment="1">
      <alignment horizontal="center"/>
    </xf>
    <xf numFmtId="0" fontId="25" fillId="10" borderId="0" xfId="0" applyFont="1" applyFill="1" applyAlignment="1"/>
    <xf numFmtId="0" fontId="25" fillId="10" borderId="0" xfId="0" applyFont="1" applyFill="1"/>
    <xf numFmtId="9" fontId="14" fillId="0" borderId="0" xfId="1" quotePrefix="1" applyNumberFormat="1" applyFont="1" applyFill="1" applyBorder="1" applyAlignment="1">
      <alignment horizontal="center"/>
    </xf>
    <xf numFmtId="1" fontId="14" fillId="0" borderId="0" xfId="1" quotePrefix="1" applyNumberFormat="1" applyFont="1" applyFill="1" applyBorder="1" applyAlignment="1">
      <alignment horizontal="center"/>
    </xf>
    <xf numFmtId="0" fontId="25" fillId="10" borderId="0" xfId="0" applyNumberFormat="1" applyFont="1" applyFill="1" applyBorder="1" applyAlignment="1">
      <alignment horizontal="center"/>
    </xf>
    <xf numFmtId="0" fontId="26" fillId="10" borderId="0" xfId="0" applyFont="1" applyFill="1"/>
    <xf numFmtId="0" fontId="21" fillId="10" borderId="0" xfId="0" applyFont="1" applyFill="1" applyBorder="1" applyAlignment="1">
      <alignment horizontal="center"/>
    </xf>
    <xf numFmtId="0" fontId="9" fillId="0" borderId="0" xfId="0" applyFont="1" applyFill="1" applyBorder="1" applyAlignment="1">
      <alignment horizontal="left"/>
    </xf>
    <xf numFmtId="0" fontId="25" fillId="10" borderId="0" xfId="0" applyFont="1" applyFill="1" applyBorder="1" applyAlignment="1">
      <alignment horizontal="center"/>
    </xf>
    <xf numFmtId="0" fontId="3" fillId="0" borderId="0" xfId="0" applyFont="1" applyBorder="1" applyAlignment="1">
      <alignment horizontal="left" vertical="top" indent="3"/>
    </xf>
    <xf numFmtId="0" fontId="3" fillId="0" borderId="0" xfId="0" quotePrefix="1" applyFont="1" applyAlignment="1">
      <alignment vertical="center" wrapText="1"/>
    </xf>
    <xf numFmtId="0" fontId="3" fillId="0" borderId="0" xfId="0" quotePrefix="1" applyFont="1" applyAlignment="1">
      <alignment vertical="center"/>
    </xf>
    <xf numFmtId="0" fontId="3" fillId="0" borderId="0" xfId="0" applyFont="1" applyAlignment="1">
      <alignment vertical="center"/>
    </xf>
    <xf numFmtId="0" fontId="24" fillId="0" borderId="0" xfId="0" quotePrefix="1" applyFont="1" applyAlignment="1">
      <alignment vertical="center"/>
    </xf>
    <xf numFmtId="168" fontId="3" fillId="0" borderId="0" xfId="0" applyNumberFormat="1" applyFont="1" applyFill="1" applyBorder="1"/>
    <xf numFmtId="168" fontId="3" fillId="0" borderId="0" xfId="2" applyNumberFormat="1" applyFont="1" applyFill="1" applyBorder="1"/>
    <xf numFmtId="167" fontId="3" fillId="0" borderId="0" xfId="1" applyNumberFormat="1" applyFont="1" applyFill="1"/>
    <xf numFmtId="0" fontId="17" fillId="5" borderId="0" xfId="4" applyFill="1" applyBorder="1" applyAlignment="1">
      <alignment vertical="top"/>
    </xf>
    <xf numFmtId="0" fontId="0" fillId="5" borderId="9" xfId="0" applyFill="1" applyBorder="1" applyAlignment="1">
      <alignment horizontal="left" vertical="top" indent="2"/>
    </xf>
    <xf numFmtId="0" fontId="0" fillId="5" borderId="12" xfId="0" applyFill="1" applyBorder="1" applyAlignment="1">
      <alignment horizontal="left" vertical="top" indent="2"/>
    </xf>
    <xf numFmtId="1" fontId="3" fillId="0" borderId="0" xfId="1" applyNumberFormat="1" applyFont="1" applyFill="1" applyBorder="1"/>
    <xf numFmtId="1" fontId="3" fillId="0" borderId="13" xfId="1" applyNumberFormat="1" applyFont="1" applyFill="1" applyBorder="1"/>
    <xf numFmtId="1" fontId="2" fillId="0" borderId="11" xfId="0" applyNumberFormat="1" applyFont="1" applyBorder="1"/>
    <xf numFmtId="1" fontId="0" fillId="0" borderId="5" xfId="0" applyNumberFormat="1" applyFill="1" applyBorder="1"/>
    <xf numFmtId="1" fontId="0" fillId="0" borderId="8" xfId="0" applyNumberFormat="1" applyFill="1" applyBorder="1"/>
    <xf numFmtId="1" fontId="0" fillId="0" borderId="22" xfId="0" applyNumberFormat="1" applyFill="1" applyBorder="1"/>
    <xf numFmtId="1" fontId="0" fillId="0" borderId="10" xfId="0" applyNumberFormat="1" applyFill="1" applyBorder="1"/>
    <xf numFmtId="1" fontId="0" fillId="0" borderId="6" xfId="0" applyNumberFormat="1" applyFill="1" applyBorder="1"/>
    <xf numFmtId="1" fontId="0" fillId="0" borderId="24" xfId="0" applyNumberFormat="1" applyFill="1" applyBorder="1"/>
    <xf numFmtId="1" fontId="0" fillId="0" borderId="0" xfId="0" applyNumberFormat="1" applyFill="1" applyBorder="1"/>
    <xf numFmtId="1" fontId="0" fillId="0" borderId="14" xfId="0" applyNumberFormat="1" applyFill="1" applyBorder="1"/>
    <xf numFmtId="1" fontId="0" fillId="0" borderId="13" xfId="0" applyNumberFormat="1" applyFill="1" applyBorder="1"/>
    <xf numFmtId="1" fontId="0" fillId="0" borderId="15" xfId="0" applyNumberFormat="1" applyFill="1" applyBorder="1"/>
    <xf numFmtId="1" fontId="0" fillId="0" borderId="11" xfId="0" applyNumberFormat="1" applyFill="1" applyBorder="1"/>
    <xf numFmtId="1" fontId="0" fillId="0" borderId="25" xfId="0" applyNumberFormat="1" applyFill="1" applyBorder="1"/>
    <xf numFmtId="1" fontId="0" fillId="0" borderId="7" xfId="0" applyNumberFormat="1" applyFill="1" applyBorder="1"/>
    <xf numFmtId="1" fontId="0" fillId="0" borderId="9" xfId="0" applyNumberFormat="1" applyFill="1" applyBorder="1"/>
    <xf numFmtId="1" fontId="0" fillId="0" borderId="23" xfId="0" applyNumberFormat="1" applyFill="1" applyBorder="1"/>
    <xf numFmtId="1" fontId="2" fillId="0" borderId="18" xfId="0" applyNumberFormat="1" applyFont="1" applyBorder="1" applyAlignment="1">
      <alignment horizontal="right"/>
    </xf>
    <xf numFmtId="1" fontId="2" fillId="0" borderId="19" xfId="0" applyNumberFormat="1" applyFont="1" applyBorder="1" applyAlignment="1">
      <alignment horizontal="right"/>
    </xf>
    <xf numFmtId="1" fontId="2" fillId="0" borderId="20" xfId="0" applyNumberFormat="1" applyFont="1" applyBorder="1" applyAlignment="1">
      <alignment horizontal="right"/>
    </xf>
    <xf numFmtId="1" fontId="2" fillId="0" borderId="12" xfId="0" applyNumberFormat="1" applyFont="1" applyBorder="1"/>
    <xf numFmtId="1" fontId="0" fillId="0" borderId="26" xfId="0" applyNumberFormat="1" applyFill="1" applyBorder="1" applyAlignment="1">
      <alignment horizontal="center"/>
    </xf>
    <xf numFmtId="1" fontId="0" fillId="0" borderId="29" xfId="0" applyNumberFormat="1" applyFill="1" applyBorder="1"/>
    <xf numFmtId="1" fontId="0" fillId="0" borderId="32" xfId="0" applyNumberFormat="1" applyFill="1" applyBorder="1"/>
    <xf numFmtId="0" fontId="1" fillId="0" borderId="11" xfId="3" applyBorder="1"/>
    <xf numFmtId="0" fontId="0" fillId="0" borderId="11" xfId="3" applyFont="1" applyBorder="1"/>
    <xf numFmtId="1" fontId="2" fillId="0" borderId="7" xfId="0" applyNumberFormat="1" applyFont="1" applyBorder="1" applyAlignment="1">
      <alignment horizontal="right"/>
    </xf>
    <xf numFmtId="0" fontId="2" fillId="0" borderId="1" xfId="0" applyFont="1" applyBorder="1" applyAlignment="1">
      <alignment wrapText="1"/>
    </xf>
    <xf numFmtId="0" fontId="0" fillId="0" borderId="6" xfId="0" applyBorder="1" applyAlignment="1">
      <alignment vertical="top"/>
    </xf>
    <xf numFmtId="0" fontId="0" fillId="0" borderId="1" xfId="0" applyBorder="1" applyAlignment="1">
      <alignment wrapText="1"/>
    </xf>
    <xf numFmtId="0" fontId="0" fillId="0" borderId="1" xfId="0" applyBorder="1" applyAlignment="1"/>
    <xf numFmtId="0" fontId="0" fillId="0" borderId="1" xfId="0" applyFill="1" applyBorder="1" applyAlignment="1"/>
    <xf numFmtId="0" fontId="3" fillId="0" borderId="0" xfId="2" applyNumberFormat="1" applyFont="1" applyFill="1" applyBorder="1" applyAlignment="1">
      <alignment horizontal="right"/>
    </xf>
    <xf numFmtId="3" fontId="3" fillId="0" borderId="0" xfId="0" quotePrefix="1" applyNumberFormat="1" applyFont="1" applyFill="1" applyBorder="1"/>
    <xf numFmtId="0" fontId="2" fillId="0" borderId="1" xfId="0" applyFont="1" applyFill="1" applyBorder="1"/>
    <xf numFmtId="0" fontId="0" fillId="0" borderId="0" xfId="0" applyAlignment="1">
      <alignment wrapText="1"/>
    </xf>
    <xf numFmtId="1" fontId="0" fillId="0" borderId="0" xfId="0" applyNumberFormat="1"/>
    <xf numFmtId="170" fontId="0" fillId="0" borderId="0" xfId="0" applyNumberFormat="1"/>
    <xf numFmtId="0" fontId="0" fillId="0" borderId="0" xfId="0"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2" fillId="0" borderId="2" xfId="0" applyFont="1" applyBorder="1" applyAlignment="1">
      <alignment horizontal="left" wrapText="1"/>
    </xf>
    <xf numFmtId="0" fontId="2" fillId="0" borderId="3" xfId="0" applyFont="1" applyBorder="1" applyAlignment="1">
      <alignment horizontal="center" wrapText="1"/>
    </xf>
    <xf numFmtId="0" fontId="2" fillId="0" borderId="4" xfId="0" applyFont="1" applyBorder="1" applyAlignment="1">
      <alignment horizontal="center" wrapText="1"/>
    </xf>
    <xf numFmtId="0" fontId="2" fillId="11" borderId="1" xfId="0" applyFont="1" applyFill="1" applyBorder="1" applyAlignment="1">
      <alignment horizontal="center" vertical="center" wrapText="1"/>
    </xf>
    <xf numFmtId="0" fontId="0" fillId="0" borderId="1" xfId="0" applyBorder="1" applyAlignment="1">
      <alignment horizontal="center"/>
    </xf>
    <xf numFmtId="1" fontId="0" fillId="0" borderId="1" xfId="0" applyNumberFormat="1" applyBorder="1"/>
    <xf numFmtId="0" fontId="0" fillId="0" borderId="6" xfId="0" applyBorder="1" applyAlignment="1">
      <alignment vertical="top" wrapText="1"/>
    </xf>
    <xf numFmtId="0" fontId="17" fillId="0" borderId="0" xfId="4" applyAlignment="1">
      <alignment wrapText="1"/>
    </xf>
    <xf numFmtId="166" fontId="0" fillId="6" borderId="0" xfId="0" applyNumberFormat="1" applyFill="1"/>
    <xf numFmtId="0" fontId="24" fillId="0" borderId="0" xfId="0" quotePrefix="1" applyFont="1"/>
    <xf numFmtId="166" fontId="0" fillId="0" borderId="0" xfId="0" applyNumberFormat="1"/>
    <xf numFmtId="0" fontId="3" fillId="0" borderId="0" xfId="0" applyFont="1" applyAlignment="1">
      <alignment horizontal="right"/>
    </xf>
    <xf numFmtId="1" fontId="15" fillId="0" borderId="1" xfId="0" applyNumberFormat="1" applyFont="1" applyBorder="1"/>
    <xf numFmtId="1" fontId="16" fillId="0" borderId="44" xfId="0" applyNumberFormat="1" applyFont="1" applyBorder="1"/>
    <xf numFmtId="168" fontId="16" fillId="0" borderId="44" xfId="0" applyNumberFormat="1" applyFont="1" applyBorder="1"/>
    <xf numFmtId="1" fontId="2" fillId="12" borderId="1" xfId="0" applyNumberFormat="1" applyFont="1" applyFill="1" applyBorder="1"/>
    <xf numFmtId="0" fontId="2" fillId="12" borderId="1" xfId="0" applyFont="1" applyFill="1" applyBorder="1"/>
    <xf numFmtId="1" fontId="2" fillId="13" borderId="1" xfId="0" applyNumberFormat="1" applyFont="1" applyFill="1" applyBorder="1"/>
    <xf numFmtId="0" fontId="2" fillId="13" borderId="1" xfId="0" applyFont="1" applyFill="1" applyBorder="1"/>
    <xf numFmtId="168" fontId="16" fillId="3" borderId="44" xfId="0" applyNumberFormat="1" applyFont="1" applyFill="1" applyBorder="1"/>
    <xf numFmtId="0" fontId="2" fillId="0" borderId="1" xfId="0" applyFont="1" applyBorder="1" applyAlignment="1">
      <alignment horizontal="right"/>
    </xf>
    <xf numFmtId="0" fontId="14" fillId="0" borderId="0" xfId="0" applyFont="1" applyFill="1" applyAlignment="1">
      <alignment vertical="top" wrapText="1"/>
    </xf>
    <xf numFmtId="0" fontId="7" fillId="0" borderId="0" xfId="0" applyFont="1" applyFill="1" applyAlignment="1">
      <alignment vertical="top" wrapText="1"/>
    </xf>
    <xf numFmtId="0" fontId="0" fillId="0" borderId="0" xfId="0" applyAlignment="1"/>
    <xf numFmtId="171" fontId="0" fillId="4" borderId="0" xfId="0" applyNumberFormat="1" applyFill="1"/>
    <xf numFmtId="0" fontId="21" fillId="14" borderId="0" xfId="0" applyFont="1" applyFill="1" applyBorder="1" applyAlignment="1">
      <alignment horizontal="center"/>
    </xf>
    <xf numFmtId="0" fontId="21" fillId="14" borderId="0" xfId="0" applyFont="1" applyFill="1"/>
    <xf numFmtId="0" fontId="3" fillId="0" borderId="0" xfId="0" applyFont="1" applyAlignment="1">
      <alignment wrapText="1"/>
    </xf>
    <xf numFmtId="0" fontId="2" fillId="0" borderId="8" xfId="0" applyFont="1" applyFill="1" applyBorder="1"/>
    <xf numFmtId="0" fontId="0" fillId="0" borderId="0" xfId="0" applyAlignment="1"/>
    <xf numFmtId="0" fontId="0" fillId="0" borderId="0" xfId="0" applyAlignment="1">
      <alignment wrapText="1"/>
    </xf>
    <xf numFmtId="0" fontId="3" fillId="0" borderId="0" xfId="0" applyFont="1" applyAlignment="1">
      <alignment horizontal="left" vertical="top" wrapText="1"/>
    </xf>
    <xf numFmtId="0" fontId="3" fillId="0" borderId="13" xfId="0" applyFont="1" applyBorder="1" applyAlignment="1">
      <alignment horizontal="left" vertical="top" wrapText="1"/>
    </xf>
    <xf numFmtId="165" fontId="14" fillId="0" borderId="0" xfId="2" applyNumberFormat="1" applyFont="1" applyFill="1" applyBorder="1" applyAlignment="1">
      <alignment horizontal="center" vertical="center"/>
    </xf>
    <xf numFmtId="0" fontId="7" fillId="0" borderId="0" xfId="0" applyFont="1" applyFill="1" applyAlignment="1">
      <alignment vertical="center"/>
    </xf>
    <xf numFmtId="0" fontId="14" fillId="0" borderId="0" xfId="0" applyFont="1" applyFill="1" applyAlignment="1">
      <alignment horizontal="left" vertical="center" wrapText="1"/>
    </xf>
    <xf numFmtId="0" fontId="3" fillId="0" borderId="17" xfId="0" applyFont="1" applyBorder="1" applyAlignment="1">
      <alignment horizontal="left" vertical="top" wrapText="1"/>
    </xf>
    <xf numFmtId="0" fontId="3" fillId="0" borderId="0" xfId="0" applyFont="1" applyBorder="1" applyAlignment="1">
      <alignment horizontal="left" vertical="top" wrapText="1"/>
    </xf>
    <xf numFmtId="3" fontId="13" fillId="0" borderId="0" xfId="0" applyNumberFormat="1" applyFont="1" applyFill="1" applyBorder="1" applyAlignment="1">
      <alignment horizontal="left" wrapText="1"/>
    </xf>
    <xf numFmtId="0" fontId="3" fillId="0" borderId="0" xfId="0" applyFont="1" applyAlignment="1">
      <alignment horizontal="left" vertical="center" wrapText="1" indent="1"/>
    </xf>
    <xf numFmtId="165" fontId="3" fillId="0" borderId="0" xfId="2" applyNumberFormat="1" applyFont="1" applyFill="1" applyBorder="1" applyAlignment="1">
      <alignment horizontal="center" vertical="center"/>
    </xf>
    <xf numFmtId="0" fontId="0" fillId="0" borderId="0" xfId="0" applyAlignment="1">
      <alignment vertical="center"/>
    </xf>
    <xf numFmtId="0" fontId="2" fillId="0" borderId="6" xfId="0" applyFont="1" applyBorder="1" applyAlignment="1">
      <alignment horizontal="center"/>
    </xf>
    <xf numFmtId="0" fontId="20" fillId="0" borderId="0" xfId="0" applyFont="1" applyAlignment="1">
      <alignment horizontal="left" vertical="top" wrapText="1"/>
    </xf>
    <xf numFmtId="0" fontId="20" fillId="0" borderId="0" xfId="0" applyFont="1" applyAlignment="1">
      <alignment horizontal="left" vertical="top"/>
    </xf>
    <xf numFmtId="0" fontId="2" fillId="0" borderId="7"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6" xfId="0" applyFont="1" applyFill="1" applyBorder="1" applyAlignment="1">
      <alignment horizontal="center"/>
    </xf>
    <xf numFmtId="0" fontId="2" fillId="0" borderId="7" xfId="0" applyFont="1" applyFill="1" applyBorder="1" applyAlignment="1">
      <alignment horizontal="center"/>
    </xf>
    <xf numFmtId="0" fontId="20" fillId="0" borderId="0" xfId="0" applyFont="1" applyAlignment="1">
      <alignment horizontal="left" wrapText="1"/>
    </xf>
    <xf numFmtId="0" fontId="20" fillId="0" borderId="0" xfId="0" applyFont="1" applyAlignment="1">
      <alignment horizontal="left"/>
    </xf>
    <xf numFmtId="0" fontId="2" fillId="0" borderId="0" xfId="0" applyFont="1" applyBorder="1" applyAlignment="1">
      <alignment horizontal="center"/>
    </xf>
    <xf numFmtId="0" fontId="0" fillId="0" borderId="0" xfId="0" applyAlignment="1">
      <alignment horizontal="left" wrapText="1"/>
    </xf>
    <xf numFmtId="0" fontId="2" fillId="0" borderId="0" xfId="0" applyFont="1" applyAlignment="1">
      <alignment horizontal="center"/>
    </xf>
    <xf numFmtId="0" fontId="20" fillId="0" borderId="0" xfId="0" quotePrefix="1" applyFont="1" applyAlignment="1"/>
    <xf numFmtId="0" fontId="0" fillId="0" borderId="0" xfId="0" quotePrefix="1" applyAlignment="1">
      <alignment vertical="top" wrapText="1"/>
    </xf>
    <xf numFmtId="0" fontId="0" fillId="0" borderId="0" xfId="0" applyAlignment="1">
      <alignment vertical="top" wrapText="1"/>
    </xf>
    <xf numFmtId="0" fontId="0" fillId="0" borderId="0" xfId="0" applyAlignment="1">
      <alignment horizontal="left" vertical="top" wrapText="1"/>
    </xf>
    <xf numFmtId="6" fontId="20" fillId="0" borderId="0" xfId="0" applyNumberFormat="1" applyFont="1" applyFill="1" applyAlignment="1">
      <alignment horizontal="left" wrapText="1"/>
    </xf>
    <xf numFmtId="0" fontId="2" fillId="0" borderId="2" xfId="0" applyFont="1" applyBorder="1" applyAlignment="1">
      <alignment horizont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165" fontId="3" fillId="3" borderId="0" xfId="2" applyNumberFormat="1" applyFont="1" applyFill="1" applyBorder="1"/>
  </cellXfs>
  <cellStyles count="6">
    <cellStyle name="Comma" xfId="2" builtinId="3"/>
    <cellStyle name="Hyperlink" xfId="4" builtinId="8"/>
    <cellStyle name="Normal" xfId="0" builtinId="0"/>
    <cellStyle name="Normal 2" xfId="5"/>
    <cellStyle name="Normal 3" xfId="3"/>
    <cellStyle name="Percent" xfId="1" builtinId="5"/>
  </cellStyles>
  <dxfs count="0"/>
  <tableStyles count="0" defaultTableStyle="TableStyleMedium2" defaultPivotStyle="PivotStyleLight16"/>
  <colors>
    <mruColors>
      <color rgb="FFF7D7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68036</xdr:colOff>
      <xdr:row>0</xdr:row>
      <xdr:rowOff>95249</xdr:rowOff>
    </xdr:from>
    <xdr:to>
      <xdr:col>14</xdr:col>
      <xdr:colOff>353786</xdr:colOff>
      <xdr:row>35</xdr:row>
      <xdr:rowOff>130076</xdr:rowOff>
    </xdr:to>
    <xdr:pic>
      <xdr:nvPicPr>
        <xdr:cNvPr id="2" name="Picture 1">
          <a:extLst>
            <a:ext uri="{FF2B5EF4-FFF2-40B4-BE49-F238E27FC236}">
              <a16:creationId xmlns:a16="http://schemas.microsoft.com/office/drawing/2014/main" id="{7D408BD4-4A94-44DF-B627-D0BE8BD691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036" y="95249"/>
          <a:ext cx="8858250" cy="67023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590550</xdr:colOff>
      <xdr:row>0</xdr:row>
      <xdr:rowOff>180975</xdr:rowOff>
    </xdr:from>
    <xdr:to>
      <xdr:col>17</xdr:col>
      <xdr:colOff>429017</xdr:colOff>
      <xdr:row>29</xdr:row>
      <xdr:rowOff>123825</xdr:rowOff>
    </xdr:to>
    <xdr:pic>
      <xdr:nvPicPr>
        <xdr:cNvPr id="2" name="Picture 1">
          <a:extLst>
            <a:ext uri="{FF2B5EF4-FFF2-40B4-BE49-F238E27FC236}">
              <a16:creationId xmlns:a16="http://schemas.microsoft.com/office/drawing/2014/main" id="{606DD142-D975-487C-A205-075F722C9EF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7246"/>
        <a:stretch/>
      </xdr:blipFill>
      <xdr:spPr>
        <a:xfrm>
          <a:off x="7086600" y="180975"/>
          <a:ext cx="5324867" cy="62579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rcgis.com/home/item.html?id=8d2012a2016e484dafaac0451f9aea24" TargetMode="External"/><Relationship Id="rId1" Type="http://schemas.openxmlformats.org/officeDocument/2006/relationships/hyperlink" Target="https://www.census.gov/geo/maps-data/data/tiger-line.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2.x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V42"/>
  <sheetViews>
    <sheetView topLeftCell="A31" zoomScale="85" zoomScaleNormal="85" workbookViewId="0">
      <selection activeCell="G32" sqref="G32"/>
    </sheetView>
  </sheetViews>
  <sheetFormatPr defaultRowHeight="15" x14ac:dyDescent="0.25"/>
  <cols>
    <col min="2" max="2" width="20.7109375" customWidth="1"/>
    <col min="3" max="3" width="62.5703125" customWidth="1"/>
    <col min="4" max="4" width="31.5703125" customWidth="1"/>
    <col min="5" max="5" width="60.7109375" customWidth="1"/>
  </cols>
  <sheetData>
    <row r="4" spans="2:22" ht="15.75" x14ac:dyDescent="0.25">
      <c r="B4" s="61" t="s">
        <v>83</v>
      </c>
    </row>
    <row r="6" spans="2:22" x14ac:dyDescent="0.25">
      <c r="B6" s="62" t="s">
        <v>84</v>
      </c>
      <c r="C6" s="63" t="s">
        <v>85</v>
      </c>
      <c r="D6" s="63" t="s">
        <v>86</v>
      </c>
      <c r="E6" s="64" t="s">
        <v>87</v>
      </c>
    </row>
    <row r="7" spans="2:22" x14ac:dyDescent="0.25">
      <c r="B7" s="101" t="s">
        <v>91</v>
      </c>
      <c r="C7" s="102" t="s">
        <v>396</v>
      </c>
      <c r="D7" s="103" t="s">
        <v>100</v>
      </c>
      <c r="E7" s="104" t="s">
        <v>92</v>
      </c>
    </row>
    <row r="8" spans="2:22" x14ac:dyDescent="0.25">
      <c r="B8" s="105"/>
      <c r="C8" s="68"/>
      <c r="D8" s="68"/>
      <c r="E8" s="106" t="s">
        <v>93</v>
      </c>
    </row>
    <row r="9" spans="2:22" x14ac:dyDescent="0.25">
      <c r="B9" s="105"/>
      <c r="C9" s="68" t="s">
        <v>398</v>
      </c>
      <c r="D9" s="107" t="s">
        <v>101</v>
      </c>
      <c r="E9" s="108" t="s">
        <v>102</v>
      </c>
      <c r="J9" s="377"/>
      <c r="K9" s="377"/>
      <c r="L9" s="377"/>
      <c r="M9" s="377"/>
      <c r="N9" s="377"/>
      <c r="O9" s="377"/>
      <c r="P9" s="377"/>
      <c r="Q9" s="377"/>
      <c r="R9" s="377"/>
      <c r="S9" s="377"/>
      <c r="T9" s="377"/>
      <c r="U9" s="377"/>
      <c r="V9" s="377"/>
    </row>
    <row r="10" spans="2:22" x14ac:dyDescent="0.25">
      <c r="B10" s="109"/>
      <c r="C10" s="110"/>
      <c r="D10" s="110"/>
      <c r="E10" s="111" t="s">
        <v>103</v>
      </c>
      <c r="J10" s="378"/>
      <c r="K10" s="378"/>
      <c r="L10" s="378"/>
      <c r="M10" s="378"/>
      <c r="N10" s="378"/>
      <c r="O10" s="378"/>
      <c r="P10" s="378"/>
      <c r="Q10" s="378"/>
      <c r="R10" s="378"/>
      <c r="S10" s="378"/>
      <c r="T10" s="378"/>
      <c r="U10" s="378"/>
      <c r="V10" s="378"/>
    </row>
    <row r="11" spans="2:22" ht="45" x14ac:dyDescent="0.25">
      <c r="B11" s="113" t="s">
        <v>139</v>
      </c>
      <c r="C11" s="334" t="s">
        <v>550</v>
      </c>
      <c r="D11" s="103" t="s">
        <v>106</v>
      </c>
      <c r="E11" s="104" t="s">
        <v>104</v>
      </c>
      <c r="J11" s="377"/>
      <c r="K11" s="377"/>
      <c r="L11" s="377"/>
      <c r="M11" s="377"/>
      <c r="N11" s="377"/>
      <c r="O11" s="377"/>
      <c r="P11" s="377"/>
      <c r="Q11" s="377"/>
      <c r="R11" s="377"/>
      <c r="S11" s="377"/>
      <c r="T11" s="377"/>
      <c r="U11" s="377"/>
      <c r="V11" s="377"/>
    </row>
    <row r="12" spans="2:22" x14ac:dyDescent="0.25">
      <c r="B12" s="105"/>
      <c r="C12" s="68"/>
      <c r="D12" s="68"/>
      <c r="E12" s="106" t="s">
        <v>110</v>
      </c>
    </row>
    <row r="13" spans="2:22" x14ac:dyDescent="0.25">
      <c r="B13" s="105"/>
      <c r="C13" s="68"/>
      <c r="D13" s="68"/>
      <c r="E13" s="106" t="s">
        <v>111</v>
      </c>
    </row>
    <row r="14" spans="2:22" ht="30" x14ac:dyDescent="0.25">
      <c r="B14" s="109"/>
      <c r="C14" s="110"/>
      <c r="D14" s="110"/>
      <c r="E14" s="112" t="s">
        <v>108</v>
      </c>
    </row>
    <row r="15" spans="2:22" ht="30" x14ac:dyDescent="0.25">
      <c r="B15" s="113" t="s">
        <v>140</v>
      </c>
      <c r="C15" s="334" t="s">
        <v>550</v>
      </c>
      <c r="D15" s="103" t="s">
        <v>105</v>
      </c>
      <c r="E15" s="104" t="s">
        <v>104</v>
      </c>
    </row>
    <row r="16" spans="2:22" x14ac:dyDescent="0.25">
      <c r="B16" s="105"/>
      <c r="C16" s="68"/>
      <c r="D16" s="68"/>
      <c r="E16" s="106" t="s">
        <v>110</v>
      </c>
    </row>
    <row r="17" spans="2:5" x14ac:dyDescent="0.25">
      <c r="B17" s="105"/>
      <c r="C17" s="68"/>
      <c r="D17" s="68"/>
      <c r="E17" s="106" t="s">
        <v>111</v>
      </c>
    </row>
    <row r="18" spans="2:5" ht="30" x14ac:dyDescent="0.25">
      <c r="B18" s="109"/>
      <c r="C18" s="110"/>
      <c r="D18" s="110"/>
      <c r="E18" s="112" t="s">
        <v>109</v>
      </c>
    </row>
    <row r="19" spans="2:5" x14ac:dyDescent="0.25">
      <c r="B19" s="101" t="s">
        <v>123</v>
      </c>
      <c r="C19" s="102" t="s">
        <v>397</v>
      </c>
      <c r="D19" s="103" t="s">
        <v>127</v>
      </c>
      <c r="E19" s="104" t="s">
        <v>126</v>
      </c>
    </row>
    <row r="20" spans="2:5" x14ac:dyDescent="0.25">
      <c r="B20" s="105"/>
      <c r="C20" s="68"/>
      <c r="D20" s="68"/>
      <c r="E20" s="106" t="s">
        <v>124</v>
      </c>
    </row>
    <row r="21" spans="2:5" x14ac:dyDescent="0.25">
      <c r="B21" s="109"/>
      <c r="C21" s="110"/>
      <c r="D21" s="110"/>
      <c r="E21" s="111" t="s">
        <v>125</v>
      </c>
    </row>
    <row r="22" spans="2:5" x14ac:dyDescent="0.25">
      <c r="B22" s="93" t="s">
        <v>135</v>
      </c>
      <c r="C22" s="94" t="s">
        <v>393</v>
      </c>
      <c r="D22" s="95" t="s">
        <v>138</v>
      </c>
      <c r="E22" s="96" t="s">
        <v>104</v>
      </c>
    </row>
    <row r="23" spans="2:5" x14ac:dyDescent="0.25">
      <c r="B23" s="97"/>
      <c r="C23" s="98"/>
      <c r="D23" s="302"/>
      <c r="E23" s="303" t="s">
        <v>385</v>
      </c>
    </row>
    <row r="24" spans="2:5" x14ac:dyDescent="0.25">
      <c r="B24" s="97"/>
      <c r="C24" s="98"/>
      <c r="D24" s="98"/>
      <c r="E24" s="303" t="s">
        <v>386</v>
      </c>
    </row>
    <row r="25" spans="2:5" x14ac:dyDescent="0.25">
      <c r="B25" s="97"/>
      <c r="C25" s="98"/>
      <c r="D25" s="98"/>
      <c r="E25" s="303" t="s">
        <v>387</v>
      </c>
    </row>
    <row r="26" spans="2:5" x14ac:dyDescent="0.25">
      <c r="B26" s="99"/>
      <c r="C26" s="100"/>
      <c r="D26" s="100"/>
      <c r="E26" s="304" t="s">
        <v>388</v>
      </c>
    </row>
    <row r="28" spans="2:5" x14ac:dyDescent="0.25">
      <c r="B28" s="1" t="s">
        <v>88</v>
      </c>
    </row>
    <row r="30" spans="2:5" x14ac:dyDescent="0.25">
      <c r="B30" s="65" t="s">
        <v>89</v>
      </c>
      <c r="C30" s="66" t="s">
        <v>85</v>
      </c>
      <c r="D30" s="66" t="s">
        <v>86</v>
      </c>
      <c r="E30" s="67" t="s">
        <v>90</v>
      </c>
    </row>
    <row r="31" spans="2:5" ht="90" x14ac:dyDescent="0.25">
      <c r="B31" s="114" t="s">
        <v>389</v>
      </c>
      <c r="C31" s="354" t="s">
        <v>602</v>
      </c>
      <c r="D31" s="116" t="s">
        <v>390</v>
      </c>
      <c r="E31" s="117" t="s">
        <v>391</v>
      </c>
    </row>
    <row r="32" spans="2:5" ht="45" x14ac:dyDescent="0.25">
      <c r="B32" s="114" t="s">
        <v>114</v>
      </c>
      <c r="C32" s="115" t="s">
        <v>551</v>
      </c>
      <c r="D32" s="115" t="s">
        <v>128</v>
      </c>
      <c r="E32" s="117" t="s">
        <v>558</v>
      </c>
    </row>
    <row r="33" spans="2:5" ht="75" x14ac:dyDescent="0.25">
      <c r="B33" s="114" t="s">
        <v>129</v>
      </c>
      <c r="C33" s="115" t="s">
        <v>665</v>
      </c>
      <c r="D33" s="118" t="s">
        <v>119</v>
      </c>
      <c r="E33" s="117" t="s">
        <v>667</v>
      </c>
    </row>
    <row r="34" spans="2:5" ht="97.5" customHeight="1" x14ac:dyDescent="0.25">
      <c r="B34" s="114" t="s">
        <v>556</v>
      </c>
      <c r="C34" s="115" t="s">
        <v>557</v>
      </c>
      <c r="D34" s="115" t="s">
        <v>128</v>
      </c>
      <c r="E34" s="117" t="s">
        <v>560</v>
      </c>
    </row>
    <row r="35" spans="2:5" ht="165" x14ac:dyDescent="0.25">
      <c r="B35" s="114" t="s">
        <v>115</v>
      </c>
      <c r="C35" s="115" t="s">
        <v>559</v>
      </c>
      <c r="D35" s="115" t="s">
        <v>128</v>
      </c>
      <c r="E35" s="117" t="s">
        <v>117</v>
      </c>
    </row>
    <row r="36" spans="2:5" ht="155.25" customHeight="1" x14ac:dyDescent="0.25">
      <c r="B36" s="114" t="s">
        <v>118</v>
      </c>
      <c r="C36" s="334" t="s">
        <v>397</v>
      </c>
      <c r="D36" s="118" t="s">
        <v>119</v>
      </c>
      <c r="E36" s="117" t="s">
        <v>120</v>
      </c>
    </row>
    <row r="37" spans="2:5" ht="45" x14ac:dyDescent="0.25">
      <c r="B37" s="114" t="s">
        <v>121</v>
      </c>
      <c r="C37" s="115"/>
      <c r="D37" s="118" t="s">
        <v>119</v>
      </c>
      <c r="E37" s="117" t="s">
        <v>122</v>
      </c>
    </row>
    <row r="38" spans="2:5" ht="30" x14ac:dyDescent="0.25">
      <c r="B38" s="114" t="s">
        <v>130</v>
      </c>
      <c r="C38" s="354" t="s">
        <v>552</v>
      </c>
      <c r="D38" s="118" t="s">
        <v>127</v>
      </c>
      <c r="E38" s="117" t="s">
        <v>134</v>
      </c>
    </row>
    <row r="39" spans="2:5" ht="30" x14ac:dyDescent="0.25">
      <c r="B39" s="114" t="s">
        <v>131</v>
      </c>
      <c r="C39" s="354" t="s">
        <v>552</v>
      </c>
      <c r="D39" s="118" t="s">
        <v>127</v>
      </c>
      <c r="E39" s="117" t="s">
        <v>132</v>
      </c>
    </row>
    <row r="40" spans="2:5" ht="30" x14ac:dyDescent="0.25">
      <c r="B40" s="119" t="s">
        <v>133</v>
      </c>
      <c r="C40" s="115" t="s">
        <v>564</v>
      </c>
      <c r="D40" s="118" t="s">
        <v>127</v>
      </c>
      <c r="E40" s="117" t="s">
        <v>132</v>
      </c>
    </row>
    <row r="41" spans="2:5" ht="45" x14ac:dyDescent="0.25">
      <c r="B41" s="114" t="s">
        <v>565</v>
      </c>
      <c r="C41" s="118" t="s">
        <v>571</v>
      </c>
      <c r="D41" s="116" t="s">
        <v>566</v>
      </c>
      <c r="E41" s="117" t="s">
        <v>567</v>
      </c>
    </row>
    <row r="42" spans="2:5" ht="90" x14ac:dyDescent="0.25">
      <c r="B42" s="114" t="s">
        <v>568</v>
      </c>
      <c r="C42" s="118" t="s">
        <v>572</v>
      </c>
      <c r="D42" s="116" t="s">
        <v>569</v>
      </c>
      <c r="E42" s="117" t="s">
        <v>570</v>
      </c>
    </row>
  </sheetData>
  <mergeCells count="3">
    <mergeCell ref="J9:V9"/>
    <mergeCell ref="J10:V10"/>
    <mergeCell ref="J11:V11"/>
  </mergeCells>
  <hyperlinks>
    <hyperlink ref="D7" location="'Employment Forecast SANDAG'!A1" display="Employment Forecast"/>
    <hyperlink ref="D31" location="'Vanpool ODs'!A1" display="Vanpool ODs"/>
    <hyperlink ref="D9" location="'Employment Forecast SCAG'!A1" display="Employment Forecast SCAG"/>
    <hyperlink ref="D11" location="'ML Time Savings (Non-Military)'!B7" display="ML Time Savings (Non Mil)"/>
    <hyperlink ref="D15" location="'ML Time Savings (Military)'!B7" display="ML Time Savings (Mil)"/>
    <hyperlink ref="D36" location="'Lease Subsidy'!B7" display="Lease Subsidy"/>
    <hyperlink ref="D37" location="'Lease Subsidy'!G8" display="Lease Subsidy"/>
    <hyperlink ref="D19" location="'Main Sheet'!A31" display="Main Sheet"/>
    <hyperlink ref="D38" location="'Main Sheet'!A9" display="Main Sheet"/>
    <hyperlink ref="D39" location="'Main Sheet'!A17" display="Main Sheet"/>
    <hyperlink ref="D40" location="'Main Sheet'!A21" display="Main Sheet"/>
    <hyperlink ref="D22" location="'Emission Factors'!A1" display="Emission Factors"/>
    <hyperlink ref="D33" location="'Lease Subsidy'!C59" display="Lease Subsidy"/>
    <hyperlink ref="D42" location="'External Gateways'!A1" display="External Gateway"/>
    <hyperlink ref="D41" location="'ZipCode Coordinates'!A1" display="Zipcode Coordinates"/>
    <hyperlink ref="C42" r:id="rId1" display="https://www.census.gov/geo/maps-data/data/tiger-line.html"/>
    <hyperlink ref="C41" r:id="rId2" display="https://www.arcgis.com/home/item.html?id=8d2012a2016e484dafaac0451f9aea24"/>
  </hyperlinks>
  <pageMargins left="0.7" right="0.7" top="0.75" bottom="0.75" header="0.3" footer="0.3"/>
  <pageSetup orientation="portrait" verticalDpi="0"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6"/>
  <sheetViews>
    <sheetView topLeftCell="C1" zoomScale="85" zoomScaleNormal="85" workbookViewId="0">
      <selection activeCell="G5" sqref="G5"/>
    </sheetView>
  </sheetViews>
  <sheetFormatPr defaultRowHeight="15" x14ac:dyDescent="0.25"/>
  <cols>
    <col min="2" max="2" width="10.7109375" bestFit="1" customWidth="1"/>
    <col min="4" max="4" width="20.7109375" customWidth="1"/>
    <col min="9" max="9" width="19.28515625" bestFit="1" customWidth="1"/>
    <col min="10" max="10" width="21" bestFit="1" customWidth="1"/>
    <col min="29" max="29" width="11.140625" customWidth="1"/>
    <col min="30" max="30" width="17.5703125" bestFit="1" customWidth="1"/>
    <col min="31" max="31" width="12.85546875" bestFit="1" customWidth="1"/>
    <col min="32" max="32" width="8.85546875" customWidth="1"/>
    <col min="33" max="33" width="11" customWidth="1"/>
    <col min="36" max="36" width="11.85546875" customWidth="1"/>
    <col min="38" max="38" width="10.28515625" bestFit="1" customWidth="1"/>
  </cols>
  <sheetData>
    <row r="1" spans="1:38" x14ac:dyDescent="0.25">
      <c r="A1" t="s">
        <v>2</v>
      </c>
      <c r="B1" t="s">
        <v>7</v>
      </c>
      <c r="C1" t="s">
        <v>8</v>
      </c>
      <c r="D1" t="s">
        <v>9</v>
      </c>
      <c r="E1" t="s">
        <v>10</v>
      </c>
      <c r="F1" t="s">
        <v>11</v>
      </c>
      <c r="G1" t="s">
        <v>12</v>
      </c>
      <c r="H1" t="s">
        <v>13</v>
      </c>
      <c r="I1" t="s">
        <v>14</v>
      </c>
      <c r="J1" t="s">
        <v>15</v>
      </c>
      <c r="K1" t="s">
        <v>16</v>
      </c>
      <c r="L1" t="s">
        <v>17</v>
      </c>
      <c r="M1" t="s">
        <v>18</v>
      </c>
      <c r="N1" t="s">
        <v>19</v>
      </c>
      <c r="O1" t="s">
        <v>20</v>
      </c>
      <c r="P1" t="s">
        <v>21</v>
      </c>
      <c r="Q1" t="s">
        <v>22</v>
      </c>
      <c r="R1" t="s">
        <v>23</v>
      </c>
      <c r="S1" t="s">
        <v>24</v>
      </c>
      <c r="T1" t="s">
        <v>25</v>
      </c>
      <c r="U1" t="s">
        <v>26</v>
      </c>
      <c r="V1" t="s">
        <v>27</v>
      </c>
      <c r="W1" t="s">
        <v>28</v>
      </c>
      <c r="X1" t="s">
        <v>29</v>
      </c>
      <c r="Y1" t="s">
        <v>30</v>
      </c>
      <c r="Z1" t="s">
        <v>31</v>
      </c>
      <c r="AA1" t="s">
        <v>32</v>
      </c>
      <c r="AB1" t="s">
        <v>33</v>
      </c>
      <c r="AC1" t="s">
        <v>34</v>
      </c>
      <c r="AD1" t="s">
        <v>35</v>
      </c>
      <c r="AE1" t="s">
        <v>36</v>
      </c>
      <c r="AF1" t="s">
        <v>37</v>
      </c>
      <c r="AG1" t="s">
        <v>38</v>
      </c>
      <c r="AH1" t="s">
        <v>39</v>
      </c>
      <c r="AI1" t="s">
        <v>40</v>
      </c>
      <c r="AJ1" t="s">
        <v>41</v>
      </c>
    </row>
    <row r="2" spans="1:38" s="24" customFormat="1" x14ac:dyDescent="0.25">
      <c r="A2" s="24">
        <v>2016</v>
      </c>
      <c r="C2" s="24">
        <v>0</v>
      </c>
      <c r="D2" s="24" t="s">
        <v>42</v>
      </c>
      <c r="E2" s="24">
        <v>168</v>
      </c>
      <c r="F2" s="24">
        <v>607</v>
      </c>
      <c r="G2" s="24">
        <v>192</v>
      </c>
      <c r="H2" s="24">
        <v>317</v>
      </c>
      <c r="I2" s="24">
        <v>514</v>
      </c>
      <c r="J2" s="24">
        <v>4686</v>
      </c>
      <c r="K2" s="24">
        <v>1591</v>
      </c>
      <c r="L2" s="24">
        <v>6563</v>
      </c>
      <c r="M2" s="24">
        <v>8061</v>
      </c>
      <c r="N2" s="24">
        <v>4888</v>
      </c>
      <c r="O2" s="24">
        <v>9949</v>
      </c>
      <c r="P2" s="24">
        <v>24185</v>
      </c>
      <c r="Q2" s="24">
        <v>38655</v>
      </c>
      <c r="R2" s="24">
        <v>16143</v>
      </c>
      <c r="S2" s="24">
        <v>1769</v>
      </c>
      <c r="T2" s="24">
        <v>5753</v>
      </c>
      <c r="U2" s="24">
        <v>44802</v>
      </c>
      <c r="V2" s="24">
        <v>6575</v>
      </c>
      <c r="W2" s="24">
        <v>7236</v>
      </c>
      <c r="X2" s="24">
        <v>13977</v>
      </c>
      <c r="Y2" s="24">
        <v>36578</v>
      </c>
      <c r="Z2" s="24">
        <v>11351</v>
      </c>
      <c r="AA2" s="24">
        <v>0</v>
      </c>
      <c r="AB2" s="24">
        <v>2968</v>
      </c>
      <c r="AC2" s="24">
        <v>6104</v>
      </c>
      <c r="AD2" s="24">
        <v>3838</v>
      </c>
      <c r="AE2" s="24">
        <v>72633</v>
      </c>
      <c r="AF2" s="24">
        <v>3031</v>
      </c>
      <c r="AG2" s="24">
        <v>5306</v>
      </c>
      <c r="AH2" s="24">
        <v>21285</v>
      </c>
      <c r="AI2" s="24">
        <v>0</v>
      </c>
      <c r="AJ2" s="24">
        <v>359725</v>
      </c>
      <c r="AL2" s="372"/>
    </row>
    <row r="3" spans="1:38" s="24" customFormat="1" x14ac:dyDescent="0.25">
      <c r="A3" s="24">
        <v>2016</v>
      </c>
      <c r="C3" s="24">
        <v>1</v>
      </c>
      <c r="D3" s="24" t="s">
        <v>43</v>
      </c>
      <c r="E3" s="24">
        <v>652</v>
      </c>
      <c r="F3" s="24">
        <v>2661</v>
      </c>
      <c r="G3" s="24">
        <v>911</v>
      </c>
      <c r="H3" s="24">
        <v>1350</v>
      </c>
      <c r="I3" s="24">
        <v>2217</v>
      </c>
      <c r="J3" s="24">
        <v>18661</v>
      </c>
      <c r="K3" s="24">
        <v>6285</v>
      </c>
      <c r="L3" s="24">
        <v>20228</v>
      </c>
      <c r="M3" s="24">
        <v>25113</v>
      </c>
      <c r="N3" s="24">
        <v>20074</v>
      </c>
      <c r="O3" s="24">
        <v>12269</v>
      </c>
      <c r="P3" s="24">
        <v>49757</v>
      </c>
      <c r="Q3" s="24">
        <v>152273</v>
      </c>
      <c r="R3" s="24">
        <v>70282</v>
      </c>
      <c r="S3" s="24">
        <v>4017</v>
      </c>
      <c r="T3" s="24">
        <v>13311</v>
      </c>
      <c r="U3" s="24">
        <v>74415</v>
      </c>
      <c r="V3" s="24">
        <v>8903</v>
      </c>
      <c r="W3" s="24">
        <v>12123</v>
      </c>
      <c r="X3" s="24">
        <v>10729</v>
      </c>
      <c r="Y3" s="24">
        <v>39798</v>
      </c>
      <c r="Z3" s="24">
        <v>13239</v>
      </c>
      <c r="AA3" s="24">
        <v>0</v>
      </c>
      <c r="AB3" s="24">
        <v>4713</v>
      </c>
      <c r="AC3" s="24">
        <v>7672</v>
      </c>
      <c r="AD3" s="24">
        <v>1675</v>
      </c>
      <c r="AE3" s="24">
        <v>8604</v>
      </c>
      <c r="AF3" s="24">
        <v>3824</v>
      </c>
      <c r="AG3" s="24">
        <v>6677</v>
      </c>
      <c r="AH3" s="24">
        <v>42707</v>
      </c>
      <c r="AI3" s="24">
        <v>0</v>
      </c>
      <c r="AJ3" s="24">
        <v>635140</v>
      </c>
    </row>
    <row r="4" spans="1:38" s="24" customFormat="1" x14ac:dyDescent="0.25">
      <c r="A4" s="24">
        <v>2016</v>
      </c>
      <c r="C4" s="24">
        <v>2</v>
      </c>
      <c r="D4" s="24" t="s">
        <v>44</v>
      </c>
      <c r="E4" s="24">
        <v>201</v>
      </c>
      <c r="F4" s="24">
        <v>214</v>
      </c>
      <c r="G4" s="24">
        <v>63</v>
      </c>
      <c r="H4" s="24">
        <v>79</v>
      </c>
      <c r="I4" s="24">
        <v>151</v>
      </c>
      <c r="J4" s="24">
        <v>1747</v>
      </c>
      <c r="K4" s="24">
        <v>654</v>
      </c>
      <c r="L4" s="24">
        <v>3864</v>
      </c>
      <c r="M4" s="24">
        <v>4823</v>
      </c>
      <c r="N4" s="24">
        <v>4346</v>
      </c>
      <c r="O4" s="24">
        <v>5517</v>
      </c>
      <c r="P4" s="24">
        <v>19810</v>
      </c>
      <c r="Q4" s="24">
        <v>11123</v>
      </c>
      <c r="R4" s="24">
        <v>3479</v>
      </c>
      <c r="S4" s="24">
        <v>298</v>
      </c>
      <c r="T4" s="24">
        <v>967</v>
      </c>
      <c r="U4" s="24">
        <v>16838</v>
      </c>
      <c r="V4" s="24">
        <v>1925</v>
      </c>
      <c r="W4" s="24">
        <v>1476</v>
      </c>
      <c r="X4" s="24">
        <v>916</v>
      </c>
      <c r="Y4" s="24">
        <v>10701</v>
      </c>
      <c r="Z4" s="24">
        <v>3237</v>
      </c>
      <c r="AA4" s="24">
        <v>0</v>
      </c>
      <c r="AB4" s="24">
        <v>1768</v>
      </c>
      <c r="AC4" s="24">
        <v>1647</v>
      </c>
      <c r="AD4" s="24">
        <v>3577</v>
      </c>
      <c r="AE4" s="24">
        <v>1369</v>
      </c>
      <c r="AF4" s="24">
        <v>818</v>
      </c>
      <c r="AG4" s="24">
        <v>1442</v>
      </c>
      <c r="AH4" s="24">
        <v>12136</v>
      </c>
      <c r="AI4" s="24">
        <v>0</v>
      </c>
      <c r="AJ4" s="24">
        <v>115186</v>
      </c>
    </row>
    <row r="5" spans="1:38" s="24" customFormat="1" x14ac:dyDescent="0.25">
      <c r="A5" s="24">
        <v>2016</v>
      </c>
      <c r="C5" s="24">
        <v>3</v>
      </c>
      <c r="D5" s="24" t="s">
        <v>45</v>
      </c>
      <c r="E5" s="24">
        <v>343</v>
      </c>
      <c r="F5" s="24">
        <v>1937</v>
      </c>
      <c r="G5" s="24">
        <v>615</v>
      </c>
      <c r="H5" s="24">
        <v>253</v>
      </c>
      <c r="I5" s="24">
        <v>582</v>
      </c>
      <c r="J5" s="24">
        <v>13637</v>
      </c>
      <c r="K5" s="24">
        <v>4541</v>
      </c>
      <c r="L5" s="24">
        <v>3772</v>
      </c>
      <c r="M5" s="24">
        <v>4665</v>
      </c>
      <c r="N5" s="24">
        <v>2610</v>
      </c>
      <c r="O5" s="24">
        <v>2448</v>
      </c>
      <c r="P5" s="24">
        <v>21789</v>
      </c>
      <c r="Q5" s="24">
        <v>13803</v>
      </c>
      <c r="R5" s="24">
        <v>4798</v>
      </c>
      <c r="S5" s="24">
        <v>400</v>
      </c>
      <c r="T5" s="24">
        <v>1377</v>
      </c>
      <c r="U5" s="24">
        <v>24386</v>
      </c>
      <c r="V5" s="24">
        <v>3204</v>
      </c>
      <c r="W5" s="24">
        <v>9408</v>
      </c>
      <c r="X5" s="24">
        <v>775</v>
      </c>
      <c r="Y5" s="24">
        <v>14467</v>
      </c>
      <c r="Z5" s="24">
        <v>4756</v>
      </c>
      <c r="AA5" s="24">
        <v>0</v>
      </c>
      <c r="AB5" s="24">
        <v>2491</v>
      </c>
      <c r="AC5" s="24">
        <v>886</v>
      </c>
      <c r="AD5" s="24">
        <v>270</v>
      </c>
      <c r="AE5" s="24">
        <v>0</v>
      </c>
      <c r="AF5" s="24">
        <v>453</v>
      </c>
      <c r="AG5" s="24">
        <v>777</v>
      </c>
      <c r="AH5" s="24">
        <v>12824</v>
      </c>
      <c r="AI5" s="24">
        <v>0</v>
      </c>
      <c r="AJ5" s="24">
        <v>152267</v>
      </c>
    </row>
    <row r="6" spans="1:38" s="24" customFormat="1" x14ac:dyDescent="0.25">
      <c r="A6" s="24">
        <v>2016</v>
      </c>
      <c r="C6" s="24">
        <v>4</v>
      </c>
      <c r="D6" s="24" t="s">
        <v>46</v>
      </c>
      <c r="E6" s="24">
        <v>1425</v>
      </c>
      <c r="F6" s="24">
        <v>568</v>
      </c>
      <c r="G6" s="24">
        <v>156</v>
      </c>
      <c r="H6" s="24">
        <v>355</v>
      </c>
      <c r="I6" s="24">
        <v>527</v>
      </c>
      <c r="J6" s="24">
        <v>4249</v>
      </c>
      <c r="K6" s="24">
        <v>1493</v>
      </c>
      <c r="L6" s="24">
        <v>6902</v>
      </c>
      <c r="M6" s="24">
        <v>8553</v>
      </c>
      <c r="N6" s="24">
        <v>7707</v>
      </c>
      <c r="O6" s="24">
        <v>2971</v>
      </c>
      <c r="P6" s="24">
        <v>21506</v>
      </c>
      <c r="Q6" s="24">
        <v>27632</v>
      </c>
      <c r="R6" s="24">
        <v>10528</v>
      </c>
      <c r="S6" s="24">
        <v>732</v>
      </c>
      <c r="T6" s="24">
        <v>2420</v>
      </c>
      <c r="U6" s="24">
        <v>20298</v>
      </c>
      <c r="V6" s="24">
        <v>3372</v>
      </c>
      <c r="W6" s="24">
        <v>8207</v>
      </c>
      <c r="X6" s="24">
        <v>3490</v>
      </c>
      <c r="Y6" s="24">
        <v>18413</v>
      </c>
      <c r="Z6" s="24">
        <v>5346</v>
      </c>
      <c r="AA6" s="24">
        <v>0</v>
      </c>
      <c r="AB6" s="24">
        <v>2132</v>
      </c>
      <c r="AC6" s="24">
        <v>1057</v>
      </c>
      <c r="AD6" s="24">
        <v>1852</v>
      </c>
      <c r="AE6" s="24">
        <v>42704</v>
      </c>
      <c r="AF6" s="24">
        <v>529</v>
      </c>
      <c r="AG6" s="24">
        <v>924</v>
      </c>
      <c r="AH6" s="24">
        <v>6404</v>
      </c>
      <c r="AI6" s="24">
        <v>0</v>
      </c>
      <c r="AJ6" s="24">
        <v>212452</v>
      </c>
    </row>
    <row r="7" spans="1:38" s="24" customFormat="1" x14ac:dyDescent="0.25">
      <c r="A7" s="24">
        <v>2016</v>
      </c>
      <c r="C7" s="24">
        <v>5</v>
      </c>
      <c r="D7" s="24" t="s">
        <v>47</v>
      </c>
      <c r="E7" s="24">
        <v>6278</v>
      </c>
      <c r="F7" s="24">
        <v>1836</v>
      </c>
      <c r="G7" s="24">
        <v>611</v>
      </c>
      <c r="H7" s="24">
        <v>292</v>
      </c>
      <c r="I7" s="24">
        <v>532</v>
      </c>
      <c r="J7" s="24">
        <v>11539</v>
      </c>
      <c r="K7" s="24">
        <v>3898</v>
      </c>
      <c r="L7" s="24">
        <v>7339</v>
      </c>
      <c r="M7" s="24">
        <v>9189</v>
      </c>
      <c r="N7" s="24">
        <v>6976</v>
      </c>
      <c r="O7" s="24">
        <v>2917</v>
      </c>
      <c r="P7" s="24">
        <v>19272</v>
      </c>
      <c r="Q7" s="24">
        <v>17544</v>
      </c>
      <c r="R7" s="24">
        <v>7836</v>
      </c>
      <c r="S7" s="24">
        <v>401</v>
      </c>
      <c r="T7" s="24">
        <v>1426</v>
      </c>
      <c r="U7" s="24">
        <v>17982</v>
      </c>
      <c r="V7" s="24">
        <v>2616</v>
      </c>
      <c r="W7" s="24">
        <v>6771</v>
      </c>
      <c r="X7" s="24">
        <v>3095</v>
      </c>
      <c r="Y7" s="24">
        <v>11246</v>
      </c>
      <c r="Z7" s="24">
        <v>4372</v>
      </c>
      <c r="AA7" s="24">
        <v>0</v>
      </c>
      <c r="AB7" s="24">
        <v>1846</v>
      </c>
      <c r="AC7" s="24">
        <v>1312</v>
      </c>
      <c r="AD7" s="24">
        <v>235</v>
      </c>
      <c r="AE7" s="24">
        <v>0</v>
      </c>
      <c r="AF7" s="24">
        <v>652</v>
      </c>
      <c r="AG7" s="24">
        <v>1141</v>
      </c>
      <c r="AH7" s="24">
        <v>15701</v>
      </c>
      <c r="AI7" s="24">
        <v>0</v>
      </c>
      <c r="AJ7" s="24">
        <v>164855</v>
      </c>
    </row>
    <row r="8" spans="1:38" s="24" customFormat="1" x14ac:dyDescent="0.25">
      <c r="A8" s="24">
        <v>2016</v>
      </c>
      <c r="C8" s="24">
        <v>6</v>
      </c>
      <c r="D8" s="24" t="s">
        <v>48</v>
      </c>
      <c r="E8" s="24">
        <v>233</v>
      </c>
      <c r="F8" s="24">
        <v>9</v>
      </c>
      <c r="G8" s="24">
        <v>1</v>
      </c>
      <c r="H8" s="24">
        <v>16</v>
      </c>
      <c r="I8" s="24">
        <v>23</v>
      </c>
      <c r="J8" s="24">
        <v>92</v>
      </c>
      <c r="K8" s="24">
        <v>44</v>
      </c>
      <c r="L8" s="24">
        <v>70</v>
      </c>
      <c r="M8" s="24">
        <v>92</v>
      </c>
      <c r="N8" s="24">
        <v>24</v>
      </c>
      <c r="O8" s="24">
        <v>112</v>
      </c>
      <c r="P8" s="24">
        <v>293</v>
      </c>
      <c r="Q8" s="24">
        <v>301</v>
      </c>
      <c r="R8" s="24">
        <v>80</v>
      </c>
      <c r="S8" s="24">
        <v>5</v>
      </c>
      <c r="T8" s="24">
        <v>16</v>
      </c>
      <c r="U8" s="24">
        <v>979</v>
      </c>
      <c r="V8" s="24">
        <v>73</v>
      </c>
      <c r="W8" s="24">
        <v>418</v>
      </c>
      <c r="X8" s="24">
        <v>112</v>
      </c>
      <c r="Y8" s="24">
        <v>391</v>
      </c>
      <c r="Z8" s="24">
        <v>155</v>
      </c>
      <c r="AA8" s="24">
        <v>0</v>
      </c>
      <c r="AB8" s="24">
        <v>59</v>
      </c>
      <c r="AC8" s="24">
        <v>89</v>
      </c>
      <c r="AD8" s="24">
        <v>7</v>
      </c>
      <c r="AE8" s="24">
        <v>0</v>
      </c>
      <c r="AF8" s="24">
        <v>48</v>
      </c>
      <c r="AG8" s="24">
        <v>77</v>
      </c>
      <c r="AH8" s="24">
        <v>843</v>
      </c>
      <c r="AI8" s="24">
        <v>0</v>
      </c>
      <c r="AJ8" s="24">
        <v>4662</v>
      </c>
    </row>
    <row r="9" spans="1:38" x14ac:dyDescent="0.25">
      <c r="A9">
        <v>2020</v>
      </c>
      <c r="B9">
        <v>710</v>
      </c>
      <c r="C9">
        <v>0</v>
      </c>
      <c r="D9" t="s">
        <v>42</v>
      </c>
      <c r="E9">
        <v>166</v>
      </c>
      <c r="F9">
        <v>608</v>
      </c>
      <c r="G9">
        <v>196</v>
      </c>
      <c r="H9">
        <v>317</v>
      </c>
      <c r="I9">
        <v>524</v>
      </c>
      <c r="J9">
        <v>4833</v>
      </c>
      <c r="K9">
        <v>1577</v>
      </c>
      <c r="L9">
        <v>6417</v>
      </c>
      <c r="M9">
        <v>7981</v>
      </c>
      <c r="N9">
        <v>4871</v>
      </c>
      <c r="O9">
        <v>10145</v>
      </c>
      <c r="P9">
        <v>24739</v>
      </c>
      <c r="Q9">
        <v>44367</v>
      </c>
      <c r="R9">
        <v>13203</v>
      </c>
      <c r="S9">
        <v>1753</v>
      </c>
      <c r="T9">
        <v>5728</v>
      </c>
      <c r="U9">
        <v>44927</v>
      </c>
      <c r="V9">
        <v>7282</v>
      </c>
      <c r="W9">
        <v>7310</v>
      </c>
      <c r="X9">
        <v>13362</v>
      </c>
      <c r="Y9">
        <v>37516</v>
      </c>
      <c r="Z9">
        <v>12174</v>
      </c>
      <c r="AA9">
        <v>0</v>
      </c>
      <c r="AB9">
        <v>3203</v>
      </c>
      <c r="AC9">
        <v>6283</v>
      </c>
      <c r="AD9">
        <v>3938</v>
      </c>
      <c r="AE9">
        <v>72920</v>
      </c>
      <c r="AF9">
        <v>3209</v>
      </c>
      <c r="AG9">
        <v>5608</v>
      </c>
      <c r="AH9">
        <v>21581</v>
      </c>
      <c r="AI9">
        <v>0</v>
      </c>
      <c r="AJ9">
        <v>366738</v>
      </c>
    </row>
    <row r="10" spans="1:38" x14ac:dyDescent="0.25">
      <c r="A10">
        <v>2020</v>
      </c>
      <c r="B10">
        <v>710</v>
      </c>
      <c r="C10">
        <v>1</v>
      </c>
      <c r="D10" t="s">
        <v>43</v>
      </c>
      <c r="E10">
        <v>712</v>
      </c>
      <c r="F10">
        <v>2329</v>
      </c>
      <c r="G10">
        <v>817</v>
      </c>
      <c r="H10">
        <v>1368</v>
      </c>
      <c r="I10">
        <v>2241</v>
      </c>
      <c r="J10">
        <v>19059</v>
      </c>
      <c r="K10">
        <v>6418</v>
      </c>
      <c r="L10">
        <v>20367</v>
      </c>
      <c r="M10">
        <v>25373</v>
      </c>
      <c r="N10">
        <v>20470</v>
      </c>
      <c r="O10">
        <v>12194</v>
      </c>
      <c r="P10">
        <v>50165</v>
      </c>
      <c r="Q10">
        <v>166319</v>
      </c>
      <c r="R10">
        <v>56533</v>
      </c>
      <c r="S10">
        <v>4385</v>
      </c>
      <c r="T10">
        <v>14346</v>
      </c>
      <c r="U10">
        <v>75406</v>
      </c>
      <c r="V10">
        <v>8952</v>
      </c>
      <c r="W10">
        <v>12106</v>
      </c>
      <c r="X10">
        <v>10855</v>
      </c>
      <c r="Y10">
        <v>39540</v>
      </c>
      <c r="Z10">
        <v>12818</v>
      </c>
      <c r="AA10">
        <v>0</v>
      </c>
      <c r="AB10">
        <v>4981</v>
      </c>
      <c r="AC10">
        <v>7970</v>
      </c>
      <c r="AD10">
        <v>1708</v>
      </c>
      <c r="AE10">
        <v>8605</v>
      </c>
      <c r="AF10">
        <v>3983</v>
      </c>
      <c r="AG10">
        <v>6958</v>
      </c>
      <c r="AH10">
        <v>43320</v>
      </c>
      <c r="AI10">
        <v>0</v>
      </c>
      <c r="AJ10">
        <v>640298</v>
      </c>
    </row>
    <row r="11" spans="1:38" x14ac:dyDescent="0.25">
      <c r="A11">
        <v>2020</v>
      </c>
      <c r="B11">
        <v>710</v>
      </c>
      <c r="C11">
        <v>2</v>
      </c>
      <c r="D11" t="s">
        <v>44</v>
      </c>
      <c r="E11">
        <v>204</v>
      </c>
      <c r="F11">
        <v>312</v>
      </c>
      <c r="G11">
        <v>94</v>
      </c>
      <c r="H11">
        <v>88</v>
      </c>
      <c r="I11">
        <v>149</v>
      </c>
      <c r="J11">
        <v>2687</v>
      </c>
      <c r="K11">
        <v>870</v>
      </c>
      <c r="L11">
        <v>4234</v>
      </c>
      <c r="M11">
        <v>5290</v>
      </c>
      <c r="N11">
        <v>4772</v>
      </c>
      <c r="O11">
        <v>5663</v>
      </c>
      <c r="P11">
        <v>20294</v>
      </c>
      <c r="Q11">
        <v>13424</v>
      </c>
      <c r="R11">
        <v>3487</v>
      </c>
      <c r="S11">
        <v>296</v>
      </c>
      <c r="T11">
        <v>1016</v>
      </c>
      <c r="U11">
        <v>17211</v>
      </c>
      <c r="V11">
        <v>2236</v>
      </c>
      <c r="W11">
        <v>1947</v>
      </c>
      <c r="X11">
        <v>1385</v>
      </c>
      <c r="Y11">
        <v>11771</v>
      </c>
      <c r="Z11">
        <v>3528</v>
      </c>
      <c r="AA11">
        <v>0</v>
      </c>
      <c r="AB11">
        <v>2006</v>
      </c>
      <c r="AC11">
        <v>1759</v>
      </c>
      <c r="AD11">
        <v>3664</v>
      </c>
      <c r="AE11">
        <v>1369</v>
      </c>
      <c r="AF11">
        <v>878</v>
      </c>
      <c r="AG11">
        <v>1537</v>
      </c>
      <c r="AH11">
        <v>12297</v>
      </c>
      <c r="AI11">
        <v>0</v>
      </c>
      <c r="AJ11">
        <v>124468</v>
      </c>
    </row>
    <row r="12" spans="1:38" x14ac:dyDescent="0.25">
      <c r="A12">
        <v>2020</v>
      </c>
      <c r="B12">
        <v>710</v>
      </c>
      <c r="C12">
        <v>3</v>
      </c>
      <c r="D12" t="s">
        <v>45</v>
      </c>
      <c r="E12">
        <v>342</v>
      </c>
      <c r="F12">
        <v>1642</v>
      </c>
      <c r="G12">
        <v>558</v>
      </c>
      <c r="H12">
        <v>322</v>
      </c>
      <c r="I12">
        <v>530</v>
      </c>
      <c r="J12">
        <v>13888</v>
      </c>
      <c r="K12">
        <v>4675</v>
      </c>
      <c r="L12">
        <v>3866</v>
      </c>
      <c r="M12">
        <v>4825</v>
      </c>
      <c r="N12">
        <v>2683</v>
      </c>
      <c r="O12">
        <v>2484</v>
      </c>
      <c r="P12">
        <v>22039</v>
      </c>
      <c r="Q12">
        <v>15260</v>
      </c>
      <c r="R12">
        <v>4132</v>
      </c>
      <c r="S12">
        <v>375</v>
      </c>
      <c r="T12">
        <v>1243</v>
      </c>
      <c r="U12">
        <v>25668</v>
      </c>
      <c r="V12">
        <v>3123</v>
      </c>
      <c r="W12">
        <v>9769</v>
      </c>
      <c r="X12">
        <v>755</v>
      </c>
      <c r="Y12">
        <v>14546</v>
      </c>
      <c r="Z12">
        <v>4818</v>
      </c>
      <c r="AA12">
        <v>0</v>
      </c>
      <c r="AB12">
        <v>2582</v>
      </c>
      <c r="AC12">
        <v>935</v>
      </c>
      <c r="AD12">
        <v>279</v>
      </c>
      <c r="AE12">
        <v>0</v>
      </c>
      <c r="AF12">
        <v>468</v>
      </c>
      <c r="AG12">
        <v>821</v>
      </c>
      <c r="AH12">
        <v>12981</v>
      </c>
      <c r="AI12">
        <v>0</v>
      </c>
      <c r="AJ12">
        <v>155609</v>
      </c>
    </row>
    <row r="13" spans="1:38" x14ac:dyDescent="0.25">
      <c r="A13">
        <v>2020</v>
      </c>
      <c r="B13">
        <v>710</v>
      </c>
      <c r="C13">
        <v>4</v>
      </c>
      <c r="D13" t="s">
        <v>46</v>
      </c>
      <c r="E13">
        <v>1436</v>
      </c>
      <c r="F13">
        <v>524</v>
      </c>
      <c r="G13">
        <v>160</v>
      </c>
      <c r="H13">
        <v>350</v>
      </c>
      <c r="I13">
        <v>571</v>
      </c>
      <c r="J13">
        <v>4441</v>
      </c>
      <c r="K13">
        <v>1463</v>
      </c>
      <c r="L13">
        <v>6955</v>
      </c>
      <c r="M13">
        <v>8648</v>
      </c>
      <c r="N13">
        <v>7562</v>
      </c>
      <c r="O13">
        <v>2929</v>
      </c>
      <c r="P13">
        <v>21389</v>
      </c>
      <c r="Q13">
        <v>28860</v>
      </c>
      <c r="R13">
        <v>8834</v>
      </c>
      <c r="S13">
        <v>636</v>
      </c>
      <c r="T13">
        <v>2109</v>
      </c>
      <c r="U13">
        <v>20271</v>
      </c>
      <c r="V13">
        <v>3361</v>
      </c>
      <c r="W13">
        <v>7559</v>
      </c>
      <c r="X13">
        <v>3963</v>
      </c>
      <c r="Y13">
        <v>18168</v>
      </c>
      <c r="Z13">
        <v>4943</v>
      </c>
      <c r="AA13">
        <v>0</v>
      </c>
      <c r="AB13">
        <v>2276</v>
      </c>
      <c r="AC13">
        <v>1103</v>
      </c>
      <c r="AD13">
        <v>1899</v>
      </c>
      <c r="AE13">
        <v>42727</v>
      </c>
      <c r="AF13">
        <v>555</v>
      </c>
      <c r="AG13">
        <v>968</v>
      </c>
      <c r="AH13">
        <v>6475</v>
      </c>
      <c r="AI13">
        <v>0</v>
      </c>
      <c r="AJ13">
        <v>211135</v>
      </c>
    </row>
    <row r="14" spans="1:38" x14ac:dyDescent="0.25">
      <c r="A14">
        <v>2020</v>
      </c>
      <c r="B14">
        <v>710</v>
      </c>
      <c r="C14">
        <v>5</v>
      </c>
      <c r="D14" t="s">
        <v>47</v>
      </c>
      <c r="E14">
        <v>6354</v>
      </c>
      <c r="F14">
        <v>1512</v>
      </c>
      <c r="G14">
        <v>519</v>
      </c>
      <c r="H14">
        <v>306</v>
      </c>
      <c r="I14">
        <v>504</v>
      </c>
      <c r="J14">
        <v>12091</v>
      </c>
      <c r="K14">
        <v>4042</v>
      </c>
      <c r="L14">
        <v>7343</v>
      </c>
      <c r="M14">
        <v>9147</v>
      </c>
      <c r="N14">
        <v>6956</v>
      </c>
      <c r="O14">
        <v>3205</v>
      </c>
      <c r="P14">
        <v>19578</v>
      </c>
      <c r="Q14">
        <v>19938</v>
      </c>
      <c r="R14">
        <v>6242</v>
      </c>
      <c r="S14">
        <v>344</v>
      </c>
      <c r="T14">
        <v>1154</v>
      </c>
      <c r="U14">
        <v>17856</v>
      </c>
      <c r="V14">
        <v>2692</v>
      </c>
      <c r="W14">
        <v>7029</v>
      </c>
      <c r="X14">
        <v>3067</v>
      </c>
      <c r="Y14">
        <v>11462</v>
      </c>
      <c r="Z14">
        <v>4281</v>
      </c>
      <c r="AA14">
        <v>0</v>
      </c>
      <c r="AB14">
        <v>2022</v>
      </c>
      <c r="AC14">
        <v>1361</v>
      </c>
      <c r="AD14">
        <v>239</v>
      </c>
      <c r="AE14">
        <v>0</v>
      </c>
      <c r="AF14">
        <v>679</v>
      </c>
      <c r="AG14">
        <v>1185</v>
      </c>
      <c r="AH14">
        <v>15931</v>
      </c>
      <c r="AI14">
        <v>0</v>
      </c>
      <c r="AJ14">
        <v>167039</v>
      </c>
    </row>
    <row r="15" spans="1:38" x14ac:dyDescent="0.25">
      <c r="A15">
        <v>2020</v>
      </c>
      <c r="B15">
        <v>710</v>
      </c>
      <c r="C15">
        <v>6</v>
      </c>
      <c r="D15" t="s">
        <v>48</v>
      </c>
      <c r="E15">
        <v>235</v>
      </c>
      <c r="F15">
        <v>10</v>
      </c>
      <c r="G15">
        <v>1</v>
      </c>
      <c r="H15">
        <v>14</v>
      </c>
      <c r="I15">
        <v>25</v>
      </c>
      <c r="J15">
        <v>162</v>
      </c>
      <c r="K15">
        <v>42</v>
      </c>
      <c r="L15">
        <v>85</v>
      </c>
      <c r="M15">
        <v>107</v>
      </c>
      <c r="N15">
        <v>43</v>
      </c>
      <c r="O15">
        <v>124</v>
      </c>
      <c r="P15">
        <v>422</v>
      </c>
      <c r="Q15">
        <v>378</v>
      </c>
      <c r="R15">
        <v>98</v>
      </c>
      <c r="S15">
        <v>8</v>
      </c>
      <c r="T15">
        <v>26</v>
      </c>
      <c r="U15">
        <v>904</v>
      </c>
      <c r="V15">
        <v>118</v>
      </c>
      <c r="W15">
        <v>425</v>
      </c>
      <c r="X15">
        <v>116</v>
      </c>
      <c r="Y15">
        <v>483</v>
      </c>
      <c r="Z15">
        <v>220</v>
      </c>
      <c r="AA15">
        <v>0</v>
      </c>
      <c r="AB15">
        <v>64</v>
      </c>
      <c r="AC15">
        <v>94</v>
      </c>
      <c r="AD15">
        <v>7</v>
      </c>
      <c r="AE15">
        <v>0</v>
      </c>
      <c r="AF15">
        <v>47</v>
      </c>
      <c r="AG15">
        <v>82</v>
      </c>
      <c r="AH15">
        <v>842</v>
      </c>
      <c r="AI15">
        <v>0</v>
      </c>
      <c r="AJ15">
        <v>5182</v>
      </c>
    </row>
    <row r="16" spans="1:38" s="24" customFormat="1" x14ac:dyDescent="0.25">
      <c r="A16" s="24">
        <v>2025</v>
      </c>
      <c r="B16" s="24">
        <v>713</v>
      </c>
      <c r="C16" s="24">
        <v>0</v>
      </c>
      <c r="D16" s="24" t="s">
        <v>42</v>
      </c>
      <c r="E16" s="24">
        <v>170</v>
      </c>
      <c r="F16" s="24">
        <v>565</v>
      </c>
      <c r="G16" s="24">
        <v>171</v>
      </c>
      <c r="H16" s="24">
        <v>323</v>
      </c>
      <c r="I16" s="24">
        <v>533</v>
      </c>
      <c r="J16" s="24">
        <v>5032</v>
      </c>
      <c r="K16" s="24">
        <v>1661</v>
      </c>
      <c r="L16" s="24">
        <v>6449</v>
      </c>
      <c r="M16" s="24">
        <v>8023</v>
      </c>
      <c r="N16" s="24">
        <v>4943</v>
      </c>
      <c r="O16" s="24">
        <v>10461</v>
      </c>
      <c r="P16" s="24">
        <v>25391</v>
      </c>
      <c r="Q16" s="24">
        <v>46138</v>
      </c>
      <c r="R16" s="24">
        <v>13602</v>
      </c>
      <c r="S16" s="24">
        <v>1795</v>
      </c>
      <c r="T16" s="24">
        <v>5870</v>
      </c>
      <c r="U16" s="24">
        <v>45730</v>
      </c>
      <c r="V16" s="24">
        <v>7532</v>
      </c>
      <c r="W16" s="24">
        <v>7624</v>
      </c>
      <c r="X16" s="24">
        <v>13434</v>
      </c>
      <c r="Y16" s="24">
        <v>38839</v>
      </c>
      <c r="Z16" s="24">
        <v>12503</v>
      </c>
      <c r="AA16" s="24">
        <v>0</v>
      </c>
      <c r="AB16" s="24">
        <v>3432</v>
      </c>
      <c r="AC16" s="24">
        <v>6498</v>
      </c>
      <c r="AD16" s="24">
        <v>4181</v>
      </c>
      <c r="AE16" s="24">
        <v>73542</v>
      </c>
      <c r="AF16" s="24">
        <v>3420</v>
      </c>
      <c r="AG16" s="24">
        <v>5973</v>
      </c>
      <c r="AH16" s="24">
        <v>22188</v>
      </c>
      <c r="AI16" s="24">
        <v>0</v>
      </c>
      <c r="AJ16" s="24">
        <v>376023</v>
      </c>
    </row>
    <row r="17" spans="1:36" s="24" customFormat="1" x14ac:dyDescent="0.25">
      <c r="A17" s="24">
        <v>2025</v>
      </c>
      <c r="B17" s="24">
        <v>713</v>
      </c>
      <c r="C17" s="24">
        <v>1</v>
      </c>
      <c r="D17" s="24" t="s">
        <v>43</v>
      </c>
      <c r="E17" s="24">
        <v>830</v>
      </c>
      <c r="F17" s="24">
        <v>2261</v>
      </c>
      <c r="G17" s="24">
        <v>791</v>
      </c>
      <c r="H17" s="24">
        <v>1384</v>
      </c>
      <c r="I17" s="24">
        <v>2273</v>
      </c>
      <c r="J17" s="24">
        <v>19743</v>
      </c>
      <c r="K17" s="24">
        <v>6708</v>
      </c>
      <c r="L17" s="24">
        <v>20871</v>
      </c>
      <c r="M17" s="24">
        <v>25992</v>
      </c>
      <c r="N17" s="24">
        <v>21069</v>
      </c>
      <c r="O17" s="24">
        <v>12318</v>
      </c>
      <c r="P17" s="24">
        <v>51384</v>
      </c>
      <c r="Q17" s="24">
        <v>169872</v>
      </c>
      <c r="R17" s="24">
        <v>57042</v>
      </c>
      <c r="S17" s="24">
        <v>4524</v>
      </c>
      <c r="T17" s="24">
        <v>14803</v>
      </c>
      <c r="U17" s="24">
        <v>78098</v>
      </c>
      <c r="V17" s="24">
        <v>9201</v>
      </c>
      <c r="W17" s="24">
        <v>12260</v>
      </c>
      <c r="X17" s="24">
        <v>10974</v>
      </c>
      <c r="Y17" s="24">
        <v>40274</v>
      </c>
      <c r="Z17" s="24">
        <v>13056</v>
      </c>
      <c r="AA17" s="24">
        <v>0</v>
      </c>
      <c r="AB17" s="24">
        <v>5207</v>
      </c>
      <c r="AC17" s="24">
        <v>8365</v>
      </c>
      <c r="AD17" s="24">
        <v>1836</v>
      </c>
      <c r="AE17" s="24">
        <v>8620</v>
      </c>
      <c r="AF17" s="24">
        <v>4199</v>
      </c>
      <c r="AG17" s="24">
        <v>7340</v>
      </c>
      <c r="AH17" s="24">
        <v>44622</v>
      </c>
      <c r="AI17" s="24">
        <v>0</v>
      </c>
      <c r="AJ17" s="24">
        <v>655917</v>
      </c>
    </row>
    <row r="18" spans="1:36" s="24" customFormat="1" x14ac:dyDescent="0.25">
      <c r="A18" s="24">
        <v>2025</v>
      </c>
      <c r="B18" s="24">
        <v>713</v>
      </c>
      <c r="C18" s="24">
        <v>2</v>
      </c>
      <c r="D18" s="24" t="s">
        <v>44</v>
      </c>
      <c r="E18" s="24">
        <v>220</v>
      </c>
      <c r="F18" s="24">
        <v>337</v>
      </c>
      <c r="G18" s="24">
        <v>98</v>
      </c>
      <c r="H18" s="24">
        <v>106</v>
      </c>
      <c r="I18" s="24">
        <v>170</v>
      </c>
      <c r="J18" s="24">
        <v>3021</v>
      </c>
      <c r="K18" s="24">
        <v>1004</v>
      </c>
      <c r="L18" s="24">
        <v>4637</v>
      </c>
      <c r="M18" s="24">
        <v>5782</v>
      </c>
      <c r="N18" s="24">
        <v>5196</v>
      </c>
      <c r="O18" s="24">
        <v>5884</v>
      </c>
      <c r="P18" s="24">
        <v>21158</v>
      </c>
      <c r="Q18" s="24">
        <v>15236</v>
      </c>
      <c r="R18" s="24">
        <v>4077</v>
      </c>
      <c r="S18" s="24">
        <v>312</v>
      </c>
      <c r="T18" s="24">
        <v>1066</v>
      </c>
      <c r="U18" s="24">
        <v>17733</v>
      </c>
      <c r="V18" s="24">
        <v>2468</v>
      </c>
      <c r="W18" s="24">
        <v>2251</v>
      </c>
      <c r="X18" s="24">
        <v>1743</v>
      </c>
      <c r="Y18" s="24">
        <v>12745</v>
      </c>
      <c r="Z18" s="24">
        <v>3820</v>
      </c>
      <c r="AA18" s="24">
        <v>0</v>
      </c>
      <c r="AB18" s="24">
        <v>2226</v>
      </c>
      <c r="AC18" s="24">
        <v>1843</v>
      </c>
      <c r="AD18" s="24">
        <v>3867</v>
      </c>
      <c r="AE18" s="24">
        <v>1369</v>
      </c>
      <c r="AF18" s="24">
        <v>931</v>
      </c>
      <c r="AG18" s="24">
        <v>1626</v>
      </c>
      <c r="AH18" s="24">
        <v>12650</v>
      </c>
      <c r="AI18" s="24">
        <v>0</v>
      </c>
      <c r="AJ18" s="24">
        <v>133576</v>
      </c>
    </row>
    <row r="19" spans="1:36" s="24" customFormat="1" x14ac:dyDescent="0.25">
      <c r="A19" s="24">
        <v>2025</v>
      </c>
      <c r="B19" s="24">
        <v>713</v>
      </c>
      <c r="C19" s="24">
        <v>3</v>
      </c>
      <c r="D19" s="24" t="s">
        <v>45</v>
      </c>
      <c r="E19" s="24">
        <v>348</v>
      </c>
      <c r="F19" s="24">
        <v>1587</v>
      </c>
      <c r="G19" s="24">
        <v>529</v>
      </c>
      <c r="H19" s="24">
        <v>335</v>
      </c>
      <c r="I19" s="24">
        <v>552</v>
      </c>
      <c r="J19" s="24">
        <v>14289</v>
      </c>
      <c r="K19" s="24">
        <v>4852</v>
      </c>
      <c r="L19" s="24">
        <v>4042</v>
      </c>
      <c r="M19" s="24">
        <v>5038</v>
      </c>
      <c r="N19" s="24">
        <v>2801</v>
      </c>
      <c r="O19" s="24">
        <v>2516</v>
      </c>
      <c r="P19" s="24">
        <v>22568</v>
      </c>
      <c r="Q19" s="24">
        <v>15902</v>
      </c>
      <c r="R19" s="24">
        <v>4508</v>
      </c>
      <c r="S19" s="24">
        <v>386</v>
      </c>
      <c r="T19" s="24">
        <v>1277</v>
      </c>
      <c r="U19" s="24">
        <v>26483</v>
      </c>
      <c r="V19" s="24">
        <v>3191</v>
      </c>
      <c r="W19" s="24">
        <v>9846</v>
      </c>
      <c r="X19" s="24">
        <v>759</v>
      </c>
      <c r="Y19" s="24">
        <v>14880</v>
      </c>
      <c r="Z19" s="24">
        <v>4913</v>
      </c>
      <c r="AA19" s="24">
        <v>0</v>
      </c>
      <c r="AB19" s="24">
        <v>2677</v>
      </c>
      <c r="AC19" s="24">
        <v>983</v>
      </c>
      <c r="AD19" s="24">
        <v>294</v>
      </c>
      <c r="AE19" s="24">
        <v>0</v>
      </c>
      <c r="AF19" s="24">
        <v>499</v>
      </c>
      <c r="AG19" s="24">
        <v>868</v>
      </c>
      <c r="AH19" s="24">
        <v>13341</v>
      </c>
      <c r="AI19" s="24">
        <v>0</v>
      </c>
      <c r="AJ19" s="24">
        <v>160264</v>
      </c>
    </row>
    <row r="20" spans="1:36" s="24" customFormat="1" x14ac:dyDescent="0.25">
      <c r="A20" s="24">
        <v>2025</v>
      </c>
      <c r="B20" s="24">
        <v>713</v>
      </c>
      <c r="C20" s="24">
        <v>4</v>
      </c>
      <c r="D20" s="24" t="s">
        <v>46</v>
      </c>
      <c r="E20" s="24">
        <v>1472</v>
      </c>
      <c r="F20" s="24">
        <v>517</v>
      </c>
      <c r="G20" s="24">
        <v>156</v>
      </c>
      <c r="H20" s="24">
        <v>351</v>
      </c>
      <c r="I20" s="24">
        <v>575</v>
      </c>
      <c r="J20" s="24">
        <v>4644</v>
      </c>
      <c r="K20" s="24">
        <v>1532</v>
      </c>
      <c r="L20" s="24">
        <v>7115</v>
      </c>
      <c r="M20" s="24">
        <v>8839</v>
      </c>
      <c r="N20" s="24">
        <v>7670</v>
      </c>
      <c r="O20" s="24">
        <v>2951</v>
      </c>
      <c r="P20" s="24">
        <v>21773</v>
      </c>
      <c r="Q20" s="24">
        <v>29574</v>
      </c>
      <c r="R20" s="24">
        <v>9060</v>
      </c>
      <c r="S20" s="24">
        <v>650</v>
      </c>
      <c r="T20" s="24">
        <v>2152</v>
      </c>
      <c r="U20" s="24">
        <v>20670</v>
      </c>
      <c r="V20" s="24">
        <v>3410</v>
      </c>
      <c r="W20" s="24">
        <v>7599</v>
      </c>
      <c r="X20" s="24">
        <v>4317</v>
      </c>
      <c r="Y20" s="24">
        <v>18391</v>
      </c>
      <c r="Z20" s="24">
        <v>5002</v>
      </c>
      <c r="AA20" s="24">
        <v>0</v>
      </c>
      <c r="AB20" s="24">
        <v>2343</v>
      </c>
      <c r="AC20" s="24">
        <v>1150</v>
      </c>
      <c r="AD20" s="24">
        <v>2006</v>
      </c>
      <c r="AE20" s="24">
        <v>42762</v>
      </c>
      <c r="AF20" s="24">
        <v>583</v>
      </c>
      <c r="AG20" s="24">
        <v>1018</v>
      </c>
      <c r="AH20" s="24">
        <v>6685</v>
      </c>
      <c r="AI20" s="24">
        <v>0</v>
      </c>
      <c r="AJ20" s="24">
        <v>214967</v>
      </c>
    </row>
    <row r="21" spans="1:36" s="24" customFormat="1" x14ac:dyDescent="0.25">
      <c r="A21" s="24">
        <v>2025</v>
      </c>
      <c r="B21" s="24">
        <v>713</v>
      </c>
      <c r="C21" s="24">
        <v>5</v>
      </c>
      <c r="D21" s="24" t="s">
        <v>47</v>
      </c>
      <c r="E21" s="24">
        <v>6457</v>
      </c>
      <c r="F21" s="24">
        <v>1471</v>
      </c>
      <c r="G21" s="24">
        <v>502</v>
      </c>
      <c r="H21" s="24">
        <v>314</v>
      </c>
      <c r="I21" s="24">
        <v>520</v>
      </c>
      <c r="J21" s="24">
        <v>12513</v>
      </c>
      <c r="K21" s="24">
        <v>4200</v>
      </c>
      <c r="L21" s="24">
        <v>7435</v>
      </c>
      <c r="M21" s="24">
        <v>9270</v>
      </c>
      <c r="N21" s="24">
        <v>7073</v>
      </c>
      <c r="O21" s="24">
        <v>3349</v>
      </c>
      <c r="P21" s="24">
        <v>20115</v>
      </c>
      <c r="Q21" s="24">
        <v>20822</v>
      </c>
      <c r="R21" s="24">
        <v>6522</v>
      </c>
      <c r="S21" s="24">
        <v>357</v>
      </c>
      <c r="T21" s="24">
        <v>1190</v>
      </c>
      <c r="U21" s="24">
        <v>18324</v>
      </c>
      <c r="V21" s="24">
        <v>2814</v>
      </c>
      <c r="W21" s="24">
        <v>7199</v>
      </c>
      <c r="X21" s="24">
        <v>3107</v>
      </c>
      <c r="Y21" s="24">
        <v>11874</v>
      </c>
      <c r="Z21" s="24">
        <v>4372</v>
      </c>
      <c r="AA21" s="24">
        <v>0</v>
      </c>
      <c r="AB21" s="24">
        <v>2175</v>
      </c>
      <c r="AC21" s="24">
        <v>1361</v>
      </c>
      <c r="AD21" s="24">
        <v>259</v>
      </c>
      <c r="AE21" s="24">
        <v>0</v>
      </c>
      <c r="AF21" s="24">
        <v>736</v>
      </c>
      <c r="AG21" s="24">
        <v>1289</v>
      </c>
      <c r="AH21" s="24">
        <v>16383</v>
      </c>
      <c r="AI21" s="24">
        <v>0</v>
      </c>
      <c r="AJ21" s="24">
        <v>172003</v>
      </c>
    </row>
    <row r="22" spans="1:36" s="24" customFormat="1" x14ac:dyDescent="0.25">
      <c r="A22" s="24">
        <v>2025</v>
      </c>
      <c r="B22" s="24">
        <v>713</v>
      </c>
      <c r="C22" s="24">
        <v>6</v>
      </c>
      <c r="D22" s="24" t="s">
        <v>48</v>
      </c>
      <c r="E22" s="24">
        <v>235</v>
      </c>
      <c r="F22" s="24">
        <v>11</v>
      </c>
      <c r="G22" s="24">
        <v>1</v>
      </c>
      <c r="H22" s="24">
        <v>14</v>
      </c>
      <c r="I22" s="24">
        <v>25</v>
      </c>
      <c r="J22" s="24">
        <v>180</v>
      </c>
      <c r="K22" s="24">
        <v>47</v>
      </c>
      <c r="L22" s="24">
        <v>103</v>
      </c>
      <c r="M22" s="24">
        <v>132</v>
      </c>
      <c r="N22" s="24">
        <v>67</v>
      </c>
      <c r="O22" s="24">
        <v>131</v>
      </c>
      <c r="P22" s="24">
        <v>645</v>
      </c>
      <c r="Q22" s="24">
        <v>427</v>
      </c>
      <c r="R22" s="24">
        <v>137</v>
      </c>
      <c r="S22" s="24">
        <v>8</v>
      </c>
      <c r="T22" s="24">
        <v>27</v>
      </c>
      <c r="U22" s="24">
        <v>922</v>
      </c>
      <c r="V22" s="24">
        <v>129</v>
      </c>
      <c r="W22" s="24">
        <v>426</v>
      </c>
      <c r="X22" s="24">
        <v>116</v>
      </c>
      <c r="Y22" s="24">
        <v>584</v>
      </c>
      <c r="Z22" s="24">
        <v>232</v>
      </c>
      <c r="AA22" s="24">
        <v>0</v>
      </c>
      <c r="AB22" s="24">
        <v>68</v>
      </c>
      <c r="AC22" s="24">
        <v>99</v>
      </c>
      <c r="AD22" s="24">
        <v>7</v>
      </c>
      <c r="AE22" s="24">
        <v>0</v>
      </c>
      <c r="AF22" s="24">
        <v>49</v>
      </c>
      <c r="AG22" s="24">
        <v>87</v>
      </c>
      <c r="AH22" s="24">
        <v>869</v>
      </c>
      <c r="AI22" s="24">
        <v>0</v>
      </c>
      <c r="AJ22" s="24">
        <v>5778</v>
      </c>
    </row>
    <row r="23" spans="1:36" x14ac:dyDescent="0.25">
      <c r="A23">
        <v>2035</v>
      </c>
      <c r="B23">
        <v>709</v>
      </c>
      <c r="C23">
        <v>0</v>
      </c>
      <c r="D23" t="s">
        <v>42</v>
      </c>
      <c r="E23">
        <v>194</v>
      </c>
      <c r="F23">
        <v>652</v>
      </c>
      <c r="G23">
        <v>199</v>
      </c>
      <c r="H23">
        <v>335</v>
      </c>
      <c r="I23">
        <v>554</v>
      </c>
      <c r="J23">
        <v>5479</v>
      </c>
      <c r="K23">
        <v>1824</v>
      </c>
      <c r="L23">
        <v>6590</v>
      </c>
      <c r="M23">
        <v>8190</v>
      </c>
      <c r="N23">
        <v>5133</v>
      </c>
      <c r="O23">
        <v>11370</v>
      </c>
      <c r="P23">
        <v>27473</v>
      </c>
      <c r="Q23">
        <v>51362</v>
      </c>
      <c r="R23">
        <v>14968</v>
      </c>
      <c r="S23">
        <v>1942</v>
      </c>
      <c r="T23">
        <v>6332</v>
      </c>
      <c r="U23">
        <v>48116</v>
      </c>
      <c r="V23">
        <v>8239</v>
      </c>
      <c r="W23">
        <v>8656</v>
      </c>
      <c r="X23">
        <v>13661</v>
      </c>
      <c r="Y23">
        <v>42990</v>
      </c>
      <c r="Z23">
        <v>13590</v>
      </c>
      <c r="AA23">
        <v>0</v>
      </c>
      <c r="AB23">
        <v>4317</v>
      </c>
      <c r="AC23">
        <v>7615</v>
      </c>
      <c r="AD23">
        <v>4923</v>
      </c>
      <c r="AE23">
        <v>75420</v>
      </c>
      <c r="AF23">
        <v>3900</v>
      </c>
      <c r="AG23">
        <v>6812</v>
      </c>
      <c r="AH23">
        <v>24140</v>
      </c>
      <c r="AI23">
        <v>0</v>
      </c>
      <c r="AJ23">
        <v>404976</v>
      </c>
    </row>
    <row r="24" spans="1:36" x14ac:dyDescent="0.25">
      <c r="A24">
        <v>2035</v>
      </c>
      <c r="B24">
        <v>709</v>
      </c>
      <c r="C24">
        <v>1</v>
      </c>
      <c r="D24" t="s">
        <v>43</v>
      </c>
      <c r="E24">
        <v>1199</v>
      </c>
      <c r="F24">
        <v>2349</v>
      </c>
      <c r="G24">
        <v>824</v>
      </c>
      <c r="H24">
        <v>1441</v>
      </c>
      <c r="I24">
        <v>2359</v>
      </c>
      <c r="J24">
        <v>21637</v>
      </c>
      <c r="K24">
        <v>7376</v>
      </c>
      <c r="L24">
        <v>22460</v>
      </c>
      <c r="M24">
        <v>27954</v>
      </c>
      <c r="N24">
        <v>22929</v>
      </c>
      <c r="O24">
        <v>12713</v>
      </c>
      <c r="P24">
        <v>55173</v>
      </c>
      <c r="Q24">
        <v>179928</v>
      </c>
      <c r="R24">
        <v>59344</v>
      </c>
      <c r="S24">
        <v>4936</v>
      </c>
      <c r="T24">
        <v>16145</v>
      </c>
      <c r="U24">
        <v>86082</v>
      </c>
      <c r="V24">
        <v>9991</v>
      </c>
      <c r="W24">
        <v>12733</v>
      </c>
      <c r="X24">
        <v>11338</v>
      </c>
      <c r="Y24">
        <v>42438</v>
      </c>
      <c r="Z24">
        <v>13839</v>
      </c>
      <c r="AA24">
        <v>0</v>
      </c>
      <c r="AB24">
        <v>5703</v>
      </c>
      <c r="AC24">
        <v>9635</v>
      </c>
      <c r="AD24">
        <v>2131</v>
      </c>
      <c r="AE24">
        <v>8647</v>
      </c>
      <c r="AF24">
        <v>4825</v>
      </c>
      <c r="AG24">
        <v>8432</v>
      </c>
      <c r="AH24">
        <v>48539</v>
      </c>
      <c r="AI24">
        <v>0</v>
      </c>
      <c r="AJ24">
        <v>703100</v>
      </c>
    </row>
    <row r="25" spans="1:36" x14ac:dyDescent="0.25">
      <c r="A25">
        <v>2035</v>
      </c>
      <c r="B25">
        <v>709</v>
      </c>
      <c r="C25">
        <v>2</v>
      </c>
      <c r="D25" t="s">
        <v>44</v>
      </c>
      <c r="E25">
        <v>275</v>
      </c>
      <c r="F25">
        <v>441</v>
      </c>
      <c r="G25">
        <v>136</v>
      </c>
      <c r="H25">
        <v>161</v>
      </c>
      <c r="I25">
        <v>257</v>
      </c>
      <c r="J25">
        <v>4005</v>
      </c>
      <c r="K25">
        <v>1346</v>
      </c>
      <c r="L25">
        <v>5844</v>
      </c>
      <c r="M25">
        <v>7282</v>
      </c>
      <c r="N25">
        <v>6519</v>
      </c>
      <c r="O25">
        <v>6505</v>
      </c>
      <c r="P25">
        <v>23838</v>
      </c>
      <c r="Q25">
        <v>20563</v>
      </c>
      <c r="R25">
        <v>5887</v>
      </c>
      <c r="S25">
        <v>364</v>
      </c>
      <c r="T25">
        <v>1219</v>
      </c>
      <c r="U25">
        <v>19295</v>
      </c>
      <c r="V25">
        <v>3135</v>
      </c>
      <c r="W25">
        <v>3165</v>
      </c>
      <c r="X25">
        <v>2802</v>
      </c>
      <c r="Y25">
        <v>15578</v>
      </c>
      <c r="Z25">
        <v>4658</v>
      </c>
      <c r="AA25">
        <v>0</v>
      </c>
      <c r="AB25">
        <v>2580</v>
      </c>
      <c r="AC25">
        <v>2118</v>
      </c>
      <c r="AD25">
        <v>4596</v>
      </c>
      <c r="AE25">
        <v>1369</v>
      </c>
      <c r="AF25">
        <v>1098</v>
      </c>
      <c r="AG25">
        <v>1922</v>
      </c>
      <c r="AH25">
        <v>13785</v>
      </c>
      <c r="AI25">
        <v>0</v>
      </c>
      <c r="AJ25">
        <v>160743</v>
      </c>
    </row>
    <row r="26" spans="1:36" x14ac:dyDescent="0.25">
      <c r="A26">
        <v>2035</v>
      </c>
      <c r="B26">
        <v>709</v>
      </c>
      <c r="C26">
        <v>3</v>
      </c>
      <c r="D26" t="s">
        <v>45</v>
      </c>
      <c r="E26">
        <v>366</v>
      </c>
      <c r="F26">
        <v>1617</v>
      </c>
      <c r="G26">
        <v>537</v>
      </c>
      <c r="H26">
        <v>378</v>
      </c>
      <c r="I26">
        <v>621</v>
      </c>
      <c r="J26">
        <v>15323</v>
      </c>
      <c r="K26">
        <v>5199</v>
      </c>
      <c r="L26">
        <v>4571</v>
      </c>
      <c r="M26">
        <v>5701</v>
      </c>
      <c r="N26">
        <v>3110</v>
      </c>
      <c r="O26">
        <v>2639</v>
      </c>
      <c r="P26">
        <v>24200</v>
      </c>
      <c r="Q26">
        <v>18255</v>
      </c>
      <c r="R26">
        <v>5309</v>
      </c>
      <c r="S26">
        <v>422</v>
      </c>
      <c r="T26">
        <v>1395</v>
      </c>
      <c r="U26">
        <v>29041</v>
      </c>
      <c r="V26">
        <v>3389</v>
      </c>
      <c r="W26">
        <v>10048</v>
      </c>
      <c r="X26">
        <v>769</v>
      </c>
      <c r="Y26">
        <v>15906</v>
      </c>
      <c r="Z26">
        <v>5207</v>
      </c>
      <c r="AA26">
        <v>0</v>
      </c>
      <c r="AB26">
        <v>3032</v>
      </c>
      <c r="AC26">
        <v>1156</v>
      </c>
      <c r="AD26">
        <v>347</v>
      </c>
      <c r="AE26">
        <v>0</v>
      </c>
      <c r="AF26">
        <v>583</v>
      </c>
      <c r="AG26">
        <v>1018</v>
      </c>
      <c r="AH26">
        <v>14457</v>
      </c>
      <c r="AI26">
        <v>0</v>
      </c>
      <c r="AJ26">
        <v>174596</v>
      </c>
    </row>
    <row r="27" spans="1:36" x14ac:dyDescent="0.25">
      <c r="A27">
        <v>2035</v>
      </c>
      <c r="B27">
        <v>709</v>
      </c>
      <c r="C27">
        <v>4</v>
      </c>
      <c r="D27" t="s">
        <v>46</v>
      </c>
      <c r="E27">
        <v>1566</v>
      </c>
      <c r="F27">
        <v>555</v>
      </c>
      <c r="G27">
        <v>166</v>
      </c>
      <c r="H27">
        <v>359</v>
      </c>
      <c r="I27">
        <v>584</v>
      </c>
      <c r="J27">
        <v>5112</v>
      </c>
      <c r="K27">
        <v>1693</v>
      </c>
      <c r="L27">
        <v>7603</v>
      </c>
      <c r="M27">
        <v>9461</v>
      </c>
      <c r="N27">
        <v>8022</v>
      </c>
      <c r="O27">
        <v>3016</v>
      </c>
      <c r="P27">
        <v>22973</v>
      </c>
      <c r="Q27">
        <v>31818</v>
      </c>
      <c r="R27">
        <v>9687</v>
      </c>
      <c r="S27">
        <v>696</v>
      </c>
      <c r="T27">
        <v>2291</v>
      </c>
      <c r="U27">
        <v>21891</v>
      </c>
      <c r="V27">
        <v>3564</v>
      </c>
      <c r="W27">
        <v>7685</v>
      </c>
      <c r="X27">
        <v>5469</v>
      </c>
      <c r="Y27">
        <v>19087</v>
      </c>
      <c r="Z27">
        <v>5196</v>
      </c>
      <c r="AA27">
        <v>0</v>
      </c>
      <c r="AB27">
        <v>2500</v>
      </c>
      <c r="AC27">
        <v>1329</v>
      </c>
      <c r="AD27">
        <v>2346</v>
      </c>
      <c r="AE27">
        <v>42916</v>
      </c>
      <c r="AF27">
        <v>668</v>
      </c>
      <c r="AG27">
        <v>1166</v>
      </c>
      <c r="AH27">
        <v>7258</v>
      </c>
      <c r="AI27">
        <v>0</v>
      </c>
      <c r="AJ27">
        <v>226677</v>
      </c>
    </row>
    <row r="28" spans="1:36" x14ac:dyDescent="0.25">
      <c r="A28">
        <v>2035</v>
      </c>
      <c r="B28">
        <v>709</v>
      </c>
      <c r="C28">
        <v>5</v>
      </c>
      <c r="D28" t="s">
        <v>47</v>
      </c>
      <c r="E28">
        <v>6758</v>
      </c>
      <c r="F28">
        <v>1513</v>
      </c>
      <c r="G28">
        <v>505</v>
      </c>
      <c r="H28">
        <v>337</v>
      </c>
      <c r="I28">
        <v>554</v>
      </c>
      <c r="J28">
        <v>13591</v>
      </c>
      <c r="K28">
        <v>4580</v>
      </c>
      <c r="L28">
        <v>7720</v>
      </c>
      <c r="M28">
        <v>9611</v>
      </c>
      <c r="N28">
        <v>7421</v>
      </c>
      <c r="O28">
        <v>3868</v>
      </c>
      <c r="P28">
        <v>21731</v>
      </c>
      <c r="Q28">
        <v>23540</v>
      </c>
      <c r="R28">
        <v>7229</v>
      </c>
      <c r="S28">
        <v>389</v>
      </c>
      <c r="T28">
        <v>1296</v>
      </c>
      <c r="U28">
        <v>19734</v>
      </c>
      <c r="V28">
        <v>3164</v>
      </c>
      <c r="W28">
        <v>7717</v>
      </c>
      <c r="X28">
        <v>3192</v>
      </c>
      <c r="Y28">
        <v>13134</v>
      </c>
      <c r="Z28">
        <v>4652</v>
      </c>
      <c r="AA28">
        <v>0</v>
      </c>
      <c r="AB28">
        <v>2542</v>
      </c>
      <c r="AC28">
        <v>1645</v>
      </c>
      <c r="AD28">
        <v>297</v>
      </c>
      <c r="AE28">
        <v>0</v>
      </c>
      <c r="AF28">
        <v>821</v>
      </c>
      <c r="AG28">
        <v>1437</v>
      </c>
      <c r="AH28">
        <v>17804</v>
      </c>
      <c r="AI28">
        <v>0</v>
      </c>
      <c r="AJ28">
        <v>186782</v>
      </c>
    </row>
    <row r="29" spans="1:36" x14ac:dyDescent="0.25">
      <c r="A29">
        <v>2035</v>
      </c>
      <c r="B29">
        <v>709</v>
      </c>
      <c r="C29">
        <v>6</v>
      </c>
      <c r="D29" t="s">
        <v>48</v>
      </c>
      <c r="E29">
        <v>235</v>
      </c>
      <c r="F29">
        <v>16</v>
      </c>
      <c r="G29">
        <v>3</v>
      </c>
      <c r="H29">
        <v>15</v>
      </c>
      <c r="I29">
        <v>26</v>
      </c>
      <c r="J29">
        <v>236</v>
      </c>
      <c r="K29">
        <v>67</v>
      </c>
      <c r="L29">
        <v>156</v>
      </c>
      <c r="M29">
        <v>196</v>
      </c>
      <c r="N29">
        <v>118</v>
      </c>
      <c r="O29">
        <v>137</v>
      </c>
      <c r="P29">
        <v>1334</v>
      </c>
      <c r="Q29">
        <v>595</v>
      </c>
      <c r="R29">
        <v>221</v>
      </c>
      <c r="S29">
        <v>9</v>
      </c>
      <c r="T29">
        <v>30</v>
      </c>
      <c r="U29">
        <v>986</v>
      </c>
      <c r="V29">
        <v>159</v>
      </c>
      <c r="W29">
        <v>427</v>
      </c>
      <c r="X29">
        <v>116</v>
      </c>
      <c r="Y29">
        <v>890</v>
      </c>
      <c r="Z29">
        <v>269</v>
      </c>
      <c r="AA29">
        <v>0</v>
      </c>
      <c r="AB29">
        <v>114</v>
      </c>
      <c r="AC29">
        <v>112</v>
      </c>
      <c r="AD29">
        <v>7</v>
      </c>
      <c r="AE29">
        <v>0</v>
      </c>
      <c r="AF29">
        <v>54</v>
      </c>
      <c r="AG29">
        <v>92</v>
      </c>
      <c r="AH29">
        <v>934</v>
      </c>
      <c r="AI29">
        <v>0</v>
      </c>
      <c r="AJ29">
        <v>7554</v>
      </c>
    </row>
    <row r="30" spans="1:36" s="24" customFormat="1" x14ac:dyDescent="0.25">
      <c r="A30" s="24">
        <v>2050</v>
      </c>
      <c r="B30" s="24">
        <v>708</v>
      </c>
      <c r="C30" s="24">
        <v>0</v>
      </c>
      <c r="D30" s="24" t="s">
        <v>42</v>
      </c>
      <c r="E30" s="24">
        <v>223</v>
      </c>
      <c r="F30" s="24">
        <v>584</v>
      </c>
      <c r="G30" s="24">
        <v>176</v>
      </c>
      <c r="H30" s="24">
        <v>350</v>
      </c>
      <c r="I30" s="24">
        <v>577</v>
      </c>
      <c r="J30" s="24">
        <v>6224</v>
      </c>
      <c r="K30" s="24">
        <v>2060</v>
      </c>
      <c r="L30" s="24">
        <v>6745</v>
      </c>
      <c r="M30" s="24">
        <v>8382</v>
      </c>
      <c r="N30" s="24">
        <v>5359</v>
      </c>
      <c r="O30" s="24">
        <v>12545</v>
      </c>
      <c r="P30" s="24">
        <v>29996</v>
      </c>
      <c r="Q30" s="24">
        <v>58885</v>
      </c>
      <c r="R30" s="24">
        <v>15941</v>
      </c>
      <c r="S30" s="24">
        <v>2128</v>
      </c>
      <c r="T30" s="24">
        <v>6949</v>
      </c>
      <c r="U30" s="24">
        <v>51322</v>
      </c>
      <c r="V30" s="24">
        <v>9330</v>
      </c>
      <c r="W30" s="24">
        <v>9904</v>
      </c>
      <c r="X30" s="24">
        <v>13990</v>
      </c>
      <c r="Y30" s="24">
        <v>48296</v>
      </c>
      <c r="Z30" s="24">
        <v>14724</v>
      </c>
      <c r="AA30" s="24">
        <v>0</v>
      </c>
      <c r="AB30" s="24">
        <v>5081</v>
      </c>
      <c r="AC30" s="24">
        <v>8876</v>
      </c>
      <c r="AD30" s="24">
        <v>5848</v>
      </c>
      <c r="AE30" s="24">
        <v>77810</v>
      </c>
      <c r="AF30" s="24">
        <v>4547</v>
      </c>
      <c r="AG30" s="24">
        <v>7941</v>
      </c>
      <c r="AH30" s="24">
        <v>26591</v>
      </c>
      <c r="AI30" s="24">
        <v>0</v>
      </c>
      <c r="AJ30" s="24">
        <v>441384</v>
      </c>
    </row>
    <row r="31" spans="1:36" s="24" customFormat="1" x14ac:dyDescent="0.25">
      <c r="A31" s="24">
        <v>2050</v>
      </c>
      <c r="B31" s="24">
        <v>708</v>
      </c>
      <c r="C31" s="24">
        <v>1</v>
      </c>
      <c r="D31" s="24" t="s">
        <v>43</v>
      </c>
      <c r="E31" s="24">
        <v>1684</v>
      </c>
      <c r="F31" s="24">
        <v>2486</v>
      </c>
      <c r="G31" s="24">
        <v>889</v>
      </c>
      <c r="H31" s="24">
        <v>1504</v>
      </c>
      <c r="I31" s="24">
        <v>2467</v>
      </c>
      <c r="J31" s="24">
        <v>24167</v>
      </c>
      <c r="K31" s="24">
        <v>8209</v>
      </c>
      <c r="L31" s="24">
        <v>24449</v>
      </c>
      <c r="M31" s="24">
        <v>30431</v>
      </c>
      <c r="N31" s="24">
        <v>25357</v>
      </c>
      <c r="O31" s="24">
        <v>13238</v>
      </c>
      <c r="P31" s="24">
        <v>59989</v>
      </c>
      <c r="Q31" s="24">
        <v>193133</v>
      </c>
      <c r="R31" s="24">
        <v>62196</v>
      </c>
      <c r="S31" s="24">
        <v>5456</v>
      </c>
      <c r="T31" s="24">
        <v>17837</v>
      </c>
      <c r="U31" s="24">
        <v>96419</v>
      </c>
      <c r="V31" s="24">
        <v>10931</v>
      </c>
      <c r="W31" s="24">
        <v>13315</v>
      </c>
      <c r="X31" s="24">
        <v>11781</v>
      </c>
      <c r="Y31" s="24">
        <v>45277</v>
      </c>
      <c r="Z31" s="24">
        <v>14847</v>
      </c>
      <c r="AA31" s="24">
        <v>0</v>
      </c>
      <c r="AB31" s="24">
        <v>6260</v>
      </c>
      <c r="AC31" s="24">
        <v>11240</v>
      </c>
      <c r="AD31" s="24">
        <v>2539</v>
      </c>
      <c r="AE31" s="24">
        <v>8695</v>
      </c>
      <c r="AF31" s="24">
        <v>5624</v>
      </c>
      <c r="AG31" s="24">
        <v>9827</v>
      </c>
      <c r="AH31" s="24">
        <v>53532</v>
      </c>
      <c r="AI31" s="24">
        <v>0</v>
      </c>
      <c r="AJ31" s="24">
        <v>763779</v>
      </c>
    </row>
    <row r="32" spans="1:36" s="24" customFormat="1" x14ac:dyDescent="0.25">
      <c r="A32" s="24">
        <v>2050</v>
      </c>
      <c r="B32" s="24">
        <v>708</v>
      </c>
      <c r="C32" s="24">
        <v>2</v>
      </c>
      <c r="D32" s="24" t="s">
        <v>44</v>
      </c>
      <c r="E32" s="24">
        <v>336</v>
      </c>
      <c r="F32" s="24">
        <v>535</v>
      </c>
      <c r="G32" s="24">
        <v>180</v>
      </c>
      <c r="H32" s="24">
        <v>226</v>
      </c>
      <c r="I32" s="24">
        <v>370</v>
      </c>
      <c r="J32" s="24">
        <v>5386</v>
      </c>
      <c r="K32" s="24">
        <v>1824</v>
      </c>
      <c r="L32" s="24">
        <v>7339</v>
      </c>
      <c r="M32" s="24">
        <v>9131</v>
      </c>
      <c r="N32" s="24">
        <v>8168</v>
      </c>
      <c r="O32" s="24">
        <v>7351</v>
      </c>
      <c r="P32" s="24">
        <v>27233</v>
      </c>
      <c r="Q32" s="24">
        <v>27642</v>
      </c>
      <c r="R32" s="24">
        <v>8019</v>
      </c>
      <c r="S32" s="24">
        <v>418</v>
      </c>
      <c r="T32" s="24">
        <v>1391</v>
      </c>
      <c r="U32" s="24">
        <v>21332</v>
      </c>
      <c r="V32" s="24">
        <v>3799</v>
      </c>
      <c r="W32" s="24">
        <v>4369</v>
      </c>
      <c r="X32" s="24">
        <v>4103</v>
      </c>
      <c r="Y32" s="24">
        <v>19200</v>
      </c>
      <c r="Z32" s="24">
        <v>5988</v>
      </c>
      <c r="AA32" s="24">
        <v>0</v>
      </c>
      <c r="AB32" s="24">
        <v>2831</v>
      </c>
      <c r="AC32" s="24">
        <v>2595</v>
      </c>
      <c r="AD32" s="24">
        <v>5457</v>
      </c>
      <c r="AE32" s="24">
        <v>1369</v>
      </c>
      <c r="AF32" s="24">
        <v>1277</v>
      </c>
      <c r="AG32" s="24">
        <v>2234</v>
      </c>
      <c r="AH32" s="24">
        <v>15136</v>
      </c>
      <c r="AI32" s="24">
        <v>0</v>
      </c>
      <c r="AJ32" s="24">
        <v>195239</v>
      </c>
    </row>
    <row r="33" spans="1:36" s="24" customFormat="1" x14ac:dyDescent="0.25">
      <c r="A33" s="24">
        <v>2050</v>
      </c>
      <c r="B33" s="24">
        <v>708</v>
      </c>
      <c r="C33" s="24">
        <v>3</v>
      </c>
      <c r="D33" s="24" t="s">
        <v>45</v>
      </c>
      <c r="E33" s="24">
        <v>393</v>
      </c>
      <c r="F33" s="24">
        <v>1646</v>
      </c>
      <c r="G33" s="24">
        <v>564</v>
      </c>
      <c r="H33" s="24">
        <v>434</v>
      </c>
      <c r="I33" s="24">
        <v>714</v>
      </c>
      <c r="J33" s="24">
        <v>16675</v>
      </c>
      <c r="K33" s="24">
        <v>5651</v>
      </c>
      <c r="L33" s="24">
        <v>5186</v>
      </c>
      <c r="M33" s="24">
        <v>6463</v>
      </c>
      <c r="N33" s="24">
        <v>3522</v>
      </c>
      <c r="O33" s="24">
        <v>2773</v>
      </c>
      <c r="P33" s="24">
        <v>26246</v>
      </c>
      <c r="Q33" s="24">
        <v>21365</v>
      </c>
      <c r="R33" s="24">
        <v>6216</v>
      </c>
      <c r="S33" s="24">
        <v>467</v>
      </c>
      <c r="T33" s="24">
        <v>1546</v>
      </c>
      <c r="U33" s="24">
        <v>32297</v>
      </c>
      <c r="V33" s="24">
        <v>3653</v>
      </c>
      <c r="W33" s="24">
        <v>10303</v>
      </c>
      <c r="X33" s="24">
        <v>792</v>
      </c>
      <c r="Y33" s="24">
        <v>17273</v>
      </c>
      <c r="Z33" s="24">
        <v>5582</v>
      </c>
      <c r="AA33" s="24">
        <v>0</v>
      </c>
      <c r="AB33" s="24">
        <v>3394</v>
      </c>
      <c r="AC33" s="24">
        <v>1366</v>
      </c>
      <c r="AD33" s="24">
        <v>413</v>
      </c>
      <c r="AE33" s="24">
        <v>0</v>
      </c>
      <c r="AF33" s="24">
        <v>679</v>
      </c>
      <c r="AG33" s="24">
        <v>1184</v>
      </c>
      <c r="AH33" s="24">
        <v>15958</v>
      </c>
      <c r="AI33" s="24">
        <v>0</v>
      </c>
      <c r="AJ33" s="24">
        <v>192755</v>
      </c>
    </row>
    <row r="34" spans="1:36" s="24" customFormat="1" x14ac:dyDescent="0.25">
      <c r="A34" s="24">
        <v>2050</v>
      </c>
      <c r="B34" s="24">
        <v>708</v>
      </c>
      <c r="C34" s="24">
        <v>4</v>
      </c>
      <c r="D34" s="24" t="s">
        <v>46</v>
      </c>
      <c r="E34" s="24">
        <v>1699</v>
      </c>
      <c r="F34" s="24">
        <v>595</v>
      </c>
      <c r="G34" s="24">
        <v>189</v>
      </c>
      <c r="H34" s="24">
        <v>362</v>
      </c>
      <c r="I34" s="24">
        <v>592</v>
      </c>
      <c r="J34" s="24">
        <v>5701</v>
      </c>
      <c r="K34" s="24">
        <v>1891</v>
      </c>
      <c r="L34" s="24">
        <v>8299</v>
      </c>
      <c r="M34" s="24">
        <v>10313</v>
      </c>
      <c r="N34" s="24">
        <v>8468</v>
      </c>
      <c r="O34" s="24">
        <v>3105</v>
      </c>
      <c r="P34" s="24">
        <v>24491</v>
      </c>
      <c r="Q34" s="24">
        <v>34767</v>
      </c>
      <c r="R34" s="24">
        <v>10352</v>
      </c>
      <c r="S34" s="24">
        <v>754</v>
      </c>
      <c r="T34" s="24">
        <v>2506</v>
      </c>
      <c r="U34" s="24">
        <v>23524</v>
      </c>
      <c r="V34" s="24">
        <v>3800</v>
      </c>
      <c r="W34" s="24">
        <v>7794</v>
      </c>
      <c r="X34" s="24">
        <v>6935</v>
      </c>
      <c r="Y34" s="24">
        <v>19992</v>
      </c>
      <c r="Z34" s="24">
        <v>5428</v>
      </c>
      <c r="AA34" s="24">
        <v>0</v>
      </c>
      <c r="AB34" s="24">
        <v>2662</v>
      </c>
      <c r="AC34" s="24">
        <v>1557</v>
      </c>
      <c r="AD34" s="24">
        <v>2820</v>
      </c>
      <c r="AE34" s="24">
        <v>43094</v>
      </c>
      <c r="AF34" s="24">
        <v>779</v>
      </c>
      <c r="AG34" s="24">
        <v>1362</v>
      </c>
      <c r="AH34" s="24">
        <v>7994</v>
      </c>
      <c r="AI34" s="24">
        <v>0</v>
      </c>
      <c r="AJ34" s="24">
        <v>241825</v>
      </c>
    </row>
    <row r="35" spans="1:36" s="24" customFormat="1" x14ac:dyDescent="0.25">
      <c r="A35" s="24">
        <v>2050</v>
      </c>
      <c r="B35" s="24">
        <v>708</v>
      </c>
      <c r="C35" s="24">
        <v>5</v>
      </c>
      <c r="D35" s="24" t="s">
        <v>47</v>
      </c>
      <c r="E35" s="24">
        <v>7120</v>
      </c>
      <c r="F35" s="24">
        <v>1590</v>
      </c>
      <c r="G35" s="24">
        <v>545</v>
      </c>
      <c r="H35" s="24">
        <v>373</v>
      </c>
      <c r="I35" s="24">
        <v>613</v>
      </c>
      <c r="J35" s="24">
        <v>15044</v>
      </c>
      <c r="K35" s="24">
        <v>5058</v>
      </c>
      <c r="L35" s="24">
        <v>8079</v>
      </c>
      <c r="M35" s="24">
        <v>10063</v>
      </c>
      <c r="N35" s="24">
        <v>7882</v>
      </c>
      <c r="O35" s="24">
        <v>4460</v>
      </c>
      <c r="P35" s="24">
        <v>23771</v>
      </c>
      <c r="Q35" s="24">
        <v>27190</v>
      </c>
      <c r="R35" s="24">
        <v>8085</v>
      </c>
      <c r="S35" s="24">
        <v>430</v>
      </c>
      <c r="T35" s="24">
        <v>1429</v>
      </c>
      <c r="U35" s="24">
        <v>21493</v>
      </c>
      <c r="V35" s="24">
        <v>3559</v>
      </c>
      <c r="W35" s="24">
        <v>8447</v>
      </c>
      <c r="X35" s="24">
        <v>3320</v>
      </c>
      <c r="Y35" s="24">
        <v>14675</v>
      </c>
      <c r="Z35" s="24">
        <v>5065</v>
      </c>
      <c r="AA35" s="24">
        <v>0</v>
      </c>
      <c r="AB35" s="24">
        <v>2972</v>
      </c>
      <c r="AC35" s="24">
        <v>1913</v>
      </c>
      <c r="AD35" s="24">
        <v>353</v>
      </c>
      <c r="AE35" s="24">
        <v>0</v>
      </c>
      <c r="AF35" s="24">
        <v>958</v>
      </c>
      <c r="AG35" s="24">
        <v>1673</v>
      </c>
      <c r="AH35" s="24">
        <v>19584</v>
      </c>
      <c r="AI35" s="24">
        <v>0</v>
      </c>
      <c r="AJ35" s="24">
        <v>205744</v>
      </c>
    </row>
    <row r="36" spans="1:36" s="24" customFormat="1" x14ac:dyDescent="0.25">
      <c r="A36" s="24">
        <v>2050</v>
      </c>
      <c r="B36" s="24">
        <v>708</v>
      </c>
      <c r="C36" s="24">
        <v>6</v>
      </c>
      <c r="D36" s="24" t="s">
        <v>48</v>
      </c>
      <c r="E36" s="24">
        <v>235</v>
      </c>
      <c r="F36" s="24">
        <v>24</v>
      </c>
      <c r="G36" s="24">
        <v>5</v>
      </c>
      <c r="H36" s="24">
        <v>17</v>
      </c>
      <c r="I36" s="24">
        <v>29</v>
      </c>
      <c r="J36" s="24">
        <v>294</v>
      </c>
      <c r="K36" s="24">
        <v>88</v>
      </c>
      <c r="L36" s="24">
        <v>219</v>
      </c>
      <c r="M36" s="24">
        <v>272</v>
      </c>
      <c r="N36" s="24">
        <v>200</v>
      </c>
      <c r="O36" s="24">
        <v>154</v>
      </c>
      <c r="P36" s="24">
        <v>2158</v>
      </c>
      <c r="Q36" s="24">
        <v>793</v>
      </c>
      <c r="R36" s="24">
        <v>317</v>
      </c>
      <c r="S36" s="24">
        <v>10</v>
      </c>
      <c r="T36" s="24">
        <v>36</v>
      </c>
      <c r="U36" s="24">
        <v>1062</v>
      </c>
      <c r="V36" s="24">
        <v>198</v>
      </c>
      <c r="W36" s="24">
        <v>429</v>
      </c>
      <c r="X36" s="24">
        <v>116</v>
      </c>
      <c r="Y36" s="24">
        <v>1295</v>
      </c>
      <c r="Z36" s="24">
        <v>318</v>
      </c>
      <c r="AA36" s="24">
        <v>0</v>
      </c>
      <c r="AB36" s="24">
        <v>189</v>
      </c>
      <c r="AC36" s="24">
        <v>126</v>
      </c>
      <c r="AD36" s="24">
        <v>7</v>
      </c>
      <c r="AE36" s="24">
        <v>0</v>
      </c>
      <c r="AF36" s="24">
        <v>61</v>
      </c>
      <c r="AG36" s="24">
        <v>106</v>
      </c>
      <c r="AH36" s="24">
        <v>1021</v>
      </c>
      <c r="AI36" s="24">
        <v>0</v>
      </c>
      <c r="AJ36" s="24">
        <v>9779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zoomScale="85" zoomScaleNormal="85" workbookViewId="0">
      <selection activeCell="B14" sqref="B14"/>
    </sheetView>
  </sheetViews>
  <sheetFormatPr defaultRowHeight="15" x14ac:dyDescent="0.25"/>
  <cols>
    <col min="3" max="3" width="15.7109375" customWidth="1"/>
  </cols>
  <sheetData>
    <row r="1" spans="1:3" x14ac:dyDescent="0.25">
      <c r="A1" t="s">
        <v>0</v>
      </c>
      <c r="B1" t="s">
        <v>97</v>
      </c>
      <c r="C1" t="s">
        <v>94</v>
      </c>
    </row>
    <row r="2" spans="1:3" x14ac:dyDescent="0.25">
      <c r="A2">
        <v>2016</v>
      </c>
      <c r="B2" t="s">
        <v>61</v>
      </c>
      <c r="C2" s="32">
        <v>65203</v>
      </c>
    </row>
    <row r="3" spans="1:3" x14ac:dyDescent="0.25">
      <c r="A3">
        <v>2016</v>
      </c>
      <c r="B3" t="s">
        <v>57</v>
      </c>
      <c r="C3" s="32">
        <v>4450704</v>
      </c>
    </row>
    <row r="4" spans="1:3" x14ac:dyDescent="0.25">
      <c r="A4">
        <v>2016</v>
      </c>
      <c r="B4" t="s">
        <v>59</v>
      </c>
      <c r="C4" s="32">
        <v>1644967</v>
      </c>
    </row>
    <row r="5" spans="1:3" x14ac:dyDescent="0.25">
      <c r="A5">
        <v>2016</v>
      </c>
      <c r="B5" t="s">
        <v>60</v>
      </c>
      <c r="C5" s="32">
        <v>732617</v>
      </c>
    </row>
    <row r="6" spans="1:3" x14ac:dyDescent="0.25">
      <c r="A6">
        <v>2016</v>
      </c>
      <c r="B6" t="s">
        <v>58</v>
      </c>
      <c r="C6" s="32">
        <v>724450</v>
      </c>
    </row>
    <row r="7" spans="1:3" x14ac:dyDescent="0.25">
      <c r="A7">
        <v>2016</v>
      </c>
      <c r="B7" t="s">
        <v>98</v>
      </c>
      <c r="C7" s="32">
        <v>353386</v>
      </c>
    </row>
    <row r="8" spans="1:3" x14ac:dyDescent="0.25">
      <c r="A8">
        <v>2020</v>
      </c>
      <c r="B8" t="s">
        <v>61</v>
      </c>
      <c r="C8" s="32">
        <v>82483</v>
      </c>
    </row>
    <row r="9" spans="1:3" x14ac:dyDescent="0.25">
      <c r="A9">
        <v>2020</v>
      </c>
      <c r="B9" t="s">
        <v>57</v>
      </c>
      <c r="C9" s="32">
        <v>4658672</v>
      </c>
    </row>
    <row r="10" spans="1:3" x14ac:dyDescent="0.25">
      <c r="A10">
        <v>2020</v>
      </c>
      <c r="B10" t="s">
        <v>59</v>
      </c>
      <c r="C10" s="32">
        <v>1730352</v>
      </c>
    </row>
    <row r="11" spans="1:3" x14ac:dyDescent="0.25">
      <c r="A11">
        <v>2020</v>
      </c>
      <c r="B11" t="s">
        <v>60</v>
      </c>
      <c r="C11" s="32">
        <v>848515</v>
      </c>
    </row>
    <row r="12" spans="1:3" x14ac:dyDescent="0.25">
      <c r="A12">
        <v>2020</v>
      </c>
      <c r="B12" t="s">
        <v>58</v>
      </c>
      <c r="C12" s="32">
        <v>789371</v>
      </c>
    </row>
    <row r="13" spans="1:3" x14ac:dyDescent="0.25">
      <c r="A13">
        <v>2020</v>
      </c>
      <c r="B13" t="s">
        <v>98</v>
      </c>
      <c r="C13" s="32">
        <v>374523</v>
      </c>
    </row>
    <row r="14" spans="1:3" x14ac:dyDescent="0.25">
      <c r="A14">
        <v>2025</v>
      </c>
      <c r="B14" t="s">
        <v>61</v>
      </c>
      <c r="C14" s="32">
        <v>87579</v>
      </c>
    </row>
    <row r="15" spans="1:3" x14ac:dyDescent="0.25">
      <c r="A15">
        <v>2025</v>
      </c>
      <c r="B15" t="s">
        <v>57</v>
      </c>
      <c r="C15" s="32">
        <v>4792076</v>
      </c>
    </row>
    <row r="16" spans="1:3" x14ac:dyDescent="0.25">
      <c r="A16">
        <v>2025</v>
      </c>
      <c r="B16" t="s">
        <v>59</v>
      </c>
      <c r="C16" s="32">
        <v>1791984</v>
      </c>
    </row>
    <row r="17" spans="1:3" x14ac:dyDescent="0.25">
      <c r="A17">
        <v>2025</v>
      </c>
      <c r="B17" t="s">
        <v>60</v>
      </c>
      <c r="C17" s="32">
        <v>936285</v>
      </c>
    </row>
    <row r="18" spans="1:3" x14ac:dyDescent="0.25">
      <c r="A18">
        <v>2025</v>
      </c>
      <c r="B18" t="s">
        <v>58</v>
      </c>
      <c r="C18" s="32">
        <v>859011</v>
      </c>
    </row>
    <row r="19" spans="1:3" x14ac:dyDescent="0.25">
      <c r="A19">
        <v>2025</v>
      </c>
      <c r="B19" t="s">
        <v>98</v>
      </c>
      <c r="C19" s="32">
        <v>386181</v>
      </c>
    </row>
    <row r="20" spans="1:3" x14ac:dyDescent="0.25">
      <c r="A20">
        <v>2035</v>
      </c>
      <c r="B20" t="s">
        <v>61</v>
      </c>
      <c r="C20" s="32">
        <v>97835</v>
      </c>
    </row>
    <row r="21" spans="1:3" x14ac:dyDescent="0.25">
      <c r="A21">
        <v>2035</v>
      </c>
      <c r="B21" t="s">
        <v>57</v>
      </c>
      <c r="C21" s="32">
        <v>5057829</v>
      </c>
    </row>
    <row r="22" spans="1:3" x14ac:dyDescent="0.25">
      <c r="A22">
        <v>2035</v>
      </c>
      <c r="B22" t="s">
        <v>59</v>
      </c>
      <c r="C22" s="32">
        <v>1870292</v>
      </c>
    </row>
    <row r="23" spans="1:3" x14ac:dyDescent="0.25">
      <c r="A23">
        <v>2035</v>
      </c>
      <c r="B23" t="s">
        <v>60</v>
      </c>
      <c r="C23" s="32">
        <v>1111697</v>
      </c>
    </row>
    <row r="24" spans="1:3" x14ac:dyDescent="0.25">
      <c r="A24">
        <v>2035</v>
      </c>
      <c r="B24" t="s">
        <v>58</v>
      </c>
      <c r="C24" s="32">
        <v>997994</v>
      </c>
    </row>
    <row r="25" spans="1:3" x14ac:dyDescent="0.25">
      <c r="A25">
        <v>2035</v>
      </c>
      <c r="B25" t="s">
        <v>98</v>
      </c>
      <c r="C25" s="32">
        <v>409410</v>
      </c>
    </row>
    <row r="26" spans="1:3" x14ac:dyDescent="0.25">
      <c r="A26">
        <v>2050</v>
      </c>
      <c r="B26" t="s">
        <v>61</v>
      </c>
      <c r="C26" s="32">
        <v>101053</v>
      </c>
    </row>
    <row r="27" spans="1:3" x14ac:dyDescent="0.25">
      <c r="A27">
        <v>2050</v>
      </c>
      <c r="B27" t="s">
        <v>57</v>
      </c>
      <c r="C27" s="32">
        <v>5221748</v>
      </c>
    </row>
    <row r="28" spans="1:3" x14ac:dyDescent="0.25">
      <c r="A28">
        <v>2050</v>
      </c>
      <c r="B28" t="s">
        <v>59</v>
      </c>
      <c r="C28" s="32">
        <v>1898952</v>
      </c>
    </row>
    <row r="29" spans="1:3" x14ac:dyDescent="0.25">
      <c r="A29">
        <v>2050</v>
      </c>
      <c r="B29" t="s">
        <v>60</v>
      </c>
      <c r="C29" s="32">
        <v>1174500</v>
      </c>
    </row>
    <row r="30" spans="1:3" x14ac:dyDescent="0.25">
      <c r="A30">
        <v>2050</v>
      </c>
      <c r="B30" t="s">
        <v>58</v>
      </c>
      <c r="C30" s="32">
        <v>1028132</v>
      </c>
    </row>
    <row r="31" spans="1:3" x14ac:dyDescent="0.25">
      <c r="A31">
        <v>2050</v>
      </c>
      <c r="B31" t="s">
        <v>98</v>
      </c>
      <c r="C31" s="32">
        <v>419808</v>
      </c>
    </row>
    <row r="33" spans="1:6" ht="31.5" customHeight="1" x14ac:dyDescent="0.25">
      <c r="A33" s="378" t="s">
        <v>116</v>
      </c>
      <c r="B33" s="377"/>
      <c r="C33" s="377"/>
      <c r="D33" s="377"/>
      <c r="E33" s="377"/>
      <c r="F33" s="377"/>
    </row>
  </sheetData>
  <mergeCells count="1">
    <mergeCell ref="A33:F33"/>
  </mergeCell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20"/>
  <sheetViews>
    <sheetView zoomScale="115" zoomScaleNormal="115" workbookViewId="0">
      <selection activeCell="J1" sqref="J1:K2"/>
    </sheetView>
  </sheetViews>
  <sheetFormatPr defaultRowHeight="15" x14ac:dyDescent="0.25"/>
  <cols>
    <col min="2" max="3" width="10.7109375" style="343" customWidth="1"/>
    <col min="4" max="5" width="10.7109375" style="342" customWidth="1"/>
    <col min="10" max="10" width="12.28515625" bestFit="1" customWidth="1"/>
  </cols>
  <sheetData>
    <row r="1" spans="1:11" x14ac:dyDescent="0.25">
      <c r="A1" s="342" t="s">
        <v>531</v>
      </c>
      <c r="B1" s="343" t="s">
        <v>532</v>
      </c>
      <c r="C1" s="343" t="s">
        <v>533</v>
      </c>
      <c r="D1" s="342" t="s">
        <v>534</v>
      </c>
      <c r="E1" s="342" t="s">
        <v>535</v>
      </c>
      <c r="J1" s="342"/>
      <c r="K1" s="342"/>
    </row>
    <row r="2" spans="1:11" x14ac:dyDescent="0.25">
      <c r="A2">
        <v>12</v>
      </c>
      <c r="B2" s="343">
        <v>40.236499999999999</v>
      </c>
      <c r="C2" s="343">
        <v>-120.941</v>
      </c>
      <c r="D2" s="342">
        <v>4614040</v>
      </c>
      <c r="E2" s="342">
        <v>5242780</v>
      </c>
      <c r="J2" s="342"/>
      <c r="K2" s="342"/>
    </row>
    <row r="3" spans="1:11" x14ac:dyDescent="0.25">
      <c r="A3">
        <v>16</v>
      </c>
      <c r="B3" s="343">
        <v>35.4998</v>
      </c>
      <c r="C3" s="343">
        <v>-118.42</v>
      </c>
      <c r="D3" s="342">
        <v>2860240</v>
      </c>
      <c r="E3" s="342">
        <v>5915410</v>
      </c>
    </row>
    <row r="4" spans="1:11" x14ac:dyDescent="0.25">
      <c r="A4">
        <v>17</v>
      </c>
      <c r="B4" s="343">
        <v>37.291899999999998</v>
      </c>
      <c r="C4" s="343">
        <v>-118.858</v>
      </c>
      <c r="D4" s="342">
        <v>3516320</v>
      </c>
      <c r="E4" s="342">
        <v>5801410</v>
      </c>
    </row>
    <row r="5" spans="1:11" x14ac:dyDescent="0.25">
      <c r="A5">
        <v>18</v>
      </c>
      <c r="B5" s="343">
        <v>34.523499999999999</v>
      </c>
      <c r="C5" s="343">
        <v>-118.946</v>
      </c>
      <c r="D5" s="342">
        <v>2508530</v>
      </c>
      <c r="E5" s="342">
        <v>5749400</v>
      </c>
    </row>
    <row r="6" spans="1:11" x14ac:dyDescent="0.25">
      <c r="A6">
        <v>19</v>
      </c>
      <c r="B6" s="343">
        <v>40.585900000000002</v>
      </c>
      <c r="C6" s="343">
        <v>-120.15300000000001</v>
      </c>
      <c r="D6" s="342">
        <v>4733070</v>
      </c>
      <c r="E6" s="342">
        <v>5469010</v>
      </c>
    </row>
    <row r="7" spans="1:11" x14ac:dyDescent="0.25">
      <c r="A7">
        <v>20</v>
      </c>
      <c r="B7" s="343">
        <v>37.5976</v>
      </c>
      <c r="C7" s="343">
        <v>-119.274</v>
      </c>
      <c r="D7" s="342">
        <v>3631240</v>
      </c>
      <c r="E7" s="342">
        <v>5683160</v>
      </c>
    </row>
    <row r="8" spans="1:11" x14ac:dyDescent="0.25">
      <c r="A8">
        <v>22</v>
      </c>
      <c r="B8" s="343">
        <v>39.377699999999997</v>
      </c>
      <c r="C8" s="343">
        <v>-123.54300000000001</v>
      </c>
      <c r="D8" s="342">
        <v>4341970</v>
      </c>
      <c r="E8" s="342">
        <v>4490080</v>
      </c>
    </row>
    <row r="9" spans="1:11" x14ac:dyDescent="0.25">
      <c r="A9">
        <v>26</v>
      </c>
      <c r="B9" s="343">
        <v>36.212499999999999</v>
      </c>
      <c r="C9" s="343">
        <v>-118.32899999999999</v>
      </c>
      <c r="D9" s="342">
        <v>3119060</v>
      </c>
      <c r="E9" s="342">
        <v>5947750</v>
      </c>
    </row>
    <row r="10" spans="1:11" x14ac:dyDescent="0.25">
      <c r="A10">
        <v>28</v>
      </c>
      <c r="B10" s="343">
        <v>40.093499999999999</v>
      </c>
      <c r="C10" s="343">
        <v>-120.405</v>
      </c>
      <c r="D10" s="342">
        <v>4555230</v>
      </c>
      <c r="E10" s="342">
        <v>5391160</v>
      </c>
    </row>
    <row r="11" spans="1:11" x14ac:dyDescent="0.25">
      <c r="A11">
        <v>29</v>
      </c>
      <c r="B11" s="343">
        <v>39.512599999999999</v>
      </c>
      <c r="C11" s="343">
        <v>-121.059</v>
      </c>
      <c r="D11" s="342">
        <v>4350370</v>
      </c>
      <c r="E11" s="342">
        <v>5197370</v>
      </c>
    </row>
    <row r="12" spans="1:11" x14ac:dyDescent="0.25">
      <c r="A12">
        <v>31</v>
      </c>
      <c r="B12" s="343">
        <v>40.377499999999998</v>
      </c>
      <c r="C12" s="343">
        <v>-121.131</v>
      </c>
      <c r="D12" s="342">
        <v>4668190</v>
      </c>
      <c r="E12" s="342">
        <v>5191830</v>
      </c>
    </row>
    <row r="13" spans="1:11" x14ac:dyDescent="0.25">
      <c r="A13">
        <v>32</v>
      </c>
      <c r="B13" s="343">
        <v>34.762999999999998</v>
      </c>
      <c r="C13" s="343">
        <v>-119.729</v>
      </c>
      <c r="D13" s="342">
        <v>2602660</v>
      </c>
      <c r="E13" s="342">
        <v>5516790</v>
      </c>
    </row>
    <row r="14" spans="1:11" x14ac:dyDescent="0.25">
      <c r="A14">
        <v>33</v>
      </c>
      <c r="B14" s="343">
        <v>39.4771</v>
      </c>
      <c r="C14" s="343">
        <v>-120.18899999999999</v>
      </c>
      <c r="D14" s="342">
        <v>4327020</v>
      </c>
      <c r="E14" s="342">
        <v>5443630</v>
      </c>
    </row>
    <row r="15" spans="1:11" x14ac:dyDescent="0.25">
      <c r="A15">
        <v>34</v>
      </c>
      <c r="B15" s="343">
        <v>41.9422</v>
      </c>
      <c r="C15" s="343">
        <v>-123.214</v>
      </c>
      <c r="D15" s="342">
        <v>5275750</v>
      </c>
      <c r="E15" s="342">
        <v>4646260</v>
      </c>
    </row>
    <row r="16" spans="1:11" x14ac:dyDescent="0.25">
      <c r="A16">
        <v>35</v>
      </c>
      <c r="B16" s="343">
        <v>41.423999999999999</v>
      </c>
      <c r="C16" s="343">
        <v>-121.798</v>
      </c>
      <c r="D16" s="342">
        <v>5061720</v>
      </c>
      <c r="E16" s="342">
        <v>5025250</v>
      </c>
    </row>
    <row r="17" spans="1:5" x14ac:dyDescent="0.25">
      <c r="A17">
        <v>37</v>
      </c>
      <c r="B17" s="343">
        <v>40.0443</v>
      </c>
      <c r="C17" s="343">
        <v>-122.872</v>
      </c>
      <c r="D17" s="342">
        <v>4573090</v>
      </c>
      <c r="E17" s="342">
        <v>4695800</v>
      </c>
    </row>
    <row r="18" spans="1:5" x14ac:dyDescent="0.25">
      <c r="A18">
        <v>38</v>
      </c>
      <c r="B18" s="343">
        <v>40.128100000000003</v>
      </c>
      <c r="C18" s="343">
        <v>-121.72799999999999</v>
      </c>
      <c r="D18" s="342">
        <v>4585100</v>
      </c>
      <c r="E18" s="342">
        <v>5019460</v>
      </c>
    </row>
    <row r="19" spans="1:5" x14ac:dyDescent="0.25">
      <c r="A19">
        <v>39</v>
      </c>
      <c r="B19" s="343">
        <v>40.266300000000001</v>
      </c>
      <c r="C19" s="343">
        <v>-123.226</v>
      </c>
      <c r="D19" s="342">
        <v>4660770</v>
      </c>
      <c r="E19" s="342">
        <v>4601740</v>
      </c>
    </row>
    <row r="20" spans="1:5" x14ac:dyDescent="0.25">
      <c r="A20">
        <v>40</v>
      </c>
      <c r="B20" s="343">
        <v>38.021299999999997</v>
      </c>
      <c r="C20" s="343">
        <v>-119.56100000000001</v>
      </c>
      <c r="D20" s="342">
        <v>3788480</v>
      </c>
      <c r="E20" s="342">
        <v>5604910</v>
      </c>
    </row>
    <row r="21" spans="1:5" x14ac:dyDescent="0.25">
      <c r="A21">
        <v>44</v>
      </c>
      <c r="B21" s="343">
        <v>38.476199999999999</v>
      </c>
      <c r="C21" s="343">
        <v>-119.753</v>
      </c>
      <c r="D21" s="342">
        <v>3956470</v>
      </c>
      <c r="E21" s="342">
        <v>5554980</v>
      </c>
    </row>
    <row r="22" spans="1:5" x14ac:dyDescent="0.25">
      <c r="A22">
        <v>47</v>
      </c>
      <c r="B22" s="343">
        <v>39.709400000000002</v>
      </c>
      <c r="C22" s="343">
        <v>-122.80800000000001</v>
      </c>
      <c r="D22" s="342">
        <v>4449380</v>
      </c>
      <c r="E22" s="342">
        <v>4706140</v>
      </c>
    </row>
    <row r="23" spans="1:5" x14ac:dyDescent="0.25">
      <c r="A23">
        <v>48</v>
      </c>
      <c r="B23" s="343">
        <v>39.405799999999999</v>
      </c>
      <c r="C23" s="343">
        <v>-122.843</v>
      </c>
      <c r="D23" s="342">
        <v>4338980</v>
      </c>
      <c r="E23" s="342">
        <v>4689160</v>
      </c>
    </row>
    <row r="24" spans="1:5" x14ac:dyDescent="0.25">
      <c r="A24">
        <v>49</v>
      </c>
      <c r="B24" s="343">
        <v>41.557200000000002</v>
      </c>
      <c r="C24" s="343">
        <v>-123.76900000000001</v>
      </c>
      <c r="D24" s="342">
        <v>5144830</v>
      </c>
      <c r="E24" s="342">
        <v>4483520</v>
      </c>
    </row>
    <row r="25" spans="1:5" x14ac:dyDescent="0.25">
      <c r="A25">
        <v>50</v>
      </c>
      <c r="B25" s="343">
        <v>41.085299999999997</v>
      </c>
      <c r="C25" s="343">
        <v>-123.501</v>
      </c>
      <c r="D25" s="342">
        <v>4966310</v>
      </c>
      <c r="E25" s="342">
        <v>4545540</v>
      </c>
    </row>
    <row r="26" spans="1:5" x14ac:dyDescent="0.25">
      <c r="A26">
        <v>51</v>
      </c>
      <c r="B26" s="343">
        <v>38.935499999999998</v>
      </c>
      <c r="C26" s="343">
        <v>-120.319</v>
      </c>
      <c r="D26" s="342">
        <v>4130260</v>
      </c>
      <c r="E26" s="342">
        <v>5398730</v>
      </c>
    </row>
    <row r="27" spans="1:5" x14ac:dyDescent="0.25">
      <c r="A27">
        <v>52</v>
      </c>
      <c r="B27" s="343">
        <v>38.680900000000001</v>
      </c>
      <c r="C27" s="343">
        <v>-120.324</v>
      </c>
      <c r="D27" s="342">
        <v>4037240</v>
      </c>
      <c r="E27" s="342">
        <v>5393930</v>
      </c>
    </row>
    <row r="28" spans="1:5" x14ac:dyDescent="0.25">
      <c r="A28">
        <v>54</v>
      </c>
      <c r="B28" s="343">
        <v>41.190100000000001</v>
      </c>
      <c r="C28" s="343">
        <v>-123.88800000000001</v>
      </c>
      <c r="D28" s="342">
        <v>5012450</v>
      </c>
      <c r="E28" s="342">
        <v>4440820</v>
      </c>
    </row>
    <row r="29" spans="1:5" x14ac:dyDescent="0.25">
      <c r="A29">
        <v>55</v>
      </c>
      <c r="B29" s="343">
        <v>41.004100000000001</v>
      </c>
      <c r="C29" s="343">
        <v>-123.291</v>
      </c>
      <c r="D29" s="342">
        <v>4932550</v>
      </c>
      <c r="E29" s="342">
        <v>4601780</v>
      </c>
    </row>
    <row r="30" spans="1:5" x14ac:dyDescent="0.25">
      <c r="A30">
        <v>57</v>
      </c>
      <c r="B30" s="343">
        <v>33.9955</v>
      </c>
      <c r="C30" s="343">
        <v>-119.944</v>
      </c>
      <c r="D30" s="342">
        <v>2325770</v>
      </c>
      <c r="E30" s="342">
        <v>5442160</v>
      </c>
    </row>
    <row r="31" spans="1:5" x14ac:dyDescent="0.25">
      <c r="A31">
        <v>58</v>
      </c>
      <c r="B31" s="343">
        <v>37.755000000000003</v>
      </c>
      <c r="C31" s="343">
        <v>-119.441</v>
      </c>
      <c r="D31" s="342">
        <v>3690140</v>
      </c>
      <c r="E31" s="342">
        <v>5636550</v>
      </c>
    </row>
    <row r="32" spans="1:5" x14ac:dyDescent="0.25">
      <c r="A32">
        <v>61</v>
      </c>
      <c r="B32" s="343">
        <v>33.258099999999999</v>
      </c>
      <c r="C32" s="343">
        <v>-119.485</v>
      </c>
      <c r="D32" s="342">
        <v>2052880</v>
      </c>
      <c r="E32" s="342">
        <v>5572880</v>
      </c>
    </row>
    <row r="33" spans="1:5" x14ac:dyDescent="0.25">
      <c r="A33">
        <v>65</v>
      </c>
      <c r="B33" s="343">
        <v>39.655900000000003</v>
      </c>
      <c r="C33" s="343">
        <v>-120.833</v>
      </c>
      <c r="D33" s="342">
        <v>4399940</v>
      </c>
      <c r="E33" s="342">
        <v>5263710</v>
      </c>
    </row>
    <row r="34" spans="1:5" x14ac:dyDescent="0.25">
      <c r="A34">
        <v>90001</v>
      </c>
      <c r="B34" s="343">
        <v>33.9741</v>
      </c>
      <c r="C34" s="343">
        <v>-118.25</v>
      </c>
      <c r="D34" s="342">
        <v>2303890</v>
      </c>
      <c r="E34" s="342">
        <v>5955360</v>
      </c>
    </row>
    <row r="35" spans="1:5" x14ac:dyDescent="0.25">
      <c r="A35">
        <v>90002</v>
      </c>
      <c r="B35" s="343">
        <v>33.948900000000002</v>
      </c>
      <c r="C35" s="343">
        <v>-118.247</v>
      </c>
      <c r="D35" s="342">
        <v>2294720</v>
      </c>
      <c r="E35" s="342">
        <v>5956010</v>
      </c>
    </row>
    <row r="36" spans="1:5" x14ac:dyDescent="0.25">
      <c r="A36">
        <v>90003</v>
      </c>
      <c r="B36" s="343">
        <v>33.964100000000002</v>
      </c>
      <c r="C36" s="343">
        <v>-118.274</v>
      </c>
      <c r="D36" s="342">
        <v>2300410</v>
      </c>
      <c r="E36" s="342">
        <v>5947990</v>
      </c>
    </row>
    <row r="37" spans="1:5" x14ac:dyDescent="0.25">
      <c r="A37">
        <v>90004</v>
      </c>
      <c r="B37" s="343">
        <v>34.0762</v>
      </c>
      <c r="C37" s="343">
        <v>-118.31100000000001</v>
      </c>
      <c r="D37" s="342">
        <v>2341420</v>
      </c>
      <c r="E37" s="342">
        <v>5937440</v>
      </c>
    </row>
    <row r="38" spans="1:5" x14ac:dyDescent="0.25">
      <c r="A38">
        <v>90005</v>
      </c>
      <c r="B38" s="343">
        <v>34.060099999999998</v>
      </c>
      <c r="C38" s="343">
        <v>-118.31</v>
      </c>
      <c r="D38" s="342">
        <v>2335530</v>
      </c>
      <c r="E38" s="342">
        <v>5937810</v>
      </c>
    </row>
    <row r="39" spans="1:5" x14ac:dyDescent="0.25">
      <c r="A39">
        <v>90006</v>
      </c>
      <c r="B39" s="343">
        <v>34.048000000000002</v>
      </c>
      <c r="C39" s="343">
        <v>-118.294</v>
      </c>
      <c r="D39" s="342">
        <v>2331050</v>
      </c>
      <c r="E39" s="342">
        <v>5942470</v>
      </c>
    </row>
    <row r="40" spans="1:5" x14ac:dyDescent="0.25">
      <c r="A40">
        <v>90007</v>
      </c>
      <c r="B40" s="343">
        <v>34.027900000000002</v>
      </c>
      <c r="C40" s="343">
        <v>-118.285</v>
      </c>
      <c r="D40" s="342">
        <v>2323670</v>
      </c>
      <c r="E40" s="342">
        <v>5945070</v>
      </c>
    </row>
    <row r="41" spans="1:5" x14ac:dyDescent="0.25">
      <c r="A41">
        <v>90008</v>
      </c>
      <c r="B41" s="343">
        <v>34.009099999999997</v>
      </c>
      <c r="C41" s="343">
        <v>-118.348</v>
      </c>
      <c r="D41" s="342">
        <v>2317200</v>
      </c>
      <c r="E41" s="342">
        <v>5925830</v>
      </c>
    </row>
    <row r="42" spans="1:5" x14ac:dyDescent="0.25">
      <c r="A42">
        <v>90011</v>
      </c>
      <c r="B42" s="343">
        <v>34.0075</v>
      </c>
      <c r="C42" s="343">
        <v>-118.259</v>
      </c>
      <c r="D42" s="342">
        <v>2316090</v>
      </c>
      <c r="E42" s="342">
        <v>5952890</v>
      </c>
    </row>
    <row r="43" spans="1:5" x14ac:dyDescent="0.25">
      <c r="A43">
        <v>90012</v>
      </c>
      <c r="B43" s="343">
        <v>34.066200000000002</v>
      </c>
      <c r="C43" s="343">
        <v>-118.239</v>
      </c>
      <c r="D43" s="342">
        <v>2337350</v>
      </c>
      <c r="E43" s="342">
        <v>5959370</v>
      </c>
    </row>
    <row r="44" spans="1:5" x14ac:dyDescent="0.25">
      <c r="A44">
        <v>90013</v>
      </c>
      <c r="B44" s="343">
        <v>34.0443</v>
      </c>
      <c r="C44" s="343">
        <v>-118.241</v>
      </c>
      <c r="D44" s="342">
        <v>2329390</v>
      </c>
      <c r="E44" s="342">
        <v>5958600</v>
      </c>
    </row>
    <row r="45" spans="1:5" x14ac:dyDescent="0.25">
      <c r="A45">
        <v>90014</v>
      </c>
      <c r="B45" s="343">
        <v>34.043100000000003</v>
      </c>
      <c r="C45" s="343">
        <v>-118.252</v>
      </c>
      <c r="D45" s="342">
        <v>2329030</v>
      </c>
      <c r="E45" s="342">
        <v>5955110</v>
      </c>
    </row>
    <row r="46" spans="1:5" x14ac:dyDescent="0.25">
      <c r="A46">
        <v>90015</v>
      </c>
      <c r="B46" s="343">
        <v>34.0396</v>
      </c>
      <c r="C46" s="343">
        <v>-118.267</v>
      </c>
      <c r="D46" s="342">
        <v>2327830</v>
      </c>
      <c r="E46" s="342">
        <v>5950710</v>
      </c>
    </row>
    <row r="47" spans="1:5" x14ac:dyDescent="0.25">
      <c r="A47">
        <v>90016</v>
      </c>
      <c r="B47" s="343">
        <v>34.028399999999998</v>
      </c>
      <c r="C47" s="343">
        <v>-118.354</v>
      </c>
      <c r="D47" s="342">
        <v>2324270</v>
      </c>
      <c r="E47" s="342">
        <v>5924130</v>
      </c>
    </row>
    <row r="48" spans="1:5" x14ac:dyDescent="0.25">
      <c r="A48">
        <v>90017</v>
      </c>
      <c r="B48" s="343">
        <v>34.053100000000001</v>
      </c>
      <c r="C48" s="343">
        <v>-118.265</v>
      </c>
      <c r="D48" s="342">
        <v>2332720</v>
      </c>
      <c r="E48" s="342">
        <v>5951420</v>
      </c>
    </row>
    <row r="49" spans="1:5" x14ac:dyDescent="0.25">
      <c r="A49">
        <v>90018</v>
      </c>
      <c r="B49" s="343">
        <v>34.028100000000002</v>
      </c>
      <c r="C49" s="343">
        <v>-118.318</v>
      </c>
      <c r="D49" s="342">
        <v>2323940</v>
      </c>
      <c r="E49" s="342">
        <v>5935200</v>
      </c>
    </row>
    <row r="50" spans="1:5" x14ac:dyDescent="0.25">
      <c r="A50">
        <v>90019</v>
      </c>
      <c r="B50" s="343">
        <v>34.0486</v>
      </c>
      <c r="C50" s="343">
        <v>-118.339</v>
      </c>
      <c r="D50" s="342">
        <v>2331530</v>
      </c>
      <c r="E50" s="342">
        <v>5928930</v>
      </c>
    </row>
    <row r="51" spans="1:5" x14ac:dyDescent="0.25">
      <c r="A51">
        <v>90020</v>
      </c>
      <c r="B51" s="343">
        <v>34.066299999999998</v>
      </c>
      <c r="C51" s="343">
        <v>-118.31</v>
      </c>
      <c r="D51" s="342">
        <v>2337810</v>
      </c>
      <c r="E51" s="342">
        <v>5937690</v>
      </c>
    </row>
    <row r="52" spans="1:5" x14ac:dyDescent="0.25">
      <c r="A52">
        <v>90021</v>
      </c>
      <c r="B52" s="343">
        <v>34.029200000000003</v>
      </c>
      <c r="C52" s="343">
        <v>-118.239</v>
      </c>
      <c r="D52" s="342">
        <v>2323880</v>
      </c>
      <c r="E52" s="342">
        <v>5959090</v>
      </c>
    </row>
    <row r="53" spans="1:5" x14ac:dyDescent="0.25">
      <c r="A53">
        <v>90022</v>
      </c>
      <c r="B53" s="343">
        <v>34.024299999999997</v>
      </c>
      <c r="C53" s="343">
        <v>-118.15600000000001</v>
      </c>
      <c r="D53" s="342">
        <v>2321640</v>
      </c>
      <c r="E53" s="342">
        <v>5984280</v>
      </c>
    </row>
    <row r="54" spans="1:5" x14ac:dyDescent="0.25">
      <c r="A54">
        <v>90023</v>
      </c>
      <c r="B54" s="343">
        <v>34.021700000000003</v>
      </c>
      <c r="C54" s="343">
        <v>-118.2</v>
      </c>
      <c r="D54" s="342">
        <v>2320930</v>
      </c>
      <c r="E54" s="342">
        <v>5970660</v>
      </c>
    </row>
    <row r="55" spans="1:5" x14ac:dyDescent="0.25">
      <c r="A55">
        <v>90024</v>
      </c>
      <c r="B55" s="343">
        <v>34.065300000000001</v>
      </c>
      <c r="C55" s="343">
        <v>-118.435</v>
      </c>
      <c r="D55" s="342">
        <v>2338200</v>
      </c>
      <c r="E55" s="342">
        <v>5899930</v>
      </c>
    </row>
    <row r="56" spans="1:5" x14ac:dyDescent="0.25">
      <c r="A56">
        <v>90025</v>
      </c>
      <c r="B56" s="343">
        <v>34.045099999999998</v>
      </c>
      <c r="C56" s="343">
        <v>-118.447</v>
      </c>
      <c r="D56" s="342">
        <v>2330930</v>
      </c>
      <c r="E56" s="342">
        <v>5896220</v>
      </c>
    </row>
    <row r="57" spans="1:5" x14ac:dyDescent="0.25">
      <c r="A57">
        <v>90026</v>
      </c>
      <c r="B57" s="343">
        <v>34.078699999999998</v>
      </c>
      <c r="C57" s="343">
        <v>-118.264</v>
      </c>
      <c r="D57" s="342">
        <v>2342050</v>
      </c>
      <c r="E57" s="342">
        <v>5951880</v>
      </c>
    </row>
    <row r="58" spans="1:5" x14ac:dyDescent="0.25">
      <c r="A58">
        <v>90027</v>
      </c>
      <c r="B58" s="343">
        <v>34.125100000000003</v>
      </c>
      <c r="C58" s="343">
        <v>-118.291</v>
      </c>
      <c r="D58" s="342">
        <v>2359070</v>
      </c>
      <c r="E58" s="342">
        <v>5944070</v>
      </c>
    </row>
    <row r="59" spans="1:5" x14ac:dyDescent="0.25">
      <c r="A59">
        <v>90028</v>
      </c>
      <c r="B59" s="343">
        <v>34.099899999999998</v>
      </c>
      <c r="C59" s="343">
        <v>-118.327</v>
      </c>
      <c r="D59" s="342">
        <v>2350120</v>
      </c>
      <c r="E59" s="342">
        <v>5932900</v>
      </c>
    </row>
    <row r="60" spans="1:5" x14ac:dyDescent="0.25">
      <c r="A60">
        <v>90029</v>
      </c>
      <c r="B60" s="343">
        <v>34.089799999999997</v>
      </c>
      <c r="C60" s="343">
        <v>-118.295</v>
      </c>
      <c r="D60" s="342">
        <v>2346240</v>
      </c>
      <c r="E60" s="342">
        <v>5942620</v>
      </c>
    </row>
    <row r="61" spans="1:5" x14ac:dyDescent="0.25">
      <c r="A61">
        <v>90031</v>
      </c>
      <c r="B61" s="343">
        <v>34.08</v>
      </c>
      <c r="C61" s="343">
        <v>-118.212</v>
      </c>
      <c r="D61" s="342">
        <v>2342210</v>
      </c>
      <c r="E61" s="342">
        <v>5967560</v>
      </c>
    </row>
    <row r="62" spans="1:5" x14ac:dyDescent="0.25">
      <c r="A62">
        <v>90032</v>
      </c>
      <c r="B62" s="343">
        <v>34.080599999999997</v>
      </c>
      <c r="C62" s="343">
        <v>-118.179</v>
      </c>
      <c r="D62" s="342">
        <v>2342230</v>
      </c>
      <c r="E62" s="342">
        <v>5977650</v>
      </c>
    </row>
    <row r="63" spans="1:5" x14ac:dyDescent="0.25">
      <c r="A63">
        <v>90033</v>
      </c>
      <c r="B63" s="343">
        <v>34.050199999999997</v>
      </c>
      <c r="C63" s="343">
        <v>-118.211</v>
      </c>
      <c r="D63" s="342">
        <v>2331370</v>
      </c>
      <c r="E63" s="342">
        <v>5967710</v>
      </c>
    </row>
    <row r="64" spans="1:5" x14ac:dyDescent="0.25">
      <c r="A64">
        <v>90034</v>
      </c>
      <c r="B64" s="343">
        <v>34.030700000000003</v>
      </c>
      <c r="C64" s="343">
        <v>-118.4</v>
      </c>
      <c r="D64" s="342">
        <v>2325380</v>
      </c>
      <c r="E64" s="342">
        <v>5910400</v>
      </c>
    </row>
    <row r="65" spans="1:5" x14ac:dyDescent="0.25">
      <c r="A65">
        <v>90035</v>
      </c>
      <c r="B65" s="343">
        <v>34.051900000000003</v>
      </c>
      <c r="C65" s="343">
        <v>-118.384</v>
      </c>
      <c r="D65" s="342">
        <v>2332990</v>
      </c>
      <c r="E65" s="342">
        <v>5915330</v>
      </c>
    </row>
    <row r="66" spans="1:5" x14ac:dyDescent="0.25">
      <c r="A66">
        <v>90036</v>
      </c>
      <c r="B66" s="343">
        <v>34.070399999999999</v>
      </c>
      <c r="C66" s="343">
        <v>-118.35</v>
      </c>
      <c r="D66" s="342">
        <v>2339520</v>
      </c>
      <c r="E66" s="342">
        <v>5925670</v>
      </c>
    </row>
    <row r="67" spans="1:5" x14ac:dyDescent="0.25">
      <c r="A67">
        <v>90037</v>
      </c>
      <c r="B67" s="343">
        <v>34.002800000000001</v>
      </c>
      <c r="C67" s="343">
        <v>-118.28700000000001</v>
      </c>
      <c r="D67" s="342">
        <v>2314550</v>
      </c>
      <c r="E67" s="342">
        <v>5944150</v>
      </c>
    </row>
    <row r="68" spans="1:5" x14ac:dyDescent="0.25">
      <c r="A68">
        <v>90038</v>
      </c>
      <c r="B68" s="343">
        <v>34.088999999999999</v>
      </c>
      <c r="C68" s="343">
        <v>-118.327</v>
      </c>
      <c r="D68" s="342">
        <v>2346140</v>
      </c>
      <c r="E68" s="342">
        <v>5932900</v>
      </c>
    </row>
    <row r="69" spans="1:5" x14ac:dyDescent="0.25">
      <c r="A69">
        <v>90039</v>
      </c>
      <c r="B69" s="343">
        <v>34.112299999999998</v>
      </c>
      <c r="C69" s="343">
        <v>-118.261</v>
      </c>
      <c r="D69" s="342">
        <v>2354250</v>
      </c>
      <c r="E69" s="342">
        <v>5952880</v>
      </c>
    </row>
    <row r="70" spans="1:5" x14ac:dyDescent="0.25">
      <c r="A70">
        <v>90040</v>
      </c>
      <c r="B70" s="343">
        <v>33.993499999999997</v>
      </c>
      <c r="C70" s="343">
        <v>-118.149</v>
      </c>
      <c r="D70" s="342">
        <v>2310390</v>
      </c>
      <c r="E70" s="342">
        <v>5986050</v>
      </c>
    </row>
    <row r="71" spans="1:5" x14ac:dyDescent="0.25">
      <c r="A71">
        <v>90041</v>
      </c>
      <c r="B71" s="343">
        <v>34.137099999999997</v>
      </c>
      <c r="C71" s="343">
        <v>-118.20699999999999</v>
      </c>
      <c r="D71" s="342">
        <v>2362970</v>
      </c>
      <c r="E71" s="342">
        <v>5969360</v>
      </c>
    </row>
    <row r="72" spans="1:5" x14ac:dyDescent="0.25">
      <c r="A72">
        <v>90042</v>
      </c>
      <c r="B72" s="343">
        <v>34.115099999999998</v>
      </c>
      <c r="C72" s="343">
        <v>-118.19199999999999</v>
      </c>
      <c r="D72" s="342">
        <v>2354880</v>
      </c>
      <c r="E72" s="342">
        <v>5973870</v>
      </c>
    </row>
    <row r="73" spans="1:5" x14ac:dyDescent="0.25">
      <c r="A73">
        <v>90043</v>
      </c>
      <c r="B73" s="343">
        <v>33.988700000000001</v>
      </c>
      <c r="C73" s="343">
        <v>-118.33499999999999</v>
      </c>
      <c r="D73" s="342">
        <v>2309720</v>
      </c>
      <c r="E73" s="342">
        <v>5929620</v>
      </c>
    </row>
    <row r="74" spans="1:5" x14ac:dyDescent="0.25">
      <c r="A74">
        <v>90044</v>
      </c>
      <c r="B74" s="343">
        <v>33.953000000000003</v>
      </c>
      <c r="C74" s="343">
        <v>-118.292</v>
      </c>
      <c r="D74" s="342">
        <v>2296470</v>
      </c>
      <c r="E74" s="342">
        <v>5942580</v>
      </c>
    </row>
    <row r="75" spans="1:5" x14ac:dyDescent="0.25">
      <c r="A75">
        <v>90045</v>
      </c>
      <c r="B75" s="343">
        <v>33.953099999999999</v>
      </c>
      <c r="C75" s="343">
        <v>-118.401</v>
      </c>
      <c r="D75" s="342">
        <v>2297170</v>
      </c>
      <c r="E75" s="342">
        <v>5909320</v>
      </c>
    </row>
    <row r="76" spans="1:5" x14ac:dyDescent="0.25">
      <c r="A76">
        <v>90046</v>
      </c>
      <c r="B76" s="343">
        <v>34.107199999999999</v>
      </c>
      <c r="C76" s="343">
        <v>-118.36499999999999</v>
      </c>
      <c r="D76" s="342">
        <v>2353020</v>
      </c>
      <c r="E76" s="342">
        <v>5921510</v>
      </c>
    </row>
    <row r="77" spans="1:5" x14ac:dyDescent="0.25">
      <c r="A77">
        <v>90047</v>
      </c>
      <c r="B77" s="343">
        <v>33.953899999999997</v>
      </c>
      <c r="C77" s="343">
        <v>-118.309</v>
      </c>
      <c r="D77" s="342">
        <v>2296910</v>
      </c>
      <c r="E77" s="342">
        <v>5937350</v>
      </c>
    </row>
    <row r="78" spans="1:5" x14ac:dyDescent="0.25">
      <c r="A78">
        <v>90048</v>
      </c>
      <c r="B78" s="343">
        <v>34.073099999999997</v>
      </c>
      <c r="C78" s="343">
        <v>-118.373</v>
      </c>
      <c r="D78" s="342">
        <v>2340650</v>
      </c>
      <c r="E78" s="342">
        <v>5918830</v>
      </c>
    </row>
    <row r="79" spans="1:5" x14ac:dyDescent="0.25">
      <c r="A79">
        <v>90049</v>
      </c>
      <c r="B79" s="343">
        <v>34.0869</v>
      </c>
      <c r="C79" s="343">
        <v>-118.488</v>
      </c>
      <c r="D79" s="342">
        <v>2346420</v>
      </c>
      <c r="E79" s="342">
        <v>5883970</v>
      </c>
    </row>
    <row r="80" spans="1:5" x14ac:dyDescent="0.25">
      <c r="A80">
        <v>90056</v>
      </c>
      <c r="B80" s="343">
        <v>33.993299999999998</v>
      </c>
      <c r="C80" s="343">
        <v>-118.374</v>
      </c>
      <c r="D80" s="342">
        <v>2311620</v>
      </c>
      <c r="E80" s="342">
        <v>5917950</v>
      </c>
    </row>
    <row r="81" spans="1:5" x14ac:dyDescent="0.25">
      <c r="A81">
        <v>90057</v>
      </c>
      <c r="B81" s="343">
        <v>34.062199999999997</v>
      </c>
      <c r="C81" s="343">
        <v>-118.277</v>
      </c>
      <c r="D81" s="342">
        <v>2336110</v>
      </c>
      <c r="E81" s="342">
        <v>5947680</v>
      </c>
    </row>
    <row r="82" spans="1:5" x14ac:dyDescent="0.25">
      <c r="A82">
        <v>90058</v>
      </c>
      <c r="B82" s="343">
        <v>34.002400000000002</v>
      </c>
      <c r="C82" s="343">
        <v>-118.215</v>
      </c>
      <c r="D82" s="342">
        <v>2313970</v>
      </c>
      <c r="E82" s="342">
        <v>5966260</v>
      </c>
    </row>
    <row r="83" spans="1:5" x14ac:dyDescent="0.25">
      <c r="A83">
        <v>90059</v>
      </c>
      <c r="B83" s="343">
        <v>33.9255</v>
      </c>
      <c r="C83" s="343">
        <v>-118.25</v>
      </c>
      <c r="D83" s="342">
        <v>2286200</v>
      </c>
      <c r="E83" s="342">
        <v>5955010</v>
      </c>
    </row>
    <row r="84" spans="1:5" x14ac:dyDescent="0.25">
      <c r="A84">
        <v>90061</v>
      </c>
      <c r="B84" s="343">
        <v>33.920499999999997</v>
      </c>
      <c r="C84" s="343">
        <v>-118.274</v>
      </c>
      <c r="D84" s="342">
        <v>2284520</v>
      </c>
      <c r="E84" s="342">
        <v>5947650</v>
      </c>
    </row>
    <row r="85" spans="1:5" x14ac:dyDescent="0.25">
      <c r="A85">
        <v>90062</v>
      </c>
      <c r="B85" s="343">
        <v>34.003399999999999</v>
      </c>
      <c r="C85" s="343">
        <v>-118.309</v>
      </c>
      <c r="D85" s="342">
        <v>2314900</v>
      </c>
      <c r="E85" s="342">
        <v>5937690</v>
      </c>
    </row>
    <row r="86" spans="1:5" x14ac:dyDescent="0.25">
      <c r="A86">
        <v>90063</v>
      </c>
      <c r="B86" s="343">
        <v>34.0443</v>
      </c>
      <c r="C86" s="343">
        <v>-118.185</v>
      </c>
      <c r="D86" s="342">
        <v>2329070</v>
      </c>
      <c r="E86" s="342">
        <v>5975470</v>
      </c>
    </row>
    <row r="87" spans="1:5" x14ac:dyDescent="0.25">
      <c r="A87">
        <v>90064</v>
      </c>
      <c r="B87" s="343">
        <v>34.037199999999999</v>
      </c>
      <c r="C87" s="343">
        <v>-118.42400000000001</v>
      </c>
      <c r="D87" s="342">
        <v>2327910</v>
      </c>
      <c r="E87" s="342">
        <v>5902970</v>
      </c>
    </row>
    <row r="88" spans="1:5" x14ac:dyDescent="0.25">
      <c r="A88">
        <v>90065</v>
      </c>
      <c r="B88" s="343">
        <v>34.109400000000001</v>
      </c>
      <c r="C88" s="343">
        <v>-118.22799999999999</v>
      </c>
      <c r="D88" s="342">
        <v>2353000</v>
      </c>
      <c r="E88" s="342">
        <v>5962930</v>
      </c>
    </row>
    <row r="89" spans="1:5" x14ac:dyDescent="0.25">
      <c r="A89">
        <v>90066</v>
      </c>
      <c r="B89" s="343">
        <v>34.001899999999999</v>
      </c>
      <c r="C89" s="343">
        <v>-118.431</v>
      </c>
      <c r="D89" s="342">
        <v>2315130</v>
      </c>
      <c r="E89" s="342">
        <v>5900590</v>
      </c>
    </row>
    <row r="90" spans="1:5" x14ac:dyDescent="0.25">
      <c r="A90">
        <v>90067</v>
      </c>
      <c r="B90" s="343">
        <v>34.057499999999997</v>
      </c>
      <c r="C90" s="343">
        <v>-118.414</v>
      </c>
      <c r="D90" s="342">
        <v>2335250</v>
      </c>
      <c r="E90" s="342">
        <v>5906180</v>
      </c>
    </row>
    <row r="91" spans="1:5" x14ac:dyDescent="0.25">
      <c r="A91">
        <v>90068</v>
      </c>
      <c r="B91" s="343">
        <v>34.128100000000003</v>
      </c>
      <c r="C91" s="343">
        <v>-118.32899999999999</v>
      </c>
      <c r="D91" s="342">
        <v>2360390</v>
      </c>
      <c r="E91" s="342">
        <v>5932560</v>
      </c>
    </row>
    <row r="92" spans="1:5" x14ac:dyDescent="0.25">
      <c r="A92">
        <v>90069</v>
      </c>
      <c r="B92" s="343">
        <v>34.094299999999997</v>
      </c>
      <c r="C92" s="343">
        <v>-118.381</v>
      </c>
      <c r="D92" s="342">
        <v>2348430</v>
      </c>
      <c r="E92" s="342">
        <v>5916350</v>
      </c>
    </row>
    <row r="93" spans="1:5" x14ac:dyDescent="0.25">
      <c r="A93">
        <v>90071</v>
      </c>
      <c r="B93" s="343">
        <v>34.052399999999999</v>
      </c>
      <c r="C93" s="343">
        <v>-118.256</v>
      </c>
      <c r="D93" s="342">
        <v>2332420</v>
      </c>
      <c r="E93" s="342">
        <v>5954190</v>
      </c>
    </row>
    <row r="94" spans="1:5" x14ac:dyDescent="0.25">
      <c r="A94">
        <v>90073</v>
      </c>
      <c r="B94" s="343">
        <v>34.059199999999997</v>
      </c>
      <c r="C94" s="343">
        <v>-118.45099999999999</v>
      </c>
      <c r="D94" s="342">
        <v>2336080</v>
      </c>
      <c r="E94" s="342">
        <v>5894880</v>
      </c>
    </row>
    <row r="95" spans="1:5" x14ac:dyDescent="0.25">
      <c r="A95">
        <v>90077</v>
      </c>
      <c r="B95" s="343">
        <v>34.104999999999997</v>
      </c>
      <c r="C95" s="343">
        <v>-118.456</v>
      </c>
      <c r="D95" s="342">
        <v>2352770</v>
      </c>
      <c r="E95" s="342">
        <v>5894020</v>
      </c>
    </row>
    <row r="96" spans="1:5" x14ac:dyDescent="0.25">
      <c r="A96">
        <v>90089</v>
      </c>
      <c r="B96" s="343">
        <v>34.021500000000003</v>
      </c>
      <c r="C96" s="343">
        <v>-118.288</v>
      </c>
      <c r="D96" s="342">
        <v>2321370</v>
      </c>
      <c r="E96" s="342">
        <v>5944200</v>
      </c>
    </row>
    <row r="97" spans="1:5" x14ac:dyDescent="0.25">
      <c r="A97">
        <v>90094</v>
      </c>
      <c r="B97" s="343">
        <v>33.975999999999999</v>
      </c>
      <c r="C97" s="343">
        <v>-118.417</v>
      </c>
      <c r="D97" s="342">
        <v>2305580</v>
      </c>
      <c r="E97" s="342">
        <v>5904710</v>
      </c>
    </row>
    <row r="98" spans="1:5" x14ac:dyDescent="0.25">
      <c r="A98">
        <v>90095</v>
      </c>
      <c r="B98" s="343">
        <v>34.070300000000003</v>
      </c>
      <c r="C98" s="343">
        <v>-118.443</v>
      </c>
      <c r="D98" s="342">
        <v>2340080</v>
      </c>
      <c r="E98" s="342">
        <v>5897620</v>
      </c>
    </row>
    <row r="99" spans="1:5" x14ac:dyDescent="0.25">
      <c r="A99">
        <v>90201</v>
      </c>
      <c r="B99" s="343">
        <v>33.970599999999997</v>
      </c>
      <c r="C99" s="343">
        <v>-118.17100000000001</v>
      </c>
      <c r="D99" s="342">
        <v>2302180</v>
      </c>
      <c r="E99" s="342">
        <v>5979310</v>
      </c>
    </row>
    <row r="100" spans="1:5" x14ac:dyDescent="0.25">
      <c r="A100">
        <v>90210</v>
      </c>
      <c r="B100" s="343">
        <v>34.1023</v>
      </c>
      <c r="C100" s="343">
        <v>-118.41500000000001</v>
      </c>
      <c r="D100" s="342">
        <v>2351530</v>
      </c>
      <c r="E100" s="342">
        <v>5906360</v>
      </c>
    </row>
    <row r="101" spans="1:5" x14ac:dyDescent="0.25">
      <c r="A101">
        <v>90211</v>
      </c>
      <c r="B101" s="343">
        <v>34.064799999999998</v>
      </c>
      <c r="C101" s="343">
        <v>-118.383</v>
      </c>
      <c r="D101" s="342">
        <v>2337710</v>
      </c>
      <c r="E101" s="342">
        <v>5915630</v>
      </c>
    </row>
    <row r="102" spans="1:5" x14ac:dyDescent="0.25">
      <c r="A102">
        <v>90212</v>
      </c>
      <c r="B102" s="343">
        <v>34.061999999999998</v>
      </c>
      <c r="C102" s="343">
        <v>-118.402</v>
      </c>
      <c r="D102" s="342">
        <v>2336800</v>
      </c>
      <c r="E102" s="342">
        <v>5910000</v>
      </c>
    </row>
    <row r="103" spans="1:5" x14ac:dyDescent="0.25">
      <c r="A103">
        <v>90220</v>
      </c>
      <c r="B103" s="343">
        <v>33.880600000000001</v>
      </c>
      <c r="C103" s="343">
        <v>-118.236</v>
      </c>
      <c r="D103" s="342">
        <v>2269780</v>
      </c>
      <c r="E103" s="342">
        <v>5958810</v>
      </c>
    </row>
    <row r="104" spans="1:5" x14ac:dyDescent="0.25">
      <c r="A104">
        <v>90221</v>
      </c>
      <c r="B104" s="343">
        <v>33.886000000000003</v>
      </c>
      <c r="C104" s="343">
        <v>-118.206</v>
      </c>
      <c r="D104" s="342">
        <v>2271590</v>
      </c>
      <c r="E104" s="342">
        <v>5968110</v>
      </c>
    </row>
    <row r="105" spans="1:5" x14ac:dyDescent="0.25">
      <c r="A105">
        <v>90222</v>
      </c>
      <c r="B105" s="343">
        <v>33.912700000000001</v>
      </c>
      <c r="C105" s="343">
        <v>-118.236</v>
      </c>
      <c r="D105" s="342">
        <v>2281460</v>
      </c>
      <c r="E105" s="342">
        <v>5959230</v>
      </c>
    </row>
    <row r="106" spans="1:5" x14ac:dyDescent="0.25">
      <c r="A106">
        <v>90230</v>
      </c>
      <c r="B106" s="343">
        <v>33.994999999999997</v>
      </c>
      <c r="C106" s="343">
        <v>-118.399</v>
      </c>
      <c r="D106" s="342">
        <v>2312390</v>
      </c>
      <c r="E106" s="342">
        <v>5910200</v>
      </c>
    </row>
    <row r="107" spans="1:5" x14ac:dyDescent="0.25">
      <c r="A107">
        <v>90232</v>
      </c>
      <c r="B107" s="343">
        <v>34.018000000000001</v>
      </c>
      <c r="C107" s="343">
        <v>-118.392</v>
      </c>
      <c r="D107" s="342">
        <v>2320710</v>
      </c>
      <c r="E107" s="342">
        <v>5912620</v>
      </c>
    </row>
    <row r="108" spans="1:5" x14ac:dyDescent="0.25">
      <c r="A108">
        <v>90240</v>
      </c>
      <c r="B108" s="343">
        <v>33.956800000000001</v>
      </c>
      <c r="C108" s="343">
        <v>-118.11799999999999</v>
      </c>
      <c r="D108" s="342">
        <v>2296860</v>
      </c>
      <c r="E108" s="342">
        <v>5995150</v>
      </c>
    </row>
    <row r="109" spans="1:5" x14ac:dyDescent="0.25">
      <c r="A109">
        <v>90241</v>
      </c>
      <c r="B109" s="343">
        <v>33.940899999999999</v>
      </c>
      <c r="C109" s="343">
        <v>-118.129</v>
      </c>
      <c r="D109" s="342">
        <v>2291140</v>
      </c>
      <c r="E109" s="342">
        <v>5991890</v>
      </c>
    </row>
    <row r="110" spans="1:5" x14ac:dyDescent="0.25">
      <c r="A110">
        <v>90242</v>
      </c>
      <c r="B110" s="343">
        <v>33.9223</v>
      </c>
      <c r="C110" s="343">
        <v>-118.14100000000001</v>
      </c>
      <c r="D110" s="342">
        <v>2284440</v>
      </c>
      <c r="E110" s="342">
        <v>5987910</v>
      </c>
    </row>
    <row r="111" spans="1:5" x14ac:dyDescent="0.25">
      <c r="A111">
        <v>90245</v>
      </c>
      <c r="B111" s="343">
        <v>33.917099999999998</v>
      </c>
      <c r="C111" s="343">
        <v>-118.402</v>
      </c>
      <c r="D111" s="342">
        <v>2284070</v>
      </c>
      <c r="E111" s="342">
        <v>5908900</v>
      </c>
    </row>
    <row r="112" spans="1:5" x14ac:dyDescent="0.25">
      <c r="A112">
        <v>90247</v>
      </c>
      <c r="B112" s="343">
        <v>33.891199999999998</v>
      </c>
      <c r="C112" s="343">
        <v>-118.298</v>
      </c>
      <c r="D112" s="342">
        <v>2274020</v>
      </c>
      <c r="E112" s="342">
        <v>5940280</v>
      </c>
    </row>
    <row r="113" spans="1:5" x14ac:dyDescent="0.25">
      <c r="A113">
        <v>90248</v>
      </c>
      <c r="B113" s="343">
        <v>33.878</v>
      </c>
      <c r="C113" s="343">
        <v>-118.28400000000001</v>
      </c>
      <c r="D113" s="342">
        <v>2269120</v>
      </c>
      <c r="E113" s="342">
        <v>5944240</v>
      </c>
    </row>
    <row r="114" spans="1:5" x14ac:dyDescent="0.25">
      <c r="A114">
        <v>90249</v>
      </c>
      <c r="B114" s="343">
        <v>33.901499999999999</v>
      </c>
      <c r="C114" s="343">
        <v>-118.31699999999999</v>
      </c>
      <c r="D114" s="342">
        <v>2277870</v>
      </c>
      <c r="E114" s="342">
        <v>5934410</v>
      </c>
    </row>
    <row r="115" spans="1:5" x14ac:dyDescent="0.25">
      <c r="A115">
        <v>90250</v>
      </c>
      <c r="B115" s="343">
        <v>33.914400000000001</v>
      </c>
      <c r="C115" s="343">
        <v>-118.349</v>
      </c>
      <c r="D115" s="342">
        <v>2282770</v>
      </c>
      <c r="E115" s="342">
        <v>5924880</v>
      </c>
    </row>
    <row r="116" spans="1:5" x14ac:dyDescent="0.25">
      <c r="A116">
        <v>90254</v>
      </c>
      <c r="B116" s="343">
        <v>33.865299999999998</v>
      </c>
      <c r="C116" s="343">
        <v>-118.39700000000001</v>
      </c>
      <c r="D116" s="342">
        <v>2265180</v>
      </c>
      <c r="E116" s="342">
        <v>5910050</v>
      </c>
    </row>
    <row r="117" spans="1:5" x14ac:dyDescent="0.25">
      <c r="A117">
        <v>90255</v>
      </c>
      <c r="B117" s="343">
        <v>33.976999999999997</v>
      </c>
      <c r="C117" s="343">
        <v>-118.217</v>
      </c>
      <c r="D117" s="342">
        <v>2304770</v>
      </c>
      <c r="E117" s="342">
        <v>5965320</v>
      </c>
    </row>
    <row r="118" spans="1:5" x14ac:dyDescent="0.25">
      <c r="A118">
        <v>90260</v>
      </c>
      <c r="B118" s="343">
        <v>33.888599999999997</v>
      </c>
      <c r="C118" s="343">
        <v>-118.352</v>
      </c>
      <c r="D118" s="342">
        <v>2273400</v>
      </c>
      <c r="E118" s="342">
        <v>5923790</v>
      </c>
    </row>
    <row r="119" spans="1:5" x14ac:dyDescent="0.25">
      <c r="A119">
        <v>90262</v>
      </c>
      <c r="B119" s="343">
        <v>33.9236</v>
      </c>
      <c r="C119" s="343">
        <v>-118.20099999999999</v>
      </c>
      <c r="D119" s="342">
        <v>2285250</v>
      </c>
      <c r="E119" s="342">
        <v>5969870</v>
      </c>
    </row>
    <row r="120" spans="1:5" x14ac:dyDescent="0.25">
      <c r="A120">
        <v>90263</v>
      </c>
      <c r="B120" s="343">
        <v>34.039299999999997</v>
      </c>
      <c r="C120" s="343">
        <v>-118.708</v>
      </c>
      <c r="D120" s="342">
        <v>2330570</v>
      </c>
      <c r="E120" s="342">
        <v>5816980</v>
      </c>
    </row>
    <row r="121" spans="1:5" x14ac:dyDescent="0.25">
      <c r="A121">
        <v>90265</v>
      </c>
      <c r="B121" s="343">
        <v>34.065600000000003</v>
      </c>
      <c r="C121" s="343">
        <v>-118.816</v>
      </c>
      <c r="D121" s="342">
        <v>2340940</v>
      </c>
      <c r="E121" s="342">
        <v>5784610</v>
      </c>
    </row>
    <row r="122" spans="1:5" x14ac:dyDescent="0.25">
      <c r="A122">
        <v>90266</v>
      </c>
      <c r="B122" s="343">
        <v>33.889600000000002</v>
      </c>
      <c r="C122" s="343">
        <v>-118.398</v>
      </c>
      <c r="D122" s="342">
        <v>2274030</v>
      </c>
      <c r="E122" s="342">
        <v>5909950</v>
      </c>
    </row>
    <row r="123" spans="1:5" x14ac:dyDescent="0.25">
      <c r="A123">
        <v>90270</v>
      </c>
      <c r="B123" s="343">
        <v>33.988700000000001</v>
      </c>
      <c r="C123" s="343">
        <v>-118.188</v>
      </c>
      <c r="D123" s="342">
        <v>2308830</v>
      </c>
      <c r="E123" s="342">
        <v>5974320</v>
      </c>
    </row>
    <row r="124" spans="1:5" x14ac:dyDescent="0.25">
      <c r="A124">
        <v>90272</v>
      </c>
      <c r="B124" s="343">
        <v>34.079799999999999</v>
      </c>
      <c r="C124" s="343">
        <v>-118.544</v>
      </c>
      <c r="D124" s="342">
        <v>2344190</v>
      </c>
      <c r="E124" s="342">
        <v>5866920</v>
      </c>
    </row>
    <row r="125" spans="1:5" x14ac:dyDescent="0.25">
      <c r="A125">
        <v>90274</v>
      </c>
      <c r="B125" s="343">
        <v>33.777000000000001</v>
      </c>
      <c r="C125" s="343">
        <v>-118.369</v>
      </c>
      <c r="D125" s="342">
        <v>2232900</v>
      </c>
      <c r="E125" s="342">
        <v>5917770</v>
      </c>
    </row>
    <row r="126" spans="1:5" x14ac:dyDescent="0.25">
      <c r="A126">
        <v>90275</v>
      </c>
      <c r="B126" s="343">
        <v>33.755299999999998</v>
      </c>
      <c r="C126" s="343">
        <v>-118.363</v>
      </c>
      <c r="D126" s="342">
        <v>2224970</v>
      </c>
      <c r="E126" s="342">
        <v>5919420</v>
      </c>
    </row>
    <row r="127" spans="1:5" x14ac:dyDescent="0.25">
      <c r="A127">
        <v>90277</v>
      </c>
      <c r="B127" s="343">
        <v>33.830599999999997</v>
      </c>
      <c r="C127" s="343">
        <v>-118.384</v>
      </c>
      <c r="D127" s="342">
        <v>2252480</v>
      </c>
      <c r="E127" s="342">
        <v>5913640</v>
      </c>
    </row>
    <row r="128" spans="1:5" x14ac:dyDescent="0.25">
      <c r="A128">
        <v>90278</v>
      </c>
      <c r="B128" s="343">
        <v>33.873399999999997</v>
      </c>
      <c r="C128" s="343">
        <v>-118.37</v>
      </c>
      <c r="D128" s="342">
        <v>2267960</v>
      </c>
      <c r="E128" s="342">
        <v>5918100</v>
      </c>
    </row>
    <row r="129" spans="1:5" x14ac:dyDescent="0.25">
      <c r="A129">
        <v>90280</v>
      </c>
      <c r="B129" s="343">
        <v>33.944400000000002</v>
      </c>
      <c r="C129" s="343">
        <v>-118.19199999999999</v>
      </c>
      <c r="D129" s="342">
        <v>2292760</v>
      </c>
      <c r="E129" s="342">
        <v>5972680</v>
      </c>
    </row>
    <row r="130" spans="1:5" x14ac:dyDescent="0.25">
      <c r="A130">
        <v>90290</v>
      </c>
      <c r="B130" s="343">
        <v>34.1021</v>
      </c>
      <c r="C130" s="343">
        <v>-118.61199999999999</v>
      </c>
      <c r="D130" s="342">
        <v>2352770</v>
      </c>
      <c r="E130" s="342">
        <v>5846720</v>
      </c>
    </row>
    <row r="131" spans="1:5" x14ac:dyDescent="0.25">
      <c r="A131">
        <v>90291</v>
      </c>
      <c r="B131" s="343">
        <v>33.994199999999999</v>
      </c>
      <c r="C131" s="343">
        <v>-118.46299999999999</v>
      </c>
      <c r="D131" s="342">
        <v>2312510</v>
      </c>
      <c r="E131" s="342">
        <v>5890810</v>
      </c>
    </row>
    <row r="132" spans="1:5" x14ac:dyDescent="0.25">
      <c r="A132">
        <v>90293</v>
      </c>
      <c r="B132" s="343">
        <v>33.951500000000003</v>
      </c>
      <c r="C132" s="343">
        <v>-118.43899999999999</v>
      </c>
      <c r="D132" s="342">
        <v>2296840</v>
      </c>
      <c r="E132" s="342">
        <v>5898000</v>
      </c>
    </row>
    <row r="133" spans="1:5" x14ac:dyDescent="0.25">
      <c r="A133">
        <v>90301</v>
      </c>
      <c r="B133" s="343">
        <v>33.956499999999998</v>
      </c>
      <c r="C133" s="343">
        <v>-118.35899999999999</v>
      </c>
      <c r="D133" s="342">
        <v>2298120</v>
      </c>
      <c r="E133" s="342">
        <v>5922250</v>
      </c>
    </row>
    <row r="134" spans="1:5" x14ac:dyDescent="0.25">
      <c r="A134">
        <v>90302</v>
      </c>
      <c r="B134" s="343">
        <v>33.974800000000002</v>
      </c>
      <c r="C134" s="343">
        <v>-118.35599999999999</v>
      </c>
      <c r="D134" s="342">
        <v>2304790</v>
      </c>
      <c r="E134" s="342">
        <v>5923290</v>
      </c>
    </row>
    <row r="135" spans="1:5" x14ac:dyDescent="0.25">
      <c r="A135">
        <v>90303</v>
      </c>
      <c r="B135" s="343">
        <v>33.936300000000003</v>
      </c>
      <c r="C135" s="343">
        <v>-118.331</v>
      </c>
      <c r="D135" s="342">
        <v>2290630</v>
      </c>
      <c r="E135" s="342">
        <v>5930470</v>
      </c>
    </row>
    <row r="136" spans="1:5" x14ac:dyDescent="0.25">
      <c r="A136">
        <v>90304</v>
      </c>
      <c r="B136" s="343">
        <v>33.937100000000001</v>
      </c>
      <c r="C136" s="343">
        <v>-118.35899999999999</v>
      </c>
      <c r="D136" s="342">
        <v>2291070</v>
      </c>
      <c r="E136" s="342">
        <v>5922120</v>
      </c>
    </row>
    <row r="137" spans="1:5" x14ac:dyDescent="0.25">
      <c r="A137">
        <v>90305</v>
      </c>
      <c r="B137" s="343">
        <v>33.958300000000001</v>
      </c>
      <c r="C137" s="343">
        <v>-118.331</v>
      </c>
      <c r="D137" s="342">
        <v>2298640</v>
      </c>
      <c r="E137" s="342">
        <v>5930600</v>
      </c>
    </row>
    <row r="138" spans="1:5" x14ac:dyDescent="0.25">
      <c r="A138">
        <v>90401</v>
      </c>
      <c r="B138" s="343">
        <v>34.015000000000001</v>
      </c>
      <c r="C138" s="343">
        <v>-118.49299999999999</v>
      </c>
      <c r="D138" s="342">
        <v>2320260</v>
      </c>
      <c r="E138" s="342">
        <v>5881960</v>
      </c>
    </row>
    <row r="139" spans="1:5" x14ac:dyDescent="0.25">
      <c r="A139">
        <v>90402</v>
      </c>
      <c r="B139" s="343">
        <v>34.034999999999997</v>
      </c>
      <c r="C139" s="343">
        <v>-118.503</v>
      </c>
      <c r="D139" s="342">
        <v>2327640</v>
      </c>
      <c r="E139" s="342">
        <v>5878980</v>
      </c>
    </row>
    <row r="140" spans="1:5" x14ac:dyDescent="0.25">
      <c r="A140">
        <v>90403</v>
      </c>
      <c r="B140" s="343">
        <v>34.0306</v>
      </c>
      <c r="C140" s="343">
        <v>-118.491</v>
      </c>
      <c r="D140" s="342">
        <v>2325950</v>
      </c>
      <c r="E140" s="342">
        <v>5882820</v>
      </c>
    </row>
    <row r="141" spans="1:5" x14ac:dyDescent="0.25">
      <c r="A141">
        <v>90404</v>
      </c>
      <c r="B141" s="343">
        <v>34.026699999999998</v>
      </c>
      <c r="C141" s="343">
        <v>-118.474</v>
      </c>
      <c r="D141" s="342">
        <v>2324420</v>
      </c>
      <c r="E141" s="342">
        <v>5887910</v>
      </c>
    </row>
    <row r="142" spans="1:5" x14ac:dyDescent="0.25">
      <c r="A142">
        <v>90405</v>
      </c>
      <c r="B142" s="343">
        <v>34.011699999999998</v>
      </c>
      <c r="C142" s="343">
        <v>-118.46899999999999</v>
      </c>
      <c r="D142" s="342">
        <v>2318900</v>
      </c>
      <c r="E142" s="342">
        <v>5889360</v>
      </c>
    </row>
    <row r="143" spans="1:5" x14ac:dyDescent="0.25">
      <c r="A143">
        <v>90501</v>
      </c>
      <c r="B143" s="343">
        <v>33.833599999999997</v>
      </c>
      <c r="C143" s="343">
        <v>-118.31399999999999</v>
      </c>
      <c r="D143" s="342">
        <v>2253170</v>
      </c>
      <c r="E143" s="342">
        <v>5934820</v>
      </c>
    </row>
    <row r="144" spans="1:5" x14ac:dyDescent="0.25">
      <c r="A144">
        <v>90502</v>
      </c>
      <c r="B144" s="343">
        <v>33.8352</v>
      </c>
      <c r="C144" s="343">
        <v>-118.29300000000001</v>
      </c>
      <c r="D144" s="342">
        <v>2253590</v>
      </c>
      <c r="E144" s="342">
        <v>5941290</v>
      </c>
    </row>
    <row r="145" spans="1:5" x14ac:dyDescent="0.25">
      <c r="A145">
        <v>90503</v>
      </c>
      <c r="B145" s="343">
        <v>33.841999999999999</v>
      </c>
      <c r="C145" s="343">
        <v>-118.352</v>
      </c>
      <c r="D145" s="342">
        <v>2256450</v>
      </c>
      <c r="E145" s="342">
        <v>5923540</v>
      </c>
    </row>
    <row r="146" spans="1:5" x14ac:dyDescent="0.25">
      <c r="A146">
        <v>90504</v>
      </c>
      <c r="B146" s="343">
        <v>33.869500000000002</v>
      </c>
      <c r="C146" s="343">
        <v>-118.33</v>
      </c>
      <c r="D146" s="342">
        <v>2266320</v>
      </c>
      <c r="E146" s="342">
        <v>5930310</v>
      </c>
    </row>
    <row r="147" spans="1:5" x14ac:dyDescent="0.25">
      <c r="A147">
        <v>90505</v>
      </c>
      <c r="B147" s="343">
        <v>33.808700000000002</v>
      </c>
      <c r="C147" s="343">
        <v>-118.348</v>
      </c>
      <c r="D147" s="342">
        <v>2244320</v>
      </c>
      <c r="E147" s="342">
        <v>5924300</v>
      </c>
    </row>
    <row r="148" spans="1:5" x14ac:dyDescent="0.25">
      <c r="A148">
        <v>90506</v>
      </c>
      <c r="B148" s="343">
        <v>33.8842</v>
      </c>
      <c r="C148" s="343">
        <v>-118.33199999999999</v>
      </c>
      <c r="D148" s="342">
        <v>2271660</v>
      </c>
      <c r="E148" s="342">
        <v>5929770</v>
      </c>
    </row>
    <row r="149" spans="1:5" x14ac:dyDescent="0.25">
      <c r="A149">
        <v>90601</v>
      </c>
      <c r="B149" s="343">
        <v>34.002499999999998</v>
      </c>
      <c r="C149" s="343">
        <v>-118.03100000000001</v>
      </c>
      <c r="D149" s="342">
        <v>2313020</v>
      </c>
      <c r="E149" s="342">
        <v>6021790</v>
      </c>
    </row>
    <row r="150" spans="1:5" x14ac:dyDescent="0.25">
      <c r="A150">
        <v>90602</v>
      </c>
      <c r="B150" s="343">
        <v>33.969900000000003</v>
      </c>
      <c r="C150" s="343">
        <v>-118.03100000000001</v>
      </c>
      <c r="D150" s="342">
        <v>2301170</v>
      </c>
      <c r="E150" s="342">
        <v>6021690</v>
      </c>
    </row>
    <row r="151" spans="1:5" x14ac:dyDescent="0.25">
      <c r="A151">
        <v>90603</v>
      </c>
      <c r="B151" s="343">
        <v>33.945599999999999</v>
      </c>
      <c r="C151" s="343">
        <v>-117.992</v>
      </c>
      <c r="D151" s="342">
        <v>2292140</v>
      </c>
      <c r="E151" s="342">
        <v>6033420</v>
      </c>
    </row>
    <row r="152" spans="1:5" x14ac:dyDescent="0.25">
      <c r="A152">
        <v>90604</v>
      </c>
      <c r="B152" s="343">
        <v>33.930199999999999</v>
      </c>
      <c r="C152" s="343">
        <v>-118.01300000000001</v>
      </c>
      <c r="D152" s="342">
        <v>2286610</v>
      </c>
      <c r="E152" s="342">
        <v>6026950</v>
      </c>
    </row>
    <row r="153" spans="1:5" x14ac:dyDescent="0.25">
      <c r="A153">
        <v>90605</v>
      </c>
      <c r="B153" s="343">
        <v>33.949300000000001</v>
      </c>
      <c r="C153" s="343">
        <v>-118.023</v>
      </c>
      <c r="D153" s="342">
        <v>2293630</v>
      </c>
      <c r="E153" s="342">
        <v>6023820</v>
      </c>
    </row>
    <row r="154" spans="1:5" x14ac:dyDescent="0.25">
      <c r="A154">
        <v>90606</v>
      </c>
      <c r="B154" s="343">
        <v>33.976799999999997</v>
      </c>
      <c r="C154" s="343">
        <v>-118.066</v>
      </c>
      <c r="D154" s="342">
        <v>2303870</v>
      </c>
      <c r="E154" s="342">
        <v>6011170</v>
      </c>
    </row>
    <row r="155" spans="1:5" x14ac:dyDescent="0.25">
      <c r="A155">
        <v>90620</v>
      </c>
      <c r="B155" s="343">
        <v>33.846299999999999</v>
      </c>
      <c r="C155" s="343">
        <v>-118.011</v>
      </c>
      <c r="D155" s="342">
        <v>2256100</v>
      </c>
      <c r="E155" s="342">
        <v>6026840</v>
      </c>
    </row>
    <row r="156" spans="1:5" x14ac:dyDescent="0.25">
      <c r="A156">
        <v>90621</v>
      </c>
      <c r="B156" s="343">
        <v>33.875</v>
      </c>
      <c r="C156" s="343">
        <v>-117.99299999999999</v>
      </c>
      <c r="D156" s="342">
        <v>2266440</v>
      </c>
      <c r="E156" s="342">
        <v>6032550</v>
      </c>
    </row>
    <row r="157" spans="1:5" x14ac:dyDescent="0.25">
      <c r="A157">
        <v>90623</v>
      </c>
      <c r="B157" s="343">
        <v>33.850499999999997</v>
      </c>
      <c r="C157" s="343">
        <v>-118.041</v>
      </c>
      <c r="D157" s="342">
        <v>2257760</v>
      </c>
      <c r="E157" s="342">
        <v>6017890</v>
      </c>
    </row>
    <row r="158" spans="1:5" x14ac:dyDescent="0.25">
      <c r="A158">
        <v>90630</v>
      </c>
      <c r="B158" s="343">
        <v>33.818100000000001</v>
      </c>
      <c r="C158" s="343">
        <v>-118.038</v>
      </c>
      <c r="D158" s="342">
        <v>2245960</v>
      </c>
      <c r="E158" s="342">
        <v>6018560</v>
      </c>
    </row>
    <row r="159" spans="1:5" x14ac:dyDescent="0.25">
      <c r="A159">
        <v>90631</v>
      </c>
      <c r="B159" s="343">
        <v>33.941800000000001</v>
      </c>
      <c r="C159" s="343">
        <v>-117.95099999999999</v>
      </c>
      <c r="D159" s="342">
        <v>2290540</v>
      </c>
      <c r="E159" s="342">
        <v>6045620</v>
      </c>
    </row>
    <row r="160" spans="1:5" x14ac:dyDescent="0.25">
      <c r="A160">
        <v>90638</v>
      </c>
      <c r="B160" s="343">
        <v>33.9026</v>
      </c>
      <c r="C160" s="343">
        <v>-118.009</v>
      </c>
      <c r="D160" s="342">
        <v>2276550</v>
      </c>
      <c r="E160" s="342">
        <v>6027940</v>
      </c>
    </row>
    <row r="161" spans="1:5" x14ac:dyDescent="0.25">
      <c r="A161">
        <v>90639</v>
      </c>
      <c r="B161" s="343">
        <v>33.905900000000003</v>
      </c>
      <c r="C161" s="343">
        <v>-118.015</v>
      </c>
      <c r="D161" s="342">
        <v>2277770</v>
      </c>
      <c r="E161" s="342">
        <v>6026190</v>
      </c>
    </row>
    <row r="162" spans="1:5" x14ac:dyDescent="0.25">
      <c r="A162">
        <v>90640</v>
      </c>
      <c r="B162" s="343">
        <v>34.014600000000002</v>
      </c>
      <c r="C162" s="343">
        <v>-118.111</v>
      </c>
      <c r="D162" s="342">
        <v>2317860</v>
      </c>
      <c r="E162" s="342">
        <v>5997710</v>
      </c>
    </row>
    <row r="163" spans="1:5" x14ac:dyDescent="0.25">
      <c r="A163">
        <v>90650</v>
      </c>
      <c r="B163" s="343">
        <v>33.906999999999996</v>
      </c>
      <c r="C163" s="343">
        <v>-118.083</v>
      </c>
      <c r="D163" s="342">
        <v>2278540</v>
      </c>
      <c r="E163" s="342">
        <v>6005530</v>
      </c>
    </row>
    <row r="164" spans="1:5" x14ac:dyDescent="0.25">
      <c r="A164">
        <v>90660</v>
      </c>
      <c r="B164" s="343">
        <v>33.988799999999998</v>
      </c>
      <c r="C164" s="343">
        <v>-118.09</v>
      </c>
      <c r="D164" s="342">
        <v>2308350</v>
      </c>
      <c r="E164" s="342">
        <v>6003790</v>
      </c>
    </row>
    <row r="165" spans="1:5" x14ac:dyDescent="0.25">
      <c r="A165">
        <v>90670</v>
      </c>
      <c r="B165" s="343">
        <v>33.931600000000003</v>
      </c>
      <c r="C165" s="343">
        <v>-118.062</v>
      </c>
      <c r="D165" s="342">
        <v>2287390</v>
      </c>
      <c r="E165" s="342">
        <v>6012040</v>
      </c>
    </row>
    <row r="166" spans="1:5" x14ac:dyDescent="0.25">
      <c r="A166">
        <v>90680</v>
      </c>
      <c r="B166" s="343">
        <v>33.801099999999998</v>
      </c>
      <c r="C166" s="343">
        <v>-117.995</v>
      </c>
      <c r="D166" s="342">
        <v>2239560</v>
      </c>
      <c r="E166" s="342">
        <v>6031600</v>
      </c>
    </row>
    <row r="167" spans="1:5" x14ac:dyDescent="0.25">
      <c r="A167">
        <v>90701</v>
      </c>
      <c r="B167" s="343">
        <v>33.867600000000003</v>
      </c>
      <c r="C167" s="343">
        <v>-118.081</v>
      </c>
      <c r="D167" s="342">
        <v>2264190</v>
      </c>
      <c r="E167" s="342">
        <v>6005970</v>
      </c>
    </row>
    <row r="168" spans="1:5" x14ac:dyDescent="0.25">
      <c r="A168">
        <v>90703</v>
      </c>
      <c r="B168" s="343">
        <v>33.868000000000002</v>
      </c>
      <c r="C168" s="343">
        <v>-118.069</v>
      </c>
      <c r="D168" s="342">
        <v>2264290</v>
      </c>
      <c r="E168" s="342">
        <v>6009580</v>
      </c>
    </row>
    <row r="169" spans="1:5" x14ac:dyDescent="0.25">
      <c r="A169">
        <v>90704</v>
      </c>
      <c r="B169" s="343">
        <v>33.174900000000001</v>
      </c>
      <c r="C169" s="343">
        <v>-118.456</v>
      </c>
      <c r="D169" s="342">
        <v>2014160</v>
      </c>
      <c r="E169" s="342">
        <v>5886760</v>
      </c>
    </row>
    <row r="170" spans="1:5" x14ac:dyDescent="0.25">
      <c r="A170">
        <v>90706</v>
      </c>
      <c r="B170" s="343">
        <v>33.887999999999998</v>
      </c>
      <c r="C170" s="343">
        <v>-118.127</v>
      </c>
      <c r="D170" s="342">
        <v>2271870</v>
      </c>
      <c r="E170" s="342">
        <v>5991960</v>
      </c>
    </row>
    <row r="171" spans="1:5" x14ac:dyDescent="0.25">
      <c r="A171">
        <v>90710</v>
      </c>
      <c r="B171" s="343">
        <v>33.798099999999998</v>
      </c>
      <c r="C171" s="343">
        <v>-118.29900000000001</v>
      </c>
      <c r="D171" s="342">
        <v>2240160</v>
      </c>
      <c r="E171" s="342">
        <v>5939130</v>
      </c>
    </row>
    <row r="172" spans="1:5" x14ac:dyDescent="0.25">
      <c r="A172">
        <v>90712</v>
      </c>
      <c r="B172" s="343">
        <v>33.8491</v>
      </c>
      <c r="C172" s="343">
        <v>-118.14700000000001</v>
      </c>
      <c r="D172" s="342">
        <v>2257830</v>
      </c>
      <c r="E172" s="342">
        <v>5985680</v>
      </c>
    </row>
    <row r="173" spans="1:5" x14ac:dyDescent="0.25">
      <c r="A173">
        <v>90713</v>
      </c>
      <c r="B173" s="343">
        <v>33.847999999999999</v>
      </c>
      <c r="C173" s="343">
        <v>-118.113</v>
      </c>
      <c r="D173" s="342">
        <v>2257230</v>
      </c>
      <c r="E173" s="342">
        <v>5996140</v>
      </c>
    </row>
    <row r="174" spans="1:5" x14ac:dyDescent="0.25">
      <c r="A174">
        <v>90715</v>
      </c>
      <c r="B174" s="343">
        <v>33.840499999999999</v>
      </c>
      <c r="C174" s="343">
        <v>-118.07899999999999</v>
      </c>
      <c r="D174" s="342">
        <v>2254310</v>
      </c>
      <c r="E174" s="342">
        <v>6006350</v>
      </c>
    </row>
    <row r="175" spans="1:5" x14ac:dyDescent="0.25">
      <c r="A175">
        <v>90716</v>
      </c>
      <c r="B175" s="343">
        <v>33.8307</v>
      </c>
      <c r="C175" s="343">
        <v>-118.07299999999999</v>
      </c>
      <c r="D175" s="342">
        <v>2250730</v>
      </c>
      <c r="E175" s="342">
        <v>6007940</v>
      </c>
    </row>
    <row r="176" spans="1:5" x14ac:dyDescent="0.25">
      <c r="A176">
        <v>90717</v>
      </c>
      <c r="B176" s="343">
        <v>33.792999999999999</v>
      </c>
      <c r="C176" s="343">
        <v>-118.318</v>
      </c>
      <c r="D176" s="342">
        <v>2238410</v>
      </c>
      <c r="E176" s="342">
        <v>5933470</v>
      </c>
    </row>
    <row r="177" spans="1:5" x14ac:dyDescent="0.25">
      <c r="A177">
        <v>90720</v>
      </c>
      <c r="B177" s="343">
        <v>33.7956</v>
      </c>
      <c r="C177" s="343">
        <v>-118.06399999999999</v>
      </c>
      <c r="D177" s="342">
        <v>2237910</v>
      </c>
      <c r="E177" s="342">
        <v>6010640</v>
      </c>
    </row>
    <row r="178" spans="1:5" x14ac:dyDescent="0.25">
      <c r="A178">
        <v>90723</v>
      </c>
      <c r="B178" s="343">
        <v>33.897599999999997</v>
      </c>
      <c r="C178" s="343">
        <v>-118.16500000000001</v>
      </c>
      <c r="D178" s="342">
        <v>2275580</v>
      </c>
      <c r="E178" s="342">
        <v>5980650</v>
      </c>
    </row>
    <row r="179" spans="1:5" x14ac:dyDescent="0.25">
      <c r="A179">
        <v>90731</v>
      </c>
      <c r="B179" s="343">
        <v>33.741399999999999</v>
      </c>
      <c r="C179" s="343">
        <v>-118.279</v>
      </c>
      <c r="D179" s="342">
        <v>2219390</v>
      </c>
      <c r="E179" s="342">
        <v>5944910</v>
      </c>
    </row>
    <row r="180" spans="1:5" x14ac:dyDescent="0.25">
      <c r="A180">
        <v>90732</v>
      </c>
      <c r="B180" s="343">
        <v>33.740900000000003</v>
      </c>
      <c r="C180" s="343">
        <v>-118.31100000000001</v>
      </c>
      <c r="D180" s="342">
        <v>2219430</v>
      </c>
      <c r="E180" s="342">
        <v>5935020</v>
      </c>
    </row>
    <row r="181" spans="1:5" x14ac:dyDescent="0.25">
      <c r="A181">
        <v>90740</v>
      </c>
      <c r="B181" s="343">
        <v>33.755000000000003</v>
      </c>
      <c r="C181" s="343">
        <v>-118.071</v>
      </c>
      <c r="D181" s="342">
        <v>2223190</v>
      </c>
      <c r="E181" s="342">
        <v>6008120</v>
      </c>
    </row>
    <row r="182" spans="1:5" x14ac:dyDescent="0.25">
      <c r="A182">
        <v>90742</v>
      </c>
      <c r="B182" s="343">
        <v>33.717799999999997</v>
      </c>
      <c r="C182" s="343">
        <v>-118.072</v>
      </c>
      <c r="D182" s="342">
        <v>2209660</v>
      </c>
      <c r="E182" s="342">
        <v>6007750</v>
      </c>
    </row>
    <row r="183" spans="1:5" x14ac:dyDescent="0.25">
      <c r="A183">
        <v>90744</v>
      </c>
      <c r="B183" s="343">
        <v>33.782299999999999</v>
      </c>
      <c r="C183" s="343">
        <v>-118.261</v>
      </c>
      <c r="D183" s="342">
        <v>2234190</v>
      </c>
      <c r="E183" s="342">
        <v>5950580</v>
      </c>
    </row>
    <row r="184" spans="1:5" x14ac:dyDescent="0.25">
      <c r="A184">
        <v>90745</v>
      </c>
      <c r="B184" s="343">
        <v>33.822499999999998</v>
      </c>
      <c r="C184" s="343">
        <v>-118.262</v>
      </c>
      <c r="D184" s="342">
        <v>2248820</v>
      </c>
      <c r="E184" s="342">
        <v>5950580</v>
      </c>
    </row>
    <row r="185" spans="1:5" x14ac:dyDescent="0.25">
      <c r="A185">
        <v>90746</v>
      </c>
      <c r="B185" s="343">
        <v>33.860799999999998</v>
      </c>
      <c r="C185" s="343">
        <v>-118.258</v>
      </c>
      <c r="D185" s="342">
        <v>2262720</v>
      </c>
      <c r="E185" s="342">
        <v>5951980</v>
      </c>
    </row>
    <row r="186" spans="1:5" x14ac:dyDescent="0.25">
      <c r="A186">
        <v>90747</v>
      </c>
      <c r="B186" s="343">
        <v>33.8628</v>
      </c>
      <c r="C186" s="343">
        <v>-118.25700000000001</v>
      </c>
      <c r="D186" s="342">
        <v>2263450</v>
      </c>
      <c r="E186" s="342">
        <v>5952450</v>
      </c>
    </row>
    <row r="187" spans="1:5" x14ac:dyDescent="0.25">
      <c r="A187">
        <v>90755</v>
      </c>
      <c r="B187" s="343">
        <v>33.802900000000001</v>
      </c>
      <c r="C187" s="343">
        <v>-118.16800000000001</v>
      </c>
      <c r="D187" s="342">
        <v>2241150</v>
      </c>
      <c r="E187" s="342">
        <v>5979130</v>
      </c>
    </row>
    <row r="188" spans="1:5" x14ac:dyDescent="0.25">
      <c r="A188">
        <v>90802</v>
      </c>
      <c r="B188" s="343">
        <v>33.759399999999999</v>
      </c>
      <c r="C188" s="343">
        <v>-118.206</v>
      </c>
      <c r="D188" s="342">
        <v>2225530</v>
      </c>
      <c r="E188" s="342">
        <v>5967250</v>
      </c>
    </row>
    <row r="189" spans="1:5" x14ac:dyDescent="0.25">
      <c r="A189">
        <v>90803</v>
      </c>
      <c r="B189" s="343">
        <v>33.762</v>
      </c>
      <c r="C189" s="343">
        <v>-118.124</v>
      </c>
      <c r="D189" s="342">
        <v>2226020</v>
      </c>
      <c r="E189" s="342">
        <v>5992170</v>
      </c>
    </row>
    <row r="190" spans="1:5" x14ac:dyDescent="0.25">
      <c r="A190">
        <v>90804</v>
      </c>
      <c r="B190" s="343">
        <v>33.782800000000002</v>
      </c>
      <c r="C190" s="343">
        <v>-118.15</v>
      </c>
      <c r="D190" s="342">
        <v>2233710</v>
      </c>
      <c r="E190" s="342">
        <v>5984450</v>
      </c>
    </row>
    <row r="191" spans="1:5" x14ac:dyDescent="0.25">
      <c r="A191">
        <v>90805</v>
      </c>
      <c r="B191" s="343">
        <v>33.864899999999999</v>
      </c>
      <c r="C191" s="343">
        <v>-118.181</v>
      </c>
      <c r="D191" s="342">
        <v>2263750</v>
      </c>
      <c r="E191" s="342">
        <v>5975550</v>
      </c>
    </row>
    <row r="192" spans="1:5" x14ac:dyDescent="0.25">
      <c r="A192">
        <v>90806</v>
      </c>
      <c r="B192" s="343">
        <v>33.805</v>
      </c>
      <c r="C192" s="343">
        <v>-118.18899999999999</v>
      </c>
      <c r="D192" s="342">
        <v>2242010</v>
      </c>
      <c r="E192" s="342">
        <v>5972610</v>
      </c>
    </row>
    <row r="193" spans="1:5" x14ac:dyDescent="0.25">
      <c r="A193">
        <v>90807</v>
      </c>
      <c r="B193" s="343">
        <v>33.828800000000001</v>
      </c>
      <c r="C193" s="343">
        <v>-118.178</v>
      </c>
      <c r="D193" s="342">
        <v>2250630</v>
      </c>
      <c r="E193" s="342">
        <v>5976100</v>
      </c>
    </row>
    <row r="194" spans="1:5" x14ac:dyDescent="0.25">
      <c r="A194">
        <v>90808</v>
      </c>
      <c r="B194" s="343">
        <v>33.823799999999999</v>
      </c>
      <c r="C194" s="343">
        <v>-118.11499999999999</v>
      </c>
      <c r="D194" s="342">
        <v>2248440</v>
      </c>
      <c r="E194" s="342">
        <v>5995230</v>
      </c>
    </row>
    <row r="195" spans="1:5" x14ac:dyDescent="0.25">
      <c r="A195">
        <v>90810</v>
      </c>
      <c r="B195" s="343">
        <v>33.819299999999998</v>
      </c>
      <c r="C195" s="343">
        <v>-118.221</v>
      </c>
      <c r="D195" s="342">
        <v>2247400</v>
      </c>
      <c r="E195" s="342">
        <v>5962990</v>
      </c>
    </row>
    <row r="196" spans="1:5" x14ac:dyDescent="0.25">
      <c r="A196">
        <v>90813</v>
      </c>
      <c r="B196" s="343">
        <v>33.780500000000004</v>
      </c>
      <c r="C196" s="343">
        <v>-118.202</v>
      </c>
      <c r="D196" s="342">
        <v>2233190</v>
      </c>
      <c r="E196" s="342">
        <v>5968470</v>
      </c>
    </row>
    <row r="197" spans="1:5" x14ac:dyDescent="0.25">
      <c r="A197">
        <v>90814</v>
      </c>
      <c r="B197" s="343">
        <v>33.771700000000003</v>
      </c>
      <c r="C197" s="343">
        <v>-118.14400000000001</v>
      </c>
      <c r="D197" s="342">
        <v>2229650</v>
      </c>
      <c r="E197" s="342">
        <v>5986090</v>
      </c>
    </row>
    <row r="198" spans="1:5" x14ac:dyDescent="0.25">
      <c r="A198">
        <v>90815</v>
      </c>
      <c r="B198" s="343">
        <v>33.796199999999999</v>
      </c>
      <c r="C198" s="343">
        <v>-118.116</v>
      </c>
      <c r="D198" s="342">
        <v>2238420</v>
      </c>
      <c r="E198" s="342">
        <v>5994810</v>
      </c>
    </row>
    <row r="199" spans="1:5" x14ac:dyDescent="0.25">
      <c r="A199">
        <v>90822</v>
      </c>
      <c r="B199" s="343">
        <v>33.7376</v>
      </c>
      <c r="C199" s="343">
        <v>-118.256</v>
      </c>
      <c r="D199" s="342">
        <v>2217880</v>
      </c>
      <c r="E199" s="342">
        <v>5951850</v>
      </c>
    </row>
    <row r="200" spans="1:5" x14ac:dyDescent="0.25">
      <c r="A200">
        <v>90840</v>
      </c>
      <c r="B200" s="343">
        <v>33.783999999999999</v>
      </c>
      <c r="C200" s="343">
        <v>-118.11499999999999</v>
      </c>
      <c r="D200" s="342">
        <v>2233950</v>
      </c>
      <c r="E200" s="342">
        <v>5995070</v>
      </c>
    </row>
    <row r="201" spans="1:5" x14ac:dyDescent="0.25">
      <c r="A201">
        <v>91001</v>
      </c>
      <c r="B201" s="343">
        <v>34.1952</v>
      </c>
      <c r="C201" s="343">
        <v>-118.13800000000001</v>
      </c>
      <c r="D201" s="342">
        <v>2383720</v>
      </c>
      <c r="E201" s="342">
        <v>5990700</v>
      </c>
    </row>
    <row r="202" spans="1:5" x14ac:dyDescent="0.25">
      <c r="A202">
        <v>91006</v>
      </c>
      <c r="B202" s="343">
        <v>34.134900000000002</v>
      </c>
      <c r="C202" s="343">
        <v>-118.027</v>
      </c>
      <c r="D202" s="342">
        <v>2361190</v>
      </c>
      <c r="E202" s="342">
        <v>6024010</v>
      </c>
    </row>
    <row r="203" spans="1:5" x14ac:dyDescent="0.25">
      <c r="A203">
        <v>91007</v>
      </c>
      <c r="B203" s="343">
        <v>34.128799999999998</v>
      </c>
      <c r="C203" s="343">
        <v>-118.048</v>
      </c>
      <c r="D203" s="342">
        <v>2359080</v>
      </c>
      <c r="E203" s="342">
        <v>6017550</v>
      </c>
    </row>
    <row r="204" spans="1:5" x14ac:dyDescent="0.25">
      <c r="A204">
        <v>91008</v>
      </c>
      <c r="B204" s="343">
        <v>34.154200000000003</v>
      </c>
      <c r="C204" s="343">
        <v>-117.967</v>
      </c>
      <c r="D204" s="342">
        <v>2367920</v>
      </c>
      <c r="E204" s="342">
        <v>6042230</v>
      </c>
    </row>
    <row r="205" spans="1:5" x14ac:dyDescent="0.25">
      <c r="A205">
        <v>91010</v>
      </c>
      <c r="B205" s="343">
        <v>34.144100000000002</v>
      </c>
      <c r="C205" s="343">
        <v>-117.955</v>
      </c>
      <c r="D205" s="342">
        <v>2364170</v>
      </c>
      <c r="E205" s="342">
        <v>6045670</v>
      </c>
    </row>
    <row r="206" spans="1:5" x14ac:dyDescent="0.25">
      <c r="A206">
        <v>91011</v>
      </c>
      <c r="B206" s="343">
        <v>34.224600000000002</v>
      </c>
      <c r="C206" s="343">
        <v>-118.111</v>
      </c>
      <c r="D206" s="342">
        <v>2394270</v>
      </c>
      <c r="E206" s="342">
        <v>5999140</v>
      </c>
    </row>
    <row r="207" spans="1:5" x14ac:dyDescent="0.25">
      <c r="A207">
        <v>91016</v>
      </c>
      <c r="B207" s="343">
        <v>34.166499999999999</v>
      </c>
      <c r="C207" s="343">
        <v>-117.983</v>
      </c>
      <c r="D207" s="342">
        <v>2372470</v>
      </c>
      <c r="E207" s="342">
        <v>6037420</v>
      </c>
    </row>
    <row r="208" spans="1:5" x14ac:dyDescent="0.25">
      <c r="A208">
        <v>91020</v>
      </c>
      <c r="B208" s="343">
        <v>34.211500000000001</v>
      </c>
      <c r="C208" s="343">
        <v>-118.23099999999999</v>
      </c>
      <c r="D208" s="342">
        <v>2390180</v>
      </c>
      <c r="E208" s="342">
        <v>5962770</v>
      </c>
    </row>
    <row r="209" spans="1:5" x14ac:dyDescent="0.25">
      <c r="A209">
        <v>91024</v>
      </c>
      <c r="B209" s="343">
        <v>34.168999999999997</v>
      </c>
      <c r="C209" s="343">
        <v>-118.05</v>
      </c>
      <c r="D209" s="342">
        <v>2373720</v>
      </c>
      <c r="E209" s="342">
        <v>6017170</v>
      </c>
    </row>
    <row r="210" spans="1:5" x14ac:dyDescent="0.25">
      <c r="A210">
        <v>91030</v>
      </c>
      <c r="B210" s="343">
        <v>34.110399999999998</v>
      </c>
      <c r="C210" s="343">
        <v>-118.157</v>
      </c>
      <c r="D210" s="342">
        <v>2352980</v>
      </c>
      <c r="E210" s="342">
        <v>5984350</v>
      </c>
    </row>
    <row r="211" spans="1:5" x14ac:dyDescent="0.25">
      <c r="A211">
        <v>91040</v>
      </c>
      <c r="B211" s="343">
        <v>34.274999999999999</v>
      </c>
      <c r="C211" s="343">
        <v>-118.318</v>
      </c>
      <c r="D211" s="342">
        <v>2413780</v>
      </c>
      <c r="E211" s="342">
        <v>5936960</v>
      </c>
    </row>
    <row r="212" spans="1:5" x14ac:dyDescent="0.25">
      <c r="A212">
        <v>91042</v>
      </c>
      <c r="B212" s="343">
        <v>34.314700000000002</v>
      </c>
      <c r="C212" s="343">
        <v>-118.208</v>
      </c>
      <c r="D212" s="342">
        <v>2427580</v>
      </c>
      <c r="E212" s="342">
        <v>5970480</v>
      </c>
    </row>
    <row r="213" spans="1:5" x14ac:dyDescent="0.25">
      <c r="A213">
        <v>91101</v>
      </c>
      <c r="B213" s="343">
        <v>34.146599999999999</v>
      </c>
      <c r="C213" s="343">
        <v>-118.139</v>
      </c>
      <c r="D213" s="342">
        <v>2366040</v>
      </c>
      <c r="E213" s="342">
        <v>5990140</v>
      </c>
    </row>
    <row r="214" spans="1:5" x14ac:dyDescent="0.25">
      <c r="A214">
        <v>91103</v>
      </c>
      <c r="B214" s="343">
        <v>34.166800000000002</v>
      </c>
      <c r="C214" s="343">
        <v>-118.16500000000001</v>
      </c>
      <c r="D214" s="342">
        <v>2373550</v>
      </c>
      <c r="E214" s="342">
        <v>5982420</v>
      </c>
    </row>
    <row r="215" spans="1:5" x14ac:dyDescent="0.25">
      <c r="A215">
        <v>91104</v>
      </c>
      <c r="B215" s="343">
        <v>34.167999999999999</v>
      </c>
      <c r="C215" s="343">
        <v>-118.123</v>
      </c>
      <c r="D215" s="342">
        <v>2373750</v>
      </c>
      <c r="E215" s="342">
        <v>5994940</v>
      </c>
    </row>
    <row r="216" spans="1:5" x14ac:dyDescent="0.25">
      <c r="A216">
        <v>91105</v>
      </c>
      <c r="B216" s="343">
        <v>34.139800000000001</v>
      </c>
      <c r="C216" s="343">
        <v>-118.16800000000001</v>
      </c>
      <c r="D216" s="342">
        <v>2363720</v>
      </c>
      <c r="E216" s="342">
        <v>5981260</v>
      </c>
    </row>
    <row r="217" spans="1:5" x14ac:dyDescent="0.25">
      <c r="A217">
        <v>91106</v>
      </c>
      <c r="B217" s="343">
        <v>34.139099999999999</v>
      </c>
      <c r="C217" s="343">
        <v>-118.128</v>
      </c>
      <c r="D217" s="342">
        <v>2363230</v>
      </c>
      <c r="E217" s="342">
        <v>5993500</v>
      </c>
    </row>
    <row r="218" spans="1:5" x14ac:dyDescent="0.25">
      <c r="A218">
        <v>91107</v>
      </c>
      <c r="B218" s="343">
        <v>34.158900000000003</v>
      </c>
      <c r="C218" s="343">
        <v>-118.087</v>
      </c>
      <c r="D218" s="342">
        <v>2370210</v>
      </c>
      <c r="E218" s="342">
        <v>6005840</v>
      </c>
    </row>
    <row r="219" spans="1:5" x14ac:dyDescent="0.25">
      <c r="A219">
        <v>91108</v>
      </c>
      <c r="B219" s="343">
        <v>34.122399999999999</v>
      </c>
      <c r="C219" s="343">
        <v>-118.114</v>
      </c>
      <c r="D219" s="342">
        <v>2357090</v>
      </c>
      <c r="E219" s="342">
        <v>5997590</v>
      </c>
    </row>
    <row r="220" spans="1:5" x14ac:dyDescent="0.25">
      <c r="A220">
        <v>91123</v>
      </c>
      <c r="B220" s="343">
        <v>34.142800000000001</v>
      </c>
      <c r="C220" s="343">
        <v>-118.158</v>
      </c>
      <c r="D220" s="342">
        <v>2364750</v>
      </c>
      <c r="E220" s="342">
        <v>5984380</v>
      </c>
    </row>
    <row r="221" spans="1:5" x14ac:dyDescent="0.25">
      <c r="A221">
        <v>91201</v>
      </c>
      <c r="B221" s="343">
        <v>34.170200000000001</v>
      </c>
      <c r="C221" s="343">
        <v>-118.289</v>
      </c>
      <c r="D221" s="342">
        <v>2375500</v>
      </c>
      <c r="E221" s="342">
        <v>5944860</v>
      </c>
    </row>
    <row r="222" spans="1:5" x14ac:dyDescent="0.25">
      <c r="A222">
        <v>91202</v>
      </c>
      <c r="B222" s="343">
        <v>34.168199999999999</v>
      </c>
      <c r="C222" s="343">
        <v>-118.26900000000001</v>
      </c>
      <c r="D222" s="342">
        <v>2374620</v>
      </c>
      <c r="E222" s="342">
        <v>5951050</v>
      </c>
    </row>
    <row r="223" spans="1:5" x14ac:dyDescent="0.25">
      <c r="A223">
        <v>91203</v>
      </c>
      <c r="B223" s="343">
        <v>34.152700000000003</v>
      </c>
      <c r="C223" s="343">
        <v>-118.264</v>
      </c>
      <c r="D223" s="342">
        <v>2368980</v>
      </c>
      <c r="E223" s="342">
        <v>5952320</v>
      </c>
    </row>
    <row r="224" spans="1:5" x14ac:dyDescent="0.25">
      <c r="A224">
        <v>91204</v>
      </c>
      <c r="B224" s="343">
        <v>34.136200000000002</v>
      </c>
      <c r="C224" s="343">
        <v>-118.261</v>
      </c>
      <c r="D224" s="342">
        <v>2362930</v>
      </c>
      <c r="E224" s="342">
        <v>5953240</v>
      </c>
    </row>
    <row r="225" spans="1:5" x14ac:dyDescent="0.25">
      <c r="A225">
        <v>91205</v>
      </c>
      <c r="B225" s="343">
        <v>34.136600000000001</v>
      </c>
      <c r="C225" s="343">
        <v>-118.244</v>
      </c>
      <c r="D225" s="342">
        <v>2362990</v>
      </c>
      <c r="E225" s="342">
        <v>5958410</v>
      </c>
    </row>
    <row r="226" spans="1:5" x14ac:dyDescent="0.25">
      <c r="A226">
        <v>91206</v>
      </c>
      <c r="B226" s="343">
        <v>34.160600000000002</v>
      </c>
      <c r="C226" s="343">
        <v>-118.214</v>
      </c>
      <c r="D226" s="342">
        <v>2371570</v>
      </c>
      <c r="E226" s="342">
        <v>5967360</v>
      </c>
    </row>
    <row r="227" spans="1:5" x14ac:dyDescent="0.25">
      <c r="A227">
        <v>91207</v>
      </c>
      <c r="B227" s="343">
        <v>34.184600000000003</v>
      </c>
      <c r="C227" s="343">
        <v>-118.259</v>
      </c>
      <c r="D227" s="342">
        <v>2380520</v>
      </c>
      <c r="E227" s="342">
        <v>5954110</v>
      </c>
    </row>
    <row r="228" spans="1:5" x14ac:dyDescent="0.25">
      <c r="A228">
        <v>91208</v>
      </c>
      <c r="B228" s="343">
        <v>34.196100000000001</v>
      </c>
      <c r="C228" s="343">
        <v>-118.24</v>
      </c>
      <c r="D228" s="342">
        <v>2384600</v>
      </c>
      <c r="E228" s="342">
        <v>5959810</v>
      </c>
    </row>
    <row r="229" spans="1:5" x14ac:dyDescent="0.25">
      <c r="A229">
        <v>91214</v>
      </c>
      <c r="B229" s="343">
        <v>34.235700000000001</v>
      </c>
      <c r="C229" s="343">
        <v>-118.245</v>
      </c>
      <c r="D229" s="342">
        <v>2399040</v>
      </c>
      <c r="E229" s="342">
        <v>5958530</v>
      </c>
    </row>
    <row r="230" spans="1:5" x14ac:dyDescent="0.25">
      <c r="A230">
        <v>91301</v>
      </c>
      <c r="B230" s="343">
        <v>34.122399999999999</v>
      </c>
      <c r="C230" s="343">
        <v>-118.76600000000001</v>
      </c>
      <c r="D230" s="342">
        <v>2361220</v>
      </c>
      <c r="E230" s="342">
        <v>5800270</v>
      </c>
    </row>
    <row r="231" spans="1:5" x14ac:dyDescent="0.25">
      <c r="A231">
        <v>91302</v>
      </c>
      <c r="B231" s="343">
        <v>34.124600000000001</v>
      </c>
      <c r="C231" s="343">
        <v>-118.67400000000001</v>
      </c>
      <c r="D231" s="342">
        <v>2361390</v>
      </c>
      <c r="E231" s="342">
        <v>5828190</v>
      </c>
    </row>
    <row r="232" spans="1:5" x14ac:dyDescent="0.25">
      <c r="A232">
        <v>91303</v>
      </c>
      <c r="B232" s="343">
        <v>34.197899999999997</v>
      </c>
      <c r="C232" s="343">
        <v>-118.602</v>
      </c>
      <c r="D232" s="342">
        <v>2387550</v>
      </c>
      <c r="E232" s="342">
        <v>5850500</v>
      </c>
    </row>
    <row r="233" spans="1:5" x14ac:dyDescent="0.25">
      <c r="A233">
        <v>91304</v>
      </c>
      <c r="B233" s="343">
        <v>34.223999999999997</v>
      </c>
      <c r="C233" s="343">
        <v>-118.633</v>
      </c>
      <c r="D233" s="342">
        <v>2397250</v>
      </c>
      <c r="E233" s="342">
        <v>5841230</v>
      </c>
    </row>
    <row r="234" spans="1:5" x14ac:dyDescent="0.25">
      <c r="A234">
        <v>91306</v>
      </c>
      <c r="B234" s="343">
        <v>34.210099999999997</v>
      </c>
      <c r="C234" s="343">
        <v>-118.57599999999999</v>
      </c>
      <c r="D234" s="342">
        <v>2391820</v>
      </c>
      <c r="E234" s="342">
        <v>5858430</v>
      </c>
    </row>
    <row r="235" spans="1:5" x14ac:dyDescent="0.25">
      <c r="A235">
        <v>91307</v>
      </c>
      <c r="B235" s="343">
        <v>34.198399999999999</v>
      </c>
      <c r="C235" s="343">
        <v>-118.696</v>
      </c>
      <c r="D235" s="342">
        <v>2388400</v>
      </c>
      <c r="E235" s="342">
        <v>5821940</v>
      </c>
    </row>
    <row r="236" spans="1:5" x14ac:dyDescent="0.25">
      <c r="A236">
        <v>91311</v>
      </c>
      <c r="B236" s="343">
        <v>34.285699999999999</v>
      </c>
      <c r="C236" s="343">
        <v>-118.605</v>
      </c>
      <c r="D236" s="342">
        <v>2419510</v>
      </c>
      <c r="E236" s="342">
        <v>5850400</v>
      </c>
    </row>
    <row r="237" spans="1:5" x14ac:dyDescent="0.25">
      <c r="A237">
        <v>91316</v>
      </c>
      <c r="B237" s="343">
        <v>34.165300000000002</v>
      </c>
      <c r="C237" s="343">
        <v>-118.51600000000001</v>
      </c>
      <c r="D237" s="342">
        <v>2375100</v>
      </c>
      <c r="E237" s="342">
        <v>5876180</v>
      </c>
    </row>
    <row r="238" spans="1:5" x14ac:dyDescent="0.25">
      <c r="A238">
        <v>91320</v>
      </c>
      <c r="B238" s="343">
        <v>34.141500000000001</v>
      </c>
      <c r="C238" s="343">
        <v>-118.979</v>
      </c>
      <c r="D238" s="342">
        <v>2369800</v>
      </c>
      <c r="E238" s="342">
        <v>5735950</v>
      </c>
    </row>
    <row r="239" spans="1:5" x14ac:dyDescent="0.25">
      <c r="A239">
        <v>91321</v>
      </c>
      <c r="B239" s="343">
        <v>34.362299999999998</v>
      </c>
      <c r="C239" s="343">
        <v>-118.49</v>
      </c>
      <c r="D239" s="342">
        <v>2446620</v>
      </c>
      <c r="E239" s="342">
        <v>5885620</v>
      </c>
    </row>
    <row r="240" spans="1:5" x14ac:dyDescent="0.25">
      <c r="A240">
        <v>91324</v>
      </c>
      <c r="B240" s="343">
        <v>34.238500000000002</v>
      </c>
      <c r="C240" s="343">
        <v>-118.55</v>
      </c>
      <c r="D240" s="342">
        <v>2401970</v>
      </c>
      <c r="E240" s="342">
        <v>5866420</v>
      </c>
    </row>
    <row r="241" spans="1:5" x14ac:dyDescent="0.25">
      <c r="A241">
        <v>91325</v>
      </c>
      <c r="B241" s="343">
        <v>34.236800000000002</v>
      </c>
      <c r="C241" s="343">
        <v>-118.518</v>
      </c>
      <c r="D241" s="342">
        <v>2401140</v>
      </c>
      <c r="E241" s="342">
        <v>5876090</v>
      </c>
    </row>
    <row r="242" spans="1:5" x14ac:dyDescent="0.25">
      <c r="A242">
        <v>91326</v>
      </c>
      <c r="B242" s="343">
        <v>34.2804</v>
      </c>
      <c r="C242" s="343">
        <v>-118.556</v>
      </c>
      <c r="D242" s="342">
        <v>2417240</v>
      </c>
      <c r="E242" s="342">
        <v>5864990</v>
      </c>
    </row>
    <row r="243" spans="1:5" x14ac:dyDescent="0.25">
      <c r="A243">
        <v>91330</v>
      </c>
      <c r="B243" s="343">
        <v>34.242199999999997</v>
      </c>
      <c r="C243" s="343">
        <v>-118.527</v>
      </c>
      <c r="D243" s="342">
        <v>2403170</v>
      </c>
      <c r="E243" s="342">
        <v>5873520</v>
      </c>
    </row>
    <row r="244" spans="1:5" x14ac:dyDescent="0.25">
      <c r="A244">
        <v>91331</v>
      </c>
      <c r="B244" s="343">
        <v>34.255499999999998</v>
      </c>
      <c r="C244" s="343">
        <v>-118.42</v>
      </c>
      <c r="D244" s="342">
        <v>2407300</v>
      </c>
      <c r="E244" s="342">
        <v>5905820</v>
      </c>
    </row>
    <row r="245" spans="1:5" x14ac:dyDescent="0.25">
      <c r="A245">
        <v>91335</v>
      </c>
      <c r="B245" s="343">
        <v>34.201300000000003</v>
      </c>
      <c r="C245" s="343">
        <v>-118.541</v>
      </c>
      <c r="D245" s="342">
        <v>2388370</v>
      </c>
      <c r="E245" s="342">
        <v>5869010</v>
      </c>
    </row>
    <row r="246" spans="1:5" x14ac:dyDescent="0.25">
      <c r="A246">
        <v>91340</v>
      </c>
      <c r="B246" s="343">
        <v>34.286700000000003</v>
      </c>
      <c r="C246" s="343">
        <v>-118.435</v>
      </c>
      <c r="D246" s="342">
        <v>2418780</v>
      </c>
      <c r="E246" s="342">
        <v>5901650</v>
      </c>
    </row>
    <row r="247" spans="1:5" x14ac:dyDescent="0.25">
      <c r="A247">
        <v>91342</v>
      </c>
      <c r="B247" s="343">
        <v>34.347499999999997</v>
      </c>
      <c r="C247" s="343">
        <v>-118.35299999999999</v>
      </c>
      <c r="D247" s="342">
        <v>2440360</v>
      </c>
      <c r="E247" s="342">
        <v>5926910</v>
      </c>
    </row>
    <row r="248" spans="1:5" x14ac:dyDescent="0.25">
      <c r="A248">
        <v>91343</v>
      </c>
      <c r="B248" s="343">
        <v>34.238599999999998</v>
      </c>
      <c r="C248" s="343">
        <v>-118.48099999999999</v>
      </c>
      <c r="D248" s="342">
        <v>2401560</v>
      </c>
      <c r="E248" s="342">
        <v>5887370</v>
      </c>
    </row>
    <row r="249" spans="1:5" x14ac:dyDescent="0.25">
      <c r="A249">
        <v>91344</v>
      </c>
      <c r="B249" s="343">
        <v>34.292000000000002</v>
      </c>
      <c r="C249" s="343">
        <v>-118.506</v>
      </c>
      <c r="D249" s="342">
        <v>2421140</v>
      </c>
      <c r="E249" s="342">
        <v>5880170</v>
      </c>
    </row>
    <row r="250" spans="1:5" x14ac:dyDescent="0.25">
      <c r="A250">
        <v>91345</v>
      </c>
      <c r="B250" s="343">
        <v>34.266399999999997</v>
      </c>
      <c r="C250" s="343">
        <v>-118.46</v>
      </c>
      <c r="D250" s="342">
        <v>2411530</v>
      </c>
      <c r="E250" s="342">
        <v>5893820</v>
      </c>
    </row>
    <row r="251" spans="1:5" x14ac:dyDescent="0.25">
      <c r="A251">
        <v>91350</v>
      </c>
      <c r="B251" s="343">
        <v>34.426699999999997</v>
      </c>
      <c r="C251" s="343">
        <v>-118.51300000000001</v>
      </c>
      <c r="D251" s="342">
        <v>2470200</v>
      </c>
      <c r="E251" s="342">
        <v>5879210</v>
      </c>
    </row>
    <row r="252" spans="1:5" x14ac:dyDescent="0.25">
      <c r="A252">
        <v>91351</v>
      </c>
      <c r="B252" s="343">
        <v>34.433900000000001</v>
      </c>
      <c r="C252" s="343">
        <v>-118.462</v>
      </c>
      <c r="D252" s="342">
        <v>2472510</v>
      </c>
      <c r="E252" s="342">
        <v>5894460</v>
      </c>
    </row>
    <row r="253" spans="1:5" x14ac:dyDescent="0.25">
      <c r="A253">
        <v>91352</v>
      </c>
      <c r="B253" s="343">
        <v>34.2303</v>
      </c>
      <c r="C253" s="343">
        <v>-118.354</v>
      </c>
      <c r="D253" s="342">
        <v>2397750</v>
      </c>
      <c r="E253" s="342">
        <v>5925750</v>
      </c>
    </row>
    <row r="254" spans="1:5" x14ac:dyDescent="0.25">
      <c r="A254">
        <v>91354</v>
      </c>
      <c r="B254" s="343">
        <v>34.452100000000002</v>
      </c>
      <c r="C254" s="343">
        <v>-118.553</v>
      </c>
      <c r="D254" s="342">
        <v>2479710</v>
      </c>
      <c r="E254" s="342">
        <v>5867370</v>
      </c>
    </row>
    <row r="255" spans="1:5" x14ac:dyDescent="0.25">
      <c r="A255">
        <v>91355</v>
      </c>
      <c r="B255" s="343">
        <v>34.418700000000001</v>
      </c>
      <c r="C255" s="343">
        <v>-118.598</v>
      </c>
      <c r="D255" s="342">
        <v>2467860</v>
      </c>
      <c r="E255" s="342">
        <v>5853430</v>
      </c>
    </row>
    <row r="256" spans="1:5" x14ac:dyDescent="0.25">
      <c r="A256">
        <v>91356</v>
      </c>
      <c r="B256" s="343">
        <v>34.1539</v>
      </c>
      <c r="C256" s="343">
        <v>-118.547</v>
      </c>
      <c r="D256" s="342">
        <v>2371150</v>
      </c>
      <c r="E256" s="342">
        <v>5866790</v>
      </c>
    </row>
    <row r="257" spans="1:5" x14ac:dyDescent="0.25">
      <c r="A257">
        <v>91360</v>
      </c>
      <c r="B257" s="343">
        <v>34.214199999999998</v>
      </c>
      <c r="C257" s="343">
        <v>-118.88</v>
      </c>
      <c r="D257" s="342">
        <v>2395510</v>
      </c>
      <c r="E257" s="342">
        <v>5766420</v>
      </c>
    </row>
    <row r="258" spans="1:5" x14ac:dyDescent="0.25">
      <c r="A258">
        <v>91361</v>
      </c>
      <c r="B258" s="343">
        <v>34.146000000000001</v>
      </c>
      <c r="C258" s="343">
        <v>-118.878</v>
      </c>
      <c r="D258" s="342">
        <v>2370650</v>
      </c>
      <c r="E258" s="342">
        <v>5766470</v>
      </c>
    </row>
    <row r="259" spans="1:5" x14ac:dyDescent="0.25">
      <c r="A259">
        <v>91362</v>
      </c>
      <c r="B259" s="343">
        <v>34.192599999999999</v>
      </c>
      <c r="C259" s="343">
        <v>-118.819</v>
      </c>
      <c r="D259" s="342">
        <v>2387170</v>
      </c>
      <c r="E259" s="342">
        <v>5784720</v>
      </c>
    </row>
    <row r="260" spans="1:5" x14ac:dyDescent="0.25">
      <c r="A260">
        <v>91364</v>
      </c>
      <c r="B260" s="343">
        <v>34.155099999999997</v>
      </c>
      <c r="C260" s="343">
        <v>-118.595</v>
      </c>
      <c r="D260" s="342">
        <v>2371930</v>
      </c>
      <c r="E260" s="342">
        <v>5852110</v>
      </c>
    </row>
    <row r="261" spans="1:5" x14ac:dyDescent="0.25">
      <c r="A261">
        <v>91367</v>
      </c>
      <c r="B261" s="343">
        <v>34.176400000000001</v>
      </c>
      <c r="C261" s="343">
        <v>-118.616</v>
      </c>
      <c r="D261" s="342">
        <v>2379820</v>
      </c>
      <c r="E261" s="342">
        <v>5846040</v>
      </c>
    </row>
    <row r="262" spans="1:5" x14ac:dyDescent="0.25">
      <c r="A262">
        <v>91371</v>
      </c>
      <c r="B262" s="343">
        <v>34.183799999999998</v>
      </c>
      <c r="C262" s="343">
        <v>-118.58</v>
      </c>
      <c r="D262" s="342">
        <v>2382290</v>
      </c>
      <c r="E262" s="342">
        <v>5856890</v>
      </c>
    </row>
    <row r="263" spans="1:5" x14ac:dyDescent="0.25">
      <c r="A263">
        <v>91377</v>
      </c>
      <c r="B263" s="343">
        <v>34.185899999999997</v>
      </c>
      <c r="C263" s="343">
        <v>-118.765</v>
      </c>
      <c r="D263" s="342">
        <v>2384350</v>
      </c>
      <c r="E263" s="342">
        <v>5800990</v>
      </c>
    </row>
    <row r="264" spans="1:5" x14ac:dyDescent="0.25">
      <c r="A264">
        <v>91381</v>
      </c>
      <c r="B264" s="343">
        <v>34.367899999999999</v>
      </c>
      <c r="C264" s="343">
        <v>-118.613</v>
      </c>
      <c r="D264" s="342">
        <v>2449490</v>
      </c>
      <c r="E264" s="342">
        <v>5848560</v>
      </c>
    </row>
    <row r="265" spans="1:5" x14ac:dyDescent="0.25">
      <c r="A265">
        <v>91384</v>
      </c>
      <c r="B265" s="343">
        <v>34.555399999999999</v>
      </c>
      <c r="C265" s="343">
        <v>-118.64400000000001</v>
      </c>
      <c r="D265" s="342">
        <v>2517930</v>
      </c>
      <c r="E265" s="342">
        <v>5840640</v>
      </c>
    </row>
    <row r="266" spans="1:5" x14ac:dyDescent="0.25">
      <c r="A266">
        <v>91387</v>
      </c>
      <c r="B266" s="343">
        <v>34.402799999999999</v>
      </c>
      <c r="C266" s="343">
        <v>-118.404</v>
      </c>
      <c r="D266" s="342">
        <v>2460820</v>
      </c>
      <c r="E266" s="342">
        <v>5911910</v>
      </c>
    </row>
    <row r="267" spans="1:5" x14ac:dyDescent="0.25">
      <c r="A267">
        <v>91390</v>
      </c>
      <c r="B267" s="343">
        <v>34.525799999999997</v>
      </c>
      <c r="C267" s="343">
        <v>-118.39400000000001</v>
      </c>
      <c r="D267" s="342">
        <v>2505510</v>
      </c>
      <c r="E267" s="342">
        <v>5915730</v>
      </c>
    </row>
    <row r="268" spans="1:5" x14ac:dyDescent="0.25">
      <c r="A268">
        <v>91401</v>
      </c>
      <c r="B268" s="343">
        <v>34.178100000000001</v>
      </c>
      <c r="C268" s="343">
        <v>-118.432</v>
      </c>
      <c r="D268" s="342">
        <v>2379220</v>
      </c>
      <c r="E268" s="342">
        <v>5901840</v>
      </c>
    </row>
    <row r="269" spans="1:5" x14ac:dyDescent="0.25">
      <c r="A269">
        <v>91402</v>
      </c>
      <c r="B269" s="343">
        <v>34.224200000000003</v>
      </c>
      <c r="C269" s="343">
        <v>-118.44499999999999</v>
      </c>
      <c r="D269" s="342">
        <v>2396100</v>
      </c>
      <c r="E269" s="342">
        <v>5898210</v>
      </c>
    </row>
    <row r="270" spans="1:5" x14ac:dyDescent="0.25">
      <c r="A270">
        <v>91403</v>
      </c>
      <c r="B270" s="343">
        <v>34.146700000000003</v>
      </c>
      <c r="C270" s="343">
        <v>-118.46299999999999</v>
      </c>
      <c r="D270" s="342">
        <v>2367990</v>
      </c>
      <c r="E270" s="342">
        <v>5892080</v>
      </c>
    </row>
    <row r="271" spans="1:5" x14ac:dyDescent="0.25">
      <c r="A271">
        <v>91405</v>
      </c>
      <c r="B271" s="343">
        <v>34.201099999999997</v>
      </c>
      <c r="C271" s="343">
        <v>-118.44799999999999</v>
      </c>
      <c r="D271" s="342">
        <v>2387710</v>
      </c>
      <c r="E271" s="342">
        <v>5897050</v>
      </c>
    </row>
    <row r="272" spans="1:5" x14ac:dyDescent="0.25">
      <c r="A272">
        <v>91406</v>
      </c>
      <c r="B272" s="343">
        <v>34.198900000000002</v>
      </c>
      <c r="C272" s="343">
        <v>-118.49</v>
      </c>
      <c r="D272" s="342">
        <v>2387160</v>
      </c>
      <c r="E272" s="342">
        <v>5884410</v>
      </c>
    </row>
    <row r="273" spans="1:5" x14ac:dyDescent="0.25">
      <c r="A273">
        <v>91411</v>
      </c>
      <c r="B273" s="343">
        <v>34.177799999999998</v>
      </c>
      <c r="C273" s="343">
        <v>-118.459</v>
      </c>
      <c r="D273" s="342">
        <v>2379300</v>
      </c>
      <c r="E273" s="342">
        <v>5893490</v>
      </c>
    </row>
    <row r="274" spans="1:5" x14ac:dyDescent="0.25">
      <c r="A274">
        <v>91423</v>
      </c>
      <c r="B274" s="343">
        <v>34.148400000000002</v>
      </c>
      <c r="C274" s="343">
        <v>-118.43300000000001</v>
      </c>
      <c r="D274" s="342">
        <v>2368420</v>
      </c>
      <c r="E274" s="342">
        <v>5901270</v>
      </c>
    </row>
    <row r="275" spans="1:5" x14ac:dyDescent="0.25">
      <c r="A275">
        <v>91436</v>
      </c>
      <c r="B275" s="343">
        <v>34.150100000000002</v>
      </c>
      <c r="C275" s="343">
        <v>-118.494</v>
      </c>
      <c r="D275" s="342">
        <v>2369440</v>
      </c>
      <c r="E275" s="342">
        <v>5882640</v>
      </c>
    </row>
    <row r="276" spans="1:5" x14ac:dyDescent="0.25">
      <c r="A276">
        <v>91501</v>
      </c>
      <c r="B276" s="343">
        <v>34.202800000000003</v>
      </c>
      <c r="C276" s="343">
        <v>-118.29900000000001</v>
      </c>
      <c r="D276" s="342">
        <v>2387390</v>
      </c>
      <c r="E276" s="342">
        <v>5942170</v>
      </c>
    </row>
    <row r="277" spans="1:5" x14ac:dyDescent="0.25">
      <c r="A277">
        <v>91502</v>
      </c>
      <c r="B277" s="343">
        <v>34.1785</v>
      </c>
      <c r="C277" s="343">
        <v>-118.312</v>
      </c>
      <c r="D277" s="342">
        <v>2378650</v>
      </c>
      <c r="E277" s="342">
        <v>5938010</v>
      </c>
    </row>
    <row r="278" spans="1:5" x14ac:dyDescent="0.25">
      <c r="A278">
        <v>91504</v>
      </c>
      <c r="B278" s="343">
        <v>34.203400000000002</v>
      </c>
      <c r="C278" s="343">
        <v>-118.32899999999999</v>
      </c>
      <c r="D278" s="342">
        <v>2387800</v>
      </c>
      <c r="E278" s="342">
        <v>5933060</v>
      </c>
    </row>
    <row r="279" spans="1:5" x14ac:dyDescent="0.25">
      <c r="A279">
        <v>91505</v>
      </c>
      <c r="B279" s="343">
        <v>34.177</v>
      </c>
      <c r="C279" s="343">
        <v>-118.348</v>
      </c>
      <c r="D279" s="342">
        <v>2378310</v>
      </c>
      <c r="E279" s="342">
        <v>5927120</v>
      </c>
    </row>
    <row r="280" spans="1:5" x14ac:dyDescent="0.25">
      <c r="A280">
        <v>91506</v>
      </c>
      <c r="B280" s="343">
        <v>34.171300000000002</v>
      </c>
      <c r="C280" s="343">
        <v>-118.324</v>
      </c>
      <c r="D280" s="342">
        <v>2376100</v>
      </c>
      <c r="E280" s="342">
        <v>5934310</v>
      </c>
    </row>
    <row r="281" spans="1:5" x14ac:dyDescent="0.25">
      <c r="A281">
        <v>91521</v>
      </c>
      <c r="B281" s="343">
        <v>34.1571</v>
      </c>
      <c r="C281" s="343">
        <v>-118.325</v>
      </c>
      <c r="D281" s="342">
        <v>2370920</v>
      </c>
      <c r="E281" s="342">
        <v>5933820</v>
      </c>
    </row>
    <row r="282" spans="1:5" x14ac:dyDescent="0.25">
      <c r="A282">
        <v>91522</v>
      </c>
      <c r="B282" s="343">
        <v>34.148499999999999</v>
      </c>
      <c r="C282" s="343">
        <v>-118.337</v>
      </c>
      <c r="D282" s="342">
        <v>2367870</v>
      </c>
      <c r="E282" s="342">
        <v>5930070</v>
      </c>
    </row>
    <row r="283" spans="1:5" x14ac:dyDescent="0.25">
      <c r="A283">
        <v>91523</v>
      </c>
      <c r="B283" s="343">
        <v>34.154299999999999</v>
      </c>
      <c r="C283" s="343">
        <v>-118.333</v>
      </c>
      <c r="D283" s="342">
        <v>2369960</v>
      </c>
      <c r="E283" s="342">
        <v>5931380</v>
      </c>
    </row>
    <row r="284" spans="1:5" x14ac:dyDescent="0.25">
      <c r="A284">
        <v>91601</v>
      </c>
      <c r="B284" s="343">
        <v>34.168199999999999</v>
      </c>
      <c r="C284" s="343">
        <v>-118.372</v>
      </c>
      <c r="D284" s="342">
        <v>2375250</v>
      </c>
      <c r="E284" s="342">
        <v>5919750</v>
      </c>
    </row>
    <row r="285" spans="1:5" x14ac:dyDescent="0.25">
      <c r="A285">
        <v>91602</v>
      </c>
      <c r="B285" s="343">
        <v>34.150700000000001</v>
      </c>
      <c r="C285" s="343">
        <v>-118.366</v>
      </c>
      <c r="D285" s="342">
        <v>2368860</v>
      </c>
      <c r="E285" s="342">
        <v>5921460</v>
      </c>
    </row>
    <row r="286" spans="1:5" x14ac:dyDescent="0.25">
      <c r="A286">
        <v>91604</v>
      </c>
      <c r="B286" s="343">
        <v>34.139600000000002</v>
      </c>
      <c r="C286" s="343">
        <v>-118.393</v>
      </c>
      <c r="D286" s="342">
        <v>2364990</v>
      </c>
      <c r="E286" s="342">
        <v>5913140</v>
      </c>
    </row>
    <row r="287" spans="1:5" x14ac:dyDescent="0.25">
      <c r="A287">
        <v>91605</v>
      </c>
      <c r="B287" s="343">
        <v>34.207000000000001</v>
      </c>
      <c r="C287" s="343">
        <v>-118.401</v>
      </c>
      <c r="D287" s="342">
        <v>2389560</v>
      </c>
      <c r="E287" s="342">
        <v>5911360</v>
      </c>
    </row>
    <row r="288" spans="1:5" x14ac:dyDescent="0.25">
      <c r="A288">
        <v>91606</v>
      </c>
      <c r="B288" s="343">
        <v>34.186799999999998</v>
      </c>
      <c r="C288" s="343">
        <v>-118.389</v>
      </c>
      <c r="D288" s="342">
        <v>2382130</v>
      </c>
      <c r="E288" s="342">
        <v>5914770</v>
      </c>
    </row>
    <row r="289" spans="1:5" x14ac:dyDescent="0.25">
      <c r="A289">
        <v>91607</v>
      </c>
      <c r="B289" s="343">
        <v>34.166499999999999</v>
      </c>
      <c r="C289" s="343">
        <v>-118.4</v>
      </c>
      <c r="D289" s="342">
        <v>2374820</v>
      </c>
      <c r="E289" s="342">
        <v>5911350</v>
      </c>
    </row>
    <row r="290" spans="1:5" x14ac:dyDescent="0.25">
      <c r="A290">
        <v>91608</v>
      </c>
      <c r="B290" s="343">
        <v>34.138599999999997</v>
      </c>
      <c r="C290" s="343">
        <v>-118.35299999999999</v>
      </c>
      <c r="D290" s="342">
        <v>2364380</v>
      </c>
      <c r="E290" s="342">
        <v>5925340</v>
      </c>
    </row>
    <row r="291" spans="1:5" x14ac:dyDescent="0.25">
      <c r="A291">
        <v>91701</v>
      </c>
      <c r="B291" s="343">
        <v>34.137999999999998</v>
      </c>
      <c r="C291" s="343">
        <v>-117.601</v>
      </c>
      <c r="D291" s="342">
        <v>2360360</v>
      </c>
      <c r="E291" s="342">
        <v>6152900</v>
      </c>
    </row>
    <row r="292" spans="1:5" x14ac:dyDescent="0.25">
      <c r="A292">
        <v>91702</v>
      </c>
      <c r="B292" s="343">
        <v>34.232199999999999</v>
      </c>
      <c r="C292" s="343">
        <v>-117.83499999999999</v>
      </c>
      <c r="D292" s="342">
        <v>2395660</v>
      </c>
      <c r="E292" s="342">
        <v>6082560</v>
      </c>
    </row>
    <row r="293" spans="1:5" x14ac:dyDescent="0.25">
      <c r="A293">
        <v>91706</v>
      </c>
      <c r="B293" s="343">
        <v>34.098500000000001</v>
      </c>
      <c r="C293" s="343">
        <v>-117.968</v>
      </c>
      <c r="D293" s="342">
        <v>2347630</v>
      </c>
      <c r="E293" s="342">
        <v>6041680</v>
      </c>
    </row>
    <row r="294" spans="1:5" x14ac:dyDescent="0.25">
      <c r="A294">
        <v>91708</v>
      </c>
      <c r="B294" s="343">
        <v>33.953499999999998</v>
      </c>
      <c r="C294" s="343">
        <v>-117.64700000000001</v>
      </c>
      <c r="D294" s="342">
        <v>2293420</v>
      </c>
      <c r="E294" s="342">
        <v>6137970</v>
      </c>
    </row>
    <row r="295" spans="1:5" x14ac:dyDescent="0.25">
      <c r="A295">
        <v>91709</v>
      </c>
      <c r="B295" s="343">
        <v>33.951000000000001</v>
      </c>
      <c r="C295" s="343">
        <v>-117.726</v>
      </c>
      <c r="D295" s="342">
        <v>2292830</v>
      </c>
      <c r="E295" s="342">
        <v>6114100</v>
      </c>
    </row>
    <row r="296" spans="1:5" x14ac:dyDescent="0.25">
      <c r="A296">
        <v>91710</v>
      </c>
      <c r="B296" s="343">
        <v>34.0045</v>
      </c>
      <c r="C296" s="343">
        <v>-117.679</v>
      </c>
      <c r="D296" s="342">
        <v>2312100</v>
      </c>
      <c r="E296" s="342">
        <v>6128480</v>
      </c>
    </row>
    <row r="297" spans="1:5" x14ac:dyDescent="0.25">
      <c r="A297">
        <v>91711</v>
      </c>
      <c r="B297" s="343">
        <v>34.127200000000002</v>
      </c>
      <c r="C297" s="343">
        <v>-117.71599999999999</v>
      </c>
      <c r="D297" s="342">
        <v>2356920</v>
      </c>
      <c r="E297" s="342">
        <v>6118120</v>
      </c>
    </row>
    <row r="298" spans="1:5" x14ac:dyDescent="0.25">
      <c r="A298">
        <v>91722</v>
      </c>
      <c r="B298" s="343">
        <v>34.097200000000001</v>
      </c>
      <c r="C298" s="343">
        <v>-117.90600000000001</v>
      </c>
      <c r="D298" s="342">
        <v>2346860</v>
      </c>
      <c r="E298" s="342">
        <v>6060330</v>
      </c>
    </row>
    <row r="299" spans="1:5" x14ac:dyDescent="0.25">
      <c r="A299">
        <v>91723</v>
      </c>
      <c r="B299" s="343">
        <v>34.084899999999998</v>
      </c>
      <c r="C299" s="343">
        <v>-117.887</v>
      </c>
      <c r="D299" s="342">
        <v>2342300</v>
      </c>
      <c r="E299" s="342">
        <v>6066110</v>
      </c>
    </row>
    <row r="300" spans="1:5" x14ac:dyDescent="0.25">
      <c r="A300">
        <v>91724</v>
      </c>
      <c r="B300" s="343">
        <v>34.0807</v>
      </c>
      <c r="C300" s="343">
        <v>-117.855</v>
      </c>
      <c r="D300" s="342">
        <v>2340600</v>
      </c>
      <c r="E300" s="342">
        <v>6075520</v>
      </c>
    </row>
    <row r="301" spans="1:5" x14ac:dyDescent="0.25">
      <c r="A301">
        <v>91730</v>
      </c>
      <c r="B301" s="343">
        <v>34.099600000000002</v>
      </c>
      <c r="C301" s="343">
        <v>-117.58</v>
      </c>
      <c r="D301" s="342">
        <v>2346320</v>
      </c>
      <c r="E301" s="342">
        <v>6159150</v>
      </c>
    </row>
    <row r="302" spans="1:5" x14ac:dyDescent="0.25">
      <c r="A302">
        <v>91731</v>
      </c>
      <c r="B302" s="343">
        <v>34.078600000000002</v>
      </c>
      <c r="C302" s="343">
        <v>-118.041</v>
      </c>
      <c r="D302" s="342">
        <v>2340780</v>
      </c>
      <c r="E302" s="342">
        <v>6019290</v>
      </c>
    </row>
    <row r="303" spans="1:5" x14ac:dyDescent="0.25">
      <c r="A303">
        <v>91732</v>
      </c>
      <c r="B303" s="343">
        <v>34.072299999999998</v>
      </c>
      <c r="C303" s="343">
        <v>-118.015</v>
      </c>
      <c r="D303" s="342">
        <v>2338350</v>
      </c>
      <c r="E303" s="342">
        <v>6027230</v>
      </c>
    </row>
    <row r="304" spans="1:5" x14ac:dyDescent="0.25">
      <c r="A304">
        <v>91733</v>
      </c>
      <c r="B304" s="343">
        <v>34.045400000000001</v>
      </c>
      <c r="C304" s="343">
        <v>-118.053</v>
      </c>
      <c r="D304" s="342">
        <v>2328760</v>
      </c>
      <c r="E304" s="342">
        <v>6015510</v>
      </c>
    </row>
    <row r="305" spans="1:5" x14ac:dyDescent="0.25">
      <c r="A305">
        <v>91737</v>
      </c>
      <c r="B305" s="343">
        <v>34.151699999999998</v>
      </c>
      <c r="C305" s="343">
        <v>-117.583</v>
      </c>
      <c r="D305" s="342">
        <v>2365280</v>
      </c>
      <c r="E305" s="342">
        <v>6158440</v>
      </c>
    </row>
    <row r="306" spans="1:5" x14ac:dyDescent="0.25">
      <c r="A306">
        <v>91739</v>
      </c>
      <c r="B306" s="343">
        <v>34.135300000000001</v>
      </c>
      <c r="C306" s="343">
        <v>-117.526</v>
      </c>
      <c r="D306" s="342">
        <v>2359110</v>
      </c>
      <c r="E306" s="342">
        <v>6175640</v>
      </c>
    </row>
    <row r="307" spans="1:5" x14ac:dyDescent="0.25">
      <c r="A307">
        <v>91740</v>
      </c>
      <c r="B307" s="343">
        <v>34.118499999999997</v>
      </c>
      <c r="C307" s="343">
        <v>-117.854</v>
      </c>
      <c r="D307" s="342">
        <v>2354380</v>
      </c>
      <c r="E307" s="342">
        <v>6076280</v>
      </c>
    </row>
    <row r="308" spans="1:5" x14ac:dyDescent="0.25">
      <c r="A308">
        <v>91741</v>
      </c>
      <c r="B308" s="343">
        <v>34.154299999999999</v>
      </c>
      <c r="C308" s="343">
        <v>-117.84</v>
      </c>
      <c r="D308" s="342">
        <v>2367340</v>
      </c>
      <c r="E308" s="342">
        <v>6080470</v>
      </c>
    </row>
    <row r="309" spans="1:5" x14ac:dyDescent="0.25">
      <c r="A309">
        <v>91744</v>
      </c>
      <c r="B309" s="343">
        <v>34.029000000000003</v>
      </c>
      <c r="C309" s="343">
        <v>-117.937</v>
      </c>
      <c r="D309" s="342">
        <v>2322200</v>
      </c>
      <c r="E309" s="342">
        <v>6050430</v>
      </c>
    </row>
    <row r="310" spans="1:5" x14ac:dyDescent="0.25">
      <c r="A310">
        <v>91745</v>
      </c>
      <c r="B310" s="343">
        <v>33.999899999999997</v>
      </c>
      <c r="C310" s="343">
        <v>-117.97799999999999</v>
      </c>
      <c r="D310" s="342">
        <v>2311810</v>
      </c>
      <c r="E310" s="342">
        <v>6037980</v>
      </c>
    </row>
    <row r="311" spans="1:5" x14ac:dyDescent="0.25">
      <c r="A311">
        <v>91746</v>
      </c>
      <c r="B311" s="343">
        <v>34.0441</v>
      </c>
      <c r="C311" s="343">
        <v>-117.989</v>
      </c>
      <c r="D311" s="342">
        <v>2327940</v>
      </c>
      <c r="E311" s="342">
        <v>6034960</v>
      </c>
    </row>
    <row r="312" spans="1:5" x14ac:dyDescent="0.25">
      <c r="A312">
        <v>91748</v>
      </c>
      <c r="B312" s="343">
        <v>33.976300000000002</v>
      </c>
      <c r="C312" s="343">
        <v>-117.899</v>
      </c>
      <c r="D312" s="342">
        <v>2302840</v>
      </c>
      <c r="E312" s="342">
        <v>6061830</v>
      </c>
    </row>
    <row r="313" spans="1:5" x14ac:dyDescent="0.25">
      <c r="A313">
        <v>91750</v>
      </c>
      <c r="B313" s="343">
        <v>34.143599999999999</v>
      </c>
      <c r="C313" s="343">
        <v>-117.762</v>
      </c>
      <c r="D313" s="342">
        <v>2363070</v>
      </c>
      <c r="E313" s="342">
        <v>6104120</v>
      </c>
    </row>
    <row r="314" spans="1:5" x14ac:dyDescent="0.25">
      <c r="A314">
        <v>91752</v>
      </c>
      <c r="B314" s="343">
        <v>33.995899999999999</v>
      </c>
      <c r="C314" s="343">
        <v>-117.53400000000001</v>
      </c>
      <c r="D314" s="342">
        <v>2308410</v>
      </c>
      <c r="E314" s="342">
        <v>6172440</v>
      </c>
    </row>
    <row r="315" spans="1:5" x14ac:dyDescent="0.25">
      <c r="A315">
        <v>91754</v>
      </c>
      <c r="B315" s="343">
        <v>34.051900000000003</v>
      </c>
      <c r="C315" s="343">
        <v>-118.146</v>
      </c>
      <c r="D315" s="342">
        <v>2331600</v>
      </c>
      <c r="E315" s="342">
        <v>5987380</v>
      </c>
    </row>
    <row r="316" spans="1:5" x14ac:dyDescent="0.25">
      <c r="A316">
        <v>91755</v>
      </c>
      <c r="B316" s="343">
        <v>34.047899999999998</v>
      </c>
      <c r="C316" s="343">
        <v>-118.114</v>
      </c>
      <c r="D316" s="342">
        <v>2329990</v>
      </c>
      <c r="E316" s="342">
        <v>5996930</v>
      </c>
    </row>
    <row r="317" spans="1:5" x14ac:dyDescent="0.25">
      <c r="A317">
        <v>91759</v>
      </c>
      <c r="B317" s="343">
        <v>34.224200000000003</v>
      </c>
      <c r="C317" s="343">
        <v>-117.577</v>
      </c>
      <c r="D317" s="342">
        <v>2391660</v>
      </c>
      <c r="E317" s="342">
        <v>6160450</v>
      </c>
    </row>
    <row r="318" spans="1:5" x14ac:dyDescent="0.25">
      <c r="A318">
        <v>91761</v>
      </c>
      <c r="B318" s="343">
        <v>34.034500000000001</v>
      </c>
      <c r="C318" s="343">
        <v>-117.593</v>
      </c>
      <c r="D318" s="342">
        <v>2322690</v>
      </c>
      <c r="E318" s="342">
        <v>6154860</v>
      </c>
    </row>
    <row r="319" spans="1:5" x14ac:dyDescent="0.25">
      <c r="A319">
        <v>91762</v>
      </c>
      <c r="B319" s="343">
        <v>34.034399999999998</v>
      </c>
      <c r="C319" s="343">
        <v>-117.646</v>
      </c>
      <c r="D319" s="342">
        <v>2322860</v>
      </c>
      <c r="E319" s="342">
        <v>6138700</v>
      </c>
    </row>
    <row r="320" spans="1:5" x14ac:dyDescent="0.25">
      <c r="A320">
        <v>91763</v>
      </c>
      <c r="B320" s="343">
        <v>34.071899999999999</v>
      </c>
      <c r="C320" s="343">
        <v>-117.69799999999999</v>
      </c>
      <c r="D320" s="342">
        <v>2336710</v>
      </c>
      <c r="E320" s="342">
        <v>6123050</v>
      </c>
    </row>
    <row r="321" spans="1:5" x14ac:dyDescent="0.25">
      <c r="A321">
        <v>91764</v>
      </c>
      <c r="B321" s="343">
        <v>34.075099999999999</v>
      </c>
      <c r="C321" s="343">
        <v>-117.602</v>
      </c>
      <c r="D321" s="342">
        <v>2337510</v>
      </c>
      <c r="E321" s="342">
        <v>6152100</v>
      </c>
    </row>
    <row r="322" spans="1:5" x14ac:dyDescent="0.25">
      <c r="A322">
        <v>91765</v>
      </c>
      <c r="B322" s="343">
        <v>33.987400000000001</v>
      </c>
      <c r="C322" s="343">
        <v>-117.815</v>
      </c>
      <c r="D322" s="342">
        <v>2306460</v>
      </c>
      <c r="E322" s="342">
        <v>6087160</v>
      </c>
    </row>
    <row r="323" spans="1:5" x14ac:dyDescent="0.25">
      <c r="A323">
        <v>91766</v>
      </c>
      <c r="B323" s="343">
        <v>34.041899999999998</v>
      </c>
      <c r="C323" s="343">
        <v>-117.75700000000001</v>
      </c>
      <c r="D323" s="342">
        <v>2326040</v>
      </c>
      <c r="E323" s="342">
        <v>6105050</v>
      </c>
    </row>
    <row r="324" spans="1:5" x14ac:dyDescent="0.25">
      <c r="A324">
        <v>91767</v>
      </c>
      <c r="B324" s="343">
        <v>34.081400000000002</v>
      </c>
      <c r="C324" s="343">
        <v>-117.738</v>
      </c>
      <c r="D324" s="342">
        <v>2340350</v>
      </c>
      <c r="E324" s="342">
        <v>6110950</v>
      </c>
    </row>
    <row r="325" spans="1:5" x14ac:dyDescent="0.25">
      <c r="A325">
        <v>91768</v>
      </c>
      <c r="B325" s="343">
        <v>34.063200000000002</v>
      </c>
      <c r="C325" s="343">
        <v>-117.789</v>
      </c>
      <c r="D325" s="342">
        <v>2333950</v>
      </c>
      <c r="E325" s="342">
        <v>6095510</v>
      </c>
    </row>
    <row r="326" spans="1:5" x14ac:dyDescent="0.25">
      <c r="A326">
        <v>91770</v>
      </c>
      <c r="B326" s="343">
        <v>34.064500000000002</v>
      </c>
      <c r="C326" s="343">
        <v>-118.083</v>
      </c>
      <c r="D326" s="342">
        <v>2335870</v>
      </c>
      <c r="E326" s="342">
        <v>6006420</v>
      </c>
    </row>
    <row r="327" spans="1:5" x14ac:dyDescent="0.25">
      <c r="A327">
        <v>91773</v>
      </c>
      <c r="B327" s="343">
        <v>34.106900000000003</v>
      </c>
      <c r="C327" s="343">
        <v>-117.809</v>
      </c>
      <c r="D327" s="342">
        <v>2349940</v>
      </c>
      <c r="E327" s="342">
        <v>6089720</v>
      </c>
    </row>
    <row r="328" spans="1:5" x14ac:dyDescent="0.25">
      <c r="A328">
        <v>91775</v>
      </c>
      <c r="B328" s="343">
        <v>34.114600000000003</v>
      </c>
      <c r="C328" s="343">
        <v>-118.089</v>
      </c>
      <c r="D328" s="342">
        <v>2354130</v>
      </c>
      <c r="E328" s="342">
        <v>6004950</v>
      </c>
    </row>
    <row r="329" spans="1:5" x14ac:dyDescent="0.25">
      <c r="A329">
        <v>91776</v>
      </c>
      <c r="B329" s="343">
        <v>34.089700000000001</v>
      </c>
      <c r="C329" s="343">
        <v>-118.096</v>
      </c>
      <c r="D329" s="342">
        <v>2345110</v>
      </c>
      <c r="E329" s="342">
        <v>6002880</v>
      </c>
    </row>
    <row r="330" spans="1:5" x14ac:dyDescent="0.25">
      <c r="A330">
        <v>91780</v>
      </c>
      <c r="B330" s="343">
        <v>34.101700000000001</v>
      </c>
      <c r="C330" s="343">
        <v>-118.056</v>
      </c>
      <c r="D330" s="342">
        <v>2349240</v>
      </c>
      <c r="E330" s="342">
        <v>6015030</v>
      </c>
    </row>
    <row r="331" spans="1:5" x14ac:dyDescent="0.25">
      <c r="A331">
        <v>91784</v>
      </c>
      <c r="B331" s="343">
        <v>34.141100000000002</v>
      </c>
      <c r="C331" s="343">
        <v>-117.65900000000001</v>
      </c>
      <c r="D331" s="342">
        <v>2361720</v>
      </c>
      <c r="E331" s="342">
        <v>6135240</v>
      </c>
    </row>
    <row r="332" spans="1:5" x14ac:dyDescent="0.25">
      <c r="A332">
        <v>91786</v>
      </c>
      <c r="B332" s="343">
        <v>34.105200000000004</v>
      </c>
      <c r="C332" s="343">
        <v>-117.664</v>
      </c>
      <c r="D332" s="342">
        <v>2348690</v>
      </c>
      <c r="E332" s="342">
        <v>6133640</v>
      </c>
    </row>
    <row r="333" spans="1:5" x14ac:dyDescent="0.25">
      <c r="A333">
        <v>91789</v>
      </c>
      <c r="B333" s="343">
        <v>34.020800000000001</v>
      </c>
      <c r="C333" s="343">
        <v>-117.854</v>
      </c>
      <c r="D333" s="342">
        <v>2318810</v>
      </c>
      <c r="E333" s="342">
        <v>6075580</v>
      </c>
    </row>
    <row r="334" spans="1:5" x14ac:dyDescent="0.25">
      <c r="A334">
        <v>91790</v>
      </c>
      <c r="B334" s="343">
        <v>34.067300000000003</v>
      </c>
      <c r="C334" s="343">
        <v>-117.938</v>
      </c>
      <c r="D334" s="342">
        <v>2336130</v>
      </c>
      <c r="E334" s="342">
        <v>6050550</v>
      </c>
    </row>
    <row r="335" spans="1:5" x14ac:dyDescent="0.25">
      <c r="A335">
        <v>91791</v>
      </c>
      <c r="B335" s="343">
        <v>34.0608</v>
      </c>
      <c r="C335" s="343">
        <v>-117.89400000000001</v>
      </c>
      <c r="D335" s="342">
        <v>2333550</v>
      </c>
      <c r="E335" s="342">
        <v>6063680</v>
      </c>
    </row>
    <row r="336" spans="1:5" x14ac:dyDescent="0.25">
      <c r="A336">
        <v>91792</v>
      </c>
      <c r="B336" s="343">
        <v>34.025300000000001</v>
      </c>
      <c r="C336" s="343">
        <v>-117.9</v>
      </c>
      <c r="D336" s="342">
        <v>2320680</v>
      </c>
      <c r="E336" s="342">
        <v>6061720</v>
      </c>
    </row>
    <row r="337" spans="1:5" x14ac:dyDescent="0.25">
      <c r="A337">
        <v>91801</v>
      </c>
      <c r="B337" s="343">
        <v>34.090600000000002</v>
      </c>
      <c r="C337" s="343">
        <v>-118.128</v>
      </c>
      <c r="D337" s="342">
        <v>2345580</v>
      </c>
      <c r="E337" s="342">
        <v>5993000</v>
      </c>
    </row>
    <row r="338" spans="1:5" x14ac:dyDescent="0.25">
      <c r="A338">
        <v>91803</v>
      </c>
      <c r="B338" s="343">
        <v>34.0747</v>
      </c>
      <c r="C338" s="343">
        <v>-118.146</v>
      </c>
      <c r="D338" s="342">
        <v>2339900</v>
      </c>
      <c r="E338" s="342">
        <v>5987430</v>
      </c>
    </row>
    <row r="339" spans="1:5" x14ac:dyDescent="0.25">
      <c r="A339">
        <v>91901</v>
      </c>
      <c r="B339" s="343">
        <v>32.808</v>
      </c>
      <c r="C339" s="343">
        <v>-116.715</v>
      </c>
      <c r="D339" s="342">
        <v>1874070</v>
      </c>
      <c r="E339" s="342">
        <v>6418790</v>
      </c>
    </row>
    <row r="340" spans="1:5" x14ac:dyDescent="0.25">
      <c r="A340">
        <v>91902</v>
      </c>
      <c r="B340" s="343">
        <v>32.673999999999999</v>
      </c>
      <c r="C340" s="343">
        <v>-117.005</v>
      </c>
      <c r="D340" s="342">
        <v>1825850</v>
      </c>
      <c r="E340" s="342">
        <v>6329330</v>
      </c>
    </row>
    <row r="341" spans="1:5" x14ac:dyDescent="0.25">
      <c r="A341">
        <v>91905</v>
      </c>
      <c r="B341" s="343">
        <v>32.726599999999998</v>
      </c>
      <c r="C341" s="343">
        <v>-116.30200000000001</v>
      </c>
      <c r="D341" s="342">
        <v>1844120</v>
      </c>
      <c r="E341" s="342">
        <v>6545720</v>
      </c>
    </row>
    <row r="342" spans="1:5" x14ac:dyDescent="0.25">
      <c r="A342">
        <v>91906</v>
      </c>
      <c r="B342" s="343">
        <v>32.696100000000001</v>
      </c>
      <c r="C342" s="343">
        <v>-116.517</v>
      </c>
      <c r="D342" s="342">
        <v>1833150</v>
      </c>
      <c r="E342" s="342">
        <v>6479630</v>
      </c>
    </row>
    <row r="343" spans="1:5" x14ac:dyDescent="0.25">
      <c r="A343">
        <v>91910</v>
      </c>
      <c r="B343" s="343">
        <v>32.637900000000002</v>
      </c>
      <c r="C343" s="343">
        <v>-117.056</v>
      </c>
      <c r="D343" s="342">
        <v>1812850</v>
      </c>
      <c r="E343" s="342">
        <v>6313650</v>
      </c>
    </row>
    <row r="344" spans="1:5" x14ac:dyDescent="0.25">
      <c r="A344">
        <v>91911</v>
      </c>
      <c r="B344" s="343">
        <v>32.606999999999999</v>
      </c>
      <c r="C344" s="343">
        <v>-117.05</v>
      </c>
      <c r="D344" s="342">
        <v>1801570</v>
      </c>
      <c r="E344" s="342">
        <v>6315270</v>
      </c>
    </row>
    <row r="345" spans="1:5" x14ac:dyDescent="0.25">
      <c r="A345">
        <v>91913</v>
      </c>
      <c r="B345" s="343">
        <v>32.631399999999999</v>
      </c>
      <c r="C345" s="343">
        <v>-116.986</v>
      </c>
      <c r="D345" s="342">
        <v>1810320</v>
      </c>
      <c r="E345" s="342">
        <v>6334990</v>
      </c>
    </row>
    <row r="346" spans="1:5" x14ac:dyDescent="0.25">
      <c r="A346">
        <v>91914</v>
      </c>
      <c r="B346" s="343">
        <v>32.667700000000004</v>
      </c>
      <c r="C346" s="343">
        <v>-116.949</v>
      </c>
      <c r="D346" s="342">
        <v>1823440</v>
      </c>
      <c r="E346" s="342">
        <v>6346410</v>
      </c>
    </row>
    <row r="347" spans="1:5" x14ac:dyDescent="0.25">
      <c r="A347">
        <v>91915</v>
      </c>
      <c r="B347" s="343">
        <v>32.615699999999997</v>
      </c>
      <c r="C347" s="343">
        <v>-116.962</v>
      </c>
      <c r="D347" s="342">
        <v>1804550</v>
      </c>
      <c r="E347" s="342">
        <v>6342300</v>
      </c>
    </row>
    <row r="348" spans="1:5" x14ac:dyDescent="0.25">
      <c r="A348">
        <v>91916</v>
      </c>
      <c r="B348" s="343">
        <v>32.920999999999999</v>
      </c>
      <c r="C348" s="343">
        <v>-116.63500000000001</v>
      </c>
      <c r="D348" s="342">
        <v>1915100</v>
      </c>
      <c r="E348" s="342">
        <v>6443590</v>
      </c>
    </row>
    <row r="349" spans="1:5" x14ac:dyDescent="0.25">
      <c r="A349">
        <v>91917</v>
      </c>
      <c r="B349" s="343">
        <v>32.610399999999998</v>
      </c>
      <c r="C349" s="343">
        <v>-116.789</v>
      </c>
      <c r="D349" s="342">
        <v>1802280</v>
      </c>
      <c r="E349" s="342">
        <v>6395550</v>
      </c>
    </row>
    <row r="350" spans="1:5" x14ac:dyDescent="0.25">
      <c r="A350">
        <v>91932</v>
      </c>
      <c r="B350" s="343">
        <v>32.575699999999998</v>
      </c>
      <c r="C350" s="343">
        <v>-117.119</v>
      </c>
      <c r="D350" s="342">
        <v>1790360</v>
      </c>
      <c r="E350" s="342">
        <v>6293930</v>
      </c>
    </row>
    <row r="351" spans="1:5" x14ac:dyDescent="0.25">
      <c r="A351">
        <v>91934</v>
      </c>
      <c r="B351" s="343">
        <v>32.631799999999998</v>
      </c>
      <c r="C351" s="343">
        <v>-116.209</v>
      </c>
      <c r="D351" s="342">
        <v>1809660</v>
      </c>
      <c r="E351" s="342">
        <v>6574380</v>
      </c>
    </row>
    <row r="352" spans="1:5" x14ac:dyDescent="0.25">
      <c r="A352">
        <v>91935</v>
      </c>
      <c r="B352" s="343">
        <v>32.686100000000003</v>
      </c>
      <c r="C352" s="343">
        <v>-116.81699999999999</v>
      </c>
      <c r="D352" s="342">
        <v>1829880</v>
      </c>
      <c r="E352" s="342">
        <v>6387250</v>
      </c>
    </row>
    <row r="353" spans="1:5" x14ac:dyDescent="0.25">
      <c r="A353">
        <v>91941</v>
      </c>
      <c r="B353" s="343">
        <v>32.759900000000002</v>
      </c>
      <c r="C353" s="343">
        <v>-116.994</v>
      </c>
      <c r="D353" s="342">
        <v>1857090</v>
      </c>
      <c r="E353" s="342">
        <v>6332960</v>
      </c>
    </row>
    <row r="354" spans="1:5" x14ac:dyDescent="0.25">
      <c r="A354">
        <v>91942</v>
      </c>
      <c r="B354" s="343">
        <v>32.777700000000003</v>
      </c>
      <c r="C354" s="343">
        <v>-117.02200000000001</v>
      </c>
      <c r="D354" s="342">
        <v>1863610</v>
      </c>
      <c r="E354" s="342">
        <v>6324360</v>
      </c>
    </row>
    <row r="355" spans="1:5" x14ac:dyDescent="0.25">
      <c r="A355">
        <v>91945</v>
      </c>
      <c r="B355" s="343">
        <v>32.733199999999997</v>
      </c>
      <c r="C355" s="343">
        <v>-117.03400000000001</v>
      </c>
      <c r="D355" s="342">
        <v>1847470</v>
      </c>
      <c r="E355" s="342">
        <v>6320620</v>
      </c>
    </row>
    <row r="356" spans="1:5" x14ac:dyDescent="0.25">
      <c r="A356">
        <v>91950</v>
      </c>
      <c r="B356" s="343">
        <v>32.668300000000002</v>
      </c>
      <c r="C356" s="343">
        <v>-117.092</v>
      </c>
      <c r="D356" s="342">
        <v>1823970</v>
      </c>
      <c r="E356" s="342">
        <v>6302610</v>
      </c>
    </row>
    <row r="357" spans="1:5" x14ac:dyDescent="0.25">
      <c r="A357">
        <v>91962</v>
      </c>
      <c r="B357" s="343">
        <v>32.811199999999999</v>
      </c>
      <c r="C357" s="343">
        <v>-116.45399999999999</v>
      </c>
      <c r="D357" s="342">
        <v>1874980</v>
      </c>
      <c r="E357" s="342">
        <v>6499110</v>
      </c>
    </row>
    <row r="358" spans="1:5" x14ac:dyDescent="0.25">
      <c r="A358">
        <v>91963</v>
      </c>
      <c r="B358" s="343">
        <v>32.638500000000001</v>
      </c>
      <c r="C358" s="343">
        <v>-116.61499999999999</v>
      </c>
      <c r="D358" s="342">
        <v>1812290</v>
      </c>
      <c r="E358" s="342">
        <v>6449320</v>
      </c>
    </row>
    <row r="359" spans="1:5" x14ac:dyDescent="0.25">
      <c r="A359">
        <v>91977</v>
      </c>
      <c r="B359" s="343">
        <v>32.723500000000001</v>
      </c>
      <c r="C359" s="343">
        <v>-116.996</v>
      </c>
      <c r="D359" s="342">
        <v>1843860</v>
      </c>
      <c r="E359" s="342">
        <v>6332240</v>
      </c>
    </row>
    <row r="360" spans="1:5" x14ac:dyDescent="0.25">
      <c r="A360">
        <v>91978</v>
      </c>
      <c r="B360" s="343">
        <v>32.713000000000001</v>
      </c>
      <c r="C360" s="343">
        <v>-116.94199999999999</v>
      </c>
      <c r="D360" s="342">
        <v>1839900</v>
      </c>
      <c r="E360" s="342">
        <v>6348880</v>
      </c>
    </row>
    <row r="361" spans="1:5" x14ac:dyDescent="0.25">
      <c r="A361">
        <v>91980</v>
      </c>
      <c r="B361" s="343">
        <v>32.587000000000003</v>
      </c>
      <c r="C361" s="343">
        <v>-116.66200000000001</v>
      </c>
      <c r="D361" s="342">
        <v>1793600</v>
      </c>
      <c r="E361" s="342">
        <v>6434770</v>
      </c>
    </row>
    <row r="362" spans="1:5" x14ac:dyDescent="0.25">
      <c r="A362">
        <v>92003</v>
      </c>
      <c r="B362" s="343">
        <v>33.284700000000001</v>
      </c>
      <c r="C362" s="343">
        <v>-117.2</v>
      </c>
      <c r="D362" s="342">
        <v>2048550</v>
      </c>
      <c r="E362" s="342">
        <v>6271400</v>
      </c>
    </row>
    <row r="363" spans="1:5" x14ac:dyDescent="0.25">
      <c r="A363">
        <v>92004</v>
      </c>
      <c r="B363" s="343">
        <v>33.207700000000003</v>
      </c>
      <c r="C363" s="343">
        <v>-116.283</v>
      </c>
      <c r="D363" s="342">
        <v>2019130</v>
      </c>
      <c r="E363" s="342">
        <v>6551760</v>
      </c>
    </row>
    <row r="364" spans="1:5" x14ac:dyDescent="0.25">
      <c r="A364">
        <v>92007</v>
      </c>
      <c r="B364" s="343">
        <v>33.019300000000001</v>
      </c>
      <c r="C364" s="343">
        <v>-117.27</v>
      </c>
      <c r="D364" s="342">
        <v>1952160</v>
      </c>
      <c r="E364" s="342">
        <v>6249000</v>
      </c>
    </row>
    <row r="365" spans="1:5" x14ac:dyDescent="0.25">
      <c r="A365">
        <v>92008</v>
      </c>
      <c r="B365" s="343">
        <v>33.146599999999999</v>
      </c>
      <c r="C365" s="343">
        <v>-117.318</v>
      </c>
      <c r="D365" s="342">
        <v>1998660</v>
      </c>
      <c r="E365" s="342">
        <v>6234650</v>
      </c>
    </row>
    <row r="366" spans="1:5" x14ac:dyDescent="0.25">
      <c r="A366">
        <v>92009</v>
      </c>
      <c r="B366" s="343">
        <v>33.095500000000001</v>
      </c>
      <c r="C366" s="343">
        <v>-117.245</v>
      </c>
      <c r="D366" s="342">
        <v>1979810</v>
      </c>
      <c r="E366" s="342">
        <v>6256830</v>
      </c>
    </row>
    <row r="367" spans="1:5" x14ac:dyDescent="0.25">
      <c r="A367">
        <v>92010</v>
      </c>
      <c r="B367" s="343">
        <v>33.156599999999997</v>
      </c>
      <c r="C367" s="343">
        <v>-117.28400000000001</v>
      </c>
      <c r="D367" s="342">
        <v>2002190</v>
      </c>
      <c r="E367" s="342">
        <v>6245090</v>
      </c>
    </row>
    <row r="368" spans="1:5" x14ac:dyDescent="0.25">
      <c r="A368">
        <v>92011</v>
      </c>
      <c r="B368" s="343">
        <v>33.107199999999999</v>
      </c>
      <c r="C368" s="343">
        <v>-117.295</v>
      </c>
      <c r="D368" s="342">
        <v>1984220</v>
      </c>
      <c r="E368" s="342">
        <v>6241710</v>
      </c>
    </row>
    <row r="369" spans="1:5" x14ac:dyDescent="0.25">
      <c r="A369">
        <v>92014</v>
      </c>
      <c r="B369" s="343">
        <v>32.968600000000002</v>
      </c>
      <c r="C369" s="343">
        <v>-117.246</v>
      </c>
      <c r="D369" s="342">
        <v>1933650</v>
      </c>
      <c r="E369" s="342">
        <v>6256330</v>
      </c>
    </row>
    <row r="370" spans="1:5" x14ac:dyDescent="0.25">
      <c r="A370">
        <v>92019</v>
      </c>
      <c r="B370" s="343">
        <v>32.780500000000004</v>
      </c>
      <c r="C370" s="343">
        <v>-116.879</v>
      </c>
      <c r="D370" s="342">
        <v>1864340</v>
      </c>
      <c r="E370" s="342">
        <v>6368190</v>
      </c>
    </row>
    <row r="371" spans="1:5" x14ac:dyDescent="0.25">
      <c r="A371">
        <v>92020</v>
      </c>
      <c r="B371" s="343">
        <v>32.796500000000002</v>
      </c>
      <c r="C371" s="343">
        <v>-116.97</v>
      </c>
      <c r="D371" s="342">
        <v>1870340</v>
      </c>
      <c r="E371" s="342">
        <v>6340260</v>
      </c>
    </row>
    <row r="372" spans="1:5" x14ac:dyDescent="0.25">
      <c r="A372">
        <v>92021</v>
      </c>
      <c r="B372" s="343">
        <v>32.839199999999998</v>
      </c>
      <c r="C372" s="343">
        <v>-116.869</v>
      </c>
      <c r="D372" s="342">
        <v>1885700</v>
      </c>
      <c r="E372" s="342">
        <v>6371420</v>
      </c>
    </row>
    <row r="373" spans="1:5" x14ac:dyDescent="0.25">
      <c r="A373">
        <v>92024</v>
      </c>
      <c r="B373" s="343">
        <v>33.058500000000002</v>
      </c>
      <c r="C373" s="343">
        <v>-117.256</v>
      </c>
      <c r="D373" s="342">
        <v>1966410</v>
      </c>
      <c r="E373" s="342">
        <v>6253590</v>
      </c>
    </row>
    <row r="374" spans="1:5" x14ac:dyDescent="0.25">
      <c r="A374">
        <v>92025</v>
      </c>
      <c r="B374" s="343">
        <v>33.084499999999998</v>
      </c>
      <c r="C374" s="343">
        <v>-117.02800000000001</v>
      </c>
      <c r="D374" s="342">
        <v>1975260</v>
      </c>
      <c r="E374" s="342">
        <v>6323310</v>
      </c>
    </row>
    <row r="375" spans="1:5" x14ac:dyDescent="0.25">
      <c r="A375">
        <v>92026</v>
      </c>
      <c r="B375" s="343">
        <v>33.213700000000003</v>
      </c>
      <c r="C375" s="343">
        <v>-117.114</v>
      </c>
      <c r="D375" s="342">
        <v>2022480</v>
      </c>
      <c r="E375" s="342">
        <v>6297420</v>
      </c>
    </row>
    <row r="376" spans="1:5" x14ac:dyDescent="0.25">
      <c r="A376">
        <v>92027</v>
      </c>
      <c r="B376" s="343">
        <v>33.136299999999999</v>
      </c>
      <c r="C376" s="343">
        <v>-116.983</v>
      </c>
      <c r="D376" s="342">
        <v>1994010</v>
      </c>
      <c r="E376" s="342">
        <v>6337210</v>
      </c>
    </row>
    <row r="377" spans="1:5" x14ac:dyDescent="0.25">
      <c r="A377">
        <v>92028</v>
      </c>
      <c r="B377" s="343">
        <v>33.405099999999997</v>
      </c>
      <c r="C377" s="343">
        <v>-117.252</v>
      </c>
      <c r="D377" s="342">
        <v>2092510</v>
      </c>
      <c r="E377" s="342">
        <v>6255990</v>
      </c>
    </row>
    <row r="378" spans="1:5" x14ac:dyDescent="0.25">
      <c r="A378">
        <v>92029</v>
      </c>
      <c r="B378" s="343">
        <v>33.081099999999999</v>
      </c>
      <c r="C378" s="343">
        <v>-117.131</v>
      </c>
      <c r="D378" s="342">
        <v>1974260</v>
      </c>
      <c r="E378" s="342">
        <v>6291680</v>
      </c>
    </row>
    <row r="379" spans="1:5" x14ac:dyDescent="0.25">
      <c r="A379">
        <v>92036</v>
      </c>
      <c r="B379" s="343">
        <v>32.944400000000002</v>
      </c>
      <c r="C379" s="343">
        <v>-116.378</v>
      </c>
      <c r="D379" s="342">
        <v>1923390</v>
      </c>
      <c r="E379" s="342">
        <v>6522450</v>
      </c>
    </row>
    <row r="380" spans="1:5" x14ac:dyDescent="0.25">
      <c r="A380">
        <v>92037</v>
      </c>
      <c r="B380" s="343">
        <v>32.851999999999997</v>
      </c>
      <c r="C380" s="343">
        <v>-117.252</v>
      </c>
      <c r="D380" s="342">
        <v>1891270</v>
      </c>
      <c r="E380" s="342">
        <v>6254020</v>
      </c>
    </row>
    <row r="381" spans="1:5" x14ac:dyDescent="0.25">
      <c r="A381">
        <v>92040</v>
      </c>
      <c r="B381" s="343">
        <v>32.9131</v>
      </c>
      <c r="C381" s="343">
        <v>-116.883</v>
      </c>
      <c r="D381" s="342">
        <v>1912600</v>
      </c>
      <c r="E381" s="342">
        <v>6367510</v>
      </c>
    </row>
    <row r="382" spans="1:5" x14ac:dyDescent="0.25">
      <c r="A382">
        <v>92054</v>
      </c>
      <c r="B382" s="343">
        <v>33.193899999999999</v>
      </c>
      <c r="C382" s="343">
        <v>-117.35599999999999</v>
      </c>
      <c r="D382" s="342">
        <v>2015960</v>
      </c>
      <c r="E382" s="342">
        <v>6223390</v>
      </c>
    </row>
    <row r="383" spans="1:5" x14ac:dyDescent="0.25">
      <c r="A383">
        <v>92055</v>
      </c>
      <c r="B383" s="343">
        <v>33.376199999999997</v>
      </c>
      <c r="C383" s="343">
        <v>-117.414</v>
      </c>
      <c r="D383" s="342">
        <v>2082470</v>
      </c>
      <c r="E383" s="342">
        <v>6206470</v>
      </c>
    </row>
    <row r="384" spans="1:5" x14ac:dyDescent="0.25">
      <c r="A384">
        <v>92056</v>
      </c>
      <c r="B384" s="343">
        <v>33.201599999999999</v>
      </c>
      <c r="C384" s="343">
        <v>-117.289</v>
      </c>
      <c r="D384" s="342">
        <v>2018560</v>
      </c>
      <c r="E384" s="342">
        <v>6243750</v>
      </c>
    </row>
    <row r="385" spans="1:5" x14ac:dyDescent="0.25">
      <c r="A385">
        <v>92057</v>
      </c>
      <c r="B385" s="343">
        <v>33.252400000000002</v>
      </c>
      <c r="C385" s="343">
        <v>-117.29</v>
      </c>
      <c r="D385" s="342">
        <v>2037040</v>
      </c>
      <c r="E385" s="342">
        <v>6243630</v>
      </c>
    </row>
    <row r="386" spans="1:5" x14ac:dyDescent="0.25">
      <c r="A386">
        <v>92058</v>
      </c>
      <c r="B386" s="343">
        <v>33.267099999999999</v>
      </c>
      <c r="C386" s="343">
        <v>-117.355</v>
      </c>
      <c r="D386" s="342">
        <v>2042580</v>
      </c>
      <c r="E386" s="342">
        <v>6223930</v>
      </c>
    </row>
    <row r="387" spans="1:5" x14ac:dyDescent="0.25">
      <c r="A387">
        <v>92059</v>
      </c>
      <c r="B387" s="343">
        <v>33.384099999999997</v>
      </c>
      <c r="C387" s="343">
        <v>-116.971</v>
      </c>
      <c r="D387" s="342">
        <v>2084150</v>
      </c>
      <c r="E387" s="342">
        <v>6341600</v>
      </c>
    </row>
    <row r="388" spans="1:5" x14ac:dyDescent="0.25">
      <c r="A388">
        <v>92061</v>
      </c>
      <c r="B388" s="343">
        <v>33.305900000000001</v>
      </c>
      <c r="C388" s="343">
        <v>-116.928</v>
      </c>
      <c r="D388" s="342">
        <v>2055610</v>
      </c>
      <c r="E388" s="342">
        <v>6354430</v>
      </c>
    </row>
    <row r="389" spans="1:5" x14ac:dyDescent="0.25">
      <c r="A389">
        <v>92064</v>
      </c>
      <c r="B389" s="343">
        <v>32.984999999999999</v>
      </c>
      <c r="C389" s="343">
        <v>-117.021</v>
      </c>
      <c r="D389" s="342">
        <v>1939040</v>
      </c>
      <c r="E389" s="342">
        <v>6325350</v>
      </c>
    </row>
    <row r="390" spans="1:5" x14ac:dyDescent="0.25">
      <c r="A390">
        <v>92065</v>
      </c>
      <c r="B390" s="343">
        <v>33.042700000000004</v>
      </c>
      <c r="C390" s="343">
        <v>-116.848</v>
      </c>
      <c r="D390" s="342">
        <v>1959680</v>
      </c>
      <c r="E390" s="342">
        <v>6378530</v>
      </c>
    </row>
    <row r="391" spans="1:5" x14ac:dyDescent="0.25">
      <c r="A391">
        <v>92066</v>
      </c>
      <c r="B391" s="343">
        <v>33.265799999999999</v>
      </c>
      <c r="C391" s="343">
        <v>-116.551</v>
      </c>
      <c r="D391" s="342">
        <v>2040470</v>
      </c>
      <c r="E391" s="342">
        <v>6469740</v>
      </c>
    </row>
    <row r="392" spans="1:5" x14ac:dyDescent="0.25">
      <c r="A392">
        <v>92067</v>
      </c>
      <c r="B392" s="343">
        <v>33.017299999999999</v>
      </c>
      <c r="C392" s="343">
        <v>-117.197</v>
      </c>
      <c r="D392" s="342">
        <v>1951220</v>
      </c>
      <c r="E392" s="342">
        <v>6271400</v>
      </c>
    </row>
    <row r="393" spans="1:5" x14ac:dyDescent="0.25">
      <c r="A393">
        <v>92069</v>
      </c>
      <c r="B393" s="343">
        <v>33.175400000000003</v>
      </c>
      <c r="C393" s="343">
        <v>-117.158</v>
      </c>
      <c r="D393" s="342">
        <v>2008640</v>
      </c>
      <c r="E393" s="342">
        <v>6283870</v>
      </c>
    </row>
    <row r="394" spans="1:5" x14ac:dyDescent="0.25">
      <c r="A394">
        <v>92070</v>
      </c>
      <c r="B394" s="343">
        <v>33.189399999999999</v>
      </c>
      <c r="C394" s="343">
        <v>-116.756</v>
      </c>
      <c r="D394" s="342">
        <v>2012900</v>
      </c>
      <c r="E394" s="342">
        <v>6406990</v>
      </c>
    </row>
    <row r="395" spans="1:5" x14ac:dyDescent="0.25">
      <c r="A395">
        <v>92071</v>
      </c>
      <c r="B395" s="343">
        <v>32.865600000000001</v>
      </c>
      <c r="C395" s="343">
        <v>-117.014</v>
      </c>
      <c r="D395" s="342">
        <v>1895600</v>
      </c>
      <c r="E395" s="342">
        <v>6327040</v>
      </c>
    </row>
    <row r="396" spans="1:5" x14ac:dyDescent="0.25">
      <c r="A396">
        <v>92075</v>
      </c>
      <c r="B396" s="343">
        <v>32.994900000000001</v>
      </c>
      <c r="C396" s="343">
        <v>-117.258</v>
      </c>
      <c r="D396" s="342">
        <v>1943280</v>
      </c>
      <c r="E396" s="342">
        <v>6252590</v>
      </c>
    </row>
    <row r="397" spans="1:5" x14ac:dyDescent="0.25">
      <c r="A397">
        <v>92078</v>
      </c>
      <c r="B397" s="343">
        <v>33.118600000000001</v>
      </c>
      <c r="C397" s="343">
        <v>-117.185</v>
      </c>
      <c r="D397" s="342">
        <v>1988050</v>
      </c>
      <c r="E397" s="342">
        <v>6275270</v>
      </c>
    </row>
    <row r="398" spans="1:5" x14ac:dyDescent="0.25">
      <c r="A398">
        <v>92081</v>
      </c>
      <c r="B398" s="343">
        <v>33.164999999999999</v>
      </c>
      <c r="C398" s="343">
        <v>-117.241</v>
      </c>
      <c r="D398" s="342">
        <v>2005090</v>
      </c>
      <c r="E398" s="342">
        <v>6258440</v>
      </c>
    </row>
    <row r="399" spans="1:5" x14ac:dyDescent="0.25">
      <c r="A399">
        <v>92082</v>
      </c>
      <c r="B399" s="343">
        <v>33.253100000000003</v>
      </c>
      <c r="C399" s="343">
        <v>-116.995</v>
      </c>
      <c r="D399" s="342">
        <v>2036530</v>
      </c>
      <c r="E399" s="342">
        <v>6333920</v>
      </c>
    </row>
    <row r="400" spans="1:5" x14ac:dyDescent="0.25">
      <c r="A400">
        <v>92083</v>
      </c>
      <c r="B400" s="343">
        <v>33.198</v>
      </c>
      <c r="C400" s="343">
        <v>-117.248</v>
      </c>
      <c r="D400" s="342">
        <v>2017120</v>
      </c>
      <c r="E400" s="342">
        <v>6256330</v>
      </c>
    </row>
    <row r="401" spans="1:5" x14ac:dyDescent="0.25">
      <c r="A401">
        <v>92084</v>
      </c>
      <c r="B401" s="343">
        <v>33.222299999999997</v>
      </c>
      <c r="C401" s="343">
        <v>-117.205</v>
      </c>
      <c r="D401" s="342">
        <v>2025840</v>
      </c>
      <c r="E401" s="342">
        <v>6269520</v>
      </c>
    </row>
    <row r="402" spans="1:5" x14ac:dyDescent="0.25">
      <c r="A402">
        <v>92086</v>
      </c>
      <c r="B402" s="343">
        <v>33.3048</v>
      </c>
      <c r="C402" s="343">
        <v>-116.679</v>
      </c>
      <c r="D402" s="342">
        <v>2054780</v>
      </c>
      <c r="E402" s="342">
        <v>6430590</v>
      </c>
    </row>
    <row r="403" spans="1:5" x14ac:dyDescent="0.25">
      <c r="A403">
        <v>92091</v>
      </c>
      <c r="B403" s="343">
        <v>33.020400000000002</v>
      </c>
      <c r="C403" s="343">
        <v>-117.205</v>
      </c>
      <c r="D403" s="342">
        <v>1952380</v>
      </c>
      <c r="E403" s="342">
        <v>6268890</v>
      </c>
    </row>
    <row r="404" spans="1:5" x14ac:dyDescent="0.25">
      <c r="A404">
        <v>92093</v>
      </c>
      <c r="B404" s="343">
        <v>32.881300000000003</v>
      </c>
      <c r="C404" s="343">
        <v>-117.23399999999999</v>
      </c>
      <c r="D404" s="342">
        <v>1901870</v>
      </c>
      <c r="E404" s="342">
        <v>6259600</v>
      </c>
    </row>
    <row r="405" spans="1:5" x14ac:dyDescent="0.25">
      <c r="A405">
        <v>92096</v>
      </c>
      <c r="B405" s="343">
        <v>33.128999999999998</v>
      </c>
      <c r="C405" s="343">
        <v>-117.15900000000001</v>
      </c>
      <c r="D405" s="342">
        <v>1991770</v>
      </c>
      <c r="E405" s="342">
        <v>6283250</v>
      </c>
    </row>
    <row r="406" spans="1:5" x14ac:dyDescent="0.25">
      <c r="A406">
        <v>92101</v>
      </c>
      <c r="B406" s="343">
        <v>32.722999999999999</v>
      </c>
      <c r="C406" s="343">
        <v>-117.17</v>
      </c>
      <c r="D406" s="342">
        <v>1844080</v>
      </c>
      <c r="E406" s="342">
        <v>6278770</v>
      </c>
    </row>
    <row r="407" spans="1:5" x14ac:dyDescent="0.25">
      <c r="A407">
        <v>92102</v>
      </c>
      <c r="B407" s="343">
        <v>32.717199999999998</v>
      </c>
      <c r="C407" s="343">
        <v>-117.11799999999999</v>
      </c>
      <c r="D407" s="342">
        <v>1841840</v>
      </c>
      <c r="E407" s="342">
        <v>6294540</v>
      </c>
    </row>
    <row r="408" spans="1:5" x14ac:dyDescent="0.25">
      <c r="A408">
        <v>92103</v>
      </c>
      <c r="B408" s="343">
        <v>32.747300000000003</v>
      </c>
      <c r="C408" s="343">
        <v>-117.167</v>
      </c>
      <c r="D408" s="342">
        <v>1852940</v>
      </c>
      <c r="E408" s="342">
        <v>6279750</v>
      </c>
    </row>
    <row r="409" spans="1:5" x14ac:dyDescent="0.25">
      <c r="A409">
        <v>92104</v>
      </c>
      <c r="B409" s="343">
        <v>32.742800000000003</v>
      </c>
      <c r="C409" s="343">
        <v>-117.127</v>
      </c>
      <c r="D409" s="342">
        <v>1851190</v>
      </c>
      <c r="E409" s="342">
        <v>6292080</v>
      </c>
    </row>
    <row r="410" spans="1:5" x14ac:dyDescent="0.25">
      <c r="A410">
        <v>92105</v>
      </c>
      <c r="B410" s="343">
        <v>32.7376</v>
      </c>
      <c r="C410" s="343">
        <v>-117.093</v>
      </c>
      <c r="D410" s="342">
        <v>1849200</v>
      </c>
      <c r="E410" s="342">
        <v>6302590</v>
      </c>
    </row>
    <row r="411" spans="1:5" x14ac:dyDescent="0.25">
      <c r="A411">
        <v>92106</v>
      </c>
      <c r="B411" s="343">
        <v>32.718600000000002</v>
      </c>
      <c r="C411" s="343">
        <v>-117.23399999999999</v>
      </c>
      <c r="D411" s="342">
        <v>1842660</v>
      </c>
      <c r="E411" s="342">
        <v>6259060</v>
      </c>
    </row>
    <row r="412" spans="1:5" x14ac:dyDescent="0.25">
      <c r="A412">
        <v>92107</v>
      </c>
      <c r="B412" s="343">
        <v>32.741599999999998</v>
      </c>
      <c r="C412" s="343">
        <v>-117.24299999999999</v>
      </c>
      <c r="D412" s="342">
        <v>1851070</v>
      </c>
      <c r="E412" s="342">
        <v>6256200</v>
      </c>
    </row>
    <row r="413" spans="1:5" x14ac:dyDescent="0.25">
      <c r="A413">
        <v>92108</v>
      </c>
      <c r="B413" s="343">
        <v>32.773699999999998</v>
      </c>
      <c r="C413" s="343">
        <v>-117.14400000000001</v>
      </c>
      <c r="D413" s="342">
        <v>1862470</v>
      </c>
      <c r="E413" s="342">
        <v>6286860</v>
      </c>
    </row>
    <row r="414" spans="1:5" x14ac:dyDescent="0.25">
      <c r="A414">
        <v>92109</v>
      </c>
      <c r="B414" s="343">
        <v>32.791699999999999</v>
      </c>
      <c r="C414" s="343">
        <v>-117.23399999999999</v>
      </c>
      <c r="D414" s="342">
        <v>1869260</v>
      </c>
      <c r="E414" s="342">
        <v>6259400</v>
      </c>
    </row>
    <row r="415" spans="1:5" x14ac:dyDescent="0.25">
      <c r="A415">
        <v>92110</v>
      </c>
      <c r="B415" s="343">
        <v>32.7639</v>
      </c>
      <c r="C415" s="343">
        <v>-117.20099999999999</v>
      </c>
      <c r="D415" s="342">
        <v>1859050</v>
      </c>
      <c r="E415" s="342">
        <v>6269400</v>
      </c>
    </row>
    <row r="416" spans="1:5" x14ac:dyDescent="0.25">
      <c r="A416">
        <v>92111</v>
      </c>
      <c r="B416" s="343">
        <v>32.812600000000003</v>
      </c>
      <c r="C416" s="343">
        <v>-117.167</v>
      </c>
      <c r="D416" s="342">
        <v>1876680</v>
      </c>
      <c r="E416" s="342">
        <v>6279830</v>
      </c>
    </row>
    <row r="417" spans="1:5" x14ac:dyDescent="0.25">
      <c r="A417">
        <v>92113</v>
      </c>
      <c r="B417" s="343">
        <v>32.696899999999999</v>
      </c>
      <c r="C417" s="343">
        <v>-117.11799999999999</v>
      </c>
      <c r="D417" s="342">
        <v>1834470</v>
      </c>
      <c r="E417" s="342">
        <v>6294590</v>
      </c>
    </row>
    <row r="418" spans="1:5" x14ac:dyDescent="0.25">
      <c r="A418">
        <v>92114</v>
      </c>
      <c r="B418" s="343">
        <v>32.707799999999999</v>
      </c>
      <c r="C418" s="343">
        <v>-117.05500000000001</v>
      </c>
      <c r="D418" s="342">
        <v>1838250</v>
      </c>
      <c r="E418" s="342">
        <v>6314020</v>
      </c>
    </row>
    <row r="419" spans="1:5" x14ac:dyDescent="0.25">
      <c r="A419">
        <v>92115</v>
      </c>
      <c r="B419" s="343">
        <v>32.761200000000002</v>
      </c>
      <c r="C419" s="343">
        <v>-117.072</v>
      </c>
      <c r="D419" s="342">
        <v>1857720</v>
      </c>
      <c r="E419" s="342">
        <v>6309080</v>
      </c>
    </row>
    <row r="420" spans="1:5" x14ac:dyDescent="0.25">
      <c r="A420">
        <v>92116</v>
      </c>
      <c r="B420" s="343">
        <v>32.764899999999997</v>
      </c>
      <c r="C420" s="343">
        <v>-117.123</v>
      </c>
      <c r="D420" s="342">
        <v>1859210</v>
      </c>
      <c r="E420" s="342">
        <v>6293300</v>
      </c>
    </row>
    <row r="421" spans="1:5" x14ac:dyDescent="0.25">
      <c r="A421">
        <v>92117</v>
      </c>
      <c r="B421" s="343">
        <v>32.824800000000003</v>
      </c>
      <c r="C421" s="343">
        <v>-117.2</v>
      </c>
      <c r="D421" s="342">
        <v>1881200</v>
      </c>
      <c r="E421" s="342">
        <v>6269850</v>
      </c>
    </row>
    <row r="422" spans="1:5" x14ac:dyDescent="0.25">
      <c r="A422">
        <v>92118</v>
      </c>
      <c r="B422" s="343">
        <v>32.674300000000002</v>
      </c>
      <c r="C422" s="343">
        <v>-117.16800000000001</v>
      </c>
      <c r="D422" s="342">
        <v>1826350</v>
      </c>
      <c r="E422" s="342">
        <v>6279120</v>
      </c>
    </row>
    <row r="423" spans="1:5" x14ac:dyDescent="0.25">
      <c r="A423">
        <v>92119</v>
      </c>
      <c r="B423" s="343">
        <v>32.807000000000002</v>
      </c>
      <c r="C423" s="343">
        <v>-117.03100000000001</v>
      </c>
      <c r="D423" s="342">
        <v>1874300</v>
      </c>
      <c r="E423" s="342">
        <v>6321800</v>
      </c>
    </row>
    <row r="424" spans="1:5" x14ac:dyDescent="0.25">
      <c r="A424">
        <v>92120</v>
      </c>
      <c r="B424" s="343">
        <v>32.794499999999999</v>
      </c>
      <c r="C424" s="343">
        <v>-117.07299999999999</v>
      </c>
      <c r="D424" s="342">
        <v>1869860</v>
      </c>
      <c r="E424" s="342">
        <v>6308830</v>
      </c>
    </row>
    <row r="425" spans="1:5" x14ac:dyDescent="0.25">
      <c r="A425">
        <v>92121</v>
      </c>
      <c r="B425" s="343">
        <v>32.898200000000003</v>
      </c>
      <c r="C425" s="343">
        <v>-117.202</v>
      </c>
      <c r="D425" s="342">
        <v>1907910</v>
      </c>
      <c r="E425" s="342">
        <v>6269540</v>
      </c>
    </row>
    <row r="426" spans="1:5" x14ac:dyDescent="0.25">
      <c r="A426">
        <v>92122</v>
      </c>
      <c r="B426" s="343">
        <v>32.857599999999998</v>
      </c>
      <c r="C426" s="343">
        <v>-117.206</v>
      </c>
      <c r="D426" s="342">
        <v>1893170</v>
      </c>
      <c r="E426" s="342">
        <v>6267940</v>
      </c>
    </row>
    <row r="427" spans="1:5" x14ac:dyDescent="0.25">
      <c r="A427">
        <v>92123</v>
      </c>
      <c r="B427" s="343">
        <v>32.807400000000001</v>
      </c>
      <c r="C427" s="343">
        <v>-117.13500000000001</v>
      </c>
      <c r="D427" s="342">
        <v>1874700</v>
      </c>
      <c r="E427" s="342">
        <v>6289760</v>
      </c>
    </row>
    <row r="428" spans="1:5" x14ac:dyDescent="0.25">
      <c r="A428">
        <v>92124</v>
      </c>
      <c r="B428" s="343">
        <v>32.823799999999999</v>
      </c>
      <c r="C428" s="343">
        <v>-117.09399999999999</v>
      </c>
      <c r="D428" s="342">
        <v>1880570</v>
      </c>
      <c r="E428" s="342">
        <v>6302260</v>
      </c>
    </row>
    <row r="429" spans="1:5" x14ac:dyDescent="0.25">
      <c r="A429">
        <v>92126</v>
      </c>
      <c r="B429" s="343">
        <v>32.912700000000001</v>
      </c>
      <c r="C429" s="343">
        <v>-117.143</v>
      </c>
      <c r="D429" s="342">
        <v>1913050</v>
      </c>
      <c r="E429" s="342">
        <v>6287520</v>
      </c>
    </row>
    <row r="430" spans="1:5" x14ac:dyDescent="0.25">
      <c r="A430">
        <v>92127</v>
      </c>
      <c r="B430" s="343">
        <v>33.0199</v>
      </c>
      <c r="C430" s="343">
        <v>-117.124</v>
      </c>
      <c r="D430" s="342">
        <v>1951970</v>
      </c>
      <c r="E430" s="342">
        <v>6293830</v>
      </c>
    </row>
    <row r="431" spans="1:5" x14ac:dyDescent="0.25">
      <c r="A431">
        <v>92128</v>
      </c>
      <c r="B431" s="343">
        <v>32.997199999999999</v>
      </c>
      <c r="C431" s="343">
        <v>-117.07299999999999</v>
      </c>
      <c r="D431" s="342">
        <v>1943580</v>
      </c>
      <c r="E431" s="342">
        <v>6309440</v>
      </c>
    </row>
    <row r="432" spans="1:5" x14ac:dyDescent="0.25">
      <c r="A432">
        <v>92129</v>
      </c>
      <c r="B432" s="343">
        <v>32.964599999999997</v>
      </c>
      <c r="C432" s="343">
        <v>-117.125</v>
      </c>
      <c r="D432" s="342">
        <v>1931860</v>
      </c>
      <c r="E432" s="342">
        <v>6293150</v>
      </c>
    </row>
    <row r="433" spans="1:5" x14ac:dyDescent="0.25">
      <c r="A433">
        <v>92130</v>
      </c>
      <c r="B433" s="343">
        <v>32.948999999999998</v>
      </c>
      <c r="C433" s="343">
        <v>-117.205</v>
      </c>
      <c r="D433" s="342">
        <v>1926420</v>
      </c>
      <c r="E433" s="342">
        <v>6268630</v>
      </c>
    </row>
    <row r="434" spans="1:5" x14ac:dyDescent="0.25">
      <c r="A434">
        <v>92131</v>
      </c>
      <c r="B434" s="343">
        <v>32.9193</v>
      </c>
      <c r="C434" s="343">
        <v>-117.069</v>
      </c>
      <c r="D434" s="342">
        <v>1915270</v>
      </c>
      <c r="E434" s="342">
        <v>6310350</v>
      </c>
    </row>
    <row r="435" spans="1:5" x14ac:dyDescent="0.25">
      <c r="A435">
        <v>92132</v>
      </c>
      <c r="D435" s="342">
        <v>1842732</v>
      </c>
      <c r="E435" s="342">
        <v>6278505</v>
      </c>
    </row>
    <row r="436" spans="1:5" x14ac:dyDescent="0.25">
      <c r="A436">
        <v>92134</v>
      </c>
      <c r="B436" s="343">
        <v>32.725999999999999</v>
      </c>
      <c r="C436" s="343">
        <v>-117.146</v>
      </c>
      <c r="D436" s="342">
        <v>1845130</v>
      </c>
      <c r="E436" s="342">
        <v>6286040</v>
      </c>
    </row>
    <row r="437" spans="1:5" x14ac:dyDescent="0.25">
      <c r="A437">
        <v>92135</v>
      </c>
      <c r="B437" s="343">
        <v>32.6997</v>
      </c>
      <c r="C437" s="343">
        <v>-117.209</v>
      </c>
      <c r="D437" s="342">
        <v>1835720</v>
      </c>
      <c r="E437" s="342">
        <v>6266670</v>
      </c>
    </row>
    <row r="438" spans="1:5" x14ac:dyDescent="0.25">
      <c r="A438">
        <v>92136</v>
      </c>
      <c r="B438" s="343">
        <v>32.680199999999999</v>
      </c>
      <c r="C438" s="343">
        <v>-117.12</v>
      </c>
      <c r="D438" s="342">
        <v>1828370</v>
      </c>
      <c r="E438" s="342">
        <v>6293940</v>
      </c>
    </row>
    <row r="439" spans="1:5" x14ac:dyDescent="0.25">
      <c r="A439">
        <v>92139</v>
      </c>
      <c r="B439" s="343">
        <v>32.679900000000004</v>
      </c>
      <c r="C439" s="343">
        <v>-117.04900000000001</v>
      </c>
      <c r="D439" s="342">
        <v>1828110</v>
      </c>
      <c r="E439" s="342">
        <v>6315850</v>
      </c>
    </row>
    <row r="440" spans="1:5" x14ac:dyDescent="0.25">
      <c r="A440">
        <v>92140</v>
      </c>
      <c r="B440" s="343">
        <v>32.740400000000001</v>
      </c>
      <c r="C440" s="343">
        <v>-117.197</v>
      </c>
      <c r="D440" s="342">
        <v>1850480</v>
      </c>
      <c r="E440" s="342">
        <v>6270510</v>
      </c>
    </row>
    <row r="441" spans="1:5" x14ac:dyDescent="0.25">
      <c r="A441">
        <v>92145</v>
      </c>
      <c r="B441" s="343">
        <v>32.868099999999998</v>
      </c>
      <c r="C441" s="343">
        <v>-117.111</v>
      </c>
      <c r="D441" s="342">
        <v>1896720</v>
      </c>
      <c r="E441" s="342">
        <v>6297440</v>
      </c>
    </row>
    <row r="442" spans="1:5" x14ac:dyDescent="0.25">
      <c r="A442">
        <v>92147</v>
      </c>
      <c r="D442" s="342">
        <v>1844566</v>
      </c>
      <c r="E442" s="342">
        <v>6263742</v>
      </c>
    </row>
    <row r="443" spans="1:5" x14ac:dyDescent="0.25">
      <c r="A443">
        <v>92152</v>
      </c>
      <c r="B443" s="343">
        <v>32.692900000000002</v>
      </c>
      <c r="C443" s="343">
        <v>-117.246</v>
      </c>
      <c r="D443" s="342">
        <v>1833340</v>
      </c>
      <c r="E443" s="342">
        <v>6255150</v>
      </c>
    </row>
    <row r="444" spans="1:5" x14ac:dyDescent="0.25">
      <c r="A444">
        <v>92154</v>
      </c>
      <c r="B444" s="343">
        <v>32.567500000000003</v>
      </c>
      <c r="C444" s="343">
        <v>-117</v>
      </c>
      <c r="D444" s="342">
        <v>1787080</v>
      </c>
      <c r="E444" s="342">
        <v>6330680</v>
      </c>
    </row>
    <row r="445" spans="1:5" x14ac:dyDescent="0.25">
      <c r="A445">
        <v>92155</v>
      </c>
      <c r="B445" s="343">
        <v>32.6753</v>
      </c>
      <c r="C445" s="343">
        <v>-117.161</v>
      </c>
      <c r="D445" s="342">
        <v>1826710</v>
      </c>
      <c r="E445" s="342">
        <v>6281240</v>
      </c>
    </row>
    <row r="446" spans="1:5" x14ac:dyDescent="0.25">
      <c r="A446">
        <v>92161</v>
      </c>
      <c r="D446" s="342">
        <v>1899477</v>
      </c>
      <c r="E446" s="342">
        <v>6258957</v>
      </c>
    </row>
    <row r="447" spans="1:5" x14ac:dyDescent="0.25">
      <c r="A447">
        <v>92173</v>
      </c>
      <c r="B447" s="343">
        <v>32.5548</v>
      </c>
      <c r="C447" s="343">
        <v>-117.05</v>
      </c>
      <c r="D447" s="342">
        <v>1782600</v>
      </c>
      <c r="E447" s="342">
        <v>6315070</v>
      </c>
    </row>
    <row r="448" spans="1:5" x14ac:dyDescent="0.25">
      <c r="A448">
        <v>92179</v>
      </c>
      <c r="D448" s="342">
        <v>1789485</v>
      </c>
      <c r="E448" s="342">
        <v>6349974</v>
      </c>
    </row>
    <row r="449" spans="1:5" x14ac:dyDescent="0.25">
      <c r="A449">
        <v>92182</v>
      </c>
      <c r="B449" s="343">
        <v>32.775799999999997</v>
      </c>
      <c r="C449" s="343">
        <v>-117.07299999999999</v>
      </c>
      <c r="D449" s="342">
        <v>1863050</v>
      </c>
      <c r="E449" s="342">
        <v>6308570</v>
      </c>
    </row>
    <row r="450" spans="1:5" x14ac:dyDescent="0.25">
      <c r="A450">
        <v>92201</v>
      </c>
      <c r="B450" s="343">
        <v>33.706699999999998</v>
      </c>
      <c r="C450" s="343">
        <v>-116.235</v>
      </c>
      <c r="D450" s="342">
        <v>2200770</v>
      </c>
      <c r="E450" s="342">
        <v>6566300</v>
      </c>
    </row>
    <row r="451" spans="1:5" x14ac:dyDescent="0.25">
      <c r="A451">
        <v>92203</v>
      </c>
      <c r="B451" s="343">
        <v>33.751899999999999</v>
      </c>
      <c r="C451" s="343">
        <v>-116.241</v>
      </c>
      <c r="D451" s="342">
        <v>2217200</v>
      </c>
      <c r="E451" s="342">
        <v>6564270</v>
      </c>
    </row>
    <row r="452" spans="1:5" x14ac:dyDescent="0.25">
      <c r="A452">
        <v>92210</v>
      </c>
      <c r="B452" s="343">
        <v>33.703800000000001</v>
      </c>
      <c r="C452" s="343">
        <v>-116.34</v>
      </c>
      <c r="D452" s="342">
        <v>2199710</v>
      </c>
      <c r="E452" s="342">
        <v>6534300</v>
      </c>
    </row>
    <row r="453" spans="1:5" x14ac:dyDescent="0.25">
      <c r="A453">
        <v>92211</v>
      </c>
      <c r="B453" s="343">
        <v>33.767499999999998</v>
      </c>
      <c r="C453" s="343">
        <v>-116.333</v>
      </c>
      <c r="D453" s="342">
        <v>2222900</v>
      </c>
      <c r="E453" s="342">
        <v>6536520</v>
      </c>
    </row>
    <row r="454" spans="1:5" x14ac:dyDescent="0.25">
      <c r="A454">
        <v>92220</v>
      </c>
      <c r="B454" s="343">
        <v>33.941600000000001</v>
      </c>
      <c r="C454" s="343">
        <v>-116.852</v>
      </c>
      <c r="D454" s="342">
        <v>2286780</v>
      </c>
      <c r="E454" s="342">
        <v>6379200</v>
      </c>
    </row>
    <row r="455" spans="1:5" x14ac:dyDescent="0.25">
      <c r="A455">
        <v>92223</v>
      </c>
      <c r="B455" s="343">
        <v>33.926099999999998</v>
      </c>
      <c r="C455" s="343">
        <v>-116.982</v>
      </c>
      <c r="D455" s="342">
        <v>2281370</v>
      </c>
      <c r="E455" s="342">
        <v>6339670</v>
      </c>
    </row>
    <row r="456" spans="1:5" x14ac:dyDescent="0.25">
      <c r="A456">
        <v>92225</v>
      </c>
      <c r="B456" s="343">
        <v>33.696100000000001</v>
      </c>
      <c r="C456" s="343">
        <v>-114.63</v>
      </c>
      <c r="D456" s="342">
        <v>2200660</v>
      </c>
      <c r="E456" s="342">
        <v>7054450</v>
      </c>
    </row>
    <row r="457" spans="1:5" x14ac:dyDescent="0.25">
      <c r="A457">
        <v>92227</v>
      </c>
      <c r="B457" s="343">
        <v>33.007399999999997</v>
      </c>
      <c r="C457" s="343">
        <v>-115.432</v>
      </c>
      <c r="D457" s="342">
        <v>1947340</v>
      </c>
      <c r="E457" s="342">
        <v>6812570</v>
      </c>
    </row>
    <row r="458" spans="1:5" x14ac:dyDescent="0.25">
      <c r="A458">
        <v>92230</v>
      </c>
      <c r="B458" s="343">
        <v>33.910299999999999</v>
      </c>
      <c r="C458" s="343">
        <v>-116.77800000000001</v>
      </c>
      <c r="D458" s="342">
        <v>2275270</v>
      </c>
      <c r="E458" s="342">
        <v>6401360</v>
      </c>
    </row>
    <row r="459" spans="1:5" x14ac:dyDescent="0.25">
      <c r="A459">
        <v>92231</v>
      </c>
      <c r="B459" s="343">
        <v>32.684800000000003</v>
      </c>
      <c r="C459" s="343">
        <v>-115.547</v>
      </c>
      <c r="D459" s="342">
        <v>1829680</v>
      </c>
      <c r="E459" s="342">
        <v>6778130</v>
      </c>
    </row>
    <row r="460" spans="1:5" x14ac:dyDescent="0.25">
      <c r="A460">
        <v>92233</v>
      </c>
      <c r="B460" s="343">
        <v>33.1843</v>
      </c>
      <c r="C460" s="343">
        <v>-115.548</v>
      </c>
      <c r="D460" s="342">
        <v>2011390</v>
      </c>
      <c r="E460" s="342">
        <v>6776370</v>
      </c>
    </row>
    <row r="461" spans="1:5" x14ac:dyDescent="0.25">
      <c r="A461">
        <v>92234</v>
      </c>
      <c r="B461" s="343">
        <v>33.817399999999999</v>
      </c>
      <c r="C461" s="343">
        <v>-116.467</v>
      </c>
      <c r="D461" s="342">
        <v>2241110</v>
      </c>
      <c r="E461" s="342">
        <v>6495710</v>
      </c>
    </row>
    <row r="462" spans="1:5" x14ac:dyDescent="0.25">
      <c r="A462">
        <v>92236</v>
      </c>
      <c r="B462" s="343">
        <v>33.689100000000003</v>
      </c>
      <c r="C462" s="343">
        <v>-116.169</v>
      </c>
      <c r="D462" s="342">
        <v>2194370</v>
      </c>
      <c r="E462" s="342">
        <v>6586270</v>
      </c>
    </row>
    <row r="463" spans="1:5" x14ac:dyDescent="0.25">
      <c r="A463">
        <v>92239</v>
      </c>
      <c r="B463" s="343">
        <v>33.778199999999998</v>
      </c>
      <c r="C463" s="343">
        <v>-115.4</v>
      </c>
      <c r="D463" s="342">
        <v>2228020</v>
      </c>
      <c r="E463" s="342">
        <v>6819930</v>
      </c>
    </row>
    <row r="464" spans="1:5" x14ac:dyDescent="0.25">
      <c r="A464">
        <v>92240</v>
      </c>
      <c r="B464" s="343">
        <v>33.963700000000003</v>
      </c>
      <c r="C464" s="343">
        <v>-116.52</v>
      </c>
      <c r="D464" s="342">
        <v>2294380</v>
      </c>
      <c r="E464" s="342">
        <v>6479690</v>
      </c>
    </row>
    <row r="465" spans="1:5" x14ac:dyDescent="0.25">
      <c r="A465">
        <v>92241</v>
      </c>
      <c r="B465" s="343">
        <v>33.860599999999998</v>
      </c>
      <c r="C465" s="343">
        <v>-116.327</v>
      </c>
      <c r="D465" s="342">
        <v>2256800</v>
      </c>
      <c r="E465" s="342">
        <v>6538270</v>
      </c>
    </row>
    <row r="466" spans="1:5" x14ac:dyDescent="0.25">
      <c r="A466">
        <v>92242</v>
      </c>
      <c r="B466" s="343">
        <v>34.182499999999997</v>
      </c>
      <c r="C466" s="343">
        <v>-114.36499999999999</v>
      </c>
      <c r="D466" s="342">
        <v>2379070</v>
      </c>
      <c r="E466" s="342">
        <v>7131730</v>
      </c>
    </row>
    <row r="467" spans="1:5" x14ac:dyDescent="0.25">
      <c r="A467">
        <v>92243</v>
      </c>
      <c r="B467" s="343">
        <v>32.773699999999998</v>
      </c>
      <c r="C467" s="343">
        <v>-115.602</v>
      </c>
      <c r="D467" s="342">
        <v>1861900</v>
      </c>
      <c r="E467" s="342">
        <v>6761000</v>
      </c>
    </row>
    <row r="468" spans="1:5" x14ac:dyDescent="0.25">
      <c r="A468">
        <v>92249</v>
      </c>
      <c r="B468" s="343">
        <v>32.719799999999999</v>
      </c>
      <c r="C468" s="343">
        <v>-115.459</v>
      </c>
      <c r="D468" s="342">
        <v>1842600</v>
      </c>
      <c r="E468" s="342">
        <v>6804870</v>
      </c>
    </row>
    <row r="469" spans="1:5" x14ac:dyDescent="0.25">
      <c r="A469">
        <v>92250</v>
      </c>
      <c r="B469" s="343">
        <v>32.794199999999996</v>
      </c>
      <c r="C469" s="343">
        <v>-115.35599999999999</v>
      </c>
      <c r="D469" s="342">
        <v>1869920</v>
      </c>
      <c r="E469" s="342">
        <v>6836260</v>
      </c>
    </row>
    <row r="470" spans="1:5" x14ac:dyDescent="0.25">
      <c r="A470">
        <v>92251</v>
      </c>
      <c r="B470" s="343">
        <v>32.871200000000002</v>
      </c>
      <c r="C470" s="343">
        <v>-115.622</v>
      </c>
      <c r="D470" s="342">
        <v>1897340</v>
      </c>
      <c r="E470" s="342">
        <v>6754590</v>
      </c>
    </row>
    <row r="471" spans="1:5" x14ac:dyDescent="0.25">
      <c r="A471">
        <v>92252</v>
      </c>
      <c r="B471" s="343">
        <v>34.156700000000001</v>
      </c>
      <c r="C471" s="343">
        <v>-116.288</v>
      </c>
      <c r="D471" s="342">
        <v>2364510</v>
      </c>
      <c r="E471" s="342">
        <v>6550140</v>
      </c>
    </row>
    <row r="472" spans="1:5" x14ac:dyDescent="0.25">
      <c r="A472">
        <v>92253</v>
      </c>
      <c r="B472" s="343">
        <v>33.654400000000003</v>
      </c>
      <c r="C472" s="343">
        <v>-116.28100000000001</v>
      </c>
      <c r="D472" s="342">
        <v>2181750</v>
      </c>
      <c r="E472" s="342">
        <v>6552350</v>
      </c>
    </row>
    <row r="473" spans="1:5" x14ac:dyDescent="0.25">
      <c r="A473">
        <v>92254</v>
      </c>
      <c r="B473" s="343">
        <v>33.489899999999999</v>
      </c>
      <c r="C473" s="343">
        <v>-115.92700000000001</v>
      </c>
      <c r="D473" s="342">
        <v>2122040</v>
      </c>
      <c r="E473" s="342">
        <v>6660230</v>
      </c>
    </row>
    <row r="474" spans="1:5" x14ac:dyDescent="0.25">
      <c r="A474">
        <v>92256</v>
      </c>
      <c r="B474" s="343">
        <v>34.097200000000001</v>
      </c>
      <c r="C474" s="343">
        <v>-116.596</v>
      </c>
      <c r="D474" s="342">
        <v>2343040</v>
      </c>
      <c r="E474" s="342">
        <v>6457010</v>
      </c>
    </row>
    <row r="475" spans="1:5" x14ac:dyDescent="0.25">
      <c r="A475">
        <v>92257</v>
      </c>
      <c r="B475" s="343">
        <v>33.347000000000001</v>
      </c>
      <c r="C475" s="343">
        <v>-115.71</v>
      </c>
      <c r="D475" s="342">
        <v>2070320</v>
      </c>
      <c r="E475" s="342">
        <v>6726600</v>
      </c>
    </row>
    <row r="476" spans="1:5" x14ac:dyDescent="0.25">
      <c r="A476">
        <v>92258</v>
      </c>
      <c r="B476" s="343">
        <v>33.925199999999997</v>
      </c>
      <c r="C476" s="343">
        <v>-116.565</v>
      </c>
      <c r="D476" s="342">
        <v>2280420</v>
      </c>
      <c r="E476" s="342">
        <v>6466080</v>
      </c>
    </row>
    <row r="477" spans="1:5" x14ac:dyDescent="0.25">
      <c r="A477">
        <v>92259</v>
      </c>
      <c r="B477" s="343">
        <v>32.745399999999997</v>
      </c>
      <c r="C477" s="343">
        <v>-116.00700000000001</v>
      </c>
      <c r="D477" s="342">
        <v>1851070</v>
      </c>
      <c r="E477" s="342">
        <v>6636480</v>
      </c>
    </row>
    <row r="478" spans="1:5" x14ac:dyDescent="0.25">
      <c r="A478">
        <v>92260</v>
      </c>
      <c r="B478" s="343">
        <v>33.691200000000002</v>
      </c>
      <c r="C478" s="343">
        <v>-116.396</v>
      </c>
      <c r="D478" s="342">
        <v>2195160</v>
      </c>
      <c r="E478" s="342">
        <v>6517250</v>
      </c>
    </row>
    <row r="479" spans="1:5" x14ac:dyDescent="0.25">
      <c r="A479">
        <v>92262</v>
      </c>
      <c r="B479" s="343">
        <v>33.862499999999997</v>
      </c>
      <c r="C479" s="343">
        <v>-116.568</v>
      </c>
      <c r="D479" s="342">
        <v>2257610</v>
      </c>
      <c r="E479" s="342">
        <v>6465060</v>
      </c>
    </row>
    <row r="480" spans="1:5" x14ac:dyDescent="0.25">
      <c r="A480">
        <v>92264</v>
      </c>
      <c r="B480" s="343">
        <v>33.740900000000003</v>
      </c>
      <c r="C480" s="343">
        <v>-116.536</v>
      </c>
      <c r="D480" s="342">
        <v>2213320</v>
      </c>
      <c r="E480" s="342">
        <v>6474620</v>
      </c>
    </row>
    <row r="481" spans="1:5" x14ac:dyDescent="0.25">
      <c r="A481">
        <v>92267</v>
      </c>
      <c r="B481" s="343">
        <v>34.293399999999998</v>
      </c>
      <c r="C481" s="343">
        <v>-114.21299999999999</v>
      </c>
      <c r="D481" s="342">
        <v>2420280</v>
      </c>
      <c r="E481" s="342">
        <v>7176950</v>
      </c>
    </row>
    <row r="482" spans="1:5" x14ac:dyDescent="0.25">
      <c r="A482">
        <v>92270</v>
      </c>
      <c r="B482" s="343">
        <v>33.766599999999997</v>
      </c>
      <c r="C482" s="343">
        <v>-116.425</v>
      </c>
      <c r="D482" s="342">
        <v>2222600</v>
      </c>
      <c r="E482" s="342">
        <v>6508450</v>
      </c>
    </row>
    <row r="483" spans="1:5" x14ac:dyDescent="0.25">
      <c r="A483">
        <v>92274</v>
      </c>
      <c r="B483" s="343">
        <v>33.121000000000002</v>
      </c>
      <c r="C483" s="343">
        <v>-115.937</v>
      </c>
      <c r="D483" s="342">
        <v>1987560</v>
      </c>
      <c r="E483" s="342">
        <v>6657730</v>
      </c>
    </row>
    <row r="484" spans="1:5" x14ac:dyDescent="0.25">
      <c r="A484">
        <v>92276</v>
      </c>
      <c r="B484" s="343">
        <v>33.824399999999997</v>
      </c>
      <c r="C484" s="343">
        <v>-116.38</v>
      </c>
      <c r="D484" s="342">
        <v>2243630</v>
      </c>
      <c r="E484" s="342">
        <v>6522260</v>
      </c>
    </row>
    <row r="485" spans="1:5" x14ac:dyDescent="0.25">
      <c r="A485">
        <v>92277</v>
      </c>
      <c r="B485" s="343">
        <v>34.206499999999998</v>
      </c>
      <c r="C485" s="343">
        <v>-115.78100000000001</v>
      </c>
      <c r="D485" s="342">
        <v>2383000</v>
      </c>
      <c r="E485" s="342">
        <v>6703480</v>
      </c>
    </row>
    <row r="486" spans="1:5" x14ac:dyDescent="0.25">
      <c r="A486">
        <v>92278</v>
      </c>
      <c r="B486" s="343">
        <v>34.469299999999997</v>
      </c>
      <c r="C486" s="343">
        <v>-116.142</v>
      </c>
      <c r="D486" s="342">
        <v>2478320</v>
      </c>
      <c r="E486" s="342">
        <v>6594400</v>
      </c>
    </row>
    <row r="487" spans="1:5" x14ac:dyDescent="0.25">
      <c r="A487">
        <v>92280</v>
      </c>
      <c r="B487" s="343">
        <v>34.2014</v>
      </c>
      <c r="C487" s="343">
        <v>-114.791</v>
      </c>
      <c r="D487" s="342">
        <v>2383920</v>
      </c>
      <c r="E487" s="342">
        <v>7002910</v>
      </c>
    </row>
    <row r="488" spans="1:5" x14ac:dyDescent="0.25">
      <c r="A488">
        <v>92281</v>
      </c>
      <c r="B488" s="343">
        <v>33.081400000000002</v>
      </c>
      <c r="C488" s="343">
        <v>-115.675</v>
      </c>
      <c r="D488" s="342">
        <v>1973720</v>
      </c>
      <c r="E488" s="342">
        <v>6737820</v>
      </c>
    </row>
    <row r="489" spans="1:5" x14ac:dyDescent="0.25">
      <c r="A489">
        <v>92282</v>
      </c>
      <c r="B489" s="343">
        <v>33.961500000000001</v>
      </c>
      <c r="C489" s="343">
        <v>-116.66200000000001</v>
      </c>
      <c r="D489" s="342">
        <v>2293740</v>
      </c>
      <c r="E489" s="342">
        <v>6436620</v>
      </c>
    </row>
    <row r="490" spans="1:5" x14ac:dyDescent="0.25">
      <c r="A490">
        <v>92283</v>
      </c>
      <c r="B490" s="343">
        <v>33.078200000000002</v>
      </c>
      <c r="C490" s="343">
        <v>-114.985</v>
      </c>
      <c r="D490" s="342">
        <v>1974340</v>
      </c>
      <c r="E490" s="342">
        <v>6949390</v>
      </c>
    </row>
    <row r="491" spans="1:5" x14ac:dyDescent="0.25">
      <c r="A491">
        <v>92284</v>
      </c>
      <c r="B491" s="343">
        <v>34.172899999999998</v>
      </c>
      <c r="C491" s="343">
        <v>-116.47</v>
      </c>
      <c r="D491" s="342">
        <v>2370490</v>
      </c>
      <c r="E491" s="342">
        <v>6495270</v>
      </c>
    </row>
    <row r="492" spans="1:5" x14ac:dyDescent="0.25">
      <c r="A492">
        <v>92285</v>
      </c>
      <c r="B492" s="343">
        <v>34.435600000000001</v>
      </c>
      <c r="C492" s="343">
        <v>-116.55200000000001</v>
      </c>
      <c r="D492" s="342">
        <v>2466150</v>
      </c>
      <c r="E492" s="342">
        <v>6470680</v>
      </c>
    </row>
    <row r="493" spans="1:5" x14ac:dyDescent="0.25">
      <c r="A493">
        <v>92301</v>
      </c>
      <c r="B493" s="343">
        <v>34.669199999999996</v>
      </c>
      <c r="C493" s="343">
        <v>-117.532</v>
      </c>
      <c r="D493" s="342">
        <v>2553430</v>
      </c>
      <c r="E493" s="342">
        <v>6176180</v>
      </c>
    </row>
    <row r="494" spans="1:5" x14ac:dyDescent="0.25">
      <c r="A494">
        <v>92304</v>
      </c>
      <c r="B494" s="343">
        <v>34.708199999999998</v>
      </c>
      <c r="C494" s="343">
        <v>-115.83499999999999</v>
      </c>
      <c r="D494" s="342">
        <v>2565500</v>
      </c>
      <c r="E494" s="342">
        <v>6686560</v>
      </c>
    </row>
    <row r="495" spans="1:5" x14ac:dyDescent="0.25">
      <c r="A495">
        <v>92305</v>
      </c>
      <c r="B495" s="343">
        <v>34.166800000000002</v>
      </c>
      <c r="C495" s="343">
        <v>-116.873</v>
      </c>
      <c r="D495" s="342">
        <v>2368770</v>
      </c>
      <c r="E495" s="342">
        <v>6373170</v>
      </c>
    </row>
    <row r="496" spans="1:5" x14ac:dyDescent="0.25">
      <c r="A496">
        <v>92307</v>
      </c>
      <c r="B496" s="343">
        <v>34.591200000000001</v>
      </c>
      <c r="C496" s="343">
        <v>-117.13</v>
      </c>
      <c r="D496" s="342">
        <v>2523800</v>
      </c>
      <c r="E496" s="342">
        <v>6296680</v>
      </c>
    </row>
    <row r="497" spans="1:5" x14ac:dyDescent="0.25">
      <c r="A497">
        <v>92308</v>
      </c>
      <c r="B497" s="343">
        <v>34.424799999999998</v>
      </c>
      <c r="C497" s="343">
        <v>-117.15600000000001</v>
      </c>
      <c r="D497" s="342">
        <v>2463310</v>
      </c>
      <c r="E497" s="342">
        <v>6288300</v>
      </c>
    </row>
    <row r="498" spans="1:5" x14ac:dyDescent="0.25">
      <c r="A498">
        <v>92309</v>
      </c>
      <c r="B498" s="343">
        <v>35.3645</v>
      </c>
      <c r="C498" s="343">
        <v>-116.068</v>
      </c>
      <c r="D498" s="342">
        <v>2804090</v>
      </c>
      <c r="E498" s="342">
        <v>6616350</v>
      </c>
    </row>
    <row r="499" spans="1:5" x14ac:dyDescent="0.25">
      <c r="A499">
        <v>92310</v>
      </c>
      <c r="B499" s="343">
        <v>35.364699999999999</v>
      </c>
      <c r="C499" s="343">
        <v>-116.636</v>
      </c>
      <c r="D499" s="342">
        <v>2804500</v>
      </c>
      <c r="E499" s="342">
        <v>6446490</v>
      </c>
    </row>
    <row r="500" spans="1:5" x14ac:dyDescent="0.25">
      <c r="A500">
        <v>92311</v>
      </c>
      <c r="B500" s="343">
        <v>34.876300000000001</v>
      </c>
      <c r="C500" s="343">
        <v>-117.02</v>
      </c>
      <c r="D500" s="342">
        <v>2627310</v>
      </c>
      <c r="E500" s="342">
        <v>6330740</v>
      </c>
    </row>
    <row r="501" spans="1:5" x14ac:dyDescent="0.25">
      <c r="A501">
        <v>92313</v>
      </c>
      <c r="B501" s="343">
        <v>34.031399999999998</v>
      </c>
      <c r="C501" s="343">
        <v>-117.313</v>
      </c>
      <c r="D501" s="342">
        <v>2320560</v>
      </c>
      <c r="E501" s="342">
        <v>6239440</v>
      </c>
    </row>
    <row r="502" spans="1:5" x14ac:dyDescent="0.25">
      <c r="A502">
        <v>92314</v>
      </c>
      <c r="B502" s="343">
        <v>34.2742</v>
      </c>
      <c r="C502" s="343">
        <v>-116.913</v>
      </c>
      <c r="D502" s="342">
        <v>2407940</v>
      </c>
      <c r="E502" s="342">
        <v>6361390</v>
      </c>
    </row>
    <row r="503" spans="1:5" x14ac:dyDescent="0.25">
      <c r="A503">
        <v>92315</v>
      </c>
      <c r="B503" s="343">
        <v>34.2483</v>
      </c>
      <c r="C503" s="343">
        <v>-116.91500000000001</v>
      </c>
      <c r="D503" s="342">
        <v>2398530</v>
      </c>
      <c r="E503" s="342">
        <v>6360640</v>
      </c>
    </row>
    <row r="504" spans="1:5" x14ac:dyDescent="0.25">
      <c r="A504">
        <v>92316</v>
      </c>
      <c r="B504" s="343">
        <v>34.059199999999997</v>
      </c>
      <c r="C504" s="343">
        <v>-117.393</v>
      </c>
      <c r="D504" s="342">
        <v>2330950</v>
      </c>
      <c r="E504" s="342">
        <v>6215360</v>
      </c>
    </row>
    <row r="505" spans="1:5" x14ac:dyDescent="0.25">
      <c r="A505">
        <v>92317</v>
      </c>
      <c r="B505" s="343">
        <v>34.246699999999997</v>
      </c>
      <c r="C505" s="343">
        <v>-117.215</v>
      </c>
      <c r="D505" s="342">
        <v>2398630</v>
      </c>
      <c r="E505" s="342">
        <v>6269870</v>
      </c>
    </row>
    <row r="506" spans="1:5" x14ac:dyDescent="0.25">
      <c r="A506">
        <v>92318</v>
      </c>
      <c r="B506" s="343">
        <v>34.048900000000003</v>
      </c>
      <c r="C506" s="343">
        <v>-117.23399999999999</v>
      </c>
      <c r="D506" s="342">
        <v>2326700</v>
      </c>
      <c r="E506" s="342">
        <v>6263680</v>
      </c>
    </row>
    <row r="507" spans="1:5" x14ac:dyDescent="0.25">
      <c r="A507">
        <v>92320</v>
      </c>
      <c r="B507" s="343">
        <v>33.9861</v>
      </c>
      <c r="C507" s="343">
        <v>-117.05</v>
      </c>
      <c r="D507" s="342">
        <v>2303390</v>
      </c>
      <c r="E507" s="342">
        <v>6319230</v>
      </c>
    </row>
    <row r="508" spans="1:5" x14ac:dyDescent="0.25">
      <c r="A508">
        <v>92321</v>
      </c>
      <c r="B508" s="343">
        <v>34.244999999999997</v>
      </c>
      <c r="C508" s="343">
        <v>-117.172</v>
      </c>
      <c r="D508" s="342">
        <v>2397890</v>
      </c>
      <c r="E508" s="342">
        <v>6283130</v>
      </c>
    </row>
    <row r="509" spans="1:5" x14ac:dyDescent="0.25">
      <c r="A509">
        <v>92322</v>
      </c>
      <c r="B509" s="343">
        <v>34.232999999999997</v>
      </c>
      <c r="C509" s="343">
        <v>-117.328</v>
      </c>
      <c r="D509" s="342">
        <v>2393980</v>
      </c>
      <c r="E509" s="342">
        <v>6235890</v>
      </c>
    </row>
    <row r="510" spans="1:5" x14ac:dyDescent="0.25">
      <c r="A510">
        <v>92324</v>
      </c>
      <c r="B510" s="343">
        <v>34.036099999999998</v>
      </c>
      <c r="C510" s="343">
        <v>-117.295</v>
      </c>
      <c r="D510" s="342">
        <v>2322240</v>
      </c>
      <c r="E510" s="342">
        <v>6245170</v>
      </c>
    </row>
    <row r="511" spans="1:5" x14ac:dyDescent="0.25">
      <c r="A511">
        <v>92325</v>
      </c>
      <c r="B511" s="343">
        <v>34.246499999999997</v>
      </c>
      <c r="C511" s="343">
        <v>-117.29300000000001</v>
      </c>
      <c r="D511" s="342">
        <v>2398800</v>
      </c>
      <c r="E511" s="342">
        <v>6246550</v>
      </c>
    </row>
    <row r="512" spans="1:5" x14ac:dyDescent="0.25">
      <c r="A512">
        <v>92327</v>
      </c>
      <c r="B512" s="343">
        <v>34.85</v>
      </c>
      <c r="C512" s="343">
        <v>-116.84399999999999</v>
      </c>
      <c r="D512" s="342">
        <v>2617420</v>
      </c>
      <c r="E512" s="342">
        <v>6383270</v>
      </c>
    </row>
    <row r="513" spans="1:5" x14ac:dyDescent="0.25">
      <c r="A513">
        <v>92328</v>
      </c>
      <c r="B513" s="343">
        <v>36.4221</v>
      </c>
      <c r="C513" s="343">
        <v>-117.131</v>
      </c>
      <c r="D513" s="342">
        <v>3190410</v>
      </c>
      <c r="E513" s="342">
        <v>6302240</v>
      </c>
    </row>
    <row r="514" spans="1:5" x14ac:dyDescent="0.25">
      <c r="A514">
        <v>92332</v>
      </c>
      <c r="B514" s="343">
        <v>34.6053</v>
      </c>
      <c r="C514" s="343">
        <v>-115.23</v>
      </c>
      <c r="D514" s="342">
        <v>2529180</v>
      </c>
      <c r="E514" s="342">
        <v>6868640</v>
      </c>
    </row>
    <row r="515" spans="1:5" x14ac:dyDescent="0.25">
      <c r="A515">
        <v>92333</v>
      </c>
      <c r="B515" s="343">
        <v>34.272500000000001</v>
      </c>
      <c r="C515" s="343">
        <v>-116.944</v>
      </c>
      <c r="D515" s="342">
        <v>2407370</v>
      </c>
      <c r="E515" s="342">
        <v>6351830</v>
      </c>
    </row>
    <row r="516" spans="1:5" x14ac:dyDescent="0.25">
      <c r="A516">
        <v>92335</v>
      </c>
      <c r="B516" s="343">
        <v>34.087000000000003</v>
      </c>
      <c r="C516" s="343">
        <v>-117.46599999999999</v>
      </c>
      <c r="D516" s="342">
        <v>2341310</v>
      </c>
      <c r="E516" s="342">
        <v>6193370</v>
      </c>
    </row>
    <row r="517" spans="1:5" x14ac:dyDescent="0.25">
      <c r="A517">
        <v>92336</v>
      </c>
      <c r="B517" s="343">
        <v>34.137700000000002</v>
      </c>
      <c r="C517" s="343">
        <v>-117.46299999999999</v>
      </c>
      <c r="D517" s="342">
        <v>2359740</v>
      </c>
      <c r="E517" s="342">
        <v>6194660</v>
      </c>
    </row>
    <row r="518" spans="1:5" x14ac:dyDescent="0.25">
      <c r="A518">
        <v>92337</v>
      </c>
      <c r="B518" s="343">
        <v>34.049199999999999</v>
      </c>
      <c r="C518" s="343">
        <v>-117.471</v>
      </c>
      <c r="D518" s="342">
        <v>2327570</v>
      </c>
      <c r="E518" s="342">
        <v>6191680</v>
      </c>
    </row>
    <row r="519" spans="1:5" x14ac:dyDescent="0.25">
      <c r="A519">
        <v>92338</v>
      </c>
      <c r="B519" s="343">
        <v>34.8962</v>
      </c>
      <c r="C519" s="343">
        <v>-116.351</v>
      </c>
      <c r="D519" s="342">
        <v>2633670</v>
      </c>
      <c r="E519" s="342">
        <v>6531430</v>
      </c>
    </row>
    <row r="520" spans="1:5" x14ac:dyDescent="0.25">
      <c r="A520">
        <v>92339</v>
      </c>
      <c r="B520" s="343">
        <v>34.089700000000001</v>
      </c>
      <c r="C520" s="343">
        <v>-116.84099999999999</v>
      </c>
      <c r="D520" s="342">
        <v>2340670</v>
      </c>
      <c r="E520" s="342">
        <v>6382740</v>
      </c>
    </row>
    <row r="521" spans="1:5" x14ac:dyDescent="0.25">
      <c r="A521">
        <v>92341</v>
      </c>
      <c r="B521" s="343">
        <v>34.237900000000003</v>
      </c>
      <c r="C521" s="343">
        <v>-117.07599999999999</v>
      </c>
      <c r="D521" s="342">
        <v>2395070</v>
      </c>
      <c r="E521" s="342">
        <v>6311860</v>
      </c>
    </row>
    <row r="522" spans="1:5" x14ac:dyDescent="0.25">
      <c r="A522">
        <v>92342</v>
      </c>
      <c r="B522" s="343">
        <v>34.775399999999998</v>
      </c>
      <c r="C522" s="343">
        <v>-117.355</v>
      </c>
      <c r="D522" s="342">
        <v>2591510</v>
      </c>
      <c r="E522" s="342">
        <v>6229710</v>
      </c>
    </row>
    <row r="523" spans="1:5" x14ac:dyDescent="0.25">
      <c r="A523">
        <v>92344</v>
      </c>
      <c r="B523" s="343">
        <v>34.391500000000001</v>
      </c>
      <c r="C523" s="343">
        <v>-117.405</v>
      </c>
      <c r="D523" s="342">
        <v>2451940</v>
      </c>
      <c r="E523" s="342">
        <v>6213200</v>
      </c>
    </row>
    <row r="524" spans="1:5" x14ac:dyDescent="0.25">
      <c r="A524">
        <v>92345</v>
      </c>
      <c r="B524" s="343">
        <v>34.3855</v>
      </c>
      <c r="C524" s="343">
        <v>-117.30800000000001</v>
      </c>
      <c r="D524" s="342">
        <v>2449420</v>
      </c>
      <c r="E524" s="342">
        <v>6242360</v>
      </c>
    </row>
    <row r="525" spans="1:5" x14ac:dyDescent="0.25">
      <c r="A525">
        <v>92346</v>
      </c>
      <c r="B525" s="343">
        <v>34.1188</v>
      </c>
      <c r="C525" s="343">
        <v>-117.178</v>
      </c>
      <c r="D525" s="342">
        <v>2351990</v>
      </c>
      <c r="E525" s="342">
        <v>6280660</v>
      </c>
    </row>
    <row r="526" spans="1:5" x14ac:dyDescent="0.25">
      <c r="A526">
        <v>92347</v>
      </c>
      <c r="B526" s="343">
        <v>35.047600000000003</v>
      </c>
      <c r="C526" s="343">
        <v>-117.304</v>
      </c>
      <c r="D526" s="342">
        <v>2690440</v>
      </c>
      <c r="E526" s="342">
        <v>6246180</v>
      </c>
    </row>
    <row r="527" spans="1:5" x14ac:dyDescent="0.25">
      <c r="A527">
        <v>92350</v>
      </c>
      <c r="B527" s="343">
        <v>34.050899999999999</v>
      </c>
      <c r="C527" s="343">
        <v>-117.264</v>
      </c>
      <c r="D527" s="342">
        <v>2327520</v>
      </c>
      <c r="E527" s="342">
        <v>6254590</v>
      </c>
    </row>
    <row r="528" spans="1:5" x14ac:dyDescent="0.25">
      <c r="A528">
        <v>92352</v>
      </c>
      <c r="B528" s="343">
        <v>34.266599999999997</v>
      </c>
      <c r="C528" s="343">
        <v>-117.196</v>
      </c>
      <c r="D528" s="342">
        <v>2405820</v>
      </c>
      <c r="E528" s="342">
        <v>6275910</v>
      </c>
    </row>
    <row r="529" spans="1:5" x14ac:dyDescent="0.25">
      <c r="A529">
        <v>92354</v>
      </c>
      <c r="B529" s="343">
        <v>34.049599999999998</v>
      </c>
      <c r="C529" s="343">
        <v>-117.251</v>
      </c>
      <c r="D529" s="342">
        <v>2327000</v>
      </c>
      <c r="E529" s="342">
        <v>6258290</v>
      </c>
    </row>
    <row r="530" spans="1:5" x14ac:dyDescent="0.25">
      <c r="A530">
        <v>92356</v>
      </c>
      <c r="B530" s="343">
        <v>34.527200000000001</v>
      </c>
      <c r="C530" s="343">
        <v>-116.876</v>
      </c>
      <c r="D530" s="342">
        <v>2499930</v>
      </c>
      <c r="E530" s="342">
        <v>6372970</v>
      </c>
    </row>
    <row r="531" spans="1:5" x14ac:dyDescent="0.25">
      <c r="A531">
        <v>92358</v>
      </c>
      <c r="B531" s="343">
        <v>34.270200000000003</v>
      </c>
      <c r="C531" s="343">
        <v>-117.536</v>
      </c>
      <c r="D531" s="342">
        <v>2408240</v>
      </c>
      <c r="E531" s="342">
        <v>6173130</v>
      </c>
    </row>
    <row r="532" spans="1:5" x14ac:dyDescent="0.25">
      <c r="A532">
        <v>92359</v>
      </c>
      <c r="B532" s="343">
        <v>34.114899999999999</v>
      </c>
      <c r="C532" s="343">
        <v>-117.08199999999999</v>
      </c>
      <c r="D532" s="342">
        <v>2350310</v>
      </c>
      <c r="E532" s="342">
        <v>6309680</v>
      </c>
    </row>
    <row r="533" spans="1:5" x14ac:dyDescent="0.25">
      <c r="A533">
        <v>92363</v>
      </c>
      <c r="B533" s="343">
        <v>34.603400000000001</v>
      </c>
      <c r="C533" s="343">
        <v>-114.66500000000001</v>
      </c>
      <c r="D533" s="342">
        <v>2530580</v>
      </c>
      <c r="E533" s="342">
        <v>7038790</v>
      </c>
    </row>
    <row r="534" spans="1:5" x14ac:dyDescent="0.25">
      <c r="A534">
        <v>92364</v>
      </c>
      <c r="B534" s="343">
        <v>35.319899999999997</v>
      </c>
      <c r="C534" s="343">
        <v>-115.428</v>
      </c>
      <c r="D534" s="342">
        <v>2788990</v>
      </c>
      <c r="E534" s="342">
        <v>6807140</v>
      </c>
    </row>
    <row r="535" spans="1:5" x14ac:dyDescent="0.25">
      <c r="A535">
        <v>92365</v>
      </c>
      <c r="B535" s="343">
        <v>34.8553</v>
      </c>
      <c r="C535" s="343">
        <v>-116.67700000000001</v>
      </c>
      <c r="D535" s="342">
        <v>2619040</v>
      </c>
      <c r="E535" s="342">
        <v>6433590</v>
      </c>
    </row>
    <row r="536" spans="1:5" x14ac:dyDescent="0.25">
      <c r="A536">
        <v>92368</v>
      </c>
      <c r="B536" s="343">
        <v>34.666499999999999</v>
      </c>
      <c r="C536" s="343">
        <v>-117.294</v>
      </c>
      <c r="D536" s="342">
        <v>2551670</v>
      </c>
      <c r="E536" s="342">
        <v>6247780</v>
      </c>
    </row>
    <row r="537" spans="1:5" x14ac:dyDescent="0.25">
      <c r="A537">
        <v>92371</v>
      </c>
      <c r="B537" s="343">
        <v>34.456000000000003</v>
      </c>
      <c r="C537" s="343">
        <v>-117.541</v>
      </c>
      <c r="D537" s="342">
        <v>2475880</v>
      </c>
      <c r="E537" s="342">
        <v>6172430</v>
      </c>
    </row>
    <row r="538" spans="1:5" x14ac:dyDescent="0.25">
      <c r="A538">
        <v>92372</v>
      </c>
      <c r="B538" s="343">
        <v>34.441200000000002</v>
      </c>
      <c r="C538" s="343">
        <v>-117.63200000000001</v>
      </c>
      <c r="D538" s="342">
        <v>2470860</v>
      </c>
      <c r="E538" s="342">
        <v>6144920</v>
      </c>
    </row>
    <row r="539" spans="1:5" x14ac:dyDescent="0.25">
      <c r="A539">
        <v>92373</v>
      </c>
      <c r="B539" s="343">
        <v>34.0032</v>
      </c>
      <c r="C539" s="343">
        <v>-117.154</v>
      </c>
      <c r="D539" s="342">
        <v>2309840</v>
      </c>
      <c r="E539" s="342">
        <v>6287600</v>
      </c>
    </row>
    <row r="540" spans="1:5" x14ac:dyDescent="0.25">
      <c r="A540">
        <v>92374</v>
      </c>
      <c r="B540" s="343">
        <v>34.068600000000004</v>
      </c>
      <c r="C540" s="343">
        <v>-117.172</v>
      </c>
      <c r="D540" s="342">
        <v>2333690</v>
      </c>
      <c r="E540" s="342">
        <v>6282440</v>
      </c>
    </row>
    <row r="541" spans="1:5" x14ac:dyDescent="0.25">
      <c r="A541">
        <v>92376</v>
      </c>
      <c r="B541" s="343">
        <v>34.110799999999998</v>
      </c>
      <c r="C541" s="343">
        <v>-117.38</v>
      </c>
      <c r="D541" s="342">
        <v>2349690</v>
      </c>
      <c r="E541" s="342">
        <v>6219510</v>
      </c>
    </row>
    <row r="542" spans="1:5" x14ac:dyDescent="0.25">
      <c r="A542">
        <v>92377</v>
      </c>
      <c r="B542" s="343">
        <v>34.155000000000001</v>
      </c>
      <c r="C542" s="343">
        <v>-117.405</v>
      </c>
      <c r="D542" s="342">
        <v>2365860</v>
      </c>
      <c r="E542" s="342">
        <v>6212090</v>
      </c>
    </row>
    <row r="543" spans="1:5" x14ac:dyDescent="0.25">
      <c r="A543">
        <v>92378</v>
      </c>
      <c r="B543" s="343">
        <v>34.231200000000001</v>
      </c>
      <c r="C543" s="343">
        <v>-117.226</v>
      </c>
      <c r="D543" s="342">
        <v>2393040</v>
      </c>
      <c r="E543" s="342">
        <v>6266540</v>
      </c>
    </row>
    <row r="544" spans="1:5" x14ac:dyDescent="0.25">
      <c r="A544">
        <v>92382</v>
      </c>
      <c r="B544" s="343">
        <v>34.198099999999997</v>
      </c>
      <c r="C544" s="343">
        <v>-117.128</v>
      </c>
      <c r="D544" s="342">
        <v>2380720</v>
      </c>
      <c r="E544" s="342">
        <v>6296180</v>
      </c>
    </row>
    <row r="545" spans="1:5" x14ac:dyDescent="0.25">
      <c r="A545">
        <v>92384</v>
      </c>
      <c r="B545" s="343">
        <v>36.149299999999997</v>
      </c>
      <c r="C545" s="343">
        <v>-116.482</v>
      </c>
      <c r="D545" s="342">
        <v>3090220</v>
      </c>
      <c r="E545" s="342">
        <v>6493310</v>
      </c>
    </row>
    <row r="546" spans="1:5" x14ac:dyDescent="0.25">
      <c r="A546">
        <v>92385</v>
      </c>
      <c r="B546" s="343">
        <v>34.209099999999999</v>
      </c>
      <c r="C546" s="343">
        <v>-117.124</v>
      </c>
      <c r="D546" s="342">
        <v>2384710</v>
      </c>
      <c r="E546" s="342">
        <v>6297420</v>
      </c>
    </row>
    <row r="547" spans="1:5" x14ac:dyDescent="0.25">
      <c r="A547">
        <v>92386</v>
      </c>
      <c r="B547" s="343">
        <v>34.243400000000001</v>
      </c>
      <c r="C547" s="343">
        <v>-116.83</v>
      </c>
      <c r="D547" s="342">
        <v>2396570</v>
      </c>
      <c r="E547" s="342">
        <v>6386310</v>
      </c>
    </row>
    <row r="548" spans="1:5" x14ac:dyDescent="0.25">
      <c r="A548">
        <v>92389</v>
      </c>
      <c r="B548" s="343">
        <v>35.874099999999999</v>
      </c>
      <c r="C548" s="343">
        <v>-116.006</v>
      </c>
      <c r="D548" s="342">
        <v>2990000</v>
      </c>
      <c r="E548" s="342">
        <v>6634000</v>
      </c>
    </row>
    <row r="549" spans="1:5" x14ac:dyDescent="0.25">
      <c r="A549">
        <v>92391</v>
      </c>
      <c r="B549" s="343">
        <v>34.238300000000002</v>
      </c>
      <c r="C549" s="343">
        <v>-117.235</v>
      </c>
      <c r="D549" s="342">
        <v>2395630</v>
      </c>
      <c r="E549" s="342">
        <v>6263820</v>
      </c>
    </row>
    <row r="550" spans="1:5" x14ac:dyDescent="0.25">
      <c r="A550">
        <v>92392</v>
      </c>
      <c r="B550" s="343">
        <v>34.479799999999997</v>
      </c>
      <c r="C550" s="343">
        <v>-117.408</v>
      </c>
      <c r="D550" s="342">
        <v>2484070</v>
      </c>
      <c r="E550" s="342">
        <v>6212710</v>
      </c>
    </row>
    <row r="551" spans="1:5" x14ac:dyDescent="0.25">
      <c r="A551">
        <v>92394</v>
      </c>
      <c r="B551" s="343">
        <v>34.564399999999999</v>
      </c>
      <c r="C551" s="343">
        <v>-117.336</v>
      </c>
      <c r="D551" s="342">
        <v>2514630</v>
      </c>
      <c r="E551" s="342">
        <v>6234530</v>
      </c>
    </row>
    <row r="552" spans="1:5" x14ac:dyDescent="0.25">
      <c r="A552">
        <v>92395</v>
      </c>
      <c r="B552" s="343">
        <v>34.502899999999997</v>
      </c>
      <c r="C552" s="343">
        <v>-117.294</v>
      </c>
      <c r="D552" s="342">
        <v>2492130</v>
      </c>
      <c r="E552" s="342">
        <v>6246960</v>
      </c>
    </row>
    <row r="553" spans="1:5" x14ac:dyDescent="0.25">
      <c r="A553">
        <v>92397</v>
      </c>
      <c r="B553" s="343">
        <v>34.348999999999997</v>
      </c>
      <c r="C553" s="343">
        <v>-117.589</v>
      </c>
      <c r="D553" s="342">
        <v>2437130</v>
      </c>
      <c r="E553" s="342">
        <v>6157530</v>
      </c>
    </row>
    <row r="554" spans="1:5" x14ac:dyDescent="0.25">
      <c r="A554">
        <v>92398</v>
      </c>
      <c r="B554" s="343">
        <v>34.9099</v>
      </c>
      <c r="C554" s="343">
        <v>-116.84399999999999</v>
      </c>
      <c r="D554" s="342">
        <v>2639220</v>
      </c>
      <c r="E554" s="342">
        <v>6383430</v>
      </c>
    </row>
    <row r="555" spans="1:5" x14ac:dyDescent="0.25">
      <c r="A555">
        <v>92399</v>
      </c>
      <c r="B555" s="343">
        <v>34.038400000000003</v>
      </c>
      <c r="C555" s="343">
        <v>-117.008</v>
      </c>
      <c r="D555" s="342">
        <v>2322300</v>
      </c>
      <c r="E555" s="342">
        <v>6332150</v>
      </c>
    </row>
    <row r="556" spans="1:5" x14ac:dyDescent="0.25">
      <c r="A556">
        <v>92401</v>
      </c>
      <c r="B556" s="343">
        <v>34.105499999999999</v>
      </c>
      <c r="C556" s="343">
        <v>-117.292</v>
      </c>
      <c r="D556" s="342">
        <v>2347470</v>
      </c>
      <c r="E556" s="342">
        <v>6246350</v>
      </c>
    </row>
    <row r="557" spans="1:5" x14ac:dyDescent="0.25">
      <c r="A557">
        <v>92404</v>
      </c>
      <c r="B557" s="343">
        <v>34.177199999999999</v>
      </c>
      <c r="C557" s="343">
        <v>-117.274</v>
      </c>
      <c r="D557" s="342">
        <v>2373500</v>
      </c>
      <c r="E557" s="342">
        <v>6251860</v>
      </c>
    </row>
    <row r="558" spans="1:5" x14ac:dyDescent="0.25">
      <c r="A558">
        <v>92405</v>
      </c>
      <c r="B558" s="343">
        <v>34.145699999999998</v>
      </c>
      <c r="C558" s="343">
        <v>-117.303</v>
      </c>
      <c r="D558" s="342">
        <v>2362150</v>
      </c>
      <c r="E558" s="342">
        <v>6243180</v>
      </c>
    </row>
    <row r="559" spans="1:5" x14ac:dyDescent="0.25">
      <c r="A559">
        <v>92407</v>
      </c>
      <c r="B559" s="343">
        <v>34.257199999999997</v>
      </c>
      <c r="C559" s="343">
        <v>-117.30800000000001</v>
      </c>
      <c r="D559" s="342">
        <v>2402740</v>
      </c>
      <c r="E559" s="342">
        <v>6241830</v>
      </c>
    </row>
    <row r="560" spans="1:5" x14ac:dyDescent="0.25">
      <c r="A560">
        <v>92408</v>
      </c>
      <c r="B560" s="343">
        <v>34.084499999999998</v>
      </c>
      <c r="C560" s="343">
        <v>-117.264</v>
      </c>
      <c r="D560" s="342">
        <v>2339740</v>
      </c>
      <c r="E560" s="342">
        <v>6254710</v>
      </c>
    </row>
    <row r="561" spans="1:5" x14ac:dyDescent="0.25">
      <c r="A561">
        <v>92410</v>
      </c>
      <c r="B561" s="343">
        <v>34.106400000000001</v>
      </c>
      <c r="C561" s="343">
        <v>-117.297</v>
      </c>
      <c r="D561" s="342">
        <v>2347810</v>
      </c>
      <c r="E561" s="342">
        <v>6244760</v>
      </c>
    </row>
    <row r="562" spans="1:5" x14ac:dyDescent="0.25">
      <c r="A562">
        <v>92411</v>
      </c>
      <c r="B562" s="343">
        <v>34.122300000000003</v>
      </c>
      <c r="C562" s="343">
        <v>-117.324</v>
      </c>
      <c r="D562" s="342">
        <v>2353700</v>
      </c>
      <c r="E562" s="342">
        <v>6236620</v>
      </c>
    </row>
    <row r="563" spans="1:5" x14ac:dyDescent="0.25">
      <c r="A563">
        <v>92415</v>
      </c>
      <c r="B563" s="343">
        <v>34.105499999999999</v>
      </c>
      <c r="C563" s="343">
        <v>-117.288</v>
      </c>
      <c r="D563" s="342">
        <v>2347450</v>
      </c>
      <c r="E563" s="342">
        <v>6247500</v>
      </c>
    </row>
    <row r="564" spans="1:5" x14ac:dyDescent="0.25">
      <c r="A564">
        <v>92501</v>
      </c>
      <c r="B564" s="343">
        <v>33.9955</v>
      </c>
      <c r="C564" s="343">
        <v>-117.373</v>
      </c>
      <c r="D564" s="342">
        <v>2307690</v>
      </c>
      <c r="E564" s="342">
        <v>6221150</v>
      </c>
    </row>
    <row r="565" spans="1:5" x14ac:dyDescent="0.25">
      <c r="A565">
        <v>92503</v>
      </c>
      <c r="B565" s="343">
        <v>33.889699999999998</v>
      </c>
      <c r="C565" s="343">
        <v>-117.447</v>
      </c>
      <c r="D565" s="342">
        <v>2269450</v>
      </c>
      <c r="E565" s="342">
        <v>6198480</v>
      </c>
    </row>
    <row r="566" spans="1:5" x14ac:dyDescent="0.25">
      <c r="A566">
        <v>92504</v>
      </c>
      <c r="B566" s="343">
        <v>33.906799999999997</v>
      </c>
      <c r="C566" s="343">
        <v>-117.399</v>
      </c>
      <c r="D566" s="342">
        <v>2275510</v>
      </c>
      <c r="E566" s="342">
        <v>6213060</v>
      </c>
    </row>
    <row r="567" spans="1:5" x14ac:dyDescent="0.25">
      <c r="A567">
        <v>92505</v>
      </c>
      <c r="B567" s="343">
        <v>33.933900000000001</v>
      </c>
      <c r="C567" s="343">
        <v>-117.495</v>
      </c>
      <c r="D567" s="342">
        <v>2285700</v>
      </c>
      <c r="E567" s="342">
        <v>6183980</v>
      </c>
    </row>
    <row r="568" spans="1:5" x14ac:dyDescent="0.25">
      <c r="A568">
        <v>92506</v>
      </c>
      <c r="B568" s="343">
        <v>33.933700000000002</v>
      </c>
      <c r="C568" s="343">
        <v>-117.363</v>
      </c>
      <c r="D568" s="342">
        <v>2285160</v>
      </c>
      <c r="E568" s="342">
        <v>6224100</v>
      </c>
    </row>
    <row r="569" spans="1:5" x14ac:dyDescent="0.25">
      <c r="A569">
        <v>92507</v>
      </c>
      <c r="B569" s="343">
        <v>33.974899999999998</v>
      </c>
      <c r="C569" s="343">
        <v>-117.324</v>
      </c>
      <c r="D569" s="342">
        <v>2300060</v>
      </c>
      <c r="E569" s="342">
        <v>6235900</v>
      </c>
    </row>
    <row r="570" spans="1:5" x14ac:dyDescent="0.25">
      <c r="A570">
        <v>92508</v>
      </c>
      <c r="B570" s="343">
        <v>33.892899999999997</v>
      </c>
      <c r="C570" s="343">
        <v>-117.324</v>
      </c>
      <c r="D570" s="342">
        <v>2270220</v>
      </c>
      <c r="E570" s="342">
        <v>6235610</v>
      </c>
    </row>
    <row r="571" spans="1:5" x14ac:dyDescent="0.25">
      <c r="A571">
        <v>92509</v>
      </c>
      <c r="B571" s="343">
        <v>34.003399999999999</v>
      </c>
      <c r="C571" s="343">
        <v>-117.446</v>
      </c>
      <c r="D571" s="342">
        <v>2310840</v>
      </c>
      <c r="E571" s="342">
        <v>6199230</v>
      </c>
    </row>
    <row r="572" spans="1:5" x14ac:dyDescent="0.25">
      <c r="A572">
        <v>92518</v>
      </c>
      <c r="B572" s="343">
        <v>33.885100000000001</v>
      </c>
      <c r="C572" s="343">
        <v>-117.273</v>
      </c>
      <c r="D572" s="342">
        <v>2267200</v>
      </c>
      <c r="E572" s="342">
        <v>6251130</v>
      </c>
    </row>
    <row r="573" spans="1:5" x14ac:dyDescent="0.25">
      <c r="A573">
        <v>92521</v>
      </c>
      <c r="B573" s="343">
        <v>33.968200000000003</v>
      </c>
      <c r="C573" s="343">
        <v>-117.33499999999999</v>
      </c>
      <c r="D573" s="342">
        <v>2297650</v>
      </c>
      <c r="E573" s="342">
        <v>6232780</v>
      </c>
    </row>
    <row r="574" spans="1:5" x14ac:dyDescent="0.25">
      <c r="A574">
        <v>92530</v>
      </c>
      <c r="B574" s="343">
        <v>33.607100000000003</v>
      </c>
      <c r="C574" s="343">
        <v>-117.396</v>
      </c>
      <c r="D574" s="342">
        <v>2166440</v>
      </c>
      <c r="E574" s="342">
        <v>6212730</v>
      </c>
    </row>
    <row r="575" spans="1:5" x14ac:dyDescent="0.25">
      <c r="A575">
        <v>92532</v>
      </c>
      <c r="B575" s="343">
        <v>33.695</v>
      </c>
      <c r="C575" s="343">
        <v>-117.309</v>
      </c>
      <c r="D575" s="342">
        <v>2198150</v>
      </c>
      <c r="E575" s="342">
        <v>6239520</v>
      </c>
    </row>
    <row r="576" spans="1:5" x14ac:dyDescent="0.25">
      <c r="A576">
        <v>92536</v>
      </c>
      <c r="B576" s="343">
        <v>33.482599999999998</v>
      </c>
      <c r="C576" s="343">
        <v>-116.807</v>
      </c>
      <c r="D576" s="342">
        <v>2119700</v>
      </c>
      <c r="E576" s="342">
        <v>6391750</v>
      </c>
    </row>
    <row r="577" spans="1:5" x14ac:dyDescent="0.25">
      <c r="A577">
        <v>92539</v>
      </c>
      <c r="B577" s="343">
        <v>33.554600000000001</v>
      </c>
      <c r="C577" s="343">
        <v>-116.697</v>
      </c>
      <c r="D577" s="342">
        <v>2145690</v>
      </c>
      <c r="E577" s="342">
        <v>6425480</v>
      </c>
    </row>
    <row r="578" spans="1:5" x14ac:dyDescent="0.25">
      <c r="A578">
        <v>92543</v>
      </c>
      <c r="B578" s="343">
        <v>33.702199999999998</v>
      </c>
      <c r="C578" s="343">
        <v>-116.979</v>
      </c>
      <c r="D578" s="342">
        <v>2199890</v>
      </c>
      <c r="E578" s="342">
        <v>6339880</v>
      </c>
    </row>
    <row r="579" spans="1:5" x14ac:dyDescent="0.25">
      <c r="A579">
        <v>92544</v>
      </c>
      <c r="B579" s="343">
        <v>33.642099999999999</v>
      </c>
      <c r="C579" s="343">
        <v>-116.899</v>
      </c>
      <c r="D579" s="342">
        <v>2177850</v>
      </c>
      <c r="E579" s="342">
        <v>6364200</v>
      </c>
    </row>
    <row r="580" spans="1:5" x14ac:dyDescent="0.25">
      <c r="A580">
        <v>92545</v>
      </c>
      <c r="B580" s="343">
        <v>33.731400000000001</v>
      </c>
      <c r="C580" s="343">
        <v>-117.04</v>
      </c>
      <c r="D580" s="342">
        <v>2210660</v>
      </c>
      <c r="E580" s="342">
        <v>6321330</v>
      </c>
    </row>
    <row r="581" spans="1:5" x14ac:dyDescent="0.25">
      <c r="A581">
        <v>92548</v>
      </c>
      <c r="B581" s="343">
        <v>33.760599999999997</v>
      </c>
      <c r="C581" s="343">
        <v>-117.111</v>
      </c>
      <c r="D581" s="342">
        <v>2221460</v>
      </c>
      <c r="E581" s="342">
        <v>6300130</v>
      </c>
    </row>
    <row r="582" spans="1:5" x14ac:dyDescent="0.25">
      <c r="A582">
        <v>92549</v>
      </c>
      <c r="B582" s="343">
        <v>33.783700000000003</v>
      </c>
      <c r="C582" s="343">
        <v>-116.777</v>
      </c>
      <c r="D582" s="342">
        <v>2229190</v>
      </c>
      <c r="E582" s="342">
        <v>6401510</v>
      </c>
    </row>
    <row r="583" spans="1:5" x14ac:dyDescent="0.25">
      <c r="A583">
        <v>92551</v>
      </c>
      <c r="B583" s="343">
        <v>33.8812</v>
      </c>
      <c r="C583" s="343">
        <v>-117.226</v>
      </c>
      <c r="D583" s="342">
        <v>2265640</v>
      </c>
      <c r="E583" s="342">
        <v>6265400</v>
      </c>
    </row>
    <row r="584" spans="1:5" x14ac:dyDescent="0.25">
      <c r="A584">
        <v>92553</v>
      </c>
      <c r="B584" s="343">
        <v>33.923099999999998</v>
      </c>
      <c r="C584" s="343">
        <v>-117.245</v>
      </c>
      <c r="D584" s="342">
        <v>2280950</v>
      </c>
      <c r="E584" s="342">
        <v>6259720</v>
      </c>
    </row>
    <row r="585" spans="1:5" x14ac:dyDescent="0.25">
      <c r="A585">
        <v>92555</v>
      </c>
      <c r="B585" s="343">
        <v>33.904600000000002</v>
      </c>
      <c r="C585" s="343">
        <v>-117.107</v>
      </c>
      <c r="D585" s="342">
        <v>2273870</v>
      </c>
      <c r="E585" s="342">
        <v>6301480</v>
      </c>
    </row>
    <row r="586" spans="1:5" x14ac:dyDescent="0.25">
      <c r="A586">
        <v>92557</v>
      </c>
      <c r="B586" s="343">
        <v>33.971600000000002</v>
      </c>
      <c r="C586" s="343">
        <v>-117.259</v>
      </c>
      <c r="D586" s="342">
        <v>2298670</v>
      </c>
      <c r="E586" s="342">
        <v>6255810</v>
      </c>
    </row>
    <row r="587" spans="1:5" x14ac:dyDescent="0.25">
      <c r="A587">
        <v>92561</v>
      </c>
      <c r="B587" s="343">
        <v>33.587600000000002</v>
      </c>
      <c r="C587" s="343">
        <v>-116.48</v>
      </c>
      <c r="D587" s="342">
        <v>2157510</v>
      </c>
      <c r="E587" s="342">
        <v>6491720</v>
      </c>
    </row>
    <row r="588" spans="1:5" x14ac:dyDescent="0.25">
      <c r="A588">
        <v>92562</v>
      </c>
      <c r="B588" s="343">
        <v>33.547800000000002</v>
      </c>
      <c r="C588" s="343">
        <v>-117.268</v>
      </c>
      <c r="D588" s="342">
        <v>2144470</v>
      </c>
      <c r="E588" s="342">
        <v>6251450</v>
      </c>
    </row>
    <row r="589" spans="1:5" x14ac:dyDescent="0.25">
      <c r="A589">
        <v>92563</v>
      </c>
      <c r="B589" s="343">
        <v>33.581699999999998</v>
      </c>
      <c r="C589" s="343">
        <v>-117.146</v>
      </c>
      <c r="D589" s="342">
        <v>2156450</v>
      </c>
      <c r="E589" s="342">
        <v>6288710</v>
      </c>
    </row>
    <row r="590" spans="1:5" x14ac:dyDescent="0.25">
      <c r="A590">
        <v>92567</v>
      </c>
      <c r="B590" s="343">
        <v>33.810699999999997</v>
      </c>
      <c r="C590" s="343">
        <v>-117.10299999999999</v>
      </c>
      <c r="D590" s="342">
        <v>2239670</v>
      </c>
      <c r="E590" s="342">
        <v>6302540</v>
      </c>
    </row>
    <row r="591" spans="1:5" x14ac:dyDescent="0.25">
      <c r="A591">
        <v>92570</v>
      </c>
      <c r="B591" s="343">
        <v>33.784399999999998</v>
      </c>
      <c r="C591" s="343">
        <v>-117.321</v>
      </c>
      <c r="D591" s="342">
        <v>2230700</v>
      </c>
      <c r="E591" s="342">
        <v>6236220</v>
      </c>
    </row>
    <row r="592" spans="1:5" x14ac:dyDescent="0.25">
      <c r="A592">
        <v>92571</v>
      </c>
      <c r="B592" s="343">
        <v>33.831600000000002</v>
      </c>
      <c r="C592" s="343">
        <v>-117.18899999999999</v>
      </c>
      <c r="D592" s="342">
        <v>2247520</v>
      </c>
      <c r="E592" s="342">
        <v>6276380</v>
      </c>
    </row>
    <row r="593" spans="1:5" x14ac:dyDescent="0.25">
      <c r="A593">
        <v>92582</v>
      </c>
      <c r="B593" s="343">
        <v>33.808199999999999</v>
      </c>
      <c r="C593" s="343">
        <v>-117.017</v>
      </c>
      <c r="D593" s="342">
        <v>2238560</v>
      </c>
      <c r="E593" s="342">
        <v>6328720</v>
      </c>
    </row>
    <row r="594" spans="1:5" x14ac:dyDescent="0.25">
      <c r="A594">
        <v>92583</v>
      </c>
      <c r="B594" s="343">
        <v>33.792200000000001</v>
      </c>
      <c r="C594" s="343">
        <v>-116.92</v>
      </c>
      <c r="D594" s="342">
        <v>2232550</v>
      </c>
      <c r="E594" s="342">
        <v>6358050</v>
      </c>
    </row>
    <row r="595" spans="1:5" x14ac:dyDescent="0.25">
      <c r="A595">
        <v>92584</v>
      </c>
      <c r="B595" s="343">
        <v>33.660400000000003</v>
      </c>
      <c r="C595" s="343">
        <v>-117.175</v>
      </c>
      <c r="D595" s="342">
        <v>2185160</v>
      </c>
      <c r="E595" s="342">
        <v>6280270</v>
      </c>
    </row>
    <row r="596" spans="1:5" x14ac:dyDescent="0.25">
      <c r="A596">
        <v>92585</v>
      </c>
      <c r="B596" s="343">
        <v>33.742400000000004</v>
      </c>
      <c r="C596" s="343">
        <v>-117.17</v>
      </c>
      <c r="D596" s="342">
        <v>2214990</v>
      </c>
      <c r="E596" s="342">
        <v>6281980</v>
      </c>
    </row>
    <row r="597" spans="1:5" x14ac:dyDescent="0.25">
      <c r="A597">
        <v>92586</v>
      </c>
      <c r="B597" s="343">
        <v>33.706499999999998</v>
      </c>
      <c r="C597" s="343">
        <v>-117.2</v>
      </c>
      <c r="D597" s="342">
        <v>2202010</v>
      </c>
      <c r="E597" s="342">
        <v>6272780</v>
      </c>
    </row>
    <row r="598" spans="1:5" x14ac:dyDescent="0.25">
      <c r="A598">
        <v>92587</v>
      </c>
      <c r="B598" s="343">
        <v>33.696300000000001</v>
      </c>
      <c r="C598" s="343">
        <v>-117.249</v>
      </c>
      <c r="D598" s="342">
        <v>2198430</v>
      </c>
      <c r="E598" s="342">
        <v>6257880</v>
      </c>
    </row>
    <row r="599" spans="1:5" x14ac:dyDescent="0.25">
      <c r="A599">
        <v>92590</v>
      </c>
      <c r="B599" s="343">
        <v>33.481299999999997</v>
      </c>
      <c r="C599" s="343">
        <v>-117.218</v>
      </c>
      <c r="D599" s="342">
        <v>2120110</v>
      </c>
      <c r="E599" s="342">
        <v>6266430</v>
      </c>
    </row>
    <row r="600" spans="1:5" x14ac:dyDescent="0.25">
      <c r="A600">
        <v>92591</v>
      </c>
      <c r="B600" s="343">
        <v>33.532400000000003</v>
      </c>
      <c r="C600" s="343">
        <v>-117.111</v>
      </c>
      <c r="D600" s="342">
        <v>2138420</v>
      </c>
      <c r="E600" s="342">
        <v>6299220</v>
      </c>
    </row>
    <row r="601" spans="1:5" x14ac:dyDescent="0.25">
      <c r="A601">
        <v>92592</v>
      </c>
      <c r="B601" s="343">
        <v>33.506399999999999</v>
      </c>
      <c r="C601" s="343">
        <v>-117.014</v>
      </c>
      <c r="D601" s="342">
        <v>2128740</v>
      </c>
      <c r="E601" s="342">
        <v>6328900</v>
      </c>
    </row>
    <row r="602" spans="1:5" x14ac:dyDescent="0.25">
      <c r="A602">
        <v>92595</v>
      </c>
      <c r="B602" s="343">
        <v>33.618299999999998</v>
      </c>
      <c r="C602" s="343">
        <v>-117.26</v>
      </c>
      <c r="D602" s="342">
        <v>2170100</v>
      </c>
      <c r="E602" s="342">
        <v>6254090</v>
      </c>
    </row>
    <row r="603" spans="1:5" x14ac:dyDescent="0.25">
      <c r="A603">
        <v>92596</v>
      </c>
      <c r="B603" s="343">
        <v>33.640599999999999</v>
      </c>
      <c r="C603" s="343">
        <v>-117.072</v>
      </c>
      <c r="D603" s="342">
        <v>2177700</v>
      </c>
      <c r="E603" s="342">
        <v>6311340</v>
      </c>
    </row>
    <row r="604" spans="1:5" x14ac:dyDescent="0.25">
      <c r="A604">
        <v>92602</v>
      </c>
      <c r="B604" s="343">
        <v>33.741799999999998</v>
      </c>
      <c r="C604" s="343">
        <v>-117.739</v>
      </c>
      <c r="D604" s="342">
        <v>2216770</v>
      </c>
      <c r="E604" s="342">
        <v>6109060</v>
      </c>
    </row>
    <row r="605" spans="1:5" x14ac:dyDescent="0.25">
      <c r="A605">
        <v>92603</v>
      </c>
      <c r="B605" s="343">
        <v>33.625999999999998</v>
      </c>
      <c r="C605" s="343">
        <v>-117.791</v>
      </c>
      <c r="D605" s="342">
        <v>2174890</v>
      </c>
      <c r="E605" s="342">
        <v>6092600</v>
      </c>
    </row>
    <row r="606" spans="1:5" x14ac:dyDescent="0.25">
      <c r="A606">
        <v>92604</v>
      </c>
      <c r="B606" s="343">
        <v>33.688099999999999</v>
      </c>
      <c r="C606" s="343">
        <v>-117.789</v>
      </c>
      <c r="D606" s="342">
        <v>2197450</v>
      </c>
      <c r="E606" s="342">
        <v>6093660</v>
      </c>
    </row>
    <row r="607" spans="1:5" x14ac:dyDescent="0.25">
      <c r="A607">
        <v>92606</v>
      </c>
      <c r="B607" s="343">
        <v>33.697600000000001</v>
      </c>
      <c r="C607" s="343">
        <v>-117.813</v>
      </c>
      <c r="D607" s="342">
        <v>2201020</v>
      </c>
      <c r="E607" s="342">
        <v>6086360</v>
      </c>
    </row>
    <row r="608" spans="1:5" x14ac:dyDescent="0.25">
      <c r="A608">
        <v>92610</v>
      </c>
      <c r="B608" s="343">
        <v>33.706400000000002</v>
      </c>
      <c r="C608" s="343">
        <v>-117.66500000000001</v>
      </c>
      <c r="D608" s="342">
        <v>2203580</v>
      </c>
      <c r="E608" s="342">
        <v>6131210</v>
      </c>
    </row>
    <row r="609" spans="1:5" x14ac:dyDescent="0.25">
      <c r="A609">
        <v>92612</v>
      </c>
      <c r="B609" s="343">
        <v>33.660400000000003</v>
      </c>
      <c r="C609" s="343">
        <v>-117.82599999999999</v>
      </c>
      <c r="D609" s="342">
        <v>2187540</v>
      </c>
      <c r="E609" s="342">
        <v>6082080</v>
      </c>
    </row>
    <row r="610" spans="1:5" x14ac:dyDescent="0.25">
      <c r="A610">
        <v>92614</v>
      </c>
      <c r="B610" s="343">
        <v>33.681899999999999</v>
      </c>
      <c r="C610" s="343">
        <v>-117.833</v>
      </c>
      <c r="D610" s="342">
        <v>2195400</v>
      </c>
      <c r="E610" s="342">
        <v>6080190</v>
      </c>
    </row>
    <row r="611" spans="1:5" x14ac:dyDescent="0.25">
      <c r="A611">
        <v>92617</v>
      </c>
      <c r="B611" s="343">
        <v>33.6419</v>
      </c>
      <c r="C611" s="343">
        <v>-117.842</v>
      </c>
      <c r="D611" s="342">
        <v>2180910</v>
      </c>
      <c r="E611" s="342">
        <v>6077010</v>
      </c>
    </row>
    <row r="612" spans="1:5" x14ac:dyDescent="0.25">
      <c r="A612">
        <v>92618</v>
      </c>
      <c r="B612" s="343">
        <v>33.678600000000003</v>
      </c>
      <c r="C612" s="343">
        <v>-117.726</v>
      </c>
      <c r="D612" s="342">
        <v>2193730</v>
      </c>
      <c r="E612" s="342">
        <v>6112500</v>
      </c>
    </row>
    <row r="613" spans="1:5" x14ac:dyDescent="0.25">
      <c r="A613">
        <v>92620</v>
      </c>
      <c r="B613" s="343">
        <v>33.708799999999997</v>
      </c>
      <c r="C613" s="343">
        <v>-117.756</v>
      </c>
      <c r="D613" s="342">
        <v>2204860</v>
      </c>
      <c r="E613" s="342">
        <v>6103570</v>
      </c>
    </row>
    <row r="614" spans="1:5" x14ac:dyDescent="0.25">
      <c r="A614">
        <v>92624</v>
      </c>
      <c r="B614" s="343">
        <v>33.458399999999997</v>
      </c>
      <c r="C614" s="343">
        <v>-117.66500000000001</v>
      </c>
      <c r="D614" s="342">
        <v>2113360</v>
      </c>
      <c r="E614" s="342">
        <v>6130060</v>
      </c>
    </row>
    <row r="615" spans="1:5" x14ac:dyDescent="0.25">
      <c r="A615">
        <v>92625</v>
      </c>
      <c r="B615" s="343">
        <v>33.601599999999998</v>
      </c>
      <c r="C615" s="343">
        <v>-117.866</v>
      </c>
      <c r="D615" s="342">
        <v>2166320</v>
      </c>
      <c r="E615" s="342">
        <v>6069740</v>
      </c>
    </row>
    <row r="616" spans="1:5" x14ac:dyDescent="0.25">
      <c r="A616">
        <v>92626</v>
      </c>
      <c r="B616" s="343">
        <v>33.679099999999998</v>
      </c>
      <c r="C616" s="343">
        <v>-117.90900000000001</v>
      </c>
      <c r="D616" s="342">
        <v>2194750</v>
      </c>
      <c r="E616" s="342">
        <v>6057110</v>
      </c>
    </row>
    <row r="617" spans="1:5" x14ac:dyDescent="0.25">
      <c r="A617">
        <v>92627</v>
      </c>
      <c r="B617" s="343">
        <v>33.648200000000003</v>
      </c>
      <c r="C617" s="343">
        <v>-117.92</v>
      </c>
      <c r="D617" s="342">
        <v>2183550</v>
      </c>
      <c r="E617" s="342">
        <v>6053350</v>
      </c>
    </row>
    <row r="618" spans="1:5" x14ac:dyDescent="0.25">
      <c r="A618">
        <v>92629</v>
      </c>
      <c r="B618" s="343">
        <v>33.477699999999999</v>
      </c>
      <c r="C618" s="343">
        <v>-117.705</v>
      </c>
      <c r="D618" s="342">
        <v>2120550</v>
      </c>
      <c r="E618" s="342">
        <v>6117960</v>
      </c>
    </row>
    <row r="619" spans="1:5" x14ac:dyDescent="0.25">
      <c r="A619">
        <v>92630</v>
      </c>
      <c r="B619" s="343">
        <v>33.6462</v>
      </c>
      <c r="C619" s="343">
        <v>-117.68600000000001</v>
      </c>
      <c r="D619" s="342">
        <v>2181770</v>
      </c>
      <c r="E619" s="342">
        <v>6124770</v>
      </c>
    </row>
    <row r="620" spans="1:5" x14ac:dyDescent="0.25">
      <c r="A620">
        <v>92637</v>
      </c>
      <c r="B620" s="343">
        <v>33.608800000000002</v>
      </c>
      <c r="C620" s="343">
        <v>-117.729</v>
      </c>
      <c r="D620" s="342">
        <v>2168350</v>
      </c>
      <c r="E620" s="342">
        <v>6111370</v>
      </c>
    </row>
    <row r="621" spans="1:5" x14ac:dyDescent="0.25">
      <c r="A621">
        <v>92646</v>
      </c>
      <c r="B621" s="343">
        <v>33.664999999999999</v>
      </c>
      <c r="C621" s="343">
        <v>-117.968</v>
      </c>
      <c r="D621" s="342">
        <v>2189910</v>
      </c>
      <c r="E621" s="342">
        <v>6038900</v>
      </c>
    </row>
    <row r="622" spans="1:5" x14ac:dyDescent="0.25">
      <c r="A622">
        <v>92647</v>
      </c>
      <c r="B622" s="343">
        <v>33.723599999999998</v>
      </c>
      <c r="C622" s="343">
        <v>-118.00700000000001</v>
      </c>
      <c r="D622" s="342">
        <v>2211430</v>
      </c>
      <c r="E622" s="342">
        <v>6027560</v>
      </c>
    </row>
    <row r="623" spans="1:5" x14ac:dyDescent="0.25">
      <c r="A623">
        <v>92648</v>
      </c>
      <c r="B623" s="343">
        <v>33.682299999999998</v>
      </c>
      <c r="C623" s="343">
        <v>-118.01300000000001</v>
      </c>
      <c r="D623" s="342">
        <v>2196420</v>
      </c>
      <c r="E623" s="342">
        <v>6025480</v>
      </c>
    </row>
    <row r="624" spans="1:5" x14ac:dyDescent="0.25">
      <c r="A624">
        <v>92649</v>
      </c>
      <c r="B624" s="343">
        <v>33.721299999999999</v>
      </c>
      <c r="C624" s="343">
        <v>-118.045</v>
      </c>
      <c r="D624" s="342">
        <v>2210760</v>
      </c>
      <c r="E624" s="342">
        <v>6015900</v>
      </c>
    </row>
    <row r="625" spans="1:5" x14ac:dyDescent="0.25">
      <c r="A625">
        <v>92651</v>
      </c>
      <c r="B625" s="343">
        <v>33.558799999999998</v>
      </c>
      <c r="C625" s="343">
        <v>-117.773</v>
      </c>
      <c r="D625" s="342">
        <v>2150350</v>
      </c>
      <c r="E625" s="342">
        <v>6097760</v>
      </c>
    </row>
    <row r="626" spans="1:5" x14ac:dyDescent="0.25">
      <c r="A626">
        <v>92653</v>
      </c>
      <c r="B626" s="343">
        <v>33.591799999999999</v>
      </c>
      <c r="C626" s="343">
        <v>-117.699</v>
      </c>
      <c r="D626" s="342">
        <v>2162020</v>
      </c>
      <c r="E626" s="342">
        <v>6120550</v>
      </c>
    </row>
    <row r="627" spans="1:5" x14ac:dyDescent="0.25">
      <c r="A627">
        <v>92655</v>
      </c>
      <c r="B627" s="343">
        <v>33.744999999999997</v>
      </c>
      <c r="C627" s="343">
        <v>-117.985</v>
      </c>
      <c r="D627" s="342">
        <v>2219100</v>
      </c>
      <c r="E627" s="342">
        <v>6034260</v>
      </c>
    </row>
    <row r="628" spans="1:5" x14ac:dyDescent="0.25">
      <c r="A628">
        <v>92656</v>
      </c>
      <c r="B628" s="343">
        <v>33.575000000000003</v>
      </c>
      <c r="C628" s="343">
        <v>-117.732</v>
      </c>
      <c r="D628" s="342">
        <v>2156060</v>
      </c>
      <c r="E628" s="342">
        <v>6110250</v>
      </c>
    </row>
    <row r="629" spans="1:5" x14ac:dyDescent="0.25">
      <c r="A629">
        <v>92657</v>
      </c>
      <c r="B629" s="343">
        <v>33.590600000000002</v>
      </c>
      <c r="C629" s="343">
        <v>-117.82899999999999</v>
      </c>
      <c r="D629" s="342">
        <v>2162160</v>
      </c>
      <c r="E629" s="342">
        <v>6080860</v>
      </c>
    </row>
    <row r="630" spans="1:5" x14ac:dyDescent="0.25">
      <c r="A630">
        <v>92660</v>
      </c>
      <c r="B630" s="343">
        <v>33.633099999999999</v>
      </c>
      <c r="C630" s="343">
        <v>-117.875</v>
      </c>
      <c r="D630" s="342">
        <v>2177840</v>
      </c>
      <c r="E630" s="342">
        <v>6067190</v>
      </c>
    </row>
    <row r="631" spans="1:5" x14ac:dyDescent="0.25">
      <c r="A631">
        <v>92661</v>
      </c>
      <c r="B631" s="343">
        <v>33.601599999999998</v>
      </c>
      <c r="C631" s="343">
        <v>-117.902</v>
      </c>
      <c r="D631" s="342">
        <v>2166510</v>
      </c>
      <c r="E631" s="342">
        <v>6058800</v>
      </c>
    </row>
    <row r="632" spans="1:5" x14ac:dyDescent="0.25">
      <c r="A632">
        <v>92662</v>
      </c>
      <c r="B632" s="343">
        <v>33.606499999999997</v>
      </c>
      <c r="C632" s="343">
        <v>-117.893</v>
      </c>
      <c r="D632" s="342">
        <v>2168260</v>
      </c>
      <c r="E632" s="342">
        <v>6061460</v>
      </c>
    </row>
    <row r="633" spans="1:5" x14ac:dyDescent="0.25">
      <c r="A633">
        <v>92663</v>
      </c>
      <c r="B633" s="343">
        <v>33.6248</v>
      </c>
      <c r="C633" s="343">
        <v>-117.932</v>
      </c>
      <c r="D633" s="342">
        <v>2175080</v>
      </c>
      <c r="E633" s="342">
        <v>6049590</v>
      </c>
    </row>
    <row r="634" spans="1:5" x14ac:dyDescent="0.25">
      <c r="A634">
        <v>92672</v>
      </c>
      <c r="B634" s="343">
        <v>33.396000000000001</v>
      </c>
      <c r="C634" s="343">
        <v>-117.554</v>
      </c>
      <c r="D634" s="342">
        <v>2090210</v>
      </c>
      <c r="E634" s="342">
        <v>6163720</v>
      </c>
    </row>
    <row r="635" spans="1:5" x14ac:dyDescent="0.25">
      <c r="A635">
        <v>92673</v>
      </c>
      <c r="B635" s="343">
        <v>33.466299999999997</v>
      </c>
      <c r="C635" s="343">
        <v>-117.61199999999999</v>
      </c>
      <c r="D635" s="342">
        <v>2116020</v>
      </c>
      <c r="E635" s="342">
        <v>6146430</v>
      </c>
    </row>
    <row r="636" spans="1:5" x14ac:dyDescent="0.25">
      <c r="A636">
        <v>92675</v>
      </c>
      <c r="B636" s="343">
        <v>33.565800000000003</v>
      </c>
      <c r="C636" s="343">
        <v>-117.544</v>
      </c>
      <c r="D636" s="342">
        <v>2151930</v>
      </c>
      <c r="E636" s="342">
        <v>6167400</v>
      </c>
    </row>
    <row r="637" spans="1:5" x14ac:dyDescent="0.25">
      <c r="A637">
        <v>92676</v>
      </c>
      <c r="B637" s="343">
        <v>33.745100000000001</v>
      </c>
      <c r="C637" s="343">
        <v>-117.608</v>
      </c>
      <c r="D637" s="342">
        <v>2217440</v>
      </c>
      <c r="E637" s="342">
        <v>6148970</v>
      </c>
    </row>
    <row r="638" spans="1:5" x14ac:dyDescent="0.25">
      <c r="A638">
        <v>92677</v>
      </c>
      <c r="B638" s="343">
        <v>33.527700000000003</v>
      </c>
      <c r="C638" s="343">
        <v>-117.70399999999999</v>
      </c>
      <c r="D638" s="342">
        <v>2138740</v>
      </c>
      <c r="E638" s="342">
        <v>6118470</v>
      </c>
    </row>
    <row r="639" spans="1:5" x14ac:dyDescent="0.25">
      <c r="A639">
        <v>92679</v>
      </c>
      <c r="B639" s="343">
        <v>33.651200000000003</v>
      </c>
      <c r="C639" s="343">
        <v>-117.56399999999999</v>
      </c>
      <c r="D639" s="342">
        <v>2183100</v>
      </c>
      <c r="E639" s="342">
        <v>6161930</v>
      </c>
    </row>
    <row r="640" spans="1:5" x14ac:dyDescent="0.25">
      <c r="A640">
        <v>92683</v>
      </c>
      <c r="B640" s="343">
        <v>33.752499999999998</v>
      </c>
      <c r="C640" s="343">
        <v>-117.994</v>
      </c>
      <c r="D640" s="342">
        <v>2221860</v>
      </c>
      <c r="E640" s="342">
        <v>6031600</v>
      </c>
    </row>
    <row r="641" spans="1:5" x14ac:dyDescent="0.25">
      <c r="A641">
        <v>92688</v>
      </c>
      <c r="B641" s="343">
        <v>33.6297</v>
      </c>
      <c r="C641" s="343">
        <v>-117.611</v>
      </c>
      <c r="D641" s="342">
        <v>2175470</v>
      </c>
      <c r="E641" s="342">
        <v>6147380</v>
      </c>
    </row>
    <row r="642" spans="1:5" x14ac:dyDescent="0.25">
      <c r="A642">
        <v>92691</v>
      </c>
      <c r="B642" s="343">
        <v>33.610599999999998</v>
      </c>
      <c r="C642" s="343">
        <v>-117.666</v>
      </c>
      <c r="D642" s="342">
        <v>2168710</v>
      </c>
      <c r="E642" s="342">
        <v>6130510</v>
      </c>
    </row>
    <row r="643" spans="1:5" x14ac:dyDescent="0.25">
      <c r="A643">
        <v>92692</v>
      </c>
      <c r="B643" s="343">
        <v>33.609499999999997</v>
      </c>
      <c r="C643" s="343">
        <v>-117.643</v>
      </c>
      <c r="D643" s="342">
        <v>2168250</v>
      </c>
      <c r="E643" s="342">
        <v>6137470</v>
      </c>
    </row>
    <row r="644" spans="1:5" x14ac:dyDescent="0.25">
      <c r="A644">
        <v>92694</v>
      </c>
      <c r="B644" s="343">
        <v>33.548299999999998</v>
      </c>
      <c r="C644" s="343">
        <v>-117.639</v>
      </c>
      <c r="D644" s="342">
        <v>2145940</v>
      </c>
      <c r="E644" s="342">
        <v>6138400</v>
      </c>
    </row>
    <row r="645" spans="1:5" x14ac:dyDescent="0.25">
      <c r="A645">
        <v>92697</v>
      </c>
      <c r="B645" s="343">
        <v>33.646999999999998</v>
      </c>
      <c r="C645" s="343">
        <v>-117.84099999999999</v>
      </c>
      <c r="D645" s="342">
        <v>2182750</v>
      </c>
      <c r="E645" s="342">
        <v>6077380</v>
      </c>
    </row>
    <row r="646" spans="1:5" x14ac:dyDescent="0.25">
      <c r="A646">
        <v>92701</v>
      </c>
      <c r="B646" s="343">
        <v>33.7483</v>
      </c>
      <c r="C646" s="343">
        <v>-117.85899999999999</v>
      </c>
      <c r="D646" s="342">
        <v>2219680</v>
      </c>
      <c r="E646" s="342">
        <v>6072700</v>
      </c>
    </row>
    <row r="647" spans="1:5" x14ac:dyDescent="0.25">
      <c r="A647">
        <v>92703</v>
      </c>
      <c r="B647" s="343">
        <v>33.748600000000003</v>
      </c>
      <c r="C647" s="343">
        <v>-117.90600000000001</v>
      </c>
      <c r="D647" s="342">
        <v>2220010</v>
      </c>
      <c r="E647" s="342">
        <v>6058410</v>
      </c>
    </row>
    <row r="648" spans="1:5" x14ac:dyDescent="0.25">
      <c r="A648">
        <v>92704</v>
      </c>
      <c r="B648" s="343">
        <v>33.720799999999997</v>
      </c>
      <c r="C648" s="343">
        <v>-117.908</v>
      </c>
      <c r="D648" s="342">
        <v>2209910</v>
      </c>
      <c r="E648" s="342">
        <v>6057420</v>
      </c>
    </row>
    <row r="649" spans="1:5" x14ac:dyDescent="0.25">
      <c r="A649">
        <v>92705</v>
      </c>
      <c r="B649" s="343">
        <v>33.756900000000002</v>
      </c>
      <c r="C649" s="343">
        <v>-117.81399999999999</v>
      </c>
      <c r="D649" s="342">
        <v>2222620</v>
      </c>
      <c r="E649" s="342">
        <v>6086280</v>
      </c>
    </row>
    <row r="650" spans="1:5" x14ac:dyDescent="0.25">
      <c r="A650">
        <v>92706</v>
      </c>
      <c r="B650" s="343">
        <v>33.765900000000002</v>
      </c>
      <c r="C650" s="343">
        <v>-117.88200000000001</v>
      </c>
      <c r="D650" s="342">
        <v>2226170</v>
      </c>
      <c r="E650" s="342">
        <v>6065840</v>
      </c>
    </row>
    <row r="651" spans="1:5" x14ac:dyDescent="0.25">
      <c r="A651">
        <v>92707</v>
      </c>
      <c r="B651" s="343">
        <v>33.709200000000003</v>
      </c>
      <c r="C651" s="343">
        <v>-117.871</v>
      </c>
      <c r="D651" s="342">
        <v>2205520</v>
      </c>
      <c r="E651" s="342">
        <v>6068830</v>
      </c>
    </row>
    <row r="652" spans="1:5" x14ac:dyDescent="0.25">
      <c r="A652">
        <v>92708</v>
      </c>
      <c r="B652" s="343">
        <v>33.7104</v>
      </c>
      <c r="C652" s="343">
        <v>-117.95099999999999</v>
      </c>
      <c r="D652" s="342">
        <v>2206320</v>
      </c>
      <c r="E652" s="342">
        <v>6044260</v>
      </c>
    </row>
    <row r="653" spans="1:5" x14ac:dyDescent="0.25">
      <c r="A653">
        <v>92780</v>
      </c>
      <c r="B653" s="343">
        <v>33.735799999999998</v>
      </c>
      <c r="C653" s="343">
        <v>-117.819</v>
      </c>
      <c r="D653" s="342">
        <v>2214930</v>
      </c>
      <c r="E653" s="342">
        <v>6084610</v>
      </c>
    </row>
    <row r="654" spans="1:5" x14ac:dyDescent="0.25">
      <c r="A654">
        <v>92782</v>
      </c>
      <c r="B654" s="343">
        <v>33.7271</v>
      </c>
      <c r="C654" s="343">
        <v>-117.8</v>
      </c>
      <c r="D654" s="342">
        <v>2211690</v>
      </c>
      <c r="E654" s="342">
        <v>6090470</v>
      </c>
    </row>
    <row r="655" spans="1:5" x14ac:dyDescent="0.25">
      <c r="A655">
        <v>92801</v>
      </c>
      <c r="B655" s="343">
        <v>33.844900000000003</v>
      </c>
      <c r="C655" s="343">
        <v>-117.952</v>
      </c>
      <c r="D655" s="342">
        <v>2255270</v>
      </c>
      <c r="E655" s="342">
        <v>6044980</v>
      </c>
    </row>
    <row r="656" spans="1:5" x14ac:dyDescent="0.25">
      <c r="A656">
        <v>92802</v>
      </c>
      <c r="B656" s="343">
        <v>33.808100000000003</v>
      </c>
      <c r="C656" s="343">
        <v>-117.92400000000001</v>
      </c>
      <c r="D656" s="342">
        <v>2241740</v>
      </c>
      <c r="E656" s="342">
        <v>6053320</v>
      </c>
    </row>
    <row r="657" spans="1:5" x14ac:dyDescent="0.25">
      <c r="A657">
        <v>92804</v>
      </c>
      <c r="B657" s="343">
        <v>33.8187</v>
      </c>
      <c r="C657" s="343">
        <v>-117.97499999999999</v>
      </c>
      <c r="D657" s="342">
        <v>2245850</v>
      </c>
      <c r="E657" s="342">
        <v>6037850</v>
      </c>
    </row>
    <row r="658" spans="1:5" x14ac:dyDescent="0.25">
      <c r="A658">
        <v>92805</v>
      </c>
      <c r="B658" s="343">
        <v>33.829700000000003</v>
      </c>
      <c r="C658" s="343">
        <v>-117.90600000000001</v>
      </c>
      <c r="D658" s="342">
        <v>2249530</v>
      </c>
      <c r="E658" s="342">
        <v>6058870</v>
      </c>
    </row>
    <row r="659" spans="1:5" x14ac:dyDescent="0.25">
      <c r="A659">
        <v>92806</v>
      </c>
      <c r="B659" s="343">
        <v>33.838200000000001</v>
      </c>
      <c r="C659" s="343">
        <v>-117.87</v>
      </c>
      <c r="D659" s="342">
        <v>2252440</v>
      </c>
      <c r="E659" s="342">
        <v>6069690</v>
      </c>
    </row>
    <row r="660" spans="1:5" x14ac:dyDescent="0.25">
      <c r="A660">
        <v>92807</v>
      </c>
      <c r="B660" s="343">
        <v>33.85</v>
      </c>
      <c r="C660" s="343">
        <v>-117.789</v>
      </c>
      <c r="D660" s="342">
        <v>2256360</v>
      </c>
      <c r="E660" s="342">
        <v>6094320</v>
      </c>
    </row>
    <row r="661" spans="1:5" x14ac:dyDescent="0.25">
      <c r="A661">
        <v>92808</v>
      </c>
      <c r="B661" s="343">
        <v>33.820099999999996</v>
      </c>
      <c r="C661" s="343">
        <v>-117.70099999999999</v>
      </c>
      <c r="D661" s="342">
        <v>2245100</v>
      </c>
      <c r="E661" s="342">
        <v>6121110</v>
      </c>
    </row>
    <row r="662" spans="1:5" x14ac:dyDescent="0.25">
      <c r="A662">
        <v>92821</v>
      </c>
      <c r="B662" s="343">
        <v>33.927500000000002</v>
      </c>
      <c r="C662" s="343">
        <v>-117.88500000000001</v>
      </c>
      <c r="D662" s="342">
        <v>2285010</v>
      </c>
      <c r="E662" s="342">
        <v>6065790</v>
      </c>
    </row>
    <row r="663" spans="1:5" x14ac:dyDescent="0.25">
      <c r="A663">
        <v>92823</v>
      </c>
      <c r="B663" s="343">
        <v>33.929299999999998</v>
      </c>
      <c r="C663" s="343">
        <v>-117.807</v>
      </c>
      <c r="D663" s="342">
        <v>2285290</v>
      </c>
      <c r="E663" s="342">
        <v>6089430</v>
      </c>
    </row>
    <row r="664" spans="1:5" x14ac:dyDescent="0.25">
      <c r="A664">
        <v>92831</v>
      </c>
      <c r="B664" s="343">
        <v>33.879300000000001</v>
      </c>
      <c r="C664" s="343">
        <v>-117.896</v>
      </c>
      <c r="D664" s="342">
        <v>2267540</v>
      </c>
      <c r="E664" s="342">
        <v>6061970</v>
      </c>
    </row>
    <row r="665" spans="1:5" x14ac:dyDescent="0.25">
      <c r="A665">
        <v>92832</v>
      </c>
      <c r="B665" s="343">
        <v>33.868400000000001</v>
      </c>
      <c r="C665" s="343">
        <v>-117.929</v>
      </c>
      <c r="D665" s="342">
        <v>2263720</v>
      </c>
      <c r="E665" s="342">
        <v>6051950</v>
      </c>
    </row>
    <row r="666" spans="1:5" x14ac:dyDescent="0.25">
      <c r="A666">
        <v>92833</v>
      </c>
      <c r="B666" s="343">
        <v>33.880000000000003</v>
      </c>
      <c r="C666" s="343">
        <v>-117.961</v>
      </c>
      <c r="D666" s="342">
        <v>2268090</v>
      </c>
      <c r="E666" s="342">
        <v>6042340</v>
      </c>
    </row>
    <row r="667" spans="1:5" x14ac:dyDescent="0.25">
      <c r="A667">
        <v>92835</v>
      </c>
      <c r="B667" s="343">
        <v>33.902000000000001</v>
      </c>
      <c r="C667" s="343">
        <v>-117.91500000000001</v>
      </c>
      <c r="D667" s="342">
        <v>2275890</v>
      </c>
      <c r="E667" s="342">
        <v>6056340</v>
      </c>
    </row>
    <row r="668" spans="1:5" x14ac:dyDescent="0.25">
      <c r="A668">
        <v>92840</v>
      </c>
      <c r="B668" s="343">
        <v>33.785899999999998</v>
      </c>
      <c r="C668" s="343">
        <v>-117.932</v>
      </c>
      <c r="D668" s="342">
        <v>2233710</v>
      </c>
      <c r="E668" s="342">
        <v>6050650</v>
      </c>
    </row>
    <row r="669" spans="1:5" x14ac:dyDescent="0.25">
      <c r="A669">
        <v>92841</v>
      </c>
      <c r="B669" s="343">
        <v>33.787100000000002</v>
      </c>
      <c r="C669" s="343">
        <v>-117.982</v>
      </c>
      <c r="D669" s="342">
        <v>2234400</v>
      </c>
      <c r="E669" s="342">
        <v>6035510</v>
      </c>
    </row>
    <row r="670" spans="1:5" x14ac:dyDescent="0.25">
      <c r="A670">
        <v>92843</v>
      </c>
      <c r="B670" s="343">
        <v>33.7639</v>
      </c>
      <c r="C670" s="343">
        <v>-117.931</v>
      </c>
      <c r="D670" s="342">
        <v>2225710</v>
      </c>
      <c r="E670" s="342">
        <v>6050710</v>
      </c>
    </row>
    <row r="671" spans="1:5" x14ac:dyDescent="0.25">
      <c r="A671">
        <v>92844</v>
      </c>
      <c r="B671" s="343">
        <v>33.765500000000003</v>
      </c>
      <c r="C671" s="343">
        <v>-117.97</v>
      </c>
      <c r="D671" s="342">
        <v>2226480</v>
      </c>
      <c r="E671" s="342">
        <v>6039080</v>
      </c>
    </row>
    <row r="672" spans="1:5" x14ac:dyDescent="0.25">
      <c r="A672">
        <v>92845</v>
      </c>
      <c r="B672" s="343">
        <v>33.783000000000001</v>
      </c>
      <c r="C672" s="343">
        <v>-118.026</v>
      </c>
      <c r="D672" s="342">
        <v>2233150</v>
      </c>
      <c r="E672" s="342">
        <v>6021890</v>
      </c>
    </row>
    <row r="673" spans="1:5" x14ac:dyDescent="0.25">
      <c r="A673">
        <v>92860</v>
      </c>
      <c r="B673" s="343">
        <v>33.924599999999998</v>
      </c>
      <c r="C673" s="343">
        <v>-117.55200000000001</v>
      </c>
      <c r="D673" s="342">
        <v>2282540</v>
      </c>
      <c r="E673" s="342">
        <v>6166600</v>
      </c>
    </row>
    <row r="674" spans="1:5" x14ac:dyDescent="0.25">
      <c r="A674">
        <v>92861</v>
      </c>
      <c r="B674" s="343">
        <v>33.817300000000003</v>
      </c>
      <c r="C674" s="343">
        <v>-117.81</v>
      </c>
      <c r="D674" s="342">
        <v>2244570</v>
      </c>
      <c r="E674" s="342">
        <v>6087800</v>
      </c>
    </row>
    <row r="675" spans="1:5" x14ac:dyDescent="0.25">
      <c r="A675">
        <v>92865</v>
      </c>
      <c r="B675" s="343">
        <v>33.829000000000001</v>
      </c>
      <c r="C675" s="343">
        <v>-117.848</v>
      </c>
      <c r="D675" s="342">
        <v>2248990</v>
      </c>
      <c r="E675" s="342">
        <v>6076240</v>
      </c>
    </row>
    <row r="676" spans="1:5" x14ac:dyDescent="0.25">
      <c r="A676">
        <v>92866</v>
      </c>
      <c r="B676" s="343">
        <v>33.784599999999998</v>
      </c>
      <c r="C676" s="343">
        <v>-117.845</v>
      </c>
      <c r="D676" s="342">
        <v>2232830</v>
      </c>
      <c r="E676" s="342">
        <v>6077160</v>
      </c>
    </row>
    <row r="677" spans="1:5" x14ac:dyDescent="0.25">
      <c r="A677">
        <v>92867</v>
      </c>
      <c r="B677" s="343">
        <v>33.8155</v>
      </c>
      <c r="C677" s="343">
        <v>-117.824</v>
      </c>
      <c r="D677" s="342">
        <v>2243970</v>
      </c>
      <c r="E677" s="342">
        <v>6083660</v>
      </c>
    </row>
    <row r="678" spans="1:5" x14ac:dyDescent="0.25">
      <c r="A678">
        <v>92868</v>
      </c>
      <c r="B678" s="343">
        <v>33.787700000000001</v>
      </c>
      <c r="C678" s="343">
        <v>-117.876</v>
      </c>
      <c r="D678" s="342">
        <v>2234110</v>
      </c>
      <c r="E678" s="342">
        <v>6067510</v>
      </c>
    </row>
    <row r="679" spans="1:5" x14ac:dyDescent="0.25">
      <c r="A679">
        <v>92869</v>
      </c>
      <c r="B679" s="343">
        <v>33.801299999999998</v>
      </c>
      <c r="C679" s="343">
        <v>-117.774</v>
      </c>
      <c r="D679" s="342">
        <v>2238560</v>
      </c>
      <c r="E679" s="342">
        <v>6098760</v>
      </c>
    </row>
    <row r="680" spans="1:5" x14ac:dyDescent="0.25">
      <c r="A680">
        <v>92870</v>
      </c>
      <c r="B680" s="343">
        <v>33.880899999999997</v>
      </c>
      <c r="C680" s="343">
        <v>-117.855</v>
      </c>
      <c r="D680" s="342">
        <v>2267900</v>
      </c>
      <c r="E680" s="342">
        <v>6074440</v>
      </c>
    </row>
    <row r="681" spans="1:5" x14ac:dyDescent="0.25">
      <c r="A681">
        <v>92879</v>
      </c>
      <c r="B681" s="343">
        <v>33.880000000000003</v>
      </c>
      <c r="C681" s="343">
        <v>-117.538</v>
      </c>
      <c r="D681" s="342">
        <v>2266260</v>
      </c>
      <c r="E681" s="342">
        <v>6170670</v>
      </c>
    </row>
    <row r="682" spans="1:5" x14ac:dyDescent="0.25">
      <c r="A682">
        <v>92880</v>
      </c>
      <c r="B682" s="343">
        <v>33.924100000000003</v>
      </c>
      <c r="C682" s="343">
        <v>-117.60899999999999</v>
      </c>
      <c r="D682" s="342">
        <v>2282570</v>
      </c>
      <c r="E682" s="342">
        <v>6149440</v>
      </c>
    </row>
    <row r="683" spans="1:5" x14ac:dyDescent="0.25">
      <c r="A683">
        <v>92881</v>
      </c>
      <c r="B683" s="343">
        <v>33.840699999999998</v>
      </c>
      <c r="C683" s="343">
        <v>-117.496</v>
      </c>
      <c r="D683" s="342">
        <v>2251800</v>
      </c>
      <c r="E683" s="342">
        <v>6183190</v>
      </c>
    </row>
    <row r="684" spans="1:5" x14ac:dyDescent="0.25">
      <c r="A684">
        <v>92882</v>
      </c>
      <c r="B684" s="343">
        <v>33.8429</v>
      </c>
      <c r="C684" s="343">
        <v>-117.607</v>
      </c>
      <c r="D684" s="342">
        <v>2253030</v>
      </c>
      <c r="E684" s="342">
        <v>6149620</v>
      </c>
    </row>
    <row r="685" spans="1:5" x14ac:dyDescent="0.25">
      <c r="A685">
        <v>92883</v>
      </c>
      <c r="B685" s="343">
        <v>33.764600000000002</v>
      </c>
      <c r="C685" s="343">
        <v>-117.49299999999999</v>
      </c>
      <c r="D685" s="342">
        <v>2224090</v>
      </c>
      <c r="E685" s="342">
        <v>6184010</v>
      </c>
    </row>
    <row r="686" spans="1:5" x14ac:dyDescent="0.25">
      <c r="A686">
        <v>92886</v>
      </c>
      <c r="B686" s="343">
        <v>33.896599999999999</v>
      </c>
      <c r="C686" s="343">
        <v>-117.795</v>
      </c>
      <c r="D686" s="342">
        <v>2273350</v>
      </c>
      <c r="E686" s="342">
        <v>6092840</v>
      </c>
    </row>
    <row r="687" spans="1:5" x14ac:dyDescent="0.25">
      <c r="A687">
        <v>92887</v>
      </c>
      <c r="B687" s="343">
        <v>33.884099999999997</v>
      </c>
      <c r="C687" s="343">
        <v>-117.732</v>
      </c>
      <c r="D687" s="342">
        <v>2268520</v>
      </c>
      <c r="E687" s="342">
        <v>6111890</v>
      </c>
    </row>
    <row r="688" spans="1:5" x14ac:dyDescent="0.25">
      <c r="A688">
        <v>93001</v>
      </c>
      <c r="B688" s="343">
        <v>34.3476</v>
      </c>
      <c r="C688" s="343">
        <v>-119.32599999999999</v>
      </c>
      <c r="D688" s="342">
        <v>2447710</v>
      </c>
      <c r="E688" s="342">
        <v>5633250</v>
      </c>
    </row>
    <row r="689" spans="1:5" x14ac:dyDescent="0.25">
      <c r="A689">
        <v>93003</v>
      </c>
      <c r="B689" s="343">
        <v>34.279400000000003</v>
      </c>
      <c r="C689" s="343">
        <v>-119.21899999999999</v>
      </c>
      <c r="D689" s="342">
        <v>2421950</v>
      </c>
      <c r="E689" s="342">
        <v>5664670</v>
      </c>
    </row>
    <row r="690" spans="1:5" x14ac:dyDescent="0.25">
      <c r="A690">
        <v>93004</v>
      </c>
      <c r="B690" s="343">
        <v>34.280700000000003</v>
      </c>
      <c r="C690" s="343">
        <v>-119.16500000000001</v>
      </c>
      <c r="D690" s="342">
        <v>2421990</v>
      </c>
      <c r="E690" s="342">
        <v>5681010</v>
      </c>
    </row>
    <row r="691" spans="1:5" x14ac:dyDescent="0.25">
      <c r="A691">
        <v>93010</v>
      </c>
      <c r="B691" s="343">
        <v>34.229500000000002</v>
      </c>
      <c r="C691" s="343">
        <v>-119.07599999999999</v>
      </c>
      <c r="D691" s="342">
        <v>2402610</v>
      </c>
      <c r="E691" s="342">
        <v>5707570</v>
      </c>
    </row>
    <row r="692" spans="1:5" x14ac:dyDescent="0.25">
      <c r="A692">
        <v>93012</v>
      </c>
      <c r="B692" s="343">
        <v>34.206099999999999</v>
      </c>
      <c r="C692" s="343">
        <v>-118.992</v>
      </c>
      <c r="D692" s="342">
        <v>2393410</v>
      </c>
      <c r="E692" s="342">
        <v>5732500</v>
      </c>
    </row>
    <row r="693" spans="1:5" x14ac:dyDescent="0.25">
      <c r="A693">
        <v>93013</v>
      </c>
      <c r="B693" s="343">
        <v>34.414700000000003</v>
      </c>
      <c r="C693" s="343">
        <v>-119.515</v>
      </c>
      <c r="D693" s="342">
        <v>2473850</v>
      </c>
      <c r="E693" s="342">
        <v>5576870</v>
      </c>
    </row>
    <row r="694" spans="1:5" x14ac:dyDescent="0.25">
      <c r="A694">
        <v>93015</v>
      </c>
      <c r="B694" s="343">
        <v>34.408999999999999</v>
      </c>
      <c r="C694" s="343">
        <v>-118.874</v>
      </c>
      <c r="D694" s="342">
        <v>2466330</v>
      </c>
      <c r="E694" s="342">
        <v>5770300</v>
      </c>
    </row>
    <row r="695" spans="1:5" x14ac:dyDescent="0.25">
      <c r="A695">
        <v>93021</v>
      </c>
      <c r="B695" s="343">
        <v>34.309399999999997</v>
      </c>
      <c r="C695" s="343">
        <v>-118.86499999999999</v>
      </c>
      <c r="D695" s="342">
        <v>2430000</v>
      </c>
      <c r="E695" s="342">
        <v>5771950</v>
      </c>
    </row>
    <row r="696" spans="1:5" x14ac:dyDescent="0.25">
      <c r="A696">
        <v>93022</v>
      </c>
      <c r="B696" s="343">
        <v>34.4039</v>
      </c>
      <c r="C696" s="343">
        <v>-119.298</v>
      </c>
      <c r="D696" s="342">
        <v>2467940</v>
      </c>
      <c r="E696" s="342">
        <v>5642130</v>
      </c>
    </row>
    <row r="697" spans="1:5" x14ac:dyDescent="0.25">
      <c r="A697">
        <v>93023</v>
      </c>
      <c r="B697" s="343">
        <v>34.518700000000003</v>
      </c>
      <c r="C697" s="343">
        <v>-119.27200000000001</v>
      </c>
      <c r="D697" s="342">
        <v>2509490</v>
      </c>
      <c r="E697" s="342">
        <v>5651340</v>
      </c>
    </row>
    <row r="698" spans="1:5" x14ac:dyDescent="0.25">
      <c r="A698">
        <v>93030</v>
      </c>
      <c r="B698" s="343">
        <v>34.207299999999996</v>
      </c>
      <c r="C698" s="343">
        <v>-119.18</v>
      </c>
      <c r="D698" s="342">
        <v>2395400</v>
      </c>
      <c r="E698" s="342">
        <v>5675810</v>
      </c>
    </row>
    <row r="699" spans="1:5" x14ac:dyDescent="0.25">
      <c r="A699">
        <v>93033</v>
      </c>
      <c r="B699" s="343">
        <v>34.153399999999998</v>
      </c>
      <c r="C699" s="343">
        <v>-119.123</v>
      </c>
      <c r="D699" s="342">
        <v>2375320</v>
      </c>
      <c r="E699" s="342">
        <v>5692510</v>
      </c>
    </row>
    <row r="700" spans="1:5" x14ac:dyDescent="0.25">
      <c r="A700">
        <v>93035</v>
      </c>
      <c r="B700" s="343">
        <v>34.185099999999998</v>
      </c>
      <c r="C700" s="343">
        <v>-119.224</v>
      </c>
      <c r="D700" s="342">
        <v>2387710</v>
      </c>
      <c r="E700" s="342">
        <v>5662180</v>
      </c>
    </row>
    <row r="701" spans="1:5" x14ac:dyDescent="0.25">
      <c r="A701">
        <v>93036</v>
      </c>
      <c r="B701" s="343">
        <v>34.2376</v>
      </c>
      <c r="C701" s="343">
        <v>-119.17400000000001</v>
      </c>
      <c r="D701" s="342">
        <v>2406370</v>
      </c>
      <c r="E701" s="342">
        <v>5678060</v>
      </c>
    </row>
    <row r="702" spans="1:5" x14ac:dyDescent="0.25">
      <c r="A702">
        <v>93040</v>
      </c>
      <c r="B702" s="343">
        <v>34.470199999999998</v>
      </c>
      <c r="C702" s="343">
        <v>-118.76900000000001</v>
      </c>
      <c r="D702" s="342">
        <v>2487790</v>
      </c>
      <c r="E702" s="342">
        <v>5802340</v>
      </c>
    </row>
    <row r="703" spans="1:5" x14ac:dyDescent="0.25">
      <c r="A703">
        <v>93041</v>
      </c>
      <c r="B703" s="343">
        <v>34.150700000000001</v>
      </c>
      <c r="C703" s="343">
        <v>-119.16800000000001</v>
      </c>
      <c r="D703" s="342">
        <v>2374700</v>
      </c>
      <c r="E703" s="342">
        <v>5678860</v>
      </c>
    </row>
    <row r="704" spans="1:5" x14ac:dyDescent="0.25">
      <c r="A704">
        <v>93042</v>
      </c>
      <c r="B704" s="343">
        <v>34.1098</v>
      </c>
      <c r="C704" s="343">
        <v>-119.113</v>
      </c>
      <c r="D704" s="342">
        <v>2359340</v>
      </c>
      <c r="E704" s="342">
        <v>5695200</v>
      </c>
    </row>
    <row r="705" spans="1:5" x14ac:dyDescent="0.25">
      <c r="A705">
        <v>93043</v>
      </c>
      <c r="B705" s="343">
        <v>34.162300000000002</v>
      </c>
      <c r="C705" s="343">
        <v>-119.206</v>
      </c>
      <c r="D705" s="342">
        <v>2379250</v>
      </c>
      <c r="E705" s="342">
        <v>5667340</v>
      </c>
    </row>
    <row r="706" spans="1:5" x14ac:dyDescent="0.25">
      <c r="A706">
        <v>93060</v>
      </c>
      <c r="B706" s="343">
        <v>34.379800000000003</v>
      </c>
      <c r="C706" s="343">
        <v>-119.104</v>
      </c>
      <c r="D706" s="342">
        <v>2457530</v>
      </c>
      <c r="E706" s="342">
        <v>5700430</v>
      </c>
    </row>
    <row r="707" spans="1:5" x14ac:dyDescent="0.25">
      <c r="A707">
        <v>93063</v>
      </c>
      <c r="B707" s="343">
        <v>34.288200000000003</v>
      </c>
      <c r="C707" s="343">
        <v>-118.68899999999999</v>
      </c>
      <c r="D707" s="342">
        <v>2421010</v>
      </c>
      <c r="E707" s="342">
        <v>5824850</v>
      </c>
    </row>
    <row r="708" spans="1:5" x14ac:dyDescent="0.25">
      <c r="A708">
        <v>93065</v>
      </c>
      <c r="B708" s="343">
        <v>34.283799999999999</v>
      </c>
      <c r="C708" s="343">
        <v>-118.77</v>
      </c>
      <c r="D708" s="342">
        <v>2419990</v>
      </c>
      <c r="E708" s="342">
        <v>5800490</v>
      </c>
    </row>
    <row r="709" spans="1:5" x14ac:dyDescent="0.25">
      <c r="A709">
        <v>93066</v>
      </c>
      <c r="B709" s="343">
        <v>34.297600000000003</v>
      </c>
      <c r="C709" s="343">
        <v>-119.032</v>
      </c>
      <c r="D709" s="342">
        <v>2427050</v>
      </c>
      <c r="E709" s="342">
        <v>5721340</v>
      </c>
    </row>
    <row r="710" spans="1:5" x14ac:dyDescent="0.25">
      <c r="A710">
        <v>93067</v>
      </c>
      <c r="B710" s="343">
        <v>34.419800000000002</v>
      </c>
      <c r="C710" s="343">
        <v>-119.596</v>
      </c>
      <c r="D710" s="342">
        <v>2476500</v>
      </c>
      <c r="E710" s="342">
        <v>5552470</v>
      </c>
    </row>
    <row r="711" spans="1:5" x14ac:dyDescent="0.25">
      <c r="A711">
        <v>93101</v>
      </c>
      <c r="B711" s="343">
        <v>34.419499999999999</v>
      </c>
      <c r="C711" s="343">
        <v>-119.708</v>
      </c>
      <c r="D711" s="342">
        <v>2477490</v>
      </c>
      <c r="E711" s="342">
        <v>5518910</v>
      </c>
    </row>
    <row r="712" spans="1:5" x14ac:dyDescent="0.25">
      <c r="A712">
        <v>93103</v>
      </c>
      <c r="B712" s="343">
        <v>34.435099999999998</v>
      </c>
      <c r="C712" s="343">
        <v>-119.684</v>
      </c>
      <c r="D712" s="342">
        <v>2482930</v>
      </c>
      <c r="E712" s="342">
        <v>5526110</v>
      </c>
    </row>
    <row r="713" spans="1:5" x14ac:dyDescent="0.25">
      <c r="A713">
        <v>93105</v>
      </c>
      <c r="B713" s="343">
        <v>34.573300000000003</v>
      </c>
      <c r="C713" s="343">
        <v>-119.767</v>
      </c>
      <c r="D713" s="342">
        <v>2534040</v>
      </c>
      <c r="E713" s="342">
        <v>5502820</v>
      </c>
    </row>
    <row r="714" spans="1:5" x14ac:dyDescent="0.25">
      <c r="A714">
        <v>93106</v>
      </c>
      <c r="B714" s="343">
        <v>34.415399999999998</v>
      </c>
      <c r="C714" s="343">
        <v>-119.849</v>
      </c>
      <c r="D714" s="342">
        <v>2477440</v>
      </c>
      <c r="E714" s="342">
        <v>5476240</v>
      </c>
    </row>
    <row r="715" spans="1:5" x14ac:dyDescent="0.25">
      <c r="A715">
        <v>93108</v>
      </c>
      <c r="B715" s="343">
        <v>34.453899999999997</v>
      </c>
      <c r="C715" s="343">
        <v>-119.544</v>
      </c>
      <c r="D715" s="342">
        <v>2488410</v>
      </c>
      <c r="E715" s="342">
        <v>5568600</v>
      </c>
    </row>
    <row r="716" spans="1:5" x14ac:dyDescent="0.25">
      <c r="A716">
        <v>93109</v>
      </c>
      <c r="B716" s="343">
        <v>34.406300000000002</v>
      </c>
      <c r="C716" s="343">
        <v>-119.726</v>
      </c>
      <c r="D716" s="342">
        <v>2472870</v>
      </c>
      <c r="E716" s="342">
        <v>5513060</v>
      </c>
    </row>
    <row r="717" spans="1:5" x14ac:dyDescent="0.25">
      <c r="A717">
        <v>93110</v>
      </c>
      <c r="B717" s="343">
        <v>34.435099999999998</v>
      </c>
      <c r="C717" s="343">
        <v>-119.76900000000001</v>
      </c>
      <c r="D717" s="342">
        <v>2483760</v>
      </c>
      <c r="E717" s="342">
        <v>5500630</v>
      </c>
    </row>
    <row r="718" spans="1:5" x14ac:dyDescent="0.25">
      <c r="A718">
        <v>93111</v>
      </c>
      <c r="B718" s="343">
        <v>34.451599999999999</v>
      </c>
      <c r="C718" s="343">
        <v>-119.803</v>
      </c>
      <c r="D718" s="342">
        <v>2490130</v>
      </c>
      <c r="E718" s="342">
        <v>5490510</v>
      </c>
    </row>
    <row r="719" spans="1:5" x14ac:dyDescent="0.25">
      <c r="A719">
        <v>93117</v>
      </c>
      <c r="B719" s="343">
        <v>34.494199999999999</v>
      </c>
      <c r="C719" s="343">
        <v>-120.047</v>
      </c>
      <c r="D719" s="342">
        <v>2508230</v>
      </c>
      <c r="E719" s="342">
        <v>5417690</v>
      </c>
    </row>
    <row r="720" spans="1:5" x14ac:dyDescent="0.25">
      <c r="A720">
        <v>93202</v>
      </c>
      <c r="B720" s="343">
        <v>36.309100000000001</v>
      </c>
      <c r="C720" s="343">
        <v>-119.708</v>
      </c>
      <c r="D720" s="342">
        <v>3165360</v>
      </c>
      <c r="E720" s="342">
        <v>5541660</v>
      </c>
    </row>
    <row r="721" spans="1:5" x14ac:dyDescent="0.25">
      <c r="A721">
        <v>93203</v>
      </c>
      <c r="B721" s="343">
        <v>35.116799999999998</v>
      </c>
      <c r="C721" s="343">
        <v>-118.83</v>
      </c>
      <c r="D721" s="342">
        <v>2723560</v>
      </c>
      <c r="E721" s="342">
        <v>5789730</v>
      </c>
    </row>
    <row r="722" spans="1:5" x14ac:dyDescent="0.25">
      <c r="A722">
        <v>93204</v>
      </c>
      <c r="B722" s="343">
        <v>35.904299999999999</v>
      </c>
      <c r="C722" s="343">
        <v>-120.08199999999999</v>
      </c>
      <c r="D722" s="342">
        <v>3021780</v>
      </c>
      <c r="E722" s="342">
        <v>5425980</v>
      </c>
    </row>
    <row r="723" spans="1:5" x14ac:dyDescent="0.25">
      <c r="A723">
        <v>93205</v>
      </c>
      <c r="B723" s="343">
        <v>35.576799999999999</v>
      </c>
      <c r="C723" s="343">
        <v>-118.491</v>
      </c>
      <c r="D723" s="342">
        <v>2888740</v>
      </c>
      <c r="E723" s="342">
        <v>5894720</v>
      </c>
    </row>
    <row r="724" spans="1:5" x14ac:dyDescent="0.25">
      <c r="A724">
        <v>93206</v>
      </c>
      <c r="B724" s="343">
        <v>35.422199999999997</v>
      </c>
      <c r="C724" s="343">
        <v>-119.48099999999999</v>
      </c>
      <c r="D724" s="342">
        <v>2840180</v>
      </c>
      <c r="E724" s="342">
        <v>5598450</v>
      </c>
    </row>
    <row r="725" spans="1:5" x14ac:dyDescent="0.25">
      <c r="A725">
        <v>93207</v>
      </c>
      <c r="B725" s="343">
        <v>35.872100000000003</v>
      </c>
      <c r="C725" s="343">
        <v>-118.893</v>
      </c>
      <c r="D725" s="342">
        <v>2999120</v>
      </c>
      <c r="E725" s="342">
        <v>5777790</v>
      </c>
    </row>
    <row r="726" spans="1:5" x14ac:dyDescent="0.25">
      <c r="A726">
        <v>93210</v>
      </c>
      <c r="B726" s="343">
        <v>36.1982</v>
      </c>
      <c r="C726" s="343">
        <v>-120.40300000000001</v>
      </c>
      <c r="D726" s="342">
        <v>3132420</v>
      </c>
      <c r="E726" s="342">
        <v>5334970</v>
      </c>
    </row>
    <row r="727" spans="1:5" x14ac:dyDescent="0.25">
      <c r="A727">
        <v>93212</v>
      </c>
      <c r="B727" s="343">
        <v>36.052700000000002</v>
      </c>
      <c r="C727" s="343">
        <v>-119.538</v>
      </c>
      <c r="D727" s="342">
        <v>3070330</v>
      </c>
      <c r="E727" s="342">
        <v>5588710</v>
      </c>
    </row>
    <row r="728" spans="1:5" x14ac:dyDescent="0.25">
      <c r="A728">
        <v>93215</v>
      </c>
      <c r="B728" s="343">
        <v>35.771900000000002</v>
      </c>
      <c r="C728" s="343">
        <v>-119.154</v>
      </c>
      <c r="D728" s="342">
        <v>2964680</v>
      </c>
      <c r="E728" s="342">
        <v>5699550</v>
      </c>
    </row>
    <row r="729" spans="1:5" x14ac:dyDescent="0.25">
      <c r="A729">
        <v>93219</v>
      </c>
      <c r="B729" s="343">
        <v>35.876899999999999</v>
      </c>
      <c r="C729" s="343">
        <v>-119.349</v>
      </c>
      <c r="D729" s="342">
        <v>3004580</v>
      </c>
      <c r="E729" s="342">
        <v>5642780</v>
      </c>
    </row>
    <row r="730" spans="1:5" x14ac:dyDescent="0.25">
      <c r="A730">
        <v>93221</v>
      </c>
      <c r="B730" s="343">
        <v>36.3093</v>
      </c>
      <c r="C730" s="343">
        <v>-119.075</v>
      </c>
      <c r="D730" s="342">
        <v>3159800</v>
      </c>
      <c r="E730" s="342">
        <v>5728320</v>
      </c>
    </row>
    <row r="731" spans="1:5" x14ac:dyDescent="0.25">
      <c r="A731">
        <v>93222</v>
      </c>
      <c r="B731" s="343">
        <v>34.845999999999997</v>
      </c>
      <c r="C731" s="343">
        <v>-119.181</v>
      </c>
      <c r="D731" s="342">
        <v>2627810</v>
      </c>
      <c r="E731" s="342">
        <v>5682030</v>
      </c>
    </row>
    <row r="732" spans="1:5" x14ac:dyDescent="0.25">
      <c r="A732">
        <v>93223</v>
      </c>
      <c r="B732" s="343">
        <v>36.293700000000001</v>
      </c>
      <c r="C732" s="343">
        <v>-119.203</v>
      </c>
      <c r="D732" s="342">
        <v>3155170</v>
      </c>
      <c r="E732" s="342">
        <v>5690290</v>
      </c>
    </row>
    <row r="733" spans="1:5" x14ac:dyDescent="0.25">
      <c r="A733">
        <v>93224</v>
      </c>
      <c r="B733" s="343">
        <v>35.224600000000002</v>
      </c>
      <c r="C733" s="343">
        <v>-119.58199999999999</v>
      </c>
      <c r="D733" s="342">
        <v>2769210</v>
      </c>
      <c r="E733" s="342">
        <v>5566190</v>
      </c>
    </row>
    <row r="734" spans="1:5" x14ac:dyDescent="0.25">
      <c r="A734">
        <v>93225</v>
      </c>
      <c r="B734" s="343">
        <v>34.816299999999998</v>
      </c>
      <c r="C734" s="343">
        <v>-119.07899999999999</v>
      </c>
      <c r="D734" s="342">
        <v>2616120</v>
      </c>
      <c r="E734" s="342">
        <v>5712380</v>
      </c>
    </row>
    <row r="735" spans="1:5" x14ac:dyDescent="0.25">
      <c r="A735">
        <v>93226</v>
      </c>
      <c r="B735" s="343">
        <v>35.739699999999999</v>
      </c>
      <c r="C735" s="343">
        <v>-118.67700000000001</v>
      </c>
      <c r="D735" s="342">
        <v>2949320</v>
      </c>
      <c r="E735" s="342">
        <v>5840890</v>
      </c>
    </row>
    <row r="736" spans="1:5" x14ac:dyDescent="0.25">
      <c r="A736">
        <v>93230</v>
      </c>
      <c r="B736" s="343">
        <v>36.292200000000001</v>
      </c>
      <c r="C736" s="343">
        <v>-119.621</v>
      </c>
      <c r="D736" s="342">
        <v>3158320</v>
      </c>
      <c r="E736" s="342">
        <v>5567050</v>
      </c>
    </row>
    <row r="737" spans="1:5" x14ac:dyDescent="0.25">
      <c r="A737">
        <v>93234</v>
      </c>
      <c r="B737" s="343">
        <v>36.286299999999997</v>
      </c>
      <c r="C737" s="343">
        <v>-120.09099999999999</v>
      </c>
      <c r="D737" s="342">
        <v>3160950</v>
      </c>
      <c r="E737" s="342">
        <v>5428430</v>
      </c>
    </row>
    <row r="738" spans="1:5" x14ac:dyDescent="0.25">
      <c r="A738">
        <v>93235</v>
      </c>
      <c r="B738" s="343">
        <v>36.385599999999997</v>
      </c>
      <c r="C738" s="343">
        <v>-119.221</v>
      </c>
      <c r="D738" s="342">
        <v>3188790</v>
      </c>
      <c r="E738" s="342">
        <v>5686150</v>
      </c>
    </row>
    <row r="739" spans="1:5" x14ac:dyDescent="0.25">
      <c r="A739">
        <v>93238</v>
      </c>
      <c r="B739" s="343">
        <v>35.731299999999997</v>
      </c>
      <c r="C739" s="343">
        <v>-118.371</v>
      </c>
      <c r="D739" s="342">
        <v>2944280</v>
      </c>
      <c r="E739" s="342">
        <v>5931790</v>
      </c>
    </row>
    <row r="740" spans="1:5" x14ac:dyDescent="0.25">
      <c r="A740">
        <v>93239</v>
      </c>
      <c r="B740" s="343">
        <v>35.942700000000002</v>
      </c>
      <c r="C740" s="343">
        <v>-119.77200000000001</v>
      </c>
      <c r="D740" s="342">
        <v>3032500</v>
      </c>
      <c r="E740" s="342">
        <v>5518280</v>
      </c>
    </row>
    <row r="741" spans="1:5" x14ac:dyDescent="0.25">
      <c r="A741">
        <v>93240</v>
      </c>
      <c r="B741" s="343">
        <v>35.623600000000003</v>
      </c>
      <c r="C741" s="343">
        <v>-118.423</v>
      </c>
      <c r="D741" s="342">
        <v>2905370</v>
      </c>
      <c r="E741" s="342">
        <v>5915360</v>
      </c>
    </row>
    <row r="742" spans="1:5" x14ac:dyDescent="0.25">
      <c r="A742">
        <v>93241</v>
      </c>
      <c r="B742" s="343">
        <v>35.253599999999999</v>
      </c>
      <c r="C742" s="343">
        <v>-118.914</v>
      </c>
      <c r="D742" s="342">
        <v>2774040</v>
      </c>
      <c r="E742" s="342">
        <v>5765990</v>
      </c>
    </row>
    <row r="743" spans="1:5" x14ac:dyDescent="0.25">
      <c r="A743">
        <v>93242</v>
      </c>
      <c r="B743" s="343">
        <v>36.4482</v>
      </c>
      <c r="C743" s="343">
        <v>-119.715</v>
      </c>
      <c r="D743" s="342">
        <v>3216100</v>
      </c>
      <c r="E743" s="342">
        <v>5541270</v>
      </c>
    </row>
    <row r="744" spans="1:5" x14ac:dyDescent="0.25">
      <c r="A744">
        <v>93243</v>
      </c>
      <c r="B744" s="343">
        <v>34.808900000000001</v>
      </c>
      <c r="C744" s="343">
        <v>-118.825</v>
      </c>
      <c r="D744" s="342">
        <v>2611450</v>
      </c>
      <c r="E744" s="342">
        <v>5788440</v>
      </c>
    </row>
    <row r="745" spans="1:5" x14ac:dyDescent="0.25">
      <c r="A745">
        <v>93244</v>
      </c>
      <c r="B745" s="343">
        <v>36.386600000000001</v>
      </c>
      <c r="C745" s="343">
        <v>-118.964</v>
      </c>
      <c r="D745" s="342">
        <v>3187110</v>
      </c>
      <c r="E745" s="342">
        <v>5761760</v>
      </c>
    </row>
    <row r="746" spans="1:5" x14ac:dyDescent="0.25">
      <c r="A746">
        <v>93245</v>
      </c>
      <c r="B746" s="343">
        <v>36.291899999999998</v>
      </c>
      <c r="C746" s="343">
        <v>-119.849</v>
      </c>
      <c r="D746" s="342">
        <v>3160470</v>
      </c>
      <c r="E746" s="342">
        <v>5499820</v>
      </c>
    </row>
    <row r="747" spans="1:5" x14ac:dyDescent="0.25">
      <c r="A747">
        <v>93247</v>
      </c>
      <c r="B747" s="343">
        <v>36.210500000000003</v>
      </c>
      <c r="C747" s="343">
        <v>-119.07299999999999</v>
      </c>
      <c r="D747" s="342">
        <v>3123790</v>
      </c>
      <c r="E747" s="342">
        <v>5727860</v>
      </c>
    </row>
    <row r="748" spans="1:5" x14ac:dyDescent="0.25">
      <c r="A748">
        <v>93249</v>
      </c>
      <c r="B748" s="343">
        <v>35.642200000000003</v>
      </c>
      <c r="C748" s="343">
        <v>-119.84399999999999</v>
      </c>
      <c r="D748" s="342">
        <v>2923840</v>
      </c>
      <c r="E748" s="342">
        <v>5493220</v>
      </c>
    </row>
    <row r="749" spans="1:5" x14ac:dyDescent="0.25">
      <c r="A749">
        <v>93250</v>
      </c>
      <c r="B749" s="343">
        <v>35.658200000000001</v>
      </c>
      <c r="C749" s="343">
        <v>-119.154</v>
      </c>
      <c r="D749" s="342">
        <v>2923250</v>
      </c>
      <c r="E749" s="342">
        <v>5698280</v>
      </c>
    </row>
    <row r="750" spans="1:5" x14ac:dyDescent="0.25">
      <c r="A750">
        <v>93251</v>
      </c>
      <c r="B750" s="343">
        <v>35.3643</v>
      </c>
      <c r="C750" s="343">
        <v>-119.66200000000001</v>
      </c>
      <c r="D750" s="342">
        <v>2820830</v>
      </c>
      <c r="E750" s="342">
        <v>5543810</v>
      </c>
    </row>
    <row r="751" spans="1:5" x14ac:dyDescent="0.25">
      <c r="A751">
        <v>93252</v>
      </c>
      <c r="B751" s="343">
        <v>34.831600000000002</v>
      </c>
      <c r="C751" s="343">
        <v>-119.367</v>
      </c>
      <c r="D751" s="342">
        <v>2624150</v>
      </c>
      <c r="E751" s="342">
        <v>5626200</v>
      </c>
    </row>
    <row r="752" spans="1:5" x14ac:dyDescent="0.25">
      <c r="A752">
        <v>93254</v>
      </c>
      <c r="B752" s="343">
        <v>34.965299999999999</v>
      </c>
      <c r="C752" s="343">
        <v>-119.848</v>
      </c>
      <c r="D752" s="342">
        <v>2677500</v>
      </c>
      <c r="E752" s="342">
        <v>5483540</v>
      </c>
    </row>
    <row r="753" spans="1:5" x14ac:dyDescent="0.25">
      <c r="A753">
        <v>93255</v>
      </c>
      <c r="B753" s="343">
        <v>35.659300000000002</v>
      </c>
      <c r="C753" s="343">
        <v>-118.11799999999999</v>
      </c>
      <c r="D753" s="342">
        <v>2916580</v>
      </c>
      <c r="E753" s="342">
        <v>6006310</v>
      </c>
    </row>
    <row r="754" spans="1:5" x14ac:dyDescent="0.25">
      <c r="A754">
        <v>93256</v>
      </c>
      <c r="B754" s="343">
        <v>35.974600000000002</v>
      </c>
      <c r="C754" s="343">
        <v>-119.304</v>
      </c>
      <c r="D754" s="342">
        <v>3039760</v>
      </c>
      <c r="E754" s="342">
        <v>5657040</v>
      </c>
    </row>
    <row r="755" spans="1:5" x14ac:dyDescent="0.25">
      <c r="A755">
        <v>93257</v>
      </c>
      <c r="B755" s="343">
        <v>36.004300000000001</v>
      </c>
      <c r="C755" s="343">
        <v>-118.876</v>
      </c>
      <c r="D755" s="342">
        <v>3047180</v>
      </c>
      <c r="E755" s="342">
        <v>5784120</v>
      </c>
    </row>
    <row r="756" spans="1:5" x14ac:dyDescent="0.25">
      <c r="A756">
        <v>93260</v>
      </c>
      <c r="B756" s="343">
        <v>35.815600000000003</v>
      </c>
      <c r="C756" s="343">
        <v>-118.681</v>
      </c>
      <c r="D756" s="342">
        <v>2976990</v>
      </c>
      <c r="E756" s="342">
        <v>5840440</v>
      </c>
    </row>
    <row r="757" spans="1:5" x14ac:dyDescent="0.25">
      <c r="A757">
        <v>93262</v>
      </c>
      <c r="B757" s="343">
        <v>36.606400000000001</v>
      </c>
      <c r="C757" s="343">
        <v>-118.751</v>
      </c>
      <c r="D757" s="342">
        <v>3265640</v>
      </c>
      <c r="E757" s="342">
        <v>5826560</v>
      </c>
    </row>
    <row r="758" spans="1:5" x14ac:dyDescent="0.25">
      <c r="A758">
        <v>93263</v>
      </c>
      <c r="B758" s="343">
        <v>35.491700000000002</v>
      </c>
      <c r="C758" s="343">
        <v>-119.30500000000001</v>
      </c>
      <c r="D758" s="342">
        <v>2863910</v>
      </c>
      <c r="E758" s="342">
        <v>5651650</v>
      </c>
    </row>
    <row r="759" spans="1:5" x14ac:dyDescent="0.25">
      <c r="A759">
        <v>93265</v>
      </c>
      <c r="B759" s="343">
        <v>36.188499999999998</v>
      </c>
      <c r="C759" s="343">
        <v>-118.67400000000001</v>
      </c>
      <c r="D759" s="342">
        <v>3112800</v>
      </c>
      <c r="E759" s="342">
        <v>5845490</v>
      </c>
    </row>
    <row r="760" spans="1:5" x14ac:dyDescent="0.25">
      <c r="A760">
        <v>93266</v>
      </c>
      <c r="B760" s="343">
        <v>36.122900000000001</v>
      </c>
      <c r="C760" s="343">
        <v>-119.82</v>
      </c>
      <c r="D760" s="342">
        <v>3098640</v>
      </c>
      <c r="E760" s="342">
        <v>5506210</v>
      </c>
    </row>
    <row r="761" spans="1:5" x14ac:dyDescent="0.25">
      <c r="A761">
        <v>93267</v>
      </c>
      <c r="B761" s="343">
        <v>36.143000000000001</v>
      </c>
      <c r="C761" s="343">
        <v>-119.08799999999999</v>
      </c>
      <c r="D761" s="342">
        <v>3099330</v>
      </c>
      <c r="E761" s="342">
        <v>5722740</v>
      </c>
    </row>
    <row r="762" spans="1:5" x14ac:dyDescent="0.25">
      <c r="A762">
        <v>93268</v>
      </c>
      <c r="B762" s="343">
        <v>35.171300000000002</v>
      </c>
      <c r="C762" s="343">
        <v>-119.42400000000001</v>
      </c>
      <c r="D762" s="342">
        <v>2748320</v>
      </c>
      <c r="E762" s="342">
        <v>5612630</v>
      </c>
    </row>
    <row r="763" spans="1:5" x14ac:dyDescent="0.25">
      <c r="A763">
        <v>93270</v>
      </c>
      <c r="B763" s="343">
        <v>35.943300000000001</v>
      </c>
      <c r="C763" s="343">
        <v>-119.048</v>
      </c>
      <c r="D763" s="342">
        <v>3026250</v>
      </c>
      <c r="E763" s="342">
        <v>5732730</v>
      </c>
    </row>
    <row r="764" spans="1:5" x14ac:dyDescent="0.25">
      <c r="A764">
        <v>93271</v>
      </c>
      <c r="B764" s="343">
        <v>36.431600000000003</v>
      </c>
      <c r="C764" s="343">
        <v>-118.74</v>
      </c>
      <c r="D764" s="342">
        <v>3201840</v>
      </c>
      <c r="E764" s="342">
        <v>5828150</v>
      </c>
    </row>
    <row r="765" spans="1:5" x14ac:dyDescent="0.25">
      <c r="A765">
        <v>93272</v>
      </c>
      <c r="B765" s="343">
        <v>36.047400000000003</v>
      </c>
      <c r="C765" s="343">
        <v>-119.333</v>
      </c>
      <c r="D765" s="342">
        <v>3066560</v>
      </c>
      <c r="E765" s="342">
        <v>5649320</v>
      </c>
    </row>
    <row r="766" spans="1:5" x14ac:dyDescent="0.25">
      <c r="A766">
        <v>93274</v>
      </c>
      <c r="B766" s="343">
        <v>36.177799999999998</v>
      </c>
      <c r="C766" s="343">
        <v>-119.36799999999999</v>
      </c>
      <c r="D766" s="342">
        <v>3114350</v>
      </c>
      <c r="E766" s="342">
        <v>5640490</v>
      </c>
    </row>
    <row r="767" spans="1:5" x14ac:dyDescent="0.25">
      <c r="A767">
        <v>93276</v>
      </c>
      <c r="B767" s="343">
        <v>35.223300000000002</v>
      </c>
      <c r="C767" s="343">
        <v>-119.295</v>
      </c>
      <c r="D767" s="342">
        <v>2766120</v>
      </c>
      <c r="E767" s="342">
        <v>5651920</v>
      </c>
    </row>
    <row r="768" spans="1:5" x14ac:dyDescent="0.25">
      <c r="A768">
        <v>93277</v>
      </c>
      <c r="B768" s="343">
        <v>36.299599999999998</v>
      </c>
      <c r="C768" s="343">
        <v>-119.381</v>
      </c>
      <c r="D768" s="342">
        <v>3158850</v>
      </c>
      <c r="E768" s="342">
        <v>5637810</v>
      </c>
    </row>
    <row r="769" spans="1:5" x14ac:dyDescent="0.25">
      <c r="A769">
        <v>93280</v>
      </c>
      <c r="B769" s="343">
        <v>35.641100000000002</v>
      </c>
      <c r="C769" s="343">
        <v>-119.43300000000001</v>
      </c>
      <c r="D769" s="342">
        <v>2919440</v>
      </c>
      <c r="E769" s="342">
        <v>5615300</v>
      </c>
    </row>
    <row r="770" spans="1:5" x14ac:dyDescent="0.25">
      <c r="A770">
        <v>93283</v>
      </c>
      <c r="B770" s="343">
        <v>35.5</v>
      </c>
      <c r="C770" s="343">
        <v>-118.217</v>
      </c>
      <c r="D770" s="342">
        <v>2859110</v>
      </c>
      <c r="E770" s="342">
        <v>5975730</v>
      </c>
    </row>
    <row r="771" spans="1:5" x14ac:dyDescent="0.25">
      <c r="A771">
        <v>93285</v>
      </c>
      <c r="B771" s="343">
        <v>35.634500000000003</v>
      </c>
      <c r="C771" s="343">
        <v>-118.59</v>
      </c>
      <c r="D771" s="342">
        <v>2910370</v>
      </c>
      <c r="E771" s="342">
        <v>5865710</v>
      </c>
    </row>
    <row r="772" spans="1:5" x14ac:dyDescent="0.25">
      <c r="A772">
        <v>93286</v>
      </c>
      <c r="B772" s="343">
        <v>36.520800000000001</v>
      </c>
      <c r="C772" s="343">
        <v>-119.04</v>
      </c>
      <c r="D772" s="342">
        <v>3236590</v>
      </c>
      <c r="E772" s="342">
        <v>5740600</v>
      </c>
    </row>
    <row r="773" spans="1:5" x14ac:dyDescent="0.25">
      <c r="A773">
        <v>93287</v>
      </c>
      <c r="B773" s="343">
        <v>35.740600000000001</v>
      </c>
      <c r="C773" s="343">
        <v>-118.842</v>
      </c>
      <c r="D773" s="342">
        <v>2950820</v>
      </c>
      <c r="E773" s="342">
        <v>5791840</v>
      </c>
    </row>
    <row r="774" spans="1:5" x14ac:dyDescent="0.25">
      <c r="A774">
        <v>93291</v>
      </c>
      <c r="B774" s="343">
        <v>36.39</v>
      </c>
      <c r="C774" s="343">
        <v>-119.37</v>
      </c>
      <c r="D774" s="342">
        <v>3191700</v>
      </c>
      <c r="E774" s="342">
        <v>5642300</v>
      </c>
    </row>
    <row r="775" spans="1:5" x14ac:dyDescent="0.25">
      <c r="A775">
        <v>93292</v>
      </c>
      <c r="B775" s="343">
        <v>36.374099999999999</v>
      </c>
      <c r="C775" s="343">
        <v>-119.223</v>
      </c>
      <c r="D775" s="342">
        <v>3184600</v>
      </c>
      <c r="E775" s="342">
        <v>5685350</v>
      </c>
    </row>
    <row r="776" spans="1:5" x14ac:dyDescent="0.25">
      <c r="A776">
        <v>93301</v>
      </c>
      <c r="B776" s="343">
        <v>35.384500000000003</v>
      </c>
      <c r="C776" s="343">
        <v>-119.021</v>
      </c>
      <c r="D776" s="342">
        <v>2822500</v>
      </c>
      <c r="E776" s="342">
        <v>5735370</v>
      </c>
    </row>
    <row r="777" spans="1:5" x14ac:dyDescent="0.25">
      <c r="A777">
        <v>93304</v>
      </c>
      <c r="B777" s="343">
        <v>35.339599999999997</v>
      </c>
      <c r="C777" s="343">
        <v>-119.024</v>
      </c>
      <c r="D777" s="342">
        <v>2806180</v>
      </c>
      <c r="E777" s="342">
        <v>5734000</v>
      </c>
    </row>
    <row r="778" spans="1:5" x14ac:dyDescent="0.25">
      <c r="A778">
        <v>93305</v>
      </c>
      <c r="B778" s="343">
        <v>35.389099999999999</v>
      </c>
      <c r="C778" s="343">
        <v>-118.985</v>
      </c>
      <c r="D778" s="342">
        <v>2823910</v>
      </c>
      <c r="E778" s="342">
        <v>5745930</v>
      </c>
    </row>
    <row r="779" spans="1:5" x14ac:dyDescent="0.25">
      <c r="A779">
        <v>93306</v>
      </c>
      <c r="B779" s="343">
        <v>35.453800000000001</v>
      </c>
      <c r="C779" s="343">
        <v>-118.831</v>
      </c>
      <c r="D779" s="342">
        <v>2846300</v>
      </c>
      <c r="E779" s="342">
        <v>5792420</v>
      </c>
    </row>
    <row r="780" spans="1:5" x14ac:dyDescent="0.25">
      <c r="A780">
        <v>93307</v>
      </c>
      <c r="B780" s="343">
        <v>35.256900000000002</v>
      </c>
      <c r="C780" s="343">
        <v>-118.91200000000001</v>
      </c>
      <c r="D780" s="342">
        <v>2775190</v>
      </c>
      <c r="E780" s="342">
        <v>5766570</v>
      </c>
    </row>
    <row r="781" spans="1:5" x14ac:dyDescent="0.25">
      <c r="A781">
        <v>93308</v>
      </c>
      <c r="B781" s="343">
        <v>35.5548</v>
      </c>
      <c r="C781" s="343">
        <v>-118.92700000000001</v>
      </c>
      <c r="D781" s="342">
        <v>2883800</v>
      </c>
      <c r="E781" s="342">
        <v>5764940</v>
      </c>
    </row>
    <row r="782" spans="1:5" x14ac:dyDescent="0.25">
      <c r="A782">
        <v>93309</v>
      </c>
      <c r="B782" s="343">
        <v>35.343299999999999</v>
      </c>
      <c r="C782" s="343">
        <v>-119.065</v>
      </c>
      <c r="D782" s="342">
        <v>2807870</v>
      </c>
      <c r="E782" s="342">
        <v>5721860</v>
      </c>
    </row>
    <row r="783" spans="1:5" x14ac:dyDescent="0.25">
      <c r="A783">
        <v>93311</v>
      </c>
      <c r="B783" s="343">
        <v>35.189799999999998</v>
      </c>
      <c r="C783" s="343">
        <v>-119.18300000000001</v>
      </c>
      <c r="D783" s="342">
        <v>2752950</v>
      </c>
      <c r="E783" s="342">
        <v>5684920</v>
      </c>
    </row>
    <row r="784" spans="1:5" x14ac:dyDescent="0.25">
      <c r="A784">
        <v>93312</v>
      </c>
      <c r="B784" s="343">
        <v>35.3917</v>
      </c>
      <c r="C784" s="343">
        <v>-119.12</v>
      </c>
      <c r="D784" s="342">
        <v>2825950</v>
      </c>
      <c r="E784" s="342">
        <v>5705940</v>
      </c>
    </row>
    <row r="785" spans="1:5" x14ac:dyDescent="0.25">
      <c r="A785">
        <v>93313</v>
      </c>
      <c r="B785" s="343">
        <v>35.136699999999998</v>
      </c>
      <c r="C785" s="343">
        <v>-119.042</v>
      </c>
      <c r="D785" s="342">
        <v>2732440</v>
      </c>
      <c r="E785" s="342">
        <v>5726620</v>
      </c>
    </row>
    <row r="786" spans="1:5" x14ac:dyDescent="0.25">
      <c r="A786">
        <v>93314</v>
      </c>
      <c r="B786" s="343">
        <v>35.392200000000003</v>
      </c>
      <c r="C786" s="343">
        <v>-119.23</v>
      </c>
      <c r="D786" s="342">
        <v>2827030</v>
      </c>
      <c r="E786" s="342">
        <v>5673010</v>
      </c>
    </row>
    <row r="787" spans="1:5" x14ac:dyDescent="0.25">
      <c r="A787">
        <v>93401</v>
      </c>
      <c r="B787" s="343">
        <v>35.234999999999999</v>
      </c>
      <c r="C787" s="343">
        <v>-120.62</v>
      </c>
      <c r="D787" s="342">
        <v>2784430</v>
      </c>
      <c r="E787" s="342">
        <v>5256260</v>
      </c>
    </row>
    <row r="788" spans="1:5" x14ac:dyDescent="0.25">
      <c r="A788">
        <v>93402</v>
      </c>
      <c r="B788" s="343">
        <v>35.286499999999997</v>
      </c>
      <c r="C788" s="343">
        <v>-120.828</v>
      </c>
      <c r="D788" s="342">
        <v>2805860</v>
      </c>
      <c r="E788" s="342">
        <v>5195140</v>
      </c>
    </row>
    <row r="789" spans="1:5" x14ac:dyDescent="0.25">
      <c r="A789">
        <v>93405</v>
      </c>
      <c r="B789" s="343">
        <v>35.278399999999998</v>
      </c>
      <c r="C789" s="343">
        <v>-120.74299999999999</v>
      </c>
      <c r="D789" s="342">
        <v>2801800</v>
      </c>
      <c r="E789" s="342">
        <v>5220150</v>
      </c>
    </row>
    <row r="790" spans="1:5" x14ac:dyDescent="0.25">
      <c r="A790">
        <v>93407</v>
      </c>
      <c r="B790" s="343">
        <v>35.301000000000002</v>
      </c>
      <c r="C790" s="343">
        <v>-120.661</v>
      </c>
      <c r="D790" s="342">
        <v>2808960</v>
      </c>
      <c r="E790" s="342">
        <v>5245200</v>
      </c>
    </row>
    <row r="791" spans="1:5" x14ac:dyDescent="0.25">
      <c r="A791">
        <v>93420</v>
      </c>
      <c r="B791" s="343">
        <v>35.141599999999997</v>
      </c>
      <c r="C791" s="343">
        <v>-120.414</v>
      </c>
      <c r="D791" s="342">
        <v>2747970</v>
      </c>
      <c r="E791" s="342">
        <v>5316460</v>
      </c>
    </row>
    <row r="792" spans="1:5" x14ac:dyDescent="0.25">
      <c r="A792">
        <v>93422</v>
      </c>
      <c r="B792" s="343">
        <v>35.466799999999999</v>
      </c>
      <c r="C792" s="343">
        <v>-120.68600000000001</v>
      </c>
      <c r="D792" s="342">
        <v>2869650</v>
      </c>
      <c r="E792" s="342">
        <v>5240090</v>
      </c>
    </row>
    <row r="793" spans="1:5" x14ac:dyDescent="0.25">
      <c r="A793">
        <v>93426</v>
      </c>
      <c r="B793" s="343">
        <v>35.865299999999998</v>
      </c>
      <c r="C793" s="343">
        <v>-120.96899999999999</v>
      </c>
      <c r="D793" s="342">
        <v>3018370</v>
      </c>
      <c r="E793" s="342">
        <v>5162490</v>
      </c>
    </row>
    <row r="794" spans="1:5" x14ac:dyDescent="0.25">
      <c r="A794">
        <v>93427</v>
      </c>
      <c r="B794" s="343">
        <v>34.646000000000001</v>
      </c>
      <c r="C794" s="343">
        <v>-120.232</v>
      </c>
      <c r="D794" s="342">
        <v>2565510</v>
      </c>
      <c r="E794" s="342">
        <v>5363850</v>
      </c>
    </row>
    <row r="795" spans="1:5" x14ac:dyDescent="0.25">
      <c r="A795">
        <v>93428</v>
      </c>
      <c r="B795" s="343">
        <v>35.5852</v>
      </c>
      <c r="C795" s="343">
        <v>-121.018</v>
      </c>
      <c r="D795" s="342">
        <v>2917080</v>
      </c>
      <c r="E795" s="342">
        <v>5143300</v>
      </c>
    </row>
    <row r="796" spans="1:5" x14ac:dyDescent="0.25">
      <c r="A796">
        <v>93429</v>
      </c>
      <c r="B796" s="343">
        <v>34.817799999999998</v>
      </c>
      <c r="C796" s="343">
        <v>-120.553</v>
      </c>
      <c r="D796" s="342">
        <v>2631820</v>
      </c>
      <c r="E796" s="342">
        <v>5270140</v>
      </c>
    </row>
    <row r="797" spans="1:5" x14ac:dyDescent="0.25">
      <c r="A797">
        <v>93430</v>
      </c>
      <c r="B797" s="343">
        <v>35.490200000000002</v>
      </c>
      <c r="C797" s="343">
        <v>-120.914</v>
      </c>
      <c r="D797" s="342">
        <v>2881100</v>
      </c>
      <c r="E797" s="342">
        <v>5172770</v>
      </c>
    </row>
    <row r="798" spans="1:5" x14ac:dyDescent="0.25">
      <c r="A798">
        <v>93432</v>
      </c>
      <c r="B798" s="343">
        <v>35.473300000000002</v>
      </c>
      <c r="C798" s="343">
        <v>-120.48</v>
      </c>
      <c r="D798" s="342">
        <v>2869450</v>
      </c>
      <c r="E798" s="342">
        <v>5301530</v>
      </c>
    </row>
    <row r="799" spans="1:5" x14ac:dyDescent="0.25">
      <c r="A799">
        <v>93433</v>
      </c>
      <c r="B799" s="343">
        <v>35.121299999999998</v>
      </c>
      <c r="C799" s="343">
        <v>-120.62</v>
      </c>
      <c r="D799" s="342">
        <v>2743060</v>
      </c>
      <c r="E799" s="342">
        <v>5254650</v>
      </c>
    </row>
    <row r="800" spans="1:5" x14ac:dyDescent="0.25">
      <c r="A800">
        <v>93434</v>
      </c>
      <c r="B800" s="343">
        <v>34.941200000000002</v>
      </c>
      <c r="C800" s="343">
        <v>-120.619</v>
      </c>
      <c r="D800" s="342">
        <v>2677540</v>
      </c>
      <c r="E800" s="342">
        <v>5252230</v>
      </c>
    </row>
    <row r="801" spans="1:5" x14ac:dyDescent="0.25">
      <c r="A801">
        <v>93435</v>
      </c>
      <c r="B801" s="343">
        <v>35.508899999999997</v>
      </c>
      <c r="C801" s="343">
        <v>-121.039</v>
      </c>
      <c r="D801" s="342">
        <v>2889590</v>
      </c>
      <c r="E801" s="342">
        <v>5135710</v>
      </c>
    </row>
    <row r="802" spans="1:5" x14ac:dyDescent="0.25">
      <c r="A802">
        <v>93436</v>
      </c>
      <c r="B802" s="343">
        <v>34.604900000000001</v>
      </c>
      <c r="C802" s="343">
        <v>-120.393</v>
      </c>
      <c r="D802" s="342">
        <v>2552430</v>
      </c>
      <c r="E802" s="342">
        <v>5314920</v>
      </c>
    </row>
    <row r="803" spans="1:5" x14ac:dyDescent="0.25">
      <c r="A803">
        <v>93437</v>
      </c>
      <c r="B803" s="343">
        <v>34.665900000000001</v>
      </c>
      <c r="C803" s="343">
        <v>-120.563</v>
      </c>
      <c r="D803" s="342">
        <v>2576670</v>
      </c>
      <c r="E803" s="342">
        <v>5264900</v>
      </c>
    </row>
    <row r="804" spans="1:5" x14ac:dyDescent="0.25">
      <c r="A804">
        <v>93440</v>
      </c>
      <c r="B804" s="343">
        <v>34.7376</v>
      </c>
      <c r="C804" s="343">
        <v>-120.279</v>
      </c>
      <c r="D804" s="342">
        <v>2599350</v>
      </c>
      <c r="E804" s="342">
        <v>5351230</v>
      </c>
    </row>
    <row r="805" spans="1:5" x14ac:dyDescent="0.25">
      <c r="A805">
        <v>93441</v>
      </c>
      <c r="B805" s="343">
        <v>34.726399999999998</v>
      </c>
      <c r="C805" s="343">
        <v>-120.087</v>
      </c>
      <c r="D805" s="342">
        <v>2593130</v>
      </c>
      <c r="E805" s="342">
        <v>5408550</v>
      </c>
    </row>
    <row r="806" spans="1:5" x14ac:dyDescent="0.25">
      <c r="A806">
        <v>93442</v>
      </c>
      <c r="B806" s="343">
        <v>35.403399999999998</v>
      </c>
      <c r="C806" s="343">
        <v>-120.8</v>
      </c>
      <c r="D806" s="342">
        <v>2848030</v>
      </c>
      <c r="E806" s="342">
        <v>5205290</v>
      </c>
    </row>
    <row r="807" spans="1:5" x14ac:dyDescent="0.25">
      <c r="A807">
        <v>93444</v>
      </c>
      <c r="B807" s="343">
        <v>35.027999999999999</v>
      </c>
      <c r="C807" s="343">
        <v>-120.497</v>
      </c>
      <c r="D807" s="342">
        <v>2707630</v>
      </c>
      <c r="E807" s="342">
        <v>5289990</v>
      </c>
    </row>
    <row r="808" spans="1:5" x14ac:dyDescent="0.25">
      <c r="A808">
        <v>93445</v>
      </c>
      <c r="B808" s="343">
        <v>35.103999999999999</v>
      </c>
      <c r="C808" s="343">
        <v>-120.61499999999999</v>
      </c>
      <c r="D808" s="342">
        <v>2736720</v>
      </c>
      <c r="E808" s="342">
        <v>5255850</v>
      </c>
    </row>
    <row r="809" spans="1:5" x14ac:dyDescent="0.25">
      <c r="A809">
        <v>93446</v>
      </c>
      <c r="B809" s="343">
        <v>35.652700000000003</v>
      </c>
      <c r="C809" s="343">
        <v>-120.735</v>
      </c>
      <c r="D809" s="342">
        <v>2937930</v>
      </c>
      <c r="E809" s="342">
        <v>5228480</v>
      </c>
    </row>
    <row r="810" spans="1:5" x14ac:dyDescent="0.25">
      <c r="A810">
        <v>93449</v>
      </c>
      <c r="B810" s="343">
        <v>35.158200000000001</v>
      </c>
      <c r="C810" s="343">
        <v>-120.651</v>
      </c>
      <c r="D810" s="342">
        <v>2756920</v>
      </c>
      <c r="E810" s="342">
        <v>5245840</v>
      </c>
    </row>
    <row r="811" spans="1:5" x14ac:dyDescent="0.25">
      <c r="A811">
        <v>93450</v>
      </c>
      <c r="B811" s="343">
        <v>36.058399999999999</v>
      </c>
      <c r="C811" s="343">
        <v>-120.795</v>
      </c>
      <c r="D811" s="342">
        <v>3086350</v>
      </c>
      <c r="E811" s="342">
        <v>5217160</v>
      </c>
    </row>
    <row r="812" spans="1:5" x14ac:dyDescent="0.25">
      <c r="A812">
        <v>93451</v>
      </c>
      <c r="B812" s="343">
        <v>35.866500000000002</v>
      </c>
      <c r="C812" s="343">
        <v>-120.51300000000001</v>
      </c>
      <c r="D812" s="342">
        <v>3012950</v>
      </c>
      <c r="E812" s="342">
        <v>5297540</v>
      </c>
    </row>
    <row r="813" spans="1:5" x14ac:dyDescent="0.25">
      <c r="A813">
        <v>93452</v>
      </c>
      <c r="B813" s="343">
        <v>35.713900000000002</v>
      </c>
      <c r="C813" s="343">
        <v>-121.16200000000001</v>
      </c>
      <c r="D813" s="342">
        <v>2965900</v>
      </c>
      <c r="E813" s="342">
        <v>5102760</v>
      </c>
    </row>
    <row r="814" spans="1:5" x14ac:dyDescent="0.25">
      <c r="A814">
        <v>93453</v>
      </c>
      <c r="B814" s="343">
        <v>35.239100000000001</v>
      </c>
      <c r="C814" s="343">
        <v>-120.033</v>
      </c>
      <c r="D814" s="342">
        <v>2779140</v>
      </c>
      <c r="E814" s="342">
        <v>5431800</v>
      </c>
    </row>
    <row r="815" spans="1:5" x14ac:dyDescent="0.25">
      <c r="A815">
        <v>93454</v>
      </c>
      <c r="B815" s="343">
        <v>34.9315</v>
      </c>
      <c r="C815" s="343">
        <v>-120.238</v>
      </c>
      <c r="D815" s="342">
        <v>2669440</v>
      </c>
      <c r="E815" s="342">
        <v>5366230</v>
      </c>
    </row>
    <row r="816" spans="1:5" x14ac:dyDescent="0.25">
      <c r="A816">
        <v>93455</v>
      </c>
      <c r="B816" s="343">
        <v>34.824399999999997</v>
      </c>
      <c r="C816" s="343">
        <v>-120.393</v>
      </c>
      <c r="D816" s="342">
        <v>2632280</v>
      </c>
      <c r="E816" s="342">
        <v>5318340</v>
      </c>
    </row>
    <row r="817" spans="1:5" x14ac:dyDescent="0.25">
      <c r="A817">
        <v>93458</v>
      </c>
      <c r="B817" s="343">
        <v>34.957099999999997</v>
      </c>
      <c r="C817" s="343">
        <v>-120.494</v>
      </c>
      <c r="D817" s="342">
        <v>2681770</v>
      </c>
      <c r="E817" s="342">
        <v>5289890</v>
      </c>
    </row>
    <row r="818" spans="1:5" x14ac:dyDescent="0.25">
      <c r="A818">
        <v>93460</v>
      </c>
      <c r="B818" s="343">
        <v>34.678699999999999</v>
      </c>
      <c r="C818" s="343">
        <v>-119.98099999999999</v>
      </c>
      <c r="D818" s="342">
        <v>2574620</v>
      </c>
      <c r="E818" s="342">
        <v>5439800</v>
      </c>
    </row>
    <row r="819" spans="1:5" x14ac:dyDescent="0.25">
      <c r="A819">
        <v>93461</v>
      </c>
      <c r="B819" s="343">
        <v>35.616</v>
      </c>
      <c r="C819" s="343">
        <v>-120.27800000000001</v>
      </c>
      <c r="D819" s="342">
        <v>2918980</v>
      </c>
      <c r="E819" s="342">
        <v>5363780</v>
      </c>
    </row>
    <row r="820" spans="1:5" x14ac:dyDescent="0.25">
      <c r="A820">
        <v>93463</v>
      </c>
      <c r="B820" s="343">
        <v>34.602699999999999</v>
      </c>
      <c r="C820" s="343">
        <v>-120.129</v>
      </c>
      <c r="D820" s="342">
        <v>2548570</v>
      </c>
      <c r="E820" s="342">
        <v>5394500</v>
      </c>
    </row>
    <row r="821" spans="1:5" x14ac:dyDescent="0.25">
      <c r="A821">
        <v>93465</v>
      </c>
      <c r="B821" s="343">
        <v>35.534500000000001</v>
      </c>
      <c r="C821" s="343">
        <v>-120.714</v>
      </c>
      <c r="D821" s="342">
        <v>2894640</v>
      </c>
      <c r="E821" s="342">
        <v>5232950</v>
      </c>
    </row>
    <row r="822" spans="1:5" x14ac:dyDescent="0.25">
      <c r="A822">
        <v>93501</v>
      </c>
      <c r="B822" s="343">
        <v>35.054400000000001</v>
      </c>
      <c r="C822" s="343">
        <v>-118.142</v>
      </c>
      <c r="D822" s="342">
        <v>2696460</v>
      </c>
      <c r="E822" s="342">
        <v>5995060</v>
      </c>
    </row>
    <row r="823" spans="1:5" x14ac:dyDescent="0.25">
      <c r="A823">
        <v>93505</v>
      </c>
      <c r="B823" s="343">
        <v>35.182699999999997</v>
      </c>
      <c r="C823" s="343">
        <v>-117.825</v>
      </c>
      <c r="D823" s="342">
        <v>2741610</v>
      </c>
      <c r="E823" s="342">
        <v>6090850</v>
      </c>
    </row>
    <row r="824" spans="1:5" x14ac:dyDescent="0.25">
      <c r="A824">
        <v>93510</v>
      </c>
      <c r="B824" s="343">
        <v>34.450200000000002</v>
      </c>
      <c r="C824" s="343">
        <v>-118.19799999999999</v>
      </c>
      <c r="D824" s="342">
        <v>2476840</v>
      </c>
      <c r="E824" s="342">
        <v>5974340</v>
      </c>
    </row>
    <row r="825" spans="1:5" x14ac:dyDescent="0.25">
      <c r="A825">
        <v>93512</v>
      </c>
      <c r="B825" s="343">
        <v>37.799999999999997</v>
      </c>
      <c r="C825" s="343">
        <v>-118.634</v>
      </c>
      <c r="D825" s="342">
        <v>3700300</v>
      </c>
      <c r="E825" s="342">
        <v>5870660</v>
      </c>
    </row>
    <row r="826" spans="1:5" x14ac:dyDescent="0.25">
      <c r="A826">
        <v>93513</v>
      </c>
      <c r="B826" s="343">
        <v>37.297899999999998</v>
      </c>
      <c r="C826" s="343">
        <v>-117.914</v>
      </c>
      <c r="D826" s="342">
        <v>3512980</v>
      </c>
      <c r="E826" s="342">
        <v>6076550</v>
      </c>
    </row>
    <row r="827" spans="1:5" x14ac:dyDescent="0.25">
      <c r="A827">
        <v>93514</v>
      </c>
      <c r="B827" s="343">
        <v>37.472499999999997</v>
      </c>
      <c r="C827" s="343">
        <v>-118.375</v>
      </c>
      <c r="D827" s="342">
        <v>3579100</v>
      </c>
      <c r="E827" s="342">
        <v>5943440</v>
      </c>
    </row>
    <row r="828" spans="1:5" x14ac:dyDescent="0.25">
      <c r="A828">
        <v>93516</v>
      </c>
      <c r="B828" s="343">
        <v>34.9983</v>
      </c>
      <c r="C828" s="343">
        <v>-117.596</v>
      </c>
      <c r="D828" s="342">
        <v>2673500</v>
      </c>
      <c r="E828" s="342">
        <v>6158470</v>
      </c>
    </row>
    <row r="829" spans="1:5" x14ac:dyDescent="0.25">
      <c r="A829">
        <v>93517</v>
      </c>
      <c r="B829" s="343">
        <v>38.264000000000003</v>
      </c>
      <c r="C829" s="343">
        <v>-119.096</v>
      </c>
      <c r="D829" s="342">
        <v>3873160</v>
      </c>
      <c r="E829" s="342">
        <v>5741690</v>
      </c>
    </row>
    <row r="830" spans="1:5" x14ac:dyDescent="0.25">
      <c r="A830">
        <v>93518</v>
      </c>
      <c r="B830" s="343">
        <v>35.359900000000003</v>
      </c>
      <c r="C830" s="343">
        <v>-118.449</v>
      </c>
      <c r="D830" s="342">
        <v>2809520</v>
      </c>
      <c r="E830" s="342">
        <v>5905660</v>
      </c>
    </row>
    <row r="831" spans="1:5" x14ac:dyDescent="0.25">
      <c r="A831">
        <v>93519</v>
      </c>
      <c r="B831" s="343">
        <v>35.3581</v>
      </c>
      <c r="C831" s="343">
        <v>-117.887</v>
      </c>
      <c r="D831" s="342">
        <v>2805750</v>
      </c>
      <c r="E831" s="342">
        <v>6073290</v>
      </c>
    </row>
    <row r="832" spans="1:5" x14ac:dyDescent="0.25">
      <c r="A832">
        <v>93523</v>
      </c>
      <c r="B832" s="343">
        <v>34.995699999999999</v>
      </c>
      <c r="C832" s="343">
        <v>-117.874</v>
      </c>
      <c r="D832" s="342">
        <v>2673710</v>
      </c>
      <c r="E832" s="342">
        <v>6074970</v>
      </c>
    </row>
    <row r="833" spans="1:5" x14ac:dyDescent="0.25">
      <c r="A833">
        <v>93524</v>
      </c>
      <c r="B833" s="343">
        <v>34.904400000000003</v>
      </c>
      <c r="C833" s="343">
        <v>-117.657</v>
      </c>
      <c r="D833" s="342">
        <v>2639580</v>
      </c>
      <c r="E833" s="342">
        <v>6139760</v>
      </c>
    </row>
    <row r="834" spans="1:5" x14ac:dyDescent="0.25">
      <c r="A834">
        <v>93526</v>
      </c>
      <c r="B834" s="343">
        <v>36.927399999999999</v>
      </c>
      <c r="C834" s="343">
        <v>-117.9</v>
      </c>
      <c r="D834" s="342">
        <v>3377710</v>
      </c>
      <c r="E834" s="342">
        <v>6078550</v>
      </c>
    </row>
    <row r="835" spans="1:5" x14ac:dyDescent="0.25">
      <c r="A835">
        <v>93527</v>
      </c>
      <c r="B835" s="343">
        <v>35.707099999999997</v>
      </c>
      <c r="C835" s="343">
        <v>-117.929</v>
      </c>
      <c r="D835" s="342">
        <v>2933060</v>
      </c>
      <c r="E835" s="342">
        <v>6062740</v>
      </c>
    </row>
    <row r="836" spans="1:5" x14ac:dyDescent="0.25">
      <c r="A836">
        <v>93528</v>
      </c>
      <c r="B836" s="343">
        <v>35.371200000000002</v>
      </c>
      <c r="C836" s="343">
        <v>-117.66</v>
      </c>
      <c r="D836" s="342">
        <v>2809540</v>
      </c>
      <c r="E836" s="342">
        <v>6140990</v>
      </c>
    </row>
    <row r="837" spans="1:5" x14ac:dyDescent="0.25">
      <c r="A837">
        <v>93529</v>
      </c>
      <c r="B837" s="343">
        <v>37.813200000000002</v>
      </c>
      <c r="C837" s="343">
        <v>-118.997</v>
      </c>
      <c r="D837" s="342">
        <v>3707760</v>
      </c>
      <c r="E837" s="342">
        <v>5765750</v>
      </c>
    </row>
    <row r="838" spans="1:5" x14ac:dyDescent="0.25">
      <c r="A838">
        <v>93531</v>
      </c>
      <c r="B838" s="343">
        <v>35.228999999999999</v>
      </c>
      <c r="C838" s="343">
        <v>-118.604</v>
      </c>
      <c r="D838" s="342">
        <v>2762820</v>
      </c>
      <c r="E838" s="342">
        <v>5858460</v>
      </c>
    </row>
    <row r="839" spans="1:5" x14ac:dyDescent="0.25">
      <c r="A839">
        <v>93532</v>
      </c>
      <c r="B839" s="343">
        <v>34.685499999999998</v>
      </c>
      <c r="C839" s="343">
        <v>-118.566</v>
      </c>
      <c r="D839" s="342">
        <v>2564750</v>
      </c>
      <c r="E839" s="342">
        <v>5865400</v>
      </c>
    </row>
    <row r="840" spans="1:5" x14ac:dyDescent="0.25">
      <c r="A840">
        <v>93534</v>
      </c>
      <c r="B840" s="343">
        <v>34.718699999999998</v>
      </c>
      <c r="C840" s="343">
        <v>-118.149</v>
      </c>
      <c r="D840" s="342">
        <v>2574310</v>
      </c>
      <c r="E840" s="342">
        <v>5990970</v>
      </c>
    </row>
    <row r="841" spans="1:5" x14ac:dyDescent="0.25">
      <c r="A841">
        <v>93535</v>
      </c>
      <c r="B841" s="343">
        <v>34.733800000000002</v>
      </c>
      <c r="C841" s="343">
        <v>-117.89400000000001</v>
      </c>
      <c r="D841" s="342">
        <v>2578520</v>
      </c>
      <c r="E841" s="342">
        <v>6067520</v>
      </c>
    </row>
    <row r="842" spans="1:5" x14ac:dyDescent="0.25">
      <c r="A842">
        <v>93536</v>
      </c>
      <c r="B842" s="343">
        <v>34.756399999999999</v>
      </c>
      <c r="C842" s="343">
        <v>-118.41500000000001</v>
      </c>
      <c r="D842" s="342">
        <v>2589600</v>
      </c>
      <c r="E842" s="342">
        <v>5911170</v>
      </c>
    </row>
    <row r="843" spans="1:5" x14ac:dyDescent="0.25">
      <c r="A843">
        <v>93541</v>
      </c>
      <c r="B843" s="343">
        <v>38.023400000000002</v>
      </c>
      <c r="C843" s="343">
        <v>-118.964</v>
      </c>
      <c r="D843" s="342">
        <v>3784290</v>
      </c>
      <c r="E843" s="342">
        <v>5777180</v>
      </c>
    </row>
    <row r="844" spans="1:5" x14ac:dyDescent="0.25">
      <c r="A844">
        <v>93543</v>
      </c>
      <c r="B844" s="343">
        <v>34.5075</v>
      </c>
      <c r="C844" s="343">
        <v>-117.938</v>
      </c>
      <c r="D844" s="342">
        <v>2496350</v>
      </c>
      <c r="E844" s="342">
        <v>6053180</v>
      </c>
    </row>
    <row r="845" spans="1:5" x14ac:dyDescent="0.25">
      <c r="A845">
        <v>93544</v>
      </c>
      <c r="B845" s="343">
        <v>34.481999999999999</v>
      </c>
      <c r="C845" s="343">
        <v>-117.747</v>
      </c>
      <c r="D845" s="342">
        <v>2486190</v>
      </c>
      <c r="E845" s="342">
        <v>6110460</v>
      </c>
    </row>
    <row r="846" spans="1:5" x14ac:dyDescent="0.25">
      <c r="A846">
        <v>93545</v>
      </c>
      <c r="B846" s="343">
        <v>36.395600000000002</v>
      </c>
      <c r="C846" s="343">
        <v>-117.997</v>
      </c>
      <c r="D846" s="342">
        <v>3184150</v>
      </c>
      <c r="E846" s="342">
        <v>6046830</v>
      </c>
    </row>
    <row r="847" spans="1:5" x14ac:dyDescent="0.25">
      <c r="A847">
        <v>93546</v>
      </c>
      <c r="B847" s="343">
        <v>37.6175</v>
      </c>
      <c r="C847" s="343">
        <v>-118.866</v>
      </c>
      <c r="D847" s="342">
        <v>3635290</v>
      </c>
      <c r="E847" s="342">
        <v>5802060</v>
      </c>
    </row>
    <row r="848" spans="1:5" x14ac:dyDescent="0.25">
      <c r="A848">
        <v>93550</v>
      </c>
      <c r="B848" s="343">
        <v>34.486600000000003</v>
      </c>
      <c r="C848" s="343">
        <v>-118.075</v>
      </c>
      <c r="D848" s="342">
        <v>2489410</v>
      </c>
      <c r="E848" s="342">
        <v>6011650</v>
      </c>
    </row>
    <row r="849" spans="1:5" x14ac:dyDescent="0.25">
      <c r="A849">
        <v>93551</v>
      </c>
      <c r="B849" s="343">
        <v>34.595599999999997</v>
      </c>
      <c r="C849" s="343">
        <v>-118.223</v>
      </c>
      <c r="D849" s="342">
        <v>2529900</v>
      </c>
      <c r="E849" s="342">
        <v>5967800</v>
      </c>
    </row>
    <row r="850" spans="1:5" x14ac:dyDescent="0.25">
      <c r="A850">
        <v>93552</v>
      </c>
      <c r="B850" s="343">
        <v>34.579099999999997</v>
      </c>
      <c r="C850" s="343">
        <v>-118.02200000000001</v>
      </c>
      <c r="D850" s="342">
        <v>2522810</v>
      </c>
      <c r="E850" s="342">
        <v>6028300</v>
      </c>
    </row>
    <row r="851" spans="1:5" x14ac:dyDescent="0.25">
      <c r="A851">
        <v>93553</v>
      </c>
      <c r="B851" s="343">
        <v>34.457000000000001</v>
      </c>
      <c r="C851" s="343">
        <v>-117.89</v>
      </c>
      <c r="D851" s="342">
        <v>2477730</v>
      </c>
      <c r="E851" s="342">
        <v>6067130</v>
      </c>
    </row>
    <row r="852" spans="1:5" x14ac:dyDescent="0.25">
      <c r="A852">
        <v>93554</v>
      </c>
      <c r="B852" s="343">
        <v>35.409799999999997</v>
      </c>
      <c r="C852" s="343">
        <v>-117.72799999999999</v>
      </c>
      <c r="D852" s="342">
        <v>2823870</v>
      </c>
      <c r="E852" s="342">
        <v>6120900</v>
      </c>
    </row>
    <row r="853" spans="1:5" x14ac:dyDescent="0.25">
      <c r="A853">
        <v>93555</v>
      </c>
      <c r="B853" s="343">
        <v>35.695999999999998</v>
      </c>
      <c r="C853" s="343">
        <v>-117.45099999999999</v>
      </c>
      <c r="D853" s="342">
        <v>2926670</v>
      </c>
      <c r="E853" s="342">
        <v>6205060</v>
      </c>
    </row>
    <row r="854" spans="1:5" x14ac:dyDescent="0.25">
      <c r="A854">
        <v>93560</v>
      </c>
      <c r="B854" s="343">
        <v>34.919899999999998</v>
      </c>
      <c r="C854" s="343">
        <v>-118.497</v>
      </c>
      <c r="D854" s="342">
        <v>2649670</v>
      </c>
      <c r="E854" s="342">
        <v>5887770</v>
      </c>
    </row>
    <row r="855" spans="1:5" x14ac:dyDescent="0.25">
      <c r="A855">
        <v>93561</v>
      </c>
      <c r="B855" s="343">
        <v>35.153199999999998</v>
      </c>
      <c r="C855" s="343">
        <v>-118.503</v>
      </c>
      <c r="D855" s="342">
        <v>2734580</v>
      </c>
      <c r="E855" s="342">
        <v>5888040</v>
      </c>
    </row>
    <row r="856" spans="1:5" x14ac:dyDescent="0.25">
      <c r="A856">
        <v>93562</v>
      </c>
      <c r="B856" s="343">
        <v>35.672499999999999</v>
      </c>
      <c r="C856" s="343">
        <v>-117.357</v>
      </c>
      <c r="D856" s="342">
        <v>2918170</v>
      </c>
      <c r="E856" s="342">
        <v>6232480</v>
      </c>
    </row>
    <row r="857" spans="1:5" x14ac:dyDescent="0.25">
      <c r="A857">
        <v>93563</v>
      </c>
      <c r="B857" s="343">
        <v>34.307400000000001</v>
      </c>
      <c r="C857" s="343">
        <v>-117.872</v>
      </c>
      <c r="D857" s="342">
        <v>2423190</v>
      </c>
      <c r="E857" s="342">
        <v>6071700</v>
      </c>
    </row>
    <row r="858" spans="1:5" x14ac:dyDescent="0.25">
      <c r="A858">
        <v>93591</v>
      </c>
      <c r="B858" s="343">
        <v>34.6036</v>
      </c>
      <c r="C858" s="343">
        <v>-117.813</v>
      </c>
      <c r="D858" s="342">
        <v>2530720</v>
      </c>
      <c r="E858" s="342">
        <v>6091240</v>
      </c>
    </row>
    <row r="859" spans="1:5" x14ac:dyDescent="0.25">
      <c r="A859">
        <v>93601</v>
      </c>
      <c r="B859" s="343">
        <v>37.379800000000003</v>
      </c>
      <c r="C859" s="343">
        <v>-119.741</v>
      </c>
      <c r="D859" s="342">
        <v>3556010</v>
      </c>
      <c r="E859" s="342">
        <v>5544880</v>
      </c>
    </row>
    <row r="860" spans="1:5" x14ac:dyDescent="0.25">
      <c r="A860">
        <v>93602</v>
      </c>
      <c r="B860" s="343">
        <v>37.082599999999999</v>
      </c>
      <c r="C860" s="343">
        <v>-119.431</v>
      </c>
      <c r="D860" s="342">
        <v>3444700</v>
      </c>
      <c r="E860" s="342">
        <v>5632020</v>
      </c>
    </row>
    <row r="861" spans="1:5" x14ac:dyDescent="0.25">
      <c r="A861">
        <v>93603</v>
      </c>
      <c r="B861" s="343">
        <v>36.641399999999997</v>
      </c>
      <c r="C861" s="343">
        <v>-118.982</v>
      </c>
      <c r="D861" s="342">
        <v>3280090</v>
      </c>
      <c r="E861" s="342">
        <v>5758740</v>
      </c>
    </row>
    <row r="862" spans="1:5" x14ac:dyDescent="0.25">
      <c r="A862">
        <v>93604</v>
      </c>
      <c r="B862" s="343">
        <v>37.316000000000003</v>
      </c>
      <c r="C862" s="343">
        <v>-119.54900000000001</v>
      </c>
      <c r="D862" s="342">
        <v>3530900</v>
      </c>
      <c r="E862" s="342">
        <v>5600160</v>
      </c>
    </row>
    <row r="863" spans="1:5" x14ac:dyDescent="0.25">
      <c r="A863">
        <v>93608</v>
      </c>
      <c r="B863" s="343">
        <v>36.523499999999999</v>
      </c>
      <c r="C863" s="343">
        <v>-120.312</v>
      </c>
      <c r="D863" s="342">
        <v>3249860</v>
      </c>
      <c r="E863" s="342">
        <v>5366660</v>
      </c>
    </row>
    <row r="864" spans="1:5" x14ac:dyDescent="0.25">
      <c r="A864">
        <v>93609</v>
      </c>
      <c r="B864" s="343">
        <v>36.528700000000001</v>
      </c>
      <c r="C864" s="343">
        <v>-119.86799999999999</v>
      </c>
      <c r="D864" s="342">
        <v>3246950</v>
      </c>
      <c r="E864" s="342">
        <v>5497220</v>
      </c>
    </row>
    <row r="865" spans="1:5" x14ac:dyDescent="0.25">
      <c r="A865">
        <v>93610</v>
      </c>
      <c r="B865" s="343">
        <v>37.096400000000003</v>
      </c>
      <c r="C865" s="343">
        <v>-120.273</v>
      </c>
      <c r="D865" s="342">
        <v>3458260</v>
      </c>
      <c r="E865" s="342">
        <v>5386080</v>
      </c>
    </row>
    <row r="866" spans="1:5" x14ac:dyDescent="0.25">
      <c r="A866">
        <v>93611</v>
      </c>
      <c r="B866" s="343">
        <v>36.827500000000001</v>
      </c>
      <c r="C866" s="343">
        <v>-119.681</v>
      </c>
      <c r="D866" s="342">
        <v>3354000</v>
      </c>
      <c r="E866" s="342">
        <v>5555770</v>
      </c>
    </row>
    <row r="867" spans="1:5" x14ac:dyDescent="0.25">
      <c r="A867">
        <v>93612</v>
      </c>
      <c r="B867" s="343">
        <v>36.814599999999999</v>
      </c>
      <c r="C867" s="343">
        <v>-119.711</v>
      </c>
      <c r="D867" s="342">
        <v>3349600</v>
      </c>
      <c r="E867" s="342">
        <v>5546750</v>
      </c>
    </row>
    <row r="868" spans="1:5" x14ac:dyDescent="0.25">
      <c r="A868">
        <v>93614</v>
      </c>
      <c r="B868" s="343">
        <v>37.207799999999999</v>
      </c>
      <c r="C868" s="343">
        <v>-119.73699999999999</v>
      </c>
      <c r="D868" s="342">
        <v>3493240</v>
      </c>
      <c r="E868" s="342">
        <v>5543910</v>
      </c>
    </row>
    <row r="869" spans="1:5" x14ac:dyDescent="0.25">
      <c r="A869">
        <v>93615</v>
      </c>
      <c r="B869" s="343">
        <v>36.506100000000004</v>
      </c>
      <c r="C869" s="343">
        <v>-119.285</v>
      </c>
      <c r="D869" s="342">
        <v>3233260</v>
      </c>
      <c r="E869" s="342">
        <v>5668560</v>
      </c>
    </row>
    <row r="870" spans="1:5" x14ac:dyDescent="0.25">
      <c r="A870">
        <v>93616</v>
      </c>
      <c r="B870" s="343">
        <v>36.6541</v>
      </c>
      <c r="C870" s="343">
        <v>-119.593</v>
      </c>
      <c r="D870" s="342">
        <v>3289970</v>
      </c>
      <c r="E870" s="342">
        <v>5579660</v>
      </c>
    </row>
    <row r="871" spans="1:5" x14ac:dyDescent="0.25">
      <c r="A871">
        <v>93618</v>
      </c>
      <c r="B871" s="343">
        <v>36.521599999999999</v>
      </c>
      <c r="C871" s="343">
        <v>-119.38800000000001</v>
      </c>
      <c r="D871" s="342">
        <v>3239790</v>
      </c>
      <c r="E871" s="342">
        <v>5638180</v>
      </c>
    </row>
    <row r="872" spans="1:5" x14ac:dyDescent="0.25">
      <c r="A872">
        <v>93619</v>
      </c>
      <c r="B872" s="343">
        <v>36.914400000000001</v>
      </c>
      <c r="C872" s="343">
        <v>-119.577</v>
      </c>
      <c r="D872" s="342">
        <v>3384710</v>
      </c>
      <c r="E872" s="342">
        <v>5587170</v>
      </c>
    </row>
    <row r="873" spans="1:5" x14ac:dyDescent="0.25">
      <c r="A873">
        <v>93620</v>
      </c>
      <c r="B873" s="343">
        <v>37.058100000000003</v>
      </c>
      <c r="C873" s="343">
        <v>-120.631</v>
      </c>
      <c r="D873" s="342">
        <v>3448470</v>
      </c>
      <c r="E873" s="342">
        <v>5281020</v>
      </c>
    </row>
    <row r="874" spans="1:5" x14ac:dyDescent="0.25">
      <c r="A874">
        <v>93621</v>
      </c>
      <c r="B874" s="343">
        <v>36.738999999999997</v>
      </c>
      <c r="C874" s="343">
        <v>-119.048</v>
      </c>
      <c r="D874" s="342">
        <v>3316220</v>
      </c>
      <c r="E874" s="342">
        <v>5740580</v>
      </c>
    </row>
    <row r="875" spans="1:5" x14ac:dyDescent="0.25">
      <c r="A875">
        <v>93622</v>
      </c>
      <c r="B875" s="343">
        <v>36.8506</v>
      </c>
      <c r="C875" s="343">
        <v>-120.571</v>
      </c>
      <c r="D875" s="342">
        <v>3372150</v>
      </c>
      <c r="E875" s="342">
        <v>5295410</v>
      </c>
    </row>
    <row r="876" spans="1:5" x14ac:dyDescent="0.25">
      <c r="A876">
        <v>93623</v>
      </c>
      <c r="B876" s="343">
        <v>37.498199999999997</v>
      </c>
      <c r="C876" s="343">
        <v>-119.651</v>
      </c>
      <c r="D876" s="342">
        <v>3598350</v>
      </c>
      <c r="E876" s="342">
        <v>5572670</v>
      </c>
    </row>
    <row r="877" spans="1:5" x14ac:dyDescent="0.25">
      <c r="A877">
        <v>93625</v>
      </c>
      <c r="B877" s="343">
        <v>36.623399999999997</v>
      </c>
      <c r="C877" s="343">
        <v>-119.667</v>
      </c>
      <c r="D877" s="342">
        <v>3279480</v>
      </c>
      <c r="E877" s="342">
        <v>5557470</v>
      </c>
    </row>
    <row r="878" spans="1:5" x14ac:dyDescent="0.25">
      <c r="A878">
        <v>93626</v>
      </c>
      <c r="B878" s="343">
        <v>37.056399999999996</v>
      </c>
      <c r="C878" s="343">
        <v>-119.66</v>
      </c>
      <c r="D878" s="342">
        <v>3437250</v>
      </c>
      <c r="E878" s="342">
        <v>5564710</v>
      </c>
    </row>
    <row r="879" spans="1:5" x14ac:dyDescent="0.25">
      <c r="A879">
        <v>93627</v>
      </c>
      <c r="B879" s="343">
        <v>36.481699999999996</v>
      </c>
      <c r="C879" s="343">
        <v>-120.17</v>
      </c>
      <c r="D879" s="342">
        <v>3233050</v>
      </c>
      <c r="E879" s="342">
        <v>5407890</v>
      </c>
    </row>
    <row r="880" spans="1:5" x14ac:dyDescent="0.25">
      <c r="A880">
        <v>93628</v>
      </c>
      <c r="B880" s="343">
        <v>36.794800000000002</v>
      </c>
      <c r="C880" s="343">
        <v>-118.919</v>
      </c>
      <c r="D880" s="342">
        <v>3335540</v>
      </c>
      <c r="E880" s="342">
        <v>5778700</v>
      </c>
    </row>
    <row r="881" spans="1:5" x14ac:dyDescent="0.25">
      <c r="A881">
        <v>93630</v>
      </c>
      <c r="B881" s="343">
        <v>36.713900000000002</v>
      </c>
      <c r="C881" s="343">
        <v>-120.11799999999999</v>
      </c>
      <c r="D881" s="342">
        <v>3317110</v>
      </c>
      <c r="E881" s="342">
        <v>5426130</v>
      </c>
    </row>
    <row r="882" spans="1:5" x14ac:dyDescent="0.25">
      <c r="A882">
        <v>93631</v>
      </c>
      <c r="B882" s="343">
        <v>36.479399999999998</v>
      </c>
      <c r="C882" s="343">
        <v>-119.517</v>
      </c>
      <c r="D882" s="342">
        <v>3225570</v>
      </c>
      <c r="E882" s="342">
        <v>5599940</v>
      </c>
    </row>
    <row r="883" spans="1:5" x14ac:dyDescent="0.25">
      <c r="A883">
        <v>93633</v>
      </c>
      <c r="B883" s="343">
        <v>36.845199999999998</v>
      </c>
      <c r="C883" s="343">
        <v>-118.718</v>
      </c>
      <c r="D883" s="342">
        <v>3352520</v>
      </c>
      <c r="E883" s="342">
        <v>5838250</v>
      </c>
    </row>
    <row r="884" spans="1:5" x14ac:dyDescent="0.25">
      <c r="A884">
        <v>93635</v>
      </c>
      <c r="B884" s="343">
        <v>36.981400000000001</v>
      </c>
      <c r="C884" s="343">
        <v>-120.97199999999999</v>
      </c>
      <c r="D884" s="342">
        <v>3424870</v>
      </c>
      <c r="E884" s="342">
        <v>5180060</v>
      </c>
    </row>
    <row r="885" spans="1:5" x14ac:dyDescent="0.25">
      <c r="A885">
        <v>93636</v>
      </c>
      <c r="B885" s="343">
        <v>36.982700000000001</v>
      </c>
      <c r="C885" s="343">
        <v>-119.873</v>
      </c>
      <c r="D885" s="342">
        <v>3412500</v>
      </c>
      <c r="E885" s="342">
        <v>5501470</v>
      </c>
    </row>
    <row r="886" spans="1:5" x14ac:dyDescent="0.25">
      <c r="A886">
        <v>93637</v>
      </c>
      <c r="B886" s="343">
        <v>36.909999999999997</v>
      </c>
      <c r="C886" s="343">
        <v>-120.16200000000001</v>
      </c>
      <c r="D886" s="342">
        <v>3389050</v>
      </c>
      <c r="E886" s="342">
        <v>5416010</v>
      </c>
    </row>
    <row r="887" spans="1:5" x14ac:dyDescent="0.25">
      <c r="A887">
        <v>93638</v>
      </c>
      <c r="B887" s="343">
        <v>37.039000000000001</v>
      </c>
      <c r="C887" s="343">
        <v>-120.03400000000001</v>
      </c>
      <c r="D887" s="342">
        <v>3434680</v>
      </c>
      <c r="E887" s="342">
        <v>5455110</v>
      </c>
    </row>
    <row r="888" spans="1:5" x14ac:dyDescent="0.25">
      <c r="A888">
        <v>93640</v>
      </c>
      <c r="B888" s="343">
        <v>36.620399999999997</v>
      </c>
      <c r="C888" s="343">
        <v>-120.56</v>
      </c>
      <c r="D888" s="342">
        <v>3288120</v>
      </c>
      <c r="E888" s="342">
        <v>5294970</v>
      </c>
    </row>
    <row r="889" spans="1:5" x14ac:dyDescent="0.25">
      <c r="A889">
        <v>93641</v>
      </c>
      <c r="B889" s="343">
        <v>36.697299999999998</v>
      </c>
      <c r="C889" s="343">
        <v>-119.04600000000001</v>
      </c>
      <c r="D889" s="342">
        <v>3300980</v>
      </c>
      <c r="E889" s="342">
        <v>5740600</v>
      </c>
    </row>
    <row r="890" spans="1:5" x14ac:dyDescent="0.25">
      <c r="A890">
        <v>93643</v>
      </c>
      <c r="B890" s="343">
        <v>37.267099999999999</v>
      </c>
      <c r="C890" s="343">
        <v>-119.447</v>
      </c>
      <c r="D890" s="342">
        <v>3512130</v>
      </c>
      <c r="E890" s="342">
        <v>5629210</v>
      </c>
    </row>
    <row r="891" spans="1:5" x14ac:dyDescent="0.25">
      <c r="A891">
        <v>93644</v>
      </c>
      <c r="B891" s="343">
        <v>37.419199999999996</v>
      </c>
      <c r="C891" s="343">
        <v>-119.50700000000001</v>
      </c>
      <c r="D891" s="342">
        <v>3568180</v>
      </c>
      <c r="E891" s="342">
        <v>5613360</v>
      </c>
    </row>
    <row r="892" spans="1:5" x14ac:dyDescent="0.25">
      <c r="A892">
        <v>93645</v>
      </c>
      <c r="B892" s="343">
        <v>37.168199999999999</v>
      </c>
      <c r="C892" s="343">
        <v>-119.65</v>
      </c>
      <c r="D892" s="342">
        <v>3477950</v>
      </c>
      <c r="E892" s="342">
        <v>5569020</v>
      </c>
    </row>
    <row r="893" spans="1:5" x14ac:dyDescent="0.25">
      <c r="A893">
        <v>93646</v>
      </c>
      <c r="B893" s="343">
        <v>36.631399999999999</v>
      </c>
      <c r="C893" s="343">
        <v>-119.276</v>
      </c>
      <c r="D893" s="342">
        <v>3278850</v>
      </c>
      <c r="E893" s="342">
        <v>5672340</v>
      </c>
    </row>
    <row r="894" spans="1:5" x14ac:dyDescent="0.25">
      <c r="A894">
        <v>93647</v>
      </c>
      <c r="B894" s="343">
        <v>36.578000000000003</v>
      </c>
      <c r="C894" s="343">
        <v>-119.202</v>
      </c>
      <c r="D894" s="342">
        <v>3258770</v>
      </c>
      <c r="E894" s="342">
        <v>5693690</v>
      </c>
    </row>
    <row r="895" spans="1:5" x14ac:dyDescent="0.25">
      <c r="A895">
        <v>93648</v>
      </c>
      <c r="B895" s="343">
        <v>36.621200000000002</v>
      </c>
      <c r="C895" s="343">
        <v>-119.51900000000001</v>
      </c>
      <c r="D895" s="342">
        <v>3277300</v>
      </c>
      <c r="E895" s="342">
        <v>5600810</v>
      </c>
    </row>
    <row r="896" spans="1:5" x14ac:dyDescent="0.25">
      <c r="A896">
        <v>93650</v>
      </c>
      <c r="B896" s="343">
        <v>36.840699999999998</v>
      </c>
      <c r="C896" s="343">
        <v>-119.801</v>
      </c>
      <c r="D896" s="342">
        <v>3360000</v>
      </c>
      <c r="E896" s="342">
        <v>5520700</v>
      </c>
    </row>
    <row r="897" spans="1:5" x14ac:dyDescent="0.25">
      <c r="A897">
        <v>93651</v>
      </c>
      <c r="B897" s="343">
        <v>37</v>
      </c>
      <c r="C897" s="343">
        <v>-119.51600000000001</v>
      </c>
      <c r="D897" s="342">
        <v>3415340</v>
      </c>
      <c r="E897" s="342">
        <v>5606230</v>
      </c>
    </row>
    <row r="898" spans="1:5" x14ac:dyDescent="0.25">
      <c r="A898">
        <v>93652</v>
      </c>
      <c r="B898" s="343">
        <v>36.594700000000003</v>
      </c>
      <c r="C898" s="343">
        <v>-119.90300000000001</v>
      </c>
      <c r="D898" s="342">
        <v>3271370</v>
      </c>
      <c r="E898" s="342">
        <v>5487620</v>
      </c>
    </row>
    <row r="899" spans="1:5" x14ac:dyDescent="0.25">
      <c r="A899">
        <v>93653</v>
      </c>
      <c r="B899" s="343">
        <v>37.266500000000001</v>
      </c>
      <c r="C899" s="343">
        <v>-119.96</v>
      </c>
      <c r="D899" s="342">
        <v>3516900</v>
      </c>
      <c r="E899" s="342">
        <v>5479600</v>
      </c>
    </row>
    <row r="900" spans="1:5" x14ac:dyDescent="0.25">
      <c r="A900">
        <v>93654</v>
      </c>
      <c r="B900" s="343">
        <v>36.665799999999997</v>
      </c>
      <c r="C900" s="343">
        <v>-119.39700000000001</v>
      </c>
      <c r="D900" s="342">
        <v>3292450</v>
      </c>
      <c r="E900" s="342">
        <v>5637200</v>
      </c>
    </row>
    <row r="901" spans="1:5" x14ac:dyDescent="0.25">
      <c r="A901">
        <v>93656</v>
      </c>
      <c r="B901" s="343">
        <v>36.450099999999999</v>
      </c>
      <c r="C901" s="343">
        <v>-119.93300000000001</v>
      </c>
      <c r="D901" s="342">
        <v>3218980</v>
      </c>
      <c r="E901" s="342">
        <v>5477200</v>
      </c>
    </row>
    <row r="902" spans="1:5" x14ac:dyDescent="0.25">
      <c r="A902">
        <v>93657</v>
      </c>
      <c r="B902" s="343">
        <v>36.812199999999997</v>
      </c>
      <c r="C902" s="343">
        <v>-119.414</v>
      </c>
      <c r="D902" s="342">
        <v>3345950</v>
      </c>
      <c r="E902" s="342">
        <v>5633850</v>
      </c>
    </row>
    <row r="903" spans="1:5" x14ac:dyDescent="0.25">
      <c r="A903">
        <v>93660</v>
      </c>
      <c r="B903" s="343">
        <v>36.590899999999998</v>
      </c>
      <c r="C903" s="343">
        <v>-120.17700000000001</v>
      </c>
      <c r="D903" s="342">
        <v>3272900</v>
      </c>
      <c r="E903" s="342">
        <v>5407250</v>
      </c>
    </row>
    <row r="904" spans="1:5" x14ac:dyDescent="0.25">
      <c r="A904">
        <v>93662</v>
      </c>
      <c r="B904" s="343">
        <v>36.546500000000002</v>
      </c>
      <c r="C904" s="343">
        <v>-119.64100000000001</v>
      </c>
      <c r="D904" s="342">
        <v>3251200</v>
      </c>
      <c r="E904" s="342">
        <v>5564320</v>
      </c>
    </row>
    <row r="905" spans="1:5" x14ac:dyDescent="0.25">
      <c r="A905">
        <v>93664</v>
      </c>
      <c r="B905" s="343">
        <v>37.112200000000001</v>
      </c>
      <c r="C905" s="343">
        <v>-119.069</v>
      </c>
      <c r="D905" s="342">
        <v>3452440</v>
      </c>
      <c r="E905" s="342">
        <v>5737930</v>
      </c>
    </row>
    <row r="906" spans="1:5" x14ac:dyDescent="0.25">
      <c r="A906">
        <v>93667</v>
      </c>
      <c r="B906" s="343">
        <v>36.989800000000002</v>
      </c>
      <c r="C906" s="343">
        <v>-119.39100000000001</v>
      </c>
      <c r="D906" s="342">
        <v>3410520</v>
      </c>
      <c r="E906" s="342">
        <v>5642420</v>
      </c>
    </row>
    <row r="907" spans="1:5" x14ac:dyDescent="0.25">
      <c r="A907">
        <v>93668</v>
      </c>
      <c r="B907" s="343">
        <v>36.675199999999997</v>
      </c>
      <c r="C907" s="343">
        <v>-120.303</v>
      </c>
      <c r="D907" s="342">
        <v>3305040</v>
      </c>
      <c r="E907" s="342">
        <v>5371450</v>
      </c>
    </row>
    <row r="908" spans="1:5" x14ac:dyDescent="0.25">
      <c r="A908">
        <v>93669</v>
      </c>
      <c r="B908" s="343">
        <v>37.281999999999996</v>
      </c>
      <c r="C908" s="343">
        <v>-119.553</v>
      </c>
      <c r="D908" s="342">
        <v>3518560</v>
      </c>
      <c r="E908" s="342">
        <v>5598610</v>
      </c>
    </row>
    <row r="909" spans="1:5" x14ac:dyDescent="0.25">
      <c r="A909">
        <v>93675</v>
      </c>
      <c r="B909" s="343">
        <v>36.718800000000002</v>
      </c>
      <c r="C909" s="343">
        <v>-119.197</v>
      </c>
      <c r="D909" s="342">
        <v>3310050</v>
      </c>
      <c r="E909" s="342">
        <v>5696450</v>
      </c>
    </row>
    <row r="910" spans="1:5" x14ac:dyDescent="0.25">
      <c r="A910">
        <v>93701</v>
      </c>
      <c r="B910" s="343">
        <v>36.749400000000001</v>
      </c>
      <c r="C910" s="343">
        <v>-119.788</v>
      </c>
      <c r="D910" s="342">
        <v>3326600</v>
      </c>
      <c r="E910" s="342">
        <v>5523550</v>
      </c>
    </row>
    <row r="911" spans="1:5" x14ac:dyDescent="0.25">
      <c r="A911">
        <v>93702</v>
      </c>
      <c r="B911" s="343">
        <v>36.739600000000003</v>
      </c>
      <c r="C911" s="343">
        <v>-119.754</v>
      </c>
      <c r="D911" s="342">
        <v>3322670</v>
      </c>
      <c r="E911" s="342">
        <v>5533240</v>
      </c>
    </row>
    <row r="912" spans="1:5" x14ac:dyDescent="0.25">
      <c r="A912">
        <v>93703</v>
      </c>
      <c r="B912" s="343">
        <v>36.768900000000002</v>
      </c>
      <c r="C912" s="343">
        <v>-119.762</v>
      </c>
      <c r="D912" s="342">
        <v>3333430</v>
      </c>
      <c r="E912" s="342">
        <v>5531320</v>
      </c>
    </row>
    <row r="913" spans="1:5" x14ac:dyDescent="0.25">
      <c r="A913">
        <v>93704</v>
      </c>
      <c r="B913" s="343">
        <v>36.799799999999998</v>
      </c>
      <c r="C913" s="343">
        <v>-119.801</v>
      </c>
      <c r="D913" s="342">
        <v>3345080</v>
      </c>
      <c r="E913" s="342">
        <v>5520250</v>
      </c>
    </row>
    <row r="914" spans="1:5" x14ac:dyDescent="0.25">
      <c r="A914">
        <v>93705</v>
      </c>
      <c r="B914" s="343">
        <v>36.786799999999999</v>
      </c>
      <c r="C914" s="343">
        <v>-119.828</v>
      </c>
      <c r="D914" s="342">
        <v>3340630</v>
      </c>
      <c r="E914" s="342">
        <v>5512080</v>
      </c>
    </row>
    <row r="915" spans="1:5" x14ac:dyDescent="0.25">
      <c r="A915">
        <v>93706</v>
      </c>
      <c r="B915" s="343">
        <v>36.6526</v>
      </c>
      <c r="C915" s="343">
        <v>-119.90300000000001</v>
      </c>
      <c r="D915" s="342">
        <v>3292470</v>
      </c>
      <c r="E915" s="342">
        <v>5488490</v>
      </c>
    </row>
    <row r="916" spans="1:5" x14ac:dyDescent="0.25">
      <c r="A916">
        <v>93710</v>
      </c>
      <c r="B916" s="343">
        <v>36.8232</v>
      </c>
      <c r="C916" s="343">
        <v>-119.76</v>
      </c>
      <c r="D916" s="342">
        <v>3353220</v>
      </c>
      <c r="E916" s="342">
        <v>5532450</v>
      </c>
    </row>
    <row r="917" spans="1:5" x14ac:dyDescent="0.25">
      <c r="A917">
        <v>93711</v>
      </c>
      <c r="B917" s="343">
        <v>36.834899999999998</v>
      </c>
      <c r="C917" s="343">
        <v>-119.831</v>
      </c>
      <c r="D917" s="342">
        <v>3358200</v>
      </c>
      <c r="E917" s="342">
        <v>5512010</v>
      </c>
    </row>
    <row r="918" spans="1:5" x14ac:dyDescent="0.25">
      <c r="A918">
        <v>93720</v>
      </c>
      <c r="B918" s="343">
        <v>36.859400000000001</v>
      </c>
      <c r="C918" s="343">
        <v>-119.761</v>
      </c>
      <c r="D918" s="342">
        <v>3366420</v>
      </c>
      <c r="E918" s="342">
        <v>5532660</v>
      </c>
    </row>
    <row r="919" spans="1:5" x14ac:dyDescent="0.25">
      <c r="A919">
        <v>93721</v>
      </c>
      <c r="B919" s="343">
        <v>36.732900000000001</v>
      </c>
      <c r="C919" s="343">
        <v>-119.78400000000001</v>
      </c>
      <c r="D919" s="342">
        <v>3320520</v>
      </c>
      <c r="E919" s="342">
        <v>5524510</v>
      </c>
    </row>
    <row r="920" spans="1:5" x14ac:dyDescent="0.25">
      <c r="A920">
        <v>93722</v>
      </c>
      <c r="B920" s="343">
        <v>36.802100000000003</v>
      </c>
      <c r="C920" s="343">
        <v>-119.878</v>
      </c>
      <c r="D920" s="342">
        <v>3346700</v>
      </c>
      <c r="E920" s="342">
        <v>5497590</v>
      </c>
    </row>
    <row r="921" spans="1:5" x14ac:dyDescent="0.25">
      <c r="A921">
        <v>93723</v>
      </c>
      <c r="B921" s="343">
        <v>36.784500000000001</v>
      </c>
      <c r="C921" s="343">
        <v>-119.955</v>
      </c>
      <c r="D921" s="342">
        <v>3341080</v>
      </c>
      <c r="E921" s="342">
        <v>5474940</v>
      </c>
    </row>
    <row r="922" spans="1:5" x14ac:dyDescent="0.25">
      <c r="A922">
        <v>93725</v>
      </c>
      <c r="B922" s="343">
        <v>36.625900000000001</v>
      </c>
      <c r="C922" s="343">
        <v>-119.73699999999999</v>
      </c>
      <c r="D922" s="342">
        <v>3281070</v>
      </c>
      <c r="E922" s="342">
        <v>5536860</v>
      </c>
    </row>
    <row r="923" spans="1:5" x14ac:dyDescent="0.25">
      <c r="A923">
        <v>93726</v>
      </c>
      <c r="B923" s="343">
        <v>36.7941</v>
      </c>
      <c r="C923" s="343">
        <v>-119.761</v>
      </c>
      <c r="D923" s="342">
        <v>3342630</v>
      </c>
      <c r="E923" s="342">
        <v>5531860</v>
      </c>
    </row>
    <row r="924" spans="1:5" x14ac:dyDescent="0.25">
      <c r="A924">
        <v>93727</v>
      </c>
      <c r="B924" s="343">
        <v>36.751800000000003</v>
      </c>
      <c r="C924" s="343">
        <v>-119.69799999999999</v>
      </c>
      <c r="D924" s="342">
        <v>3326590</v>
      </c>
      <c r="E924" s="342">
        <v>5549840</v>
      </c>
    </row>
    <row r="925" spans="1:5" x14ac:dyDescent="0.25">
      <c r="A925">
        <v>93728</v>
      </c>
      <c r="B925" s="343">
        <v>36.7575</v>
      </c>
      <c r="C925" s="343">
        <v>-119.81699999999999</v>
      </c>
      <c r="D925" s="342">
        <v>3329860</v>
      </c>
      <c r="E925" s="342">
        <v>5514940</v>
      </c>
    </row>
    <row r="926" spans="1:5" x14ac:dyDescent="0.25">
      <c r="A926">
        <v>93730</v>
      </c>
      <c r="B926" s="343">
        <v>36.903199999999998</v>
      </c>
      <c r="C926" s="343">
        <v>-119.75700000000001</v>
      </c>
      <c r="D926" s="342">
        <v>3382360</v>
      </c>
      <c r="E926" s="342">
        <v>5534480</v>
      </c>
    </row>
    <row r="927" spans="1:5" x14ac:dyDescent="0.25">
      <c r="A927">
        <v>93737</v>
      </c>
      <c r="B927" s="343">
        <v>36.756100000000004</v>
      </c>
      <c r="C927" s="343">
        <v>-119.643</v>
      </c>
      <c r="D927" s="342">
        <v>3327640</v>
      </c>
      <c r="E927" s="342">
        <v>5566000</v>
      </c>
    </row>
    <row r="928" spans="1:5" x14ac:dyDescent="0.25">
      <c r="A928">
        <v>93741</v>
      </c>
      <c r="B928" s="343">
        <v>36.767200000000003</v>
      </c>
      <c r="C928" s="343">
        <v>-119.79600000000001</v>
      </c>
      <c r="D928" s="342">
        <v>3333150</v>
      </c>
      <c r="E928" s="342">
        <v>5521350</v>
      </c>
    </row>
    <row r="929" spans="1:5" x14ac:dyDescent="0.25">
      <c r="A929">
        <v>93901</v>
      </c>
      <c r="B929" s="343">
        <v>36.658700000000003</v>
      </c>
      <c r="C929" s="343">
        <v>-121.65</v>
      </c>
      <c r="D929" s="342">
        <v>3316960</v>
      </c>
      <c r="E929" s="342">
        <v>4975790</v>
      </c>
    </row>
    <row r="930" spans="1:5" x14ac:dyDescent="0.25">
      <c r="A930">
        <v>93905</v>
      </c>
      <c r="B930" s="343">
        <v>36.680599999999998</v>
      </c>
      <c r="C930" s="343">
        <v>-121.61</v>
      </c>
      <c r="D930" s="342">
        <v>3324340</v>
      </c>
      <c r="E930" s="342">
        <v>4987800</v>
      </c>
    </row>
    <row r="931" spans="1:5" x14ac:dyDescent="0.25">
      <c r="A931">
        <v>93906</v>
      </c>
      <c r="B931" s="343">
        <v>36.724699999999999</v>
      </c>
      <c r="C931" s="343">
        <v>-121.628</v>
      </c>
      <c r="D931" s="342">
        <v>3340660</v>
      </c>
      <c r="E931" s="342">
        <v>4983590</v>
      </c>
    </row>
    <row r="932" spans="1:5" x14ac:dyDescent="0.25">
      <c r="A932">
        <v>93907</v>
      </c>
      <c r="B932" s="343">
        <v>36.774799999999999</v>
      </c>
      <c r="C932" s="343">
        <v>-121.66</v>
      </c>
      <c r="D932" s="342">
        <v>3359410</v>
      </c>
      <c r="E932" s="342">
        <v>4975090</v>
      </c>
    </row>
    <row r="933" spans="1:5" x14ac:dyDescent="0.25">
      <c r="A933">
        <v>93908</v>
      </c>
      <c r="B933" s="343">
        <v>36.631100000000004</v>
      </c>
      <c r="C933" s="343">
        <v>-121.60299999999999</v>
      </c>
      <c r="D933" s="342">
        <v>3306200</v>
      </c>
      <c r="E933" s="342">
        <v>4989140</v>
      </c>
    </row>
    <row r="934" spans="1:5" x14ac:dyDescent="0.25">
      <c r="A934">
        <v>93920</v>
      </c>
      <c r="B934" s="343">
        <v>36.085099999999997</v>
      </c>
      <c r="C934" s="343">
        <v>-121.548</v>
      </c>
      <c r="D934" s="342">
        <v>3106540</v>
      </c>
      <c r="E934" s="342">
        <v>4995340</v>
      </c>
    </row>
    <row r="935" spans="1:5" x14ac:dyDescent="0.25">
      <c r="A935">
        <v>93923</v>
      </c>
      <c r="B935" s="343">
        <v>36.418199999999999</v>
      </c>
      <c r="C935" s="343">
        <v>-121.82599999999999</v>
      </c>
      <c r="D935" s="342">
        <v>3232080</v>
      </c>
      <c r="E935" s="342">
        <v>4919540</v>
      </c>
    </row>
    <row r="936" spans="1:5" x14ac:dyDescent="0.25">
      <c r="A936">
        <v>93924</v>
      </c>
      <c r="B936" s="343">
        <v>36.398299999999999</v>
      </c>
      <c r="C936" s="343">
        <v>-121.63200000000001</v>
      </c>
      <c r="D936" s="342">
        <v>3221860</v>
      </c>
      <c r="E936" s="342">
        <v>4976090</v>
      </c>
    </row>
    <row r="937" spans="1:5" x14ac:dyDescent="0.25">
      <c r="A937">
        <v>93925</v>
      </c>
      <c r="B937" s="343">
        <v>36.590899999999998</v>
      </c>
      <c r="C937" s="343">
        <v>-121.407</v>
      </c>
      <c r="D937" s="342">
        <v>3288680</v>
      </c>
      <c r="E937" s="342">
        <v>5045850</v>
      </c>
    </row>
    <row r="938" spans="1:5" x14ac:dyDescent="0.25">
      <c r="A938">
        <v>93926</v>
      </c>
      <c r="B938" s="343">
        <v>36.534100000000002</v>
      </c>
      <c r="C938" s="343">
        <v>-121.407</v>
      </c>
      <c r="D938" s="342">
        <v>3267990</v>
      </c>
      <c r="E938" s="342">
        <v>5044710</v>
      </c>
    </row>
    <row r="939" spans="1:5" x14ac:dyDescent="0.25">
      <c r="A939">
        <v>93927</v>
      </c>
      <c r="B939" s="343">
        <v>36.223700000000001</v>
      </c>
      <c r="C939" s="343">
        <v>-121.37</v>
      </c>
      <c r="D939" s="342">
        <v>3154420</v>
      </c>
      <c r="E939" s="342">
        <v>5050270</v>
      </c>
    </row>
    <row r="940" spans="1:5" x14ac:dyDescent="0.25">
      <c r="A940">
        <v>93930</v>
      </c>
      <c r="B940" s="343">
        <v>36.203000000000003</v>
      </c>
      <c r="C940" s="343">
        <v>-121.06699999999999</v>
      </c>
      <c r="D940" s="342">
        <v>3142610</v>
      </c>
      <c r="E940" s="342">
        <v>5139180</v>
      </c>
    </row>
    <row r="941" spans="1:5" x14ac:dyDescent="0.25">
      <c r="A941">
        <v>93932</v>
      </c>
      <c r="B941" s="343">
        <v>35.988700000000001</v>
      </c>
      <c r="C941" s="343">
        <v>-121.239</v>
      </c>
      <c r="D941" s="342">
        <v>3067010</v>
      </c>
      <c r="E941" s="342">
        <v>5084800</v>
      </c>
    </row>
    <row r="942" spans="1:5" x14ac:dyDescent="0.25">
      <c r="A942">
        <v>93933</v>
      </c>
      <c r="B942" s="343">
        <v>36.675800000000002</v>
      </c>
      <c r="C942" s="343">
        <v>-121.786</v>
      </c>
      <c r="D942" s="342">
        <v>3325290</v>
      </c>
      <c r="E942" s="342">
        <v>4936190</v>
      </c>
    </row>
    <row r="943" spans="1:5" x14ac:dyDescent="0.25">
      <c r="A943">
        <v>93940</v>
      </c>
      <c r="B943" s="343">
        <v>36.5809</v>
      </c>
      <c r="C943" s="343">
        <v>-121.843</v>
      </c>
      <c r="D943" s="342">
        <v>3291630</v>
      </c>
      <c r="E943" s="342">
        <v>4917510</v>
      </c>
    </row>
    <row r="944" spans="1:5" x14ac:dyDescent="0.25">
      <c r="A944">
        <v>93943</v>
      </c>
      <c r="B944" s="343">
        <v>36.5974</v>
      </c>
      <c r="C944" s="343">
        <v>-121.873</v>
      </c>
      <c r="D944" s="342">
        <v>3298130</v>
      </c>
      <c r="E944" s="342">
        <v>4909030</v>
      </c>
    </row>
    <row r="945" spans="1:5" x14ac:dyDescent="0.25">
      <c r="A945">
        <v>93944</v>
      </c>
      <c r="B945" s="343">
        <v>36.6023</v>
      </c>
      <c r="C945" s="343">
        <v>-121.91500000000001</v>
      </c>
      <c r="D945" s="342">
        <v>3300570</v>
      </c>
      <c r="E945" s="342">
        <v>4896910</v>
      </c>
    </row>
    <row r="946" spans="1:5" x14ac:dyDescent="0.25">
      <c r="A946">
        <v>93950</v>
      </c>
      <c r="B946" s="343">
        <v>36.619199999999999</v>
      </c>
      <c r="C946" s="343">
        <v>-121.926</v>
      </c>
      <c r="D946" s="342">
        <v>3306910</v>
      </c>
      <c r="E946" s="342">
        <v>4894100</v>
      </c>
    </row>
    <row r="947" spans="1:5" x14ac:dyDescent="0.25">
      <c r="A947">
        <v>93953</v>
      </c>
      <c r="B947" s="343">
        <v>36.5854</v>
      </c>
      <c r="C947" s="343">
        <v>-121.943</v>
      </c>
      <c r="D947" s="342">
        <v>3294880</v>
      </c>
      <c r="E947" s="342">
        <v>4888250</v>
      </c>
    </row>
    <row r="948" spans="1:5" x14ac:dyDescent="0.25">
      <c r="A948">
        <v>93955</v>
      </c>
      <c r="B948" s="343">
        <v>36.625300000000003</v>
      </c>
      <c r="C948" s="343">
        <v>-121.82</v>
      </c>
      <c r="D948" s="342">
        <v>3307430</v>
      </c>
      <c r="E948" s="342">
        <v>4925200</v>
      </c>
    </row>
    <row r="949" spans="1:5" x14ac:dyDescent="0.25">
      <c r="A949">
        <v>93960</v>
      </c>
      <c r="B949" s="343">
        <v>36.402799999999999</v>
      </c>
      <c r="C949" s="343">
        <v>-121.345</v>
      </c>
      <c r="D949" s="342">
        <v>3219280</v>
      </c>
      <c r="E949" s="342">
        <v>5060680</v>
      </c>
    </row>
    <row r="950" spans="1:5" x14ac:dyDescent="0.25">
      <c r="A950">
        <v>94002</v>
      </c>
      <c r="B950" s="343">
        <v>37.513399999999997</v>
      </c>
      <c r="C950" s="343">
        <v>-122.29900000000001</v>
      </c>
      <c r="D950" s="342">
        <v>3638770</v>
      </c>
      <c r="E950" s="342">
        <v>4803440</v>
      </c>
    </row>
    <row r="951" spans="1:5" x14ac:dyDescent="0.25">
      <c r="A951">
        <v>94005</v>
      </c>
      <c r="B951" s="343">
        <v>37.689</v>
      </c>
      <c r="C951" s="343">
        <v>-122.413</v>
      </c>
      <c r="D951" s="342">
        <v>3704720</v>
      </c>
      <c r="E951" s="342">
        <v>4774150</v>
      </c>
    </row>
    <row r="952" spans="1:5" x14ac:dyDescent="0.25">
      <c r="A952">
        <v>94010</v>
      </c>
      <c r="B952" s="343">
        <v>37.567300000000003</v>
      </c>
      <c r="C952" s="343">
        <v>-122.366</v>
      </c>
      <c r="D952" s="342">
        <v>3659570</v>
      </c>
      <c r="E952" s="342">
        <v>4785050</v>
      </c>
    </row>
    <row r="953" spans="1:5" x14ac:dyDescent="0.25">
      <c r="A953">
        <v>94014</v>
      </c>
      <c r="B953" s="343">
        <v>37.6905</v>
      </c>
      <c r="C953" s="343">
        <v>-122.447</v>
      </c>
      <c r="D953" s="342">
        <v>3705870</v>
      </c>
      <c r="E953" s="342">
        <v>4764310</v>
      </c>
    </row>
    <row r="954" spans="1:5" x14ac:dyDescent="0.25">
      <c r="A954">
        <v>94015</v>
      </c>
      <c r="B954" s="343">
        <v>37.681399999999996</v>
      </c>
      <c r="C954" s="343">
        <v>-122.48099999999999</v>
      </c>
      <c r="D954" s="342">
        <v>3703130</v>
      </c>
      <c r="E954" s="342">
        <v>4754280</v>
      </c>
    </row>
    <row r="955" spans="1:5" x14ac:dyDescent="0.25">
      <c r="A955">
        <v>94019</v>
      </c>
      <c r="B955" s="343">
        <v>37.486800000000002</v>
      </c>
      <c r="C955" s="343">
        <v>-122.41500000000001</v>
      </c>
      <c r="D955" s="342">
        <v>3631060</v>
      </c>
      <c r="E955" s="342">
        <v>4769150</v>
      </c>
    </row>
    <row r="956" spans="1:5" x14ac:dyDescent="0.25">
      <c r="A956">
        <v>94020</v>
      </c>
      <c r="B956" s="343">
        <v>37.292900000000003</v>
      </c>
      <c r="C956" s="343">
        <v>-122.241</v>
      </c>
      <c r="D956" s="342">
        <v>3557470</v>
      </c>
      <c r="E956" s="342">
        <v>4815590</v>
      </c>
    </row>
    <row r="957" spans="1:5" x14ac:dyDescent="0.25">
      <c r="A957">
        <v>94021</v>
      </c>
      <c r="B957" s="343">
        <v>37.247599999999998</v>
      </c>
      <c r="C957" s="343">
        <v>-122.259</v>
      </c>
      <c r="D957" s="342">
        <v>3541240</v>
      </c>
      <c r="E957" s="342">
        <v>4809530</v>
      </c>
    </row>
    <row r="958" spans="1:5" x14ac:dyDescent="0.25">
      <c r="A958">
        <v>94022</v>
      </c>
      <c r="B958" s="343">
        <v>37.3626</v>
      </c>
      <c r="C958" s="343">
        <v>-122.14700000000001</v>
      </c>
      <c r="D958" s="342">
        <v>3581270</v>
      </c>
      <c r="E958" s="342">
        <v>4844600</v>
      </c>
    </row>
    <row r="959" spans="1:5" x14ac:dyDescent="0.25">
      <c r="A959">
        <v>94024</v>
      </c>
      <c r="B959" s="343">
        <v>37.349899999999998</v>
      </c>
      <c r="C959" s="343">
        <v>-122.093</v>
      </c>
      <c r="D959" s="342">
        <v>3575770</v>
      </c>
      <c r="E959" s="342">
        <v>4860000</v>
      </c>
    </row>
    <row r="960" spans="1:5" x14ac:dyDescent="0.25">
      <c r="A960">
        <v>94025</v>
      </c>
      <c r="B960" s="343">
        <v>37.463500000000003</v>
      </c>
      <c r="C960" s="343">
        <v>-122.175</v>
      </c>
      <c r="D960" s="342">
        <v>3618520</v>
      </c>
      <c r="E960" s="342">
        <v>4838350</v>
      </c>
    </row>
    <row r="961" spans="1:5" x14ac:dyDescent="0.25">
      <c r="A961">
        <v>94027</v>
      </c>
      <c r="B961" s="343">
        <v>37.453000000000003</v>
      </c>
      <c r="C961" s="343">
        <v>-122.20399999999999</v>
      </c>
      <c r="D961" s="342">
        <v>3615190</v>
      </c>
      <c r="E961" s="342">
        <v>4829680</v>
      </c>
    </row>
    <row r="962" spans="1:5" x14ac:dyDescent="0.25">
      <c r="A962">
        <v>94028</v>
      </c>
      <c r="B962" s="343">
        <v>37.375300000000003</v>
      </c>
      <c r="C962" s="343">
        <v>-122.217</v>
      </c>
      <c r="D962" s="342">
        <v>3587090</v>
      </c>
      <c r="E962" s="342">
        <v>4824310</v>
      </c>
    </row>
    <row r="963" spans="1:5" x14ac:dyDescent="0.25">
      <c r="A963">
        <v>94030</v>
      </c>
      <c r="B963" s="343">
        <v>37.599800000000002</v>
      </c>
      <c r="C963" s="343">
        <v>-122.40300000000001</v>
      </c>
      <c r="D963" s="342">
        <v>3672040</v>
      </c>
      <c r="E963" s="342">
        <v>4775160</v>
      </c>
    </row>
    <row r="964" spans="1:5" x14ac:dyDescent="0.25">
      <c r="A964">
        <v>94035</v>
      </c>
      <c r="B964" s="343">
        <v>37.417900000000003</v>
      </c>
      <c r="C964" s="343">
        <v>-122.051</v>
      </c>
      <c r="D964" s="342">
        <v>3599890</v>
      </c>
      <c r="E964" s="342">
        <v>4873380</v>
      </c>
    </row>
    <row r="965" spans="1:5" x14ac:dyDescent="0.25">
      <c r="A965">
        <v>94037</v>
      </c>
      <c r="B965" s="343">
        <v>37.541200000000003</v>
      </c>
      <c r="C965" s="343">
        <v>-122.50700000000001</v>
      </c>
      <c r="D965" s="342">
        <v>3652490</v>
      </c>
      <c r="E965" s="342">
        <v>4743600</v>
      </c>
    </row>
    <row r="966" spans="1:5" x14ac:dyDescent="0.25">
      <c r="A966">
        <v>94038</v>
      </c>
      <c r="B966" s="343">
        <v>37.549199999999999</v>
      </c>
      <c r="C966" s="343">
        <v>-122.498</v>
      </c>
      <c r="D966" s="342">
        <v>3655240</v>
      </c>
      <c r="E966" s="342">
        <v>4746450</v>
      </c>
    </row>
    <row r="967" spans="1:5" x14ac:dyDescent="0.25">
      <c r="A967">
        <v>94040</v>
      </c>
      <c r="B967" s="343">
        <v>37.380299999999998</v>
      </c>
      <c r="C967" s="343">
        <v>-122.086</v>
      </c>
      <c r="D967" s="342">
        <v>3586730</v>
      </c>
      <c r="E967" s="342">
        <v>4862720</v>
      </c>
    </row>
    <row r="968" spans="1:5" x14ac:dyDescent="0.25">
      <c r="A968">
        <v>94041</v>
      </c>
      <c r="B968" s="343">
        <v>37.388300000000001</v>
      </c>
      <c r="C968" s="343">
        <v>-122.07599999999999</v>
      </c>
      <c r="D968" s="342">
        <v>3589500</v>
      </c>
      <c r="E968" s="342">
        <v>4865690</v>
      </c>
    </row>
    <row r="969" spans="1:5" x14ac:dyDescent="0.25">
      <c r="A969">
        <v>94043</v>
      </c>
      <c r="B969" s="343">
        <v>37.418100000000003</v>
      </c>
      <c r="C969" s="343">
        <v>-122.07599999999999</v>
      </c>
      <c r="D969" s="342">
        <v>3600370</v>
      </c>
      <c r="E969" s="342">
        <v>4866120</v>
      </c>
    </row>
    <row r="970" spans="1:5" x14ac:dyDescent="0.25">
      <c r="A970">
        <v>94044</v>
      </c>
      <c r="B970" s="343">
        <v>37.605400000000003</v>
      </c>
      <c r="C970" s="343">
        <v>-122.48099999999999</v>
      </c>
      <c r="D970" s="342">
        <v>3675420</v>
      </c>
      <c r="E970" s="342">
        <v>4752500</v>
      </c>
    </row>
    <row r="971" spans="1:5" x14ac:dyDescent="0.25">
      <c r="A971">
        <v>94060</v>
      </c>
      <c r="B971" s="343">
        <v>37.2104</v>
      </c>
      <c r="C971" s="343">
        <v>-122.33799999999999</v>
      </c>
      <c r="D971" s="342">
        <v>3529010</v>
      </c>
      <c r="E971" s="342">
        <v>4785660</v>
      </c>
    </row>
    <row r="972" spans="1:5" x14ac:dyDescent="0.25">
      <c r="A972">
        <v>94061</v>
      </c>
      <c r="B972" s="343">
        <v>37.4617</v>
      </c>
      <c r="C972" s="343">
        <v>-122.236</v>
      </c>
      <c r="D972" s="342">
        <v>3618890</v>
      </c>
      <c r="E972" s="342">
        <v>4820510</v>
      </c>
    </row>
    <row r="973" spans="1:5" x14ac:dyDescent="0.25">
      <c r="A973">
        <v>94062</v>
      </c>
      <c r="B973" s="343">
        <v>37.414900000000003</v>
      </c>
      <c r="C973" s="343">
        <v>-122.301</v>
      </c>
      <c r="D973" s="342">
        <v>3602930</v>
      </c>
      <c r="E973" s="342">
        <v>4800710</v>
      </c>
    </row>
    <row r="974" spans="1:5" x14ac:dyDescent="0.25">
      <c r="A974">
        <v>94063</v>
      </c>
      <c r="B974" s="343">
        <v>37.5062</v>
      </c>
      <c r="C974" s="343">
        <v>-122.212</v>
      </c>
      <c r="D974" s="342">
        <v>3634700</v>
      </c>
      <c r="E974" s="342">
        <v>4828630</v>
      </c>
    </row>
    <row r="975" spans="1:5" x14ac:dyDescent="0.25">
      <c r="A975">
        <v>94065</v>
      </c>
      <c r="B975" s="343">
        <v>37.535699999999999</v>
      </c>
      <c r="C975" s="343">
        <v>-122.245</v>
      </c>
      <c r="D975" s="342">
        <v>3646020</v>
      </c>
      <c r="E975" s="342">
        <v>4819470</v>
      </c>
    </row>
    <row r="976" spans="1:5" x14ac:dyDescent="0.25">
      <c r="A976">
        <v>94066</v>
      </c>
      <c r="B976" s="343">
        <v>37.6235</v>
      </c>
      <c r="C976" s="343">
        <v>-122.434</v>
      </c>
      <c r="D976" s="342">
        <v>3681210</v>
      </c>
      <c r="E976" s="342">
        <v>4766540</v>
      </c>
    </row>
    <row r="977" spans="1:5" x14ac:dyDescent="0.25">
      <c r="A977">
        <v>94070</v>
      </c>
      <c r="B977" s="343">
        <v>37.496200000000002</v>
      </c>
      <c r="C977" s="343">
        <v>-122.27</v>
      </c>
      <c r="D977" s="342">
        <v>3632030</v>
      </c>
      <c r="E977" s="342">
        <v>4811490</v>
      </c>
    </row>
    <row r="978" spans="1:5" x14ac:dyDescent="0.25">
      <c r="A978">
        <v>94074</v>
      </c>
      <c r="B978" s="343">
        <v>37.308999999999997</v>
      </c>
      <c r="C978" s="343">
        <v>-122.367</v>
      </c>
      <c r="D978" s="342">
        <v>3565450</v>
      </c>
      <c r="E978" s="342">
        <v>4779410</v>
      </c>
    </row>
    <row r="979" spans="1:5" x14ac:dyDescent="0.25">
      <c r="A979">
        <v>94080</v>
      </c>
      <c r="B979" s="343">
        <v>37.6556</v>
      </c>
      <c r="C979" s="343">
        <v>-122.422</v>
      </c>
      <c r="D979" s="342">
        <v>3692700</v>
      </c>
      <c r="E979" s="342">
        <v>4770730</v>
      </c>
    </row>
    <row r="980" spans="1:5" x14ac:dyDescent="0.25">
      <c r="A980">
        <v>94085</v>
      </c>
      <c r="B980" s="343">
        <v>37.388199999999998</v>
      </c>
      <c r="C980" s="343">
        <v>-122.01600000000001</v>
      </c>
      <c r="D980" s="342">
        <v>3588500</v>
      </c>
      <c r="E980" s="342">
        <v>4883100</v>
      </c>
    </row>
    <row r="981" spans="1:5" x14ac:dyDescent="0.25">
      <c r="A981">
        <v>94086</v>
      </c>
      <c r="B981" s="343">
        <v>37.371600000000001</v>
      </c>
      <c r="C981" s="343">
        <v>-122.024</v>
      </c>
      <c r="D981" s="342">
        <v>3582560</v>
      </c>
      <c r="E981" s="342">
        <v>4880560</v>
      </c>
    </row>
    <row r="982" spans="1:5" x14ac:dyDescent="0.25">
      <c r="A982">
        <v>94087</v>
      </c>
      <c r="B982" s="343">
        <v>37.351300000000002</v>
      </c>
      <c r="C982" s="343">
        <v>-122.03700000000001</v>
      </c>
      <c r="D982" s="342">
        <v>3575390</v>
      </c>
      <c r="E982" s="342">
        <v>4876250</v>
      </c>
    </row>
    <row r="983" spans="1:5" x14ac:dyDescent="0.25">
      <c r="A983">
        <v>94089</v>
      </c>
      <c r="B983" s="343">
        <v>37.424300000000002</v>
      </c>
      <c r="C983" s="343">
        <v>-122.017</v>
      </c>
      <c r="D983" s="342">
        <v>3601660</v>
      </c>
      <c r="E983" s="342">
        <v>4883640</v>
      </c>
    </row>
    <row r="984" spans="1:5" x14ac:dyDescent="0.25">
      <c r="A984">
        <v>94102</v>
      </c>
      <c r="B984" s="343">
        <v>37.779499999999999</v>
      </c>
      <c r="C984" s="343">
        <v>-122.42</v>
      </c>
      <c r="D984" s="342">
        <v>3737840</v>
      </c>
      <c r="E984" s="342">
        <v>4774170</v>
      </c>
    </row>
    <row r="985" spans="1:5" x14ac:dyDescent="0.25">
      <c r="A985">
        <v>94103</v>
      </c>
      <c r="B985" s="343">
        <v>37.773099999999999</v>
      </c>
      <c r="C985" s="343">
        <v>-122.411</v>
      </c>
      <c r="D985" s="342">
        <v>3735360</v>
      </c>
      <c r="E985" s="342">
        <v>4776440</v>
      </c>
    </row>
    <row r="986" spans="1:5" x14ac:dyDescent="0.25">
      <c r="A986">
        <v>94104</v>
      </c>
      <c r="B986" s="343">
        <v>37.791499999999999</v>
      </c>
      <c r="C986" s="343">
        <v>-122.402</v>
      </c>
      <c r="D986" s="342">
        <v>3741920</v>
      </c>
      <c r="E986" s="342">
        <v>4779520</v>
      </c>
    </row>
    <row r="987" spans="1:5" x14ac:dyDescent="0.25">
      <c r="A987">
        <v>94105</v>
      </c>
      <c r="B987" s="343">
        <v>37.788600000000002</v>
      </c>
      <c r="C987" s="343">
        <v>-122.39400000000001</v>
      </c>
      <c r="D987" s="342">
        <v>3740720</v>
      </c>
      <c r="E987" s="342">
        <v>4781780</v>
      </c>
    </row>
    <row r="988" spans="1:5" x14ac:dyDescent="0.25">
      <c r="A988">
        <v>94107</v>
      </c>
      <c r="B988" s="343">
        <v>37.764800000000001</v>
      </c>
      <c r="C988" s="343">
        <v>-122.395</v>
      </c>
      <c r="D988" s="342">
        <v>3732060</v>
      </c>
      <c r="E988" s="342">
        <v>4781050</v>
      </c>
    </row>
    <row r="989" spans="1:5" x14ac:dyDescent="0.25">
      <c r="A989">
        <v>94108</v>
      </c>
      <c r="B989" s="343">
        <v>37.791699999999999</v>
      </c>
      <c r="C989" s="343">
        <v>-122.40900000000001</v>
      </c>
      <c r="D989" s="342">
        <v>3742090</v>
      </c>
      <c r="E989" s="342">
        <v>4777650</v>
      </c>
    </row>
    <row r="990" spans="1:5" x14ac:dyDescent="0.25">
      <c r="A990">
        <v>94109</v>
      </c>
      <c r="B990" s="343">
        <v>37.792999999999999</v>
      </c>
      <c r="C990" s="343">
        <v>-122.42100000000001</v>
      </c>
      <c r="D990" s="342">
        <v>3742790</v>
      </c>
      <c r="E990" s="342">
        <v>4774000</v>
      </c>
    </row>
    <row r="991" spans="1:5" x14ac:dyDescent="0.25">
      <c r="A991">
        <v>94110</v>
      </c>
      <c r="B991" s="343">
        <v>37.749699999999997</v>
      </c>
      <c r="C991" s="343">
        <v>-122.41500000000001</v>
      </c>
      <c r="D991" s="342">
        <v>3726900</v>
      </c>
      <c r="E991" s="342">
        <v>4774750</v>
      </c>
    </row>
    <row r="992" spans="1:5" x14ac:dyDescent="0.25">
      <c r="A992">
        <v>94111</v>
      </c>
      <c r="B992" s="343">
        <v>37.799300000000002</v>
      </c>
      <c r="C992" s="343">
        <v>-122.4</v>
      </c>
      <c r="D992" s="342">
        <v>3744710</v>
      </c>
      <c r="E992" s="342">
        <v>4780250</v>
      </c>
    </row>
    <row r="993" spans="1:5" x14ac:dyDescent="0.25">
      <c r="A993">
        <v>94112</v>
      </c>
      <c r="B993" s="343">
        <v>37.720399999999998</v>
      </c>
      <c r="C993" s="343">
        <v>-122.443</v>
      </c>
      <c r="D993" s="342">
        <v>3716710</v>
      </c>
      <c r="E993" s="342">
        <v>4766000</v>
      </c>
    </row>
    <row r="994" spans="1:5" x14ac:dyDescent="0.25">
      <c r="A994">
        <v>94114</v>
      </c>
      <c r="B994" s="343">
        <v>37.758099999999999</v>
      </c>
      <c r="C994" s="343">
        <v>-122.43600000000001</v>
      </c>
      <c r="D994" s="342">
        <v>3730300</v>
      </c>
      <c r="E994" s="342">
        <v>4769050</v>
      </c>
    </row>
    <row r="995" spans="1:5" x14ac:dyDescent="0.25">
      <c r="A995">
        <v>94115</v>
      </c>
      <c r="B995" s="343">
        <v>37.785899999999998</v>
      </c>
      <c r="C995" s="343">
        <v>-122.437</v>
      </c>
      <c r="D995" s="342">
        <v>3740460</v>
      </c>
      <c r="E995" s="342">
        <v>4769150</v>
      </c>
    </row>
    <row r="996" spans="1:5" x14ac:dyDescent="0.25">
      <c r="A996">
        <v>94116</v>
      </c>
      <c r="B996" s="343">
        <v>37.744599999999998</v>
      </c>
      <c r="C996" s="343">
        <v>-122.48699999999999</v>
      </c>
      <c r="D996" s="342">
        <v>3726260</v>
      </c>
      <c r="E996" s="342">
        <v>4754050</v>
      </c>
    </row>
    <row r="997" spans="1:5" x14ac:dyDescent="0.25">
      <c r="A997">
        <v>94117</v>
      </c>
      <c r="B997" s="343">
        <v>37.770400000000002</v>
      </c>
      <c r="C997" s="343">
        <v>-122.444</v>
      </c>
      <c r="D997" s="342">
        <v>3734920</v>
      </c>
      <c r="E997" s="342">
        <v>4767030</v>
      </c>
    </row>
    <row r="998" spans="1:5" x14ac:dyDescent="0.25">
      <c r="A998">
        <v>94118</v>
      </c>
      <c r="B998" s="343">
        <v>37.780700000000003</v>
      </c>
      <c r="C998" s="343">
        <v>-122.462</v>
      </c>
      <c r="D998" s="342">
        <v>3738990</v>
      </c>
      <c r="E998" s="342">
        <v>4761920</v>
      </c>
    </row>
    <row r="999" spans="1:5" x14ac:dyDescent="0.25">
      <c r="A999">
        <v>94121</v>
      </c>
      <c r="B999" s="343">
        <v>37.779800000000002</v>
      </c>
      <c r="C999" s="343">
        <v>-122.495</v>
      </c>
      <c r="D999" s="342">
        <v>3739250</v>
      </c>
      <c r="E999" s="342">
        <v>4752440</v>
      </c>
    </row>
    <row r="1000" spans="1:5" x14ac:dyDescent="0.25">
      <c r="A1000">
        <v>94122</v>
      </c>
      <c r="B1000" s="343">
        <v>37.762500000000003</v>
      </c>
      <c r="C1000" s="343">
        <v>-122.486</v>
      </c>
      <c r="D1000" s="342">
        <v>3732760</v>
      </c>
      <c r="E1000" s="342">
        <v>4754660</v>
      </c>
    </row>
    <row r="1001" spans="1:5" x14ac:dyDescent="0.25">
      <c r="A1001">
        <v>94123</v>
      </c>
      <c r="B1001" s="343">
        <v>37.800800000000002</v>
      </c>
      <c r="C1001" s="343">
        <v>-122.43600000000001</v>
      </c>
      <c r="D1001" s="342">
        <v>3745870</v>
      </c>
      <c r="E1001" s="342">
        <v>4769780</v>
      </c>
    </row>
    <row r="1002" spans="1:5" x14ac:dyDescent="0.25">
      <c r="A1002">
        <v>94124</v>
      </c>
      <c r="B1002" s="343">
        <v>37.731900000000003</v>
      </c>
      <c r="C1002" s="343">
        <v>-122.38500000000001</v>
      </c>
      <c r="D1002" s="342">
        <v>3719890</v>
      </c>
      <c r="E1002" s="342">
        <v>4783090</v>
      </c>
    </row>
    <row r="1003" spans="1:5" x14ac:dyDescent="0.25">
      <c r="A1003">
        <v>94127</v>
      </c>
      <c r="B1003" s="343">
        <v>37.735300000000002</v>
      </c>
      <c r="C1003" s="343">
        <v>-122.46</v>
      </c>
      <c r="D1003" s="342">
        <v>3722420</v>
      </c>
      <c r="E1003" s="342">
        <v>4761560</v>
      </c>
    </row>
    <row r="1004" spans="1:5" x14ac:dyDescent="0.25">
      <c r="A1004">
        <v>94128</v>
      </c>
      <c r="B1004" s="343">
        <v>37.621400000000001</v>
      </c>
      <c r="C1004" s="343">
        <v>-122.383</v>
      </c>
      <c r="D1004" s="342">
        <v>3679560</v>
      </c>
      <c r="E1004" s="342">
        <v>4781330</v>
      </c>
    </row>
    <row r="1005" spans="1:5" x14ac:dyDescent="0.25">
      <c r="A1005">
        <v>94129</v>
      </c>
      <c r="B1005" s="343">
        <v>37.797499999999999</v>
      </c>
      <c r="C1005" s="343">
        <v>-122.46599999999999</v>
      </c>
      <c r="D1005" s="342">
        <v>3745180</v>
      </c>
      <c r="E1005" s="342">
        <v>4761060</v>
      </c>
    </row>
    <row r="1006" spans="1:5" x14ac:dyDescent="0.25">
      <c r="A1006">
        <v>94130</v>
      </c>
      <c r="B1006" s="343">
        <v>37.820700000000002</v>
      </c>
      <c r="C1006" s="343">
        <v>-122.37</v>
      </c>
      <c r="D1006" s="342">
        <v>3752010</v>
      </c>
      <c r="E1006" s="342">
        <v>4789530</v>
      </c>
    </row>
    <row r="1007" spans="1:5" x14ac:dyDescent="0.25">
      <c r="A1007">
        <v>94131</v>
      </c>
      <c r="B1007" s="343">
        <v>37.745899999999999</v>
      </c>
      <c r="C1007" s="343">
        <v>-122.444</v>
      </c>
      <c r="D1007" s="342">
        <v>3725980</v>
      </c>
      <c r="E1007" s="342">
        <v>4766520</v>
      </c>
    </row>
    <row r="1008" spans="1:5" x14ac:dyDescent="0.25">
      <c r="A1008">
        <v>94132</v>
      </c>
      <c r="B1008" s="343">
        <v>37.7211</v>
      </c>
      <c r="C1008" s="343">
        <v>-122.50700000000001</v>
      </c>
      <c r="D1008" s="342">
        <v>3718060</v>
      </c>
      <c r="E1008" s="342">
        <v>4747700</v>
      </c>
    </row>
    <row r="1009" spans="1:5" x14ac:dyDescent="0.25">
      <c r="A1009">
        <v>94133</v>
      </c>
      <c r="B1009" s="343">
        <v>37.803600000000003</v>
      </c>
      <c r="C1009" s="343">
        <v>-122.41200000000001</v>
      </c>
      <c r="D1009" s="342">
        <v>3746480</v>
      </c>
      <c r="E1009" s="342">
        <v>4776950</v>
      </c>
    </row>
    <row r="1010" spans="1:5" x14ac:dyDescent="0.25">
      <c r="A1010">
        <v>94134</v>
      </c>
      <c r="B1010" s="343">
        <v>37.719000000000001</v>
      </c>
      <c r="C1010" s="343">
        <v>-122.41200000000001</v>
      </c>
      <c r="D1010" s="342">
        <v>3715650</v>
      </c>
      <c r="E1010" s="342">
        <v>4775200</v>
      </c>
    </row>
    <row r="1011" spans="1:5" x14ac:dyDescent="0.25">
      <c r="A1011">
        <v>94158</v>
      </c>
      <c r="B1011" s="343">
        <v>37.771099999999997</v>
      </c>
      <c r="C1011" s="343">
        <v>-122.39100000000001</v>
      </c>
      <c r="D1011" s="342">
        <v>3734280</v>
      </c>
      <c r="E1011" s="342">
        <v>4782360</v>
      </c>
    </row>
    <row r="1012" spans="1:5" x14ac:dyDescent="0.25">
      <c r="A1012">
        <v>94301</v>
      </c>
      <c r="B1012" s="343">
        <v>37.443899999999999</v>
      </c>
      <c r="C1012" s="343">
        <v>-122.15</v>
      </c>
      <c r="D1012" s="342">
        <v>3610960</v>
      </c>
      <c r="E1012" s="342">
        <v>4845240</v>
      </c>
    </row>
    <row r="1013" spans="1:5" x14ac:dyDescent="0.25">
      <c r="A1013">
        <v>94303</v>
      </c>
      <c r="B1013" s="343">
        <v>37.4542</v>
      </c>
      <c r="C1013" s="343">
        <v>-122.122</v>
      </c>
      <c r="D1013" s="342">
        <v>3614240</v>
      </c>
      <c r="E1013" s="342">
        <v>4853600</v>
      </c>
    </row>
    <row r="1014" spans="1:5" x14ac:dyDescent="0.25">
      <c r="A1014">
        <v>94304</v>
      </c>
      <c r="B1014" s="343">
        <v>37.398800000000001</v>
      </c>
      <c r="C1014" s="343">
        <v>-122.172</v>
      </c>
      <c r="D1014" s="342">
        <v>3594890</v>
      </c>
      <c r="E1014" s="342">
        <v>4837850</v>
      </c>
    </row>
    <row r="1015" spans="1:5" x14ac:dyDescent="0.25">
      <c r="A1015">
        <v>94305</v>
      </c>
      <c r="B1015" s="343">
        <v>37.424399999999999</v>
      </c>
      <c r="C1015" s="343">
        <v>-122.167</v>
      </c>
      <c r="D1015" s="342">
        <v>3604130</v>
      </c>
      <c r="E1015" s="342">
        <v>4839930</v>
      </c>
    </row>
    <row r="1016" spans="1:5" x14ac:dyDescent="0.25">
      <c r="A1016">
        <v>94306</v>
      </c>
      <c r="B1016" s="343">
        <v>37.415700000000001</v>
      </c>
      <c r="C1016" s="343">
        <v>-122.129</v>
      </c>
      <c r="D1016" s="342">
        <v>3600370</v>
      </c>
      <c r="E1016" s="342">
        <v>4850700</v>
      </c>
    </row>
    <row r="1017" spans="1:5" x14ac:dyDescent="0.25">
      <c r="A1017">
        <v>94401</v>
      </c>
      <c r="B1017" s="343">
        <v>37.574300000000001</v>
      </c>
      <c r="C1017" s="343">
        <v>-122.32</v>
      </c>
      <c r="D1017" s="342">
        <v>3661340</v>
      </c>
      <c r="E1017" s="342">
        <v>4798710</v>
      </c>
    </row>
    <row r="1018" spans="1:5" x14ac:dyDescent="0.25">
      <c r="A1018">
        <v>94402</v>
      </c>
      <c r="B1018" s="343">
        <v>37.5411</v>
      </c>
      <c r="C1018" s="343">
        <v>-122.333</v>
      </c>
      <c r="D1018" s="342">
        <v>3649460</v>
      </c>
      <c r="E1018" s="342">
        <v>4794150</v>
      </c>
    </row>
    <row r="1019" spans="1:5" x14ac:dyDescent="0.25">
      <c r="A1019">
        <v>94403</v>
      </c>
      <c r="B1019" s="343">
        <v>37.538200000000003</v>
      </c>
      <c r="C1019" s="343">
        <v>-122.30500000000001</v>
      </c>
      <c r="D1019" s="342">
        <v>3647920</v>
      </c>
      <c r="E1019" s="342">
        <v>4802340</v>
      </c>
    </row>
    <row r="1020" spans="1:5" x14ac:dyDescent="0.25">
      <c r="A1020">
        <v>94404</v>
      </c>
      <c r="B1020" s="343">
        <v>37.555599999999998</v>
      </c>
      <c r="C1020" s="343">
        <v>-122.27</v>
      </c>
      <c r="D1020" s="342">
        <v>3653680</v>
      </c>
      <c r="E1020" s="342">
        <v>4812860</v>
      </c>
    </row>
    <row r="1021" spans="1:5" x14ac:dyDescent="0.25">
      <c r="A1021">
        <v>94501</v>
      </c>
      <c r="B1021" s="343">
        <v>37.774700000000003</v>
      </c>
      <c r="C1021" s="343">
        <v>-122.27500000000001</v>
      </c>
      <c r="D1021" s="342">
        <v>3733630</v>
      </c>
      <c r="E1021" s="342">
        <v>4815870</v>
      </c>
    </row>
    <row r="1022" spans="1:5" x14ac:dyDescent="0.25">
      <c r="A1022">
        <v>94502</v>
      </c>
      <c r="B1022" s="343">
        <v>37.737000000000002</v>
      </c>
      <c r="C1022" s="343">
        <v>-122.241</v>
      </c>
      <c r="D1022" s="342">
        <v>3719320</v>
      </c>
      <c r="E1022" s="342">
        <v>4824930</v>
      </c>
    </row>
    <row r="1023" spans="1:5" x14ac:dyDescent="0.25">
      <c r="A1023">
        <v>94503</v>
      </c>
      <c r="B1023" s="343">
        <v>38.193899999999999</v>
      </c>
      <c r="C1023" s="343">
        <v>-122.229</v>
      </c>
      <c r="D1023" s="342">
        <v>3885780</v>
      </c>
      <c r="E1023" s="342">
        <v>4838060</v>
      </c>
    </row>
    <row r="1024" spans="1:5" x14ac:dyDescent="0.25">
      <c r="A1024">
        <v>94505</v>
      </c>
      <c r="B1024" s="343">
        <v>37.866300000000003</v>
      </c>
      <c r="C1024" s="343">
        <v>-121.589</v>
      </c>
      <c r="D1024" s="342">
        <v>3756210</v>
      </c>
      <c r="E1024" s="342">
        <v>5016160</v>
      </c>
    </row>
    <row r="1025" spans="1:5" x14ac:dyDescent="0.25">
      <c r="A1025">
        <v>94506</v>
      </c>
      <c r="B1025" s="343">
        <v>37.809100000000001</v>
      </c>
      <c r="C1025" s="343">
        <v>-121.90300000000001</v>
      </c>
      <c r="D1025" s="342">
        <v>3740140</v>
      </c>
      <c r="E1025" s="342">
        <v>4924250</v>
      </c>
    </row>
    <row r="1026" spans="1:5" x14ac:dyDescent="0.25">
      <c r="A1026">
        <v>94507</v>
      </c>
      <c r="B1026" s="343">
        <v>37.853000000000002</v>
      </c>
      <c r="C1026" s="343">
        <v>-122.006</v>
      </c>
      <c r="D1026" s="342">
        <v>3757780</v>
      </c>
      <c r="E1026" s="342">
        <v>4895410</v>
      </c>
    </row>
    <row r="1027" spans="1:5" x14ac:dyDescent="0.25">
      <c r="A1027">
        <v>94508</v>
      </c>
      <c r="B1027" s="343">
        <v>38.579900000000002</v>
      </c>
      <c r="C1027" s="343">
        <v>-122.44799999999999</v>
      </c>
      <c r="D1027" s="342">
        <v>4030320</v>
      </c>
      <c r="E1027" s="342">
        <v>4783380</v>
      </c>
    </row>
    <row r="1028" spans="1:5" x14ac:dyDescent="0.25">
      <c r="A1028">
        <v>94509</v>
      </c>
      <c r="B1028" s="343">
        <v>37.993400000000001</v>
      </c>
      <c r="C1028" s="343">
        <v>-121.81399999999999</v>
      </c>
      <c r="D1028" s="342">
        <v>3806010</v>
      </c>
      <c r="E1028" s="342">
        <v>4953520</v>
      </c>
    </row>
    <row r="1029" spans="1:5" x14ac:dyDescent="0.25">
      <c r="A1029">
        <v>94510</v>
      </c>
      <c r="B1029" s="343">
        <v>38.098700000000001</v>
      </c>
      <c r="C1029" s="343">
        <v>-122.13200000000001</v>
      </c>
      <c r="D1029" s="342">
        <v>3849430</v>
      </c>
      <c r="E1029" s="342">
        <v>4864100</v>
      </c>
    </row>
    <row r="1030" spans="1:5" x14ac:dyDescent="0.25">
      <c r="A1030">
        <v>94512</v>
      </c>
      <c r="B1030" s="343">
        <v>38.127499999999998</v>
      </c>
      <c r="C1030" s="343">
        <v>-121.839</v>
      </c>
      <c r="D1030" s="342">
        <v>3855290</v>
      </c>
      <c r="E1030" s="342">
        <v>4949170</v>
      </c>
    </row>
    <row r="1031" spans="1:5" x14ac:dyDescent="0.25">
      <c r="A1031">
        <v>94513</v>
      </c>
      <c r="B1031" s="343">
        <v>37.9116</v>
      </c>
      <c r="C1031" s="343">
        <v>-121.715</v>
      </c>
      <c r="D1031" s="342">
        <v>3774620</v>
      </c>
      <c r="E1031" s="342">
        <v>4980740</v>
      </c>
    </row>
    <row r="1032" spans="1:5" x14ac:dyDescent="0.25">
      <c r="A1032">
        <v>94514</v>
      </c>
      <c r="B1032" s="343">
        <v>37.811900000000001</v>
      </c>
      <c r="C1032" s="343">
        <v>-121.65600000000001</v>
      </c>
      <c r="D1032" s="342">
        <v>3737350</v>
      </c>
      <c r="E1032" s="342">
        <v>4995870</v>
      </c>
    </row>
    <row r="1033" spans="1:5" x14ac:dyDescent="0.25">
      <c r="A1033">
        <v>94515</v>
      </c>
      <c r="B1033" s="343">
        <v>38.610900000000001</v>
      </c>
      <c r="C1033" s="343">
        <v>-122.60299999999999</v>
      </c>
      <c r="D1033" s="342">
        <v>4044340</v>
      </c>
      <c r="E1033" s="342">
        <v>4739730</v>
      </c>
    </row>
    <row r="1034" spans="1:5" x14ac:dyDescent="0.25">
      <c r="A1034">
        <v>94517</v>
      </c>
      <c r="B1034" s="343">
        <v>37.888599999999997</v>
      </c>
      <c r="C1034" s="343">
        <v>-121.886</v>
      </c>
      <c r="D1034" s="342">
        <v>3768870</v>
      </c>
      <c r="E1034" s="342">
        <v>4930820</v>
      </c>
    </row>
    <row r="1035" spans="1:5" x14ac:dyDescent="0.25">
      <c r="A1035">
        <v>94518</v>
      </c>
      <c r="B1035" s="343">
        <v>37.950800000000001</v>
      </c>
      <c r="C1035" s="343">
        <v>-122.02200000000001</v>
      </c>
      <c r="D1035" s="342">
        <v>3793740</v>
      </c>
      <c r="E1035" s="342">
        <v>4892600</v>
      </c>
    </row>
    <row r="1036" spans="1:5" x14ac:dyDescent="0.25">
      <c r="A1036">
        <v>94519</v>
      </c>
      <c r="B1036" s="343">
        <v>37.988799999999998</v>
      </c>
      <c r="C1036" s="343">
        <v>-122.00700000000001</v>
      </c>
      <c r="D1036" s="342">
        <v>3807350</v>
      </c>
      <c r="E1036" s="342">
        <v>4897930</v>
      </c>
    </row>
    <row r="1037" spans="1:5" x14ac:dyDescent="0.25">
      <c r="A1037">
        <v>94520</v>
      </c>
      <c r="B1037" s="343">
        <v>38.015000000000001</v>
      </c>
      <c r="C1037" s="343">
        <v>-122.039</v>
      </c>
      <c r="D1037" s="342">
        <v>3817420</v>
      </c>
      <c r="E1037" s="342">
        <v>4889210</v>
      </c>
    </row>
    <row r="1038" spans="1:5" x14ac:dyDescent="0.25">
      <c r="A1038">
        <v>94521</v>
      </c>
      <c r="B1038" s="343">
        <v>37.970399999999998</v>
      </c>
      <c r="C1038" s="343">
        <v>-121.958</v>
      </c>
      <c r="D1038" s="342">
        <v>3799840</v>
      </c>
      <c r="E1038" s="342">
        <v>4911720</v>
      </c>
    </row>
    <row r="1039" spans="1:5" x14ac:dyDescent="0.25">
      <c r="A1039">
        <v>94523</v>
      </c>
      <c r="B1039" s="343">
        <v>37.954300000000003</v>
      </c>
      <c r="C1039" s="343">
        <v>-122.07599999999999</v>
      </c>
      <c r="D1039" s="342">
        <v>3795870</v>
      </c>
      <c r="E1039" s="342">
        <v>4877090</v>
      </c>
    </row>
    <row r="1040" spans="1:5" x14ac:dyDescent="0.25">
      <c r="A1040">
        <v>94525</v>
      </c>
      <c r="B1040" s="343">
        <v>38.0488</v>
      </c>
      <c r="C1040" s="343">
        <v>-122.226</v>
      </c>
      <c r="D1040" s="342">
        <v>3832770</v>
      </c>
      <c r="E1040" s="342">
        <v>4835960</v>
      </c>
    </row>
    <row r="1041" spans="1:5" x14ac:dyDescent="0.25">
      <c r="A1041">
        <v>94526</v>
      </c>
      <c r="B1041" s="343">
        <v>37.814300000000003</v>
      </c>
      <c r="C1041" s="343">
        <v>-121.989</v>
      </c>
      <c r="D1041" s="342">
        <v>3743400</v>
      </c>
      <c r="E1041" s="342">
        <v>4899570</v>
      </c>
    </row>
    <row r="1042" spans="1:5" x14ac:dyDescent="0.25">
      <c r="A1042">
        <v>94528</v>
      </c>
      <c r="B1042" s="343">
        <v>37.840699999999998</v>
      </c>
      <c r="C1042" s="343">
        <v>-121.96</v>
      </c>
      <c r="D1042" s="342">
        <v>3752570</v>
      </c>
      <c r="E1042" s="342">
        <v>4908450</v>
      </c>
    </row>
    <row r="1043" spans="1:5" x14ac:dyDescent="0.25">
      <c r="A1043">
        <v>94530</v>
      </c>
      <c r="B1043" s="343">
        <v>37.922899999999998</v>
      </c>
      <c r="C1043" s="343">
        <v>-122.292</v>
      </c>
      <c r="D1043" s="342">
        <v>3787980</v>
      </c>
      <c r="E1043" s="342">
        <v>4814050</v>
      </c>
    </row>
    <row r="1044" spans="1:5" x14ac:dyDescent="0.25">
      <c r="A1044">
        <v>94531</v>
      </c>
      <c r="B1044" s="343">
        <v>37.956000000000003</v>
      </c>
      <c r="C1044" s="343">
        <v>-121.78400000000001</v>
      </c>
      <c r="D1044" s="342">
        <v>3791860</v>
      </c>
      <c r="E1044" s="342">
        <v>4961680</v>
      </c>
    </row>
    <row r="1045" spans="1:5" x14ac:dyDescent="0.25">
      <c r="A1045">
        <v>94533</v>
      </c>
      <c r="B1045" s="343">
        <v>38.279899999999998</v>
      </c>
      <c r="C1045" s="343">
        <v>-122.014</v>
      </c>
      <c r="D1045" s="342">
        <v>3913680</v>
      </c>
      <c r="E1045" s="342">
        <v>4901660</v>
      </c>
    </row>
    <row r="1046" spans="1:5" x14ac:dyDescent="0.25">
      <c r="A1046">
        <v>94534</v>
      </c>
      <c r="B1046" s="343">
        <v>38.241300000000003</v>
      </c>
      <c r="C1046" s="343">
        <v>-122.122</v>
      </c>
      <c r="D1046" s="342">
        <v>3901330</v>
      </c>
      <c r="E1046" s="342">
        <v>4869870</v>
      </c>
    </row>
    <row r="1047" spans="1:5" x14ac:dyDescent="0.25">
      <c r="A1047">
        <v>94535</v>
      </c>
      <c r="B1047" s="343">
        <v>38.2729</v>
      </c>
      <c r="C1047" s="343">
        <v>-121.938</v>
      </c>
      <c r="D1047" s="342">
        <v>3909900</v>
      </c>
      <c r="E1047" s="342">
        <v>4923370</v>
      </c>
    </row>
    <row r="1048" spans="1:5" x14ac:dyDescent="0.25">
      <c r="A1048">
        <v>94536</v>
      </c>
      <c r="B1048" s="343">
        <v>37.570999999999998</v>
      </c>
      <c r="C1048" s="343">
        <v>-121.988</v>
      </c>
      <c r="D1048" s="342">
        <v>3654660</v>
      </c>
      <c r="E1048" s="342">
        <v>4894910</v>
      </c>
    </row>
    <row r="1049" spans="1:5" x14ac:dyDescent="0.25">
      <c r="A1049">
        <v>94538</v>
      </c>
      <c r="B1049" s="343">
        <v>37.499099999999999</v>
      </c>
      <c r="C1049" s="343">
        <v>-121.97799999999999</v>
      </c>
      <c r="D1049" s="342">
        <v>3628310</v>
      </c>
      <c r="E1049" s="342">
        <v>4896380</v>
      </c>
    </row>
    <row r="1050" spans="1:5" x14ac:dyDescent="0.25">
      <c r="A1050">
        <v>94539</v>
      </c>
      <c r="B1050" s="343">
        <v>37.526600000000002</v>
      </c>
      <c r="C1050" s="343">
        <v>-121.913</v>
      </c>
      <c r="D1050" s="342">
        <v>3637280</v>
      </c>
      <c r="E1050" s="342">
        <v>4915860</v>
      </c>
    </row>
    <row r="1051" spans="1:5" x14ac:dyDescent="0.25">
      <c r="A1051">
        <v>94541</v>
      </c>
      <c r="B1051" s="343">
        <v>37.674599999999998</v>
      </c>
      <c r="C1051" s="343">
        <v>-122.08499999999999</v>
      </c>
      <c r="D1051" s="342">
        <v>3694010</v>
      </c>
      <c r="E1051" s="342">
        <v>4869000</v>
      </c>
    </row>
    <row r="1052" spans="1:5" x14ac:dyDescent="0.25">
      <c r="A1052">
        <v>94542</v>
      </c>
      <c r="B1052" s="343">
        <v>37.655700000000003</v>
      </c>
      <c r="C1052" s="343">
        <v>-122.02800000000001</v>
      </c>
      <c r="D1052" s="342">
        <v>3686180</v>
      </c>
      <c r="E1052" s="342">
        <v>4884990</v>
      </c>
    </row>
    <row r="1053" spans="1:5" x14ac:dyDescent="0.25">
      <c r="A1053">
        <v>94544</v>
      </c>
      <c r="B1053" s="343">
        <v>37.633200000000002</v>
      </c>
      <c r="C1053" s="343">
        <v>-122.057</v>
      </c>
      <c r="D1053" s="342">
        <v>3678460</v>
      </c>
      <c r="E1053" s="342">
        <v>4876240</v>
      </c>
    </row>
    <row r="1054" spans="1:5" x14ac:dyDescent="0.25">
      <c r="A1054">
        <v>94545</v>
      </c>
      <c r="B1054" s="343">
        <v>37.632199999999997</v>
      </c>
      <c r="C1054" s="343">
        <v>-122.11799999999999</v>
      </c>
      <c r="D1054" s="342">
        <v>3679070</v>
      </c>
      <c r="E1054" s="342">
        <v>4858330</v>
      </c>
    </row>
    <row r="1055" spans="1:5" x14ac:dyDescent="0.25">
      <c r="A1055">
        <v>94546</v>
      </c>
      <c r="B1055" s="343">
        <v>37.753300000000003</v>
      </c>
      <c r="C1055" s="343">
        <v>-122.09699999999999</v>
      </c>
      <c r="D1055" s="342">
        <v>3722870</v>
      </c>
      <c r="E1055" s="342">
        <v>4867060</v>
      </c>
    </row>
    <row r="1056" spans="1:5" x14ac:dyDescent="0.25">
      <c r="A1056">
        <v>94547</v>
      </c>
      <c r="B1056" s="343">
        <v>38.005600000000001</v>
      </c>
      <c r="C1056" s="343">
        <v>-122.26</v>
      </c>
      <c r="D1056" s="342">
        <v>3817610</v>
      </c>
      <c r="E1056" s="342">
        <v>4825110</v>
      </c>
    </row>
    <row r="1057" spans="1:5" x14ac:dyDescent="0.25">
      <c r="A1057">
        <v>94548</v>
      </c>
      <c r="B1057" s="343">
        <v>37.975000000000001</v>
      </c>
      <c r="C1057" s="343">
        <v>-121.649</v>
      </c>
      <c r="D1057" s="342">
        <v>3796780</v>
      </c>
      <c r="E1057" s="342">
        <v>5000970</v>
      </c>
    </row>
    <row r="1058" spans="1:5" x14ac:dyDescent="0.25">
      <c r="A1058">
        <v>94549</v>
      </c>
      <c r="B1058" s="343">
        <v>37.9011</v>
      </c>
      <c r="C1058" s="343">
        <v>-122.117</v>
      </c>
      <c r="D1058" s="342">
        <v>3777110</v>
      </c>
      <c r="E1058" s="342">
        <v>4864200</v>
      </c>
    </row>
    <row r="1059" spans="1:5" x14ac:dyDescent="0.25">
      <c r="A1059">
        <v>94550</v>
      </c>
      <c r="B1059" s="343">
        <v>37.512099999999997</v>
      </c>
      <c r="C1059" s="343">
        <v>-121.625</v>
      </c>
      <c r="D1059" s="342">
        <v>3627510</v>
      </c>
      <c r="E1059" s="342">
        <v>4999210</v>
      </c>
    </row>
    <row r="1060" spans="1:5" x14ac:dyDescent="0.25">
      <c r="A1060">
        <v>94551</v>
      </c>
      <c r="B1060" s="343">
        <v>37.748899999999999</v>
      </c>
      <c r="C1060" s="343">
        <v>-121.765</v>
      </c>
      <c r="D1060" s="342">
        <v>3716020</v>
      </c>
      <c r="E1060" s="342">
        <v>4963190</v>
      </c>
    </row>
    <row r="1061" spans="1:5" x14ac:dyDescent="0.25">
      <c r="A1061">
        <v>94552</v>
      </c>
      <c r="B1061" s="343">
        <v>37.706499999999998</v>
      </c>
      <c r="C1061" s="343">
        <v>-122.009</v>
      </c>
      <c r="D1061" s="342">
        <v>3704400</v>
      </c>
      <c r="E1061" s="342">
        <v>4891560</v>
      </c>
    </row>
    <row r="1062" spans="1:5" x14ac:dyDescent="0.25">
      <c r="A1062">
        <v>94553</v>
      </c>
      <c r="B1062" s="343">
        <v>37.981699999999996</v>
      </c>
      <c r="C1062" s="343">
        <v>-122.16500000000001</v>
      </c>
      <c r="D1062" s="342">
        <v>3807330</v>
      </c>
      <c r="E1062" s="342">
        <v>4851930</v>
      </c>
    </row>
    <row r="1063" spans="1:5" x14ac:dyDescent="0.25">
      <c r="A1063">
        <v>94555</v>
      </c>
      <c r="B1063" s="343">
        <v>37.547600000000003</v>
      </c>
      <c r="C1063" s="343">
        <v>-122.081</v>
      </c>
      <c r="D1063" s="342">
        <v>3647640</v>
      </c>
      <c r="E1063" s="342">
        <v>4867350</v>
      </c>
    </row>
    <row r="1064" spans="1:5" x14ac:dyDescent="0.25">
      <c r="A1064">
        <v>94556</v>
      </c>
      <c r="B1064" s="343">
        <v>37.832900000000002</v>
      </c>
      <c r="C1064" s="343">
        <v>-122.111</v>
      </c>
      <c r="D1064" s="342">
        <v>3752140</v>
      </c>
      <c r="E1064" s="342">
        <v>4864560</v>
      </c>
    </row>
    <row r="1065" spans="1:5" x14ac:dyDescent="0.25">
      <c r="A1065">
        <v>94558</v>
      </c>
      <c r="B1065" s="343">
        <v>38.498699999999999</v>
      </c>
      <c r="C1065" s="343">
        <v>-122.26600000000001</v>
      </c>
      <c r="D1065" s="342">
        <v>3997560</v>
      </c>
      <c r="E1065" s="342">
        <v>4833800</v>
      </c>
    </row>
    <row r="1066" spans="1:5" x14ac:dyDescent="0.25">
      <c r="A1066">
        <v>94559</v>
      </c>
      <c r="B1066" s="343">
        <v>38.2393</v>
      </c>
      <c r="C1066" s="343">
        <v>-122.331</v>
      </c>
      <c r="D1066" s="342">
        <v>3904020</v>
      </c>
      <c r="E1066" s="342">
        <v>4809720</v>
      </c>
    </row>
    <row r="1067" spans="1:5" x14ac:dyDescent="0.25">
      <c r="A1067">
        <v>94560</v>
      </c>
      <c r="B1067" s="343">
        <v>37.518500000000003</v>
      </c>
      <c r="C1067" s="343">
        <v>-122.03700000000001</v>
      </c>
      <c r="D1067" s="342">
        <v>3636310</v>
      </c>
      <c r="E1067" s="342">
        <v>4879500</v>
      </c>
    </row>
    <row r="1068" spans="1:5" x14ac:dyDescent="0.25">
      <c r="A1068">
        <v>94561</v>
      </c>
      <c r="B1068" s="343">
        <v>38.031399999999998</v>
      </c>
      <c r="C1068" s="343">
        <v>-121.657</v>
      </c>
      <c r="D1068" s="342">
        <v>3817450</v>
      </c>
      <c r="E1068" s="342">
        <v>4999770</v>
      </c>
    </row>
    <row r="1069" spans="1:5" x14ac:dyDescent="0.25">
      <c r="A1069">
        <v>94563</v>
      </c>
      <c r="B1069" s="343">
        <v>37.871699999999997</v>
      </c>
      <c r="C1069" s="343">
        <v>-122.187</v>
      </c>
      <c r="D1069" s="342">
        <v>3767530</v>
      </c>
      <c r="E1069" s="342">
        <v>4843460</v>
      </c>
    </row>
    <row r="1070" spans="1:5" x14ac:dyDescent="0.25">
      <c r="A1070">
        <v>94564</v>
      </c>
      <c r="B1070" s="343">
        <v>37.994300000000003</v>
      </c>
      <c r="C1070" s="343">
        <v>-122.285</v>
      </c>
      <c r="D1070" s="342">
        <v>3813880</v>
      </c>
      <c r="E1070" s="342">
        <v>4817590</v>
      </c>
    </row>
    <row r="1071" spans="1:5" x14ac:dyDescent="0.25">
      <c r="A1071">
        <v>94565</v>
      </c>
      <c r="B1071" s="343">
        <v>38.016399999999997</v>
      </c>
      <c r="C1071" s="343">
        <v>-121.911</v>
      </c>
      <c r="D1071" s="342">
        <v>3815890</v>
      </c>
      <c r="E1071" s="342">
        <v>4925940</v>
      </c>
    </row>
    <row r="1072" spans="1:5" x14ac:dyDescent="0.25">
      <c r="A1072">
        <v>94566</v>
      </c>
      <c r="B1072" s="343">
        <v>37.6511</v>
      </c>
      <c r="C1072" s="343">
        <v>-121.855</v>
      </c>
      <c r="D1072" s="342">
        <v>3681780</v>
      </c>
      <c r="E1072" s="342">
        <v>4935010</v>
      </c>
    </row>
    <row r="1073" spans="1:5" x14ac:dyDescent="0.25">
      <c r="A1073">
        <v>94567</v>
      </c>
      <c r="B1073" s="343">
        <v>38.671599999999998</v>
      </c>
      <c r="C1073" s="343">
        <v>-122.443</v>
      </c>
      <c r="D1073" s="342">
        <v>4063750</v>
      </c>
      <c r="E1073" s="342">
        <v>4786690</v>
      </c>
    </row>
    <row r="1074" spans="1:5" x14ac:dyDescent="0.25">
      <c r="A1074">
        <v>94568</v>
      </c>
      <c r="B1074" s="343">
        <v>37.7136</v>
      </c>
      <c r="C1074" s="343">
        <v>-121.917</v>
      </c>
      <c r="D1074" s="342">
        <v>3705520</v>
      </c>
      <c r="E1074" s="342">
        <v>4918420</v>
      </c>
    </row>
    <row r="1075" spans="1:5" x14ac:dyDescent="0.25">
      <c r="A1075">
        <v>94569</v>
      </c>
      <c r="B1075" s="343">
        <v>38.045499999999997</v>
      </c>
      <c r="C1075" s="343">
        <v>-122.188</v>
      </c>
      <c r="D1075" s="342">
        <v>3830960</v>
      </c>
      <c r="E1075" s="342">
        <v>4846870</v>
      </c>
    </row>
    <row r="1076" spans="1:5" x14ac:dyDescent="0.25">
      <c r="A1076">
        <v>94571</v>
      </c>
      <c r="B1076" s="343">
        <v>38.176299999999998</v>
      </c>
      <c r="C1076" s="343">
        <v>-121.755</v>
      </c>
      <c r="D1076" s="342">
        <v>3871820</v>
      </c>
      <c r="E1076" s="342">
        <v>4974130</v>
      </c>
    </row>
    <row r="1077" spans="1:5" x14ac:dyDescent="0.25">
      <c r="A1077">
        <v>94572</v>
      </c>
      <c r="B1077" s="343">
        <v>38.025700000000001</v>
      </c>
      <c r="C1077" s="343">
        <v>-122.245</v>
      </c>
      <c r="D1077" s="342">
        <v>3824670</v>
      </c>
      <c r="E1077" s="342">
        <v>4829990</v>
      </c>
    </row>
    <row r="1078" spans="1:5" x14ac:dyDescent="0.25">
      <c r="A1078">
        <v>94574</v>
      </c>
      <c r="B1078" s="343">
        <v>38.536499999999997</v>
      </c>
      <c r="C1078" s="343">
        <v>-122.396</v>
      </c>
      <c r="D1078" s="342">
        <v>4013630</v>
      </c>
      <c r="E1078" s="342">
        <v>4797240</v>
      </c>
    </row>
    <row r="1079" spans="1:5" x14ac:dyDescent="0.25">
      <c r="A1079">
        <v>94576</v>
      </c>
      <c r="B1079" s="343">
        <v>38.5501</v>
      </c>
      <c r="C1079" s="343">
        <v>-122.477</v>
      </c>
      <c r="D1079" s="342">
        <v>4019940</v>
      </c>
      <c r="E1079" s="342">
        <v>4774480</v>
      </c>
    </row>
    <row r="1080" spans="1:5" x14ac:dyDescent="0.25">
      <c r="A1080">
        <v>94577</v>
      </c>
      <c r="B1080" s="343">
        <v>37.7166</v>
      </c>
      <c r="C1080" s="343">
        <v>-122.16500000000001</v>
      </c>
      <c r="D1080" s="342">
        <v>3710610</v>
      </c>
      <c r="E1080" s="342">
        <v>4846680</v>
      </c>
    </row>
    <row r="1081" spans="1:5" x14ac:dyDescent="0.25">
      <c r="A1081">
        <v>94578</v>
      </c>
      <c r="B1081" s="343">
        <v>37.706499999999998</v>
      </c>
      <c r="C1081" s="343">
        <v>-122.125</v>
      </c>
      <c r="D1081" s="342">
        <v>3706270</v>
      </c>
      <c r="E1081" s="342">
        <v>4857850</v>
      </c>
    </row>
    <row r="1082" spans="1:5" x14ac:dyDescent="0.25">
      <c r="A1082">
        <v>94579</v>
      </c>
      <c r="B1082" s="343">
        <v>37.686500000000002</v>
      </c>
      <c r="C1082" s="343">
        <v>-122.158</v>
      </c>
      <c r="D1082" s="342">
        <v>3699540</v>
      </c>
      <c r="E1082" s="342">
        <v>4848050</v>
      </c>
    </row>
    <row r="1083" spans="1:5" x14ac:dyDescent="0.25">
      <c r="A1083">
        <v>94580</v>
      </c>
      <c r="B1083" s="343">
        <v>37.675899999999999</v>
      </c>
      <c r="C1083" s="343">
        <v>-122.13500000000001</v>
      </c>
      <c r="D1083" s="342">
        <v>3695300</v>
      </c>
      <c r="E1083" s="342">
        <v>4854270</v>
      </c>
    </row>
    <row r="1084" spans="1:5" x14ac:dyDescent="0.25">
      <c r="A1084">
        <v>94582</v>
      </c>
      <c r="B1084" s="343">
        <v>37.763300000000001</v>
      </c>
      <c r="C1084" s="343">
        <v>-121.91500000000001</v>
      </c>
      <c r="D1084" s="342">
        <v>3723630</v>
      </c>
      <c r="E1084" s="342">
        <v>4919980</v>
      </c>
    </row>
    <row r="1085" spans="1:5" x14ac:dyDescent="0.25">
      <c r="A1085">
        <v>94583</v>
      </c>
      <c r="B1085" s="343">
        <v>37.765999999999998</v>
      </c>
      <c r="C1085" s="343">
        <v>-121.99</v>
      </c>
      <c r="D1085" s="342">
        <v>3725820</v>
      </c>
      <c r="E1085" s="342">
        <v>4898180</v>
      </c>
    </row>
    <row r="1086" spans="1:5" x14ac:dyDescent="0.25">
      <c r="A1086">
        <v>94585</v>
      </c>
      <c r="B1086" s="343">
        <v>38.1648</v>
      </c>
      <c r="C1086" s="343">
        <v>-121.95099999999999</v>
      </c>
      <c r="D1086" s="342">
        <v>3870650</v>
      </c>
      <c r="E1086" s="342">
        <v>4917620</v>
      </c>
    </row>
    <row r="1087" spans="1:5" x14ac:dyDescent="0.25">
      <c r="A1087">
        <v>94586</v>
      </c>
      <c r="B1087" s="343">
        <v>37.569600000000001</v>
      </c>
      <c r="C1087" s="343">
        <v>-121.87</v>
      </c>
      <c r="D1087" s="342">
        <v>3652270</v>
      </c>
      <c r="E1087" s="342">
        <v>4929170</v>
      </c>
    </row>
    <row r="1088" spans="1:5" x14ac:dyDescent="0.25">
      <c r="A1088">
        <v>94587</v>
      </c>
      <c r="B1088" s="343">
        <v>37.599600000000002</v>
      </c>
      <c r="C1088" s="343">
        <v>-122.045</v>
      </c>
      <c r="D1088" s="342">
        <v>3666020</v>
      </c>
      <c r="E1088" s="342">
        <v>4878790</v>
      </c>
    </row>
    <row r="1089" spans="1:5" x14ac:dyDescent="0.25">
      <c r="A1089">
        <v>94588</v>
      </c>
      <c r="B1089" s="343">
        <v>37.718800000000002</v>
      </c>
      <c r="C1089" s="343">
        <v>-121.881</v>
      </c>
      <c r="D1089" s="342">
        <v>3706870</v>
      </c>
      <c r="E1089" s="342">
        <v>4928960</v>
      </c>
    </row>
    <row r="1090" spans="1:5" x14ac:dyDescent="0.25">
      <c r="A1090">
        <v>94589</v>
      </c>
      <c r="B1090" s="343">
        <v>38.140900000000002</v>
      </c>
      <c r="C1090" s="343">
        <v>-122.248</v>
      </c>
      <c r="D1090" s="342">
        <v>3866770</v>
      </c>
      <c r="E1090" s="342">
        <v>4831410</v>
      </c>
    </row>
    <row r="1091" spans="1:5" x14ac:dyDescent="0.25">
      <c r="A1091">
        <v>94590</v>
      </c>
      <c r="B1091" s="343">
        <v>38.103700000000003</v>
      </c>
      <c r="C1091" s="343">
        <v>-122.249</v>
      </c>
      <c r="D1091" s="342">
        <v>3853200</v>
      </c>
      <c r="E1091" s="342">
        <v>4830410</v>
      </c>
    </row>
    <row r="1092" spans="1:5" x14ac:dyDescent="0.25">
      <c r="A1092">
        <v>94591</v>
      </c>
      <c r="B1092" s="343">
        <v>38.117100000000001</v>
      </c>
      <c r="C1092" s="343">
        <v>-122.199</v>
      </c>
      <c r="D1092" s="342">
        <v>3857240</v>
      </c>
      <c r="E1092" s="342">
        <v>4844980</v>
      </c>
    </row>
    <row r="1093" spans="1:5" x14ac:dyDescent="0.25">
      <c r="A1093">
        <v>94592</v>
      </c>
      <c r="B1093" s="343">
        <v>38.125399999999999</v>
      </c>
      <c r="C1093" s="343">
        <v>-122.312</v>
      </c>
      <c r="D1093" s="342">
        <v>3862150</v>
      </c>
      <c r="E1093" s="342">
        <v>4812770</v>
      </c>
    </row>
    <row r="1094" spans="1:5" x14ac:dyDescent="0.25">
      <c r="A1094">
        <v>94595</v>
      </c>
      <c r="B1094" s="343">
        <v>37.871400000000001</v>
      </c>
      <c r="C1094" s="343">
        <v>-122.069</v>
      </c>
      <c r="D1094" s="342">
        <v>3765490</v>
      </c>
      <c r="E1094" s="342">
        <v>4877550</v>
      </c>
    </row>
    <row r="1095" spans="1:5" x14ac:dyDescent="0.25">
      <c r="A1095">
        <v>94596</v>
      </c>
      <c r="B1095" s="343">
        <v>37.888300000000001</v>
      </c>
      <c r="C1095" s="343">
        <v>-122.036</v>
      </c>
      <c r="D1095" s="342">
        <v>3771160</v>
      </c>
      <c r="E1095" s="342">
        <v>4887260</v>
      </c>
    </row>
    <row r="1096" spans="1:5" x14ac:dyDescent="0.25">
      <c r="A1096">
        <v>94597</v>
      </c>
      <c r="B1096" s="343">
        <v>37.918100000000003</v>
      </c>
      <c r="C1096" s="343">
        <v>-122.071</v>
      </c>
      <c r="D1096" s="342">
        <v>3782600</v>
      </c>
      <c r="E1096" s="342">
        <v>4877760</v>
      </c>
    </row>
    <row r="1097" spans="1:5" x14ac:dyDescent="0.25">
      <c r="A1097">
        <v>94598</v>
      </c>
      <c r="B1097" s="343">
        <v>37.902999999999999</v>
      </c>
      <c r="C1097" s="343">
        <v>-121.999</v>
      </c>
      <c r="D1097" s="342">
        <v>3775920</v>
      </c>
      <c r="E1097" s="342">
        <v>4898480</v>
      </c>
    </row>
    <row r="1098" spans="1:5" x14ac:dyDescent="0.25">
      <c r="A1098">
        <v>94599</v>
      </c>
      <c r="B1098" s="343">
        <v>38.409300000000002</v>
      </c>
      <c r="C1098" s="343">
        <v>-122.367</v>
      </c>
      <c r="D1098" s="342">
        <v>3966700</v>
      </c>
      <c r="E1098" s="342">
        <v>4802760</v>
      </c>
    </row>
    <row r="1099" spans="1:5" x14ac:dyDescent="0.25">
      <c r="A1099">
        <v>94601</v>
      </c>
      <c r="B1099" s="343">
        <v>37.776899999999998</v>
      </c>
      <c r="C1099" s="343">
        <v>-122.218</v>
      </c>
      <c r="D1099" s="342">
        <v>3733500</v>
      </c>
      <c r="E1099" s="342">
        <v>4832480</v>
      </c>
    </row>
    <row r="1100" spans="1:5" x14ac:dyDescent="0.25">
      <c r="A1100">
        <v>94602</v>
      </c>
      <c r="B1100" s="343">
        <v>37.804099999999998</v>
      </c>
      <c r="C1100" s="343">
        <v>-122.20699999999999</v>
      </c>
      <c r="D1100" s="342">
        <v>3743210</v>
      </c>
      <c r="E1100" s="342">
        <v>4836200</v>
      </c>
    </row>
    <row r="1101" spans="1:5" x14ac:dyDescent="0.25">
      <c r="A1101">
        <v>94603</v>
      </c>
      <c r="B1101" s="343">
        <v>37.738999999999997</v>
      </c>
      <c r="C1101" s="343">
        <v>-122.176</v>
      </c>
      <c r="D1101" s="342">
        <v>3718970</v>
      </c>
      <c r="E1101" s="342">
        <v>4843750</v>
      </c>
    </row>
    <row r="1102" spans="1:5" x14ac:dyDescent="0.25">
      <c r="A1102">
        <v>94605</v>
      </c>
      <c r="B1102" s="343">
        <v>37.760199999999998</v>
      </c>
      <c r="C1102" s="343">
        <v>-122.149</v>
      </c>
      <c r="D1102" s="342">
        <v>3726270</v>
      </c>
      <c r="E1102" s="342">
        <v>4852170</v>
      </c>
    </row>
    <row r="1103" spans="1:5" x14ac:dyDescent="0.25">
      <c r="A1103">
        <v>94606</v>
      </c>
      <c r="B1103" s="343">
        <v>37.792499999999997</v>
      </c>
      <c r="C1103" s="343">
        <v>-122.245</v>
      </c>
      <c r="D1103" s="342">
        <v>3739620</v>
      </c>
      <c r="E1103" s="342">
        <v>4825070</v>
      </c>
    </row>
    <row r="1104" spans="1:5" x14ac:dyDescent="0.25">
      <c r="A1104">
        <v>94607</v>
      </c>
      <c r="B1104" s="343">
        <v>37.808300000000003</v>
      </c>
      <c r="C1104" s="343">
        <v>-122.298</v>
      </c>
      <c r="D1104" s="342">
        <v>3746280</v>
      </c>
      <c r="E1104" s="342">
        <v>4809910</v>
      </c>
    </row>
    <row r="1105" spans="1:5" x14ac:dyDescent="0.25">
      <c r="A1105">
        <v>94608</v>
      </c>
      <c r="B1105" s="343">
        <v>37.835700000000003</v>
      </c>
      <c r="C1105" s="343">
        <v>-122.285</v>
      </c>
      <c r="D1105" s="342">
        <v>3756060</v>
      </c>
      <c r="E1105" s="342">
        <v>4814390</v>
      </c>
    </row>
    <row r="1106" spans="1:5" x14ac:dyDescent="0.25">
      <c r="A1106">
        <v>94609</v>
      </c>
      <c r="B1106" s="343">
        <v>37.834699999999998</v>
      </c>
      <c r="C1106" s="343">
        <v>-122.264</v>
      </c>
      <c r="D1106" s="342">
        <v>3755330</v>
      </c>
      <c r="E1106" s="342">
        <v>4820350</v>
      </c>
    </row>
    <row r="1107" spans="1:5" x14ac:dyDescent="0.25">
      <c r="A1107">
        <v>94610</v>
      </c>
      <c r="B1107" s="343">
        <v>37.811999999999998</v>
      </c>
      <c r="C1107" s="343">
        <v>-122.241</v>
      </c>
      <c r="D1107" s="342">
        <v>3746680</v>
      </c>
      <c r="E1107" s="342">
        <v>4826650</v>
      </c>
    </row>
    <row r="1108" spans="1:5" x14ac:dyDescent="0.25">
      <c r="A1108">
        <v>94611</v>
      </c>
      <c r="B1108" s="343">
        <v>37.831400000000002</v>
      </c>
      <c r="C1108" s="343">
        <v>-122.21599999999999</v>
      </c>
      <c r="D1108" s="342">
        <v>3753330</v>
      </c>
      <c r="E1108" s="342">
        <v>4834090</v>
      </c>
    </row>
    <row r="1109" spans="1:5" x14ac:dyDescent="0.25">
      <c r="A1109">
        <v>94612</v>
      </c>
      <c r="B1109" s="343">
        <v>37.808599999999998</v>
      </c>
      <c r="C1109" s="343">
        <v>-122.267</v>
      </c>
      <c r="D1109" s="342">
        <v>3745880</v>
      </c>
      <c r="E1109" s="342">
        <v>4818900</v>
      </c>
    </row>
    <row r="1110" spans="1:5" x14ac:dyDescent="0.25">
      <c r="A1110">
        <v>94613</v>
      </c>
      <c r="B1110" s="343">
        <v>37.780700000000003</v>
      </c>
      <c r="C1110" s="343">
        <v>-122.18300000000001</v>
      </c>
      <c r="D1110" s="342">
        <v>3734310</v>
      </c>
      <c r="E1110" s="342">
        <v>4842680</v>
      </c>
    </row>
    <row r="1111" spans="1:5" x14ac:dyDescent="0.25">
      <c r="A1111">
        <v>94618</v>
      </c>
      <c r="B1111" s="343">
        <v>37.844499999999996</v>
      </c>
      <c r="C1111" s="343">
        <v>-122.238</v>
      </c>
      <c r="D1111" s="342">
        <v>3758470</v>
      </c>
      <c r="E1111" s="342">
        <v>4828080</v>
      </c>
    </row>
    <row r="1112" spans="1:5" x14ac:dyDescent="0.25">
      <c r="A1112">
        <v>94619</v>
      </c>
      <c r="B1112" s="343">
        <v>37.791800000000002</v>
      </c>
      <c r="C1112" s="343">
        <v>-122.17400000000001</v>
      </c>
      <c r="D1112" s="342">
        <v>3738190</v>
      </c>
      <c r="E1112" s="342">
        <v>4845510</v>
      </c>
    </row>
    <row r="1113" spans="1:5" x14ac:dyDescent="0.25">
      <c r="A1113">
        <v>94621</v>
      </c>
      <c r="B1113" s="343">
        <v>37.736400000000003</v>
      </c>
      <c r="C1113" s="343">
        <v>-122.20699999999999</v>
      </c>
      <c r="D1113" s="342">
        <v>3718550</v>
      </c>
      <c r="E1113" s="342">
        <v>4834740</v>
      </c>
    </row>
    <row r="1114" spans="1:5" x14ac:dyDescent="0.25">
      <c r="A1114">
        <v>94702</v>
      </c>
      <c r="B1114" s="343">
        <v>37.866</v>
      </c>
      <c r="C1114" s="343">
        <v>-122.286</v>
      </c>
      <c r="D1114" s="342">
        <v>3767130</v>
      </c>
      <c r="E1114" s="342">
        <v>4814640</v>
      </c>
    </row>
    <row r="1115" spans="1:5" x14ac:dyDescent="0.25">
      <c r="A1115">
        <v>94703</v>
      </c>
      <c r="B1115" s="343">
        <v>37.864100000000001</v>
      </c>
      <c r="C1115" s="343">
        <v>-122.276</v>
      </c>
      <c r="D1115" s="342">
        <v>3766260</v>
      </c>
      <c r="E1115" s="342">
        <v>4817640</v>
      </c>
    </row>
    <row r="1116" spans="1:5" x14ac:dyDescent="0.25">
      <c r="A1116">
        <v>94704</v>
      </c>
      <c r="B1116" s="343">
        <v>37.866500000000002</v>
      </c>
      <c r="C1116" s="343">
        <v>-122.253</v>
      </c>
      <c r="D1116" s="342">
        <v>3766750</v>
      </c>
      <c r="E1116" s="342">
        <v>4824110</v>
      </c>
    </row>
    <row r="1117" spans="1:5" x14ac:dyDescent="0.25">
      <c r="A1117">
        <v>94705</v>
      </c>
      <c r="B1117" s="343">
        <v>37.859299999999998</v>
      </c>
      <c r="C1117" s="343">
        <v>-122.241</v>
      </c>
      <c r="D1117" s="342">
        <v>3763930</v>
      </c>
      <c r="E1117" s="342">
        <v>4827560</v>
      </c>
    </row>
    <row r="1118" spans="1:5" x14ac:dyDescent="0.25">
      <c r="A1118">
        <v>94706</v>
      </c>
      <c r="B1118" s="343">
        <v>37.889899999999997</v>
      </c>
      <c r="C1118" s="343">
        <v>-122.295</v>
      </c>
      <c r="D1118" s="342">
        <v>3776000</v>
      </c>
      <c r="E1118" s="342">
        <v>4812520</v>
      </c>
    </row>
    <row r="1119" spans="1:5" x14ac:dyDescent="0.25">
      <c r="A1119">
        <v>94707</v>
      </c>
      <c r="B1119" s="343">
        <v>37.898200000000003</v>
      </c>
      <c r="C1119" s="343">
        <v>-122.279</v>
      </c>
      <c r="D1119" s="342">
        <v>3778760</v>
      </c>
      <c r="E1119" s="342">
        <v>4817300</v>
      </c>
    </row>
    <row r="1120" spans="1:5" x14ac:dyDescent="0.25">
      <c r="A1120">
        <v>94708</v>
      </c>
      <c r="B1120" s="343">
        <v>37.900300000000001</v>
      </c>
      <c r="C1120" s="343">
        <v>-122.26</v>
      </c>
      <c r="D1120" s="342">
        <v>3779180</v>
      </c>
      <c r="E1120" s="342">
        <v>4823000</v>
      </c>
    </row>
    <row r="1121" spans="1:5" x14ac:dyDescent="0.25">
      <c r="A1121">
        <v>94709</v>
      </c>
      <c r="B1121" s="343">
        <v>37.879100000000001</v>
      </c>
      <c r="C1121" s="343">
        <v>-122.267</v>
      </c>
      <c r="D1121" s="342">
        <v>3771580</v>
      </c>
      <c r="E1121" s="342">
        <v>4820520</v>
      </c>
    </row>
    <row r="1122" spans="1:5" x14ac:dyDescent="0.25">
      <c r="A1122">
        <v>94710</v>
      </c>
      <c r="B1122" s="343">
        <v>37.870699999999999</v>
      </c>
      <c r="C1122" s="343">
        <v>-122.303</v>
      </c>
      <c r="D1122" s="342">
        <v>3769120</v>
      </c>
      <c r="E1122" s="342">
        <v>4809720</v>
      </c>
    </row>
    <row r="1123" spans="1:5" x14ac:dyDescent="0.25">
      <c r="A1123">
        <v>94720</v>
      </c>
      <c r="B1123" s="343">
        <v>37.8752</v>
      </c>
      <c r="C1123" s="343">
        <v>-122.24299999999999</v>
      </c>
      <c r="D1123" s="342">
        <v>3769760</v>
      </c>
      <c r="E1123" s="342">
        <v>4827250</v>
      </c>
    </row>
    <row r="1124" spans="1:5" x14ac:dyDescent="0.25">
      <c r="A1124">
        <v>94801</v>
      </c>
      <c r="B1124" s="343">
        <v>37.952100000000002</v>
      </c>
      <c r="C1124" s="343">
        <v>-122.379</v>
      </c>
      <c r="D1124" s="342">
        <v>3800080</v>
      </c>
      <c r="E1124" s="342">
        <v>4789520</v>
      </c>
    </row>
    <row r="1125" spans="1:5" x14ac:dyDescent="0.25">
      <c r="A1125">
        <v>94803</v>
      </c>
      <c r="B1125" s="343">
        <v>37.9619</v>
      </c>
      <c r="C1125" s="343">
        <v>-122.282</v>
      </c>
      <c r="D1125" s="342">
        <v>3802020</v>
      </c>
      <c r="E1125" s="342">
        <v>4817870</v>
      </c>
    </row>
    <row r="1126" spans="1:5" x14ac:dyDescent="0.25">
      <c r="A1126">
        <v>94804</v>
      </c>
      <c r="B1126" s="343">
        <v>37.920900000000003</v>
      </c>
      <c r="C1126" s="343">
        <v>-122.342</v>
      </c>
      <c r="D1126" s="342">
        <v>3788080</v>
      </c>
      <c r="E1126" s="342">
        <v>4799740</v>
      </c>
    </row>
    <row r="1127" spans="1:5" x14ac:dyDescent="0.25">
      <c r="A1127">
        <v>94805</v>
      </c>
      <c r="B1127" s="343">
        <v>37.941800000000001</v>
      </c>
      <c r="C1127" s="343">
        <v>-122.322</v>
      </c>
      <c r="D1127" s="342">
        <v>3795340</v>
      </c>
      <c r="E1127" s="342">
        <v>4805990</v>
      </c>
    </row>
    <row r="1128" spans="1:5" x14ac:dyDescent="0.25">
      <c r="A1128">
        <v>94806</v>
      </c>
      <c r="B1128" s="343">
        <v>37.978200000000001</v>
      </c>
      <c r="C1128" s="343">
        <v>-122.336</v>
      </c>
      <c r="D1128" s="342">
        <v>3808880</v>
      </c>
      <c r="E1128" s="342">
        <v>4802470</v>
      </c>
    </row>
    <row r="1129" spans="1:5" x14ac:dyDescent="0.25">
      <c r="A1129">
        <v>94901</v>
      </c>
      <c r="B1129" s="343">
        <v>37.977200000000003</v>
      </c>
      <c r="C1129" s="343">
        <v>-122.505</v>
      </c>
      <c r="D1129" s="342">
        <v>3811410</v>
      </c>
      <c r="E1129" s="342">
        <v>4753690</v>
      </c>
    </row>
    <row r="1130" spans="1:5" x14ac:dyDescent="0.25">
      <c r="A1130">
        <v>94903</v>
      </c>
      <c r="B1130" s="343">
        <v>38.023299999999999</v>
      </c>
      <c r="C1130" s="343">
        <v>-122.547</v>
      </c>
      <c r="D1130" s="342">
        <v>3828920</v>
      </c>
      <c r="E1130" s="342">
        <v>4742750</v>
      </c>
    </row>
    <row r="1131" spans="1:5" x14ac:dyDescent="0.25">
      <c r="A1131">
        <v>94904</v>
      </c>
      <c r="B1131" s="343">
        <v>37.947800000000001</v>
      </c>
      <c r="C1131" s="343">
        <v>-122.545</v>
      </c>
      <c r="D1131" s="342">
        <v>3801370</v>
      </c>
      <c r="E1131" s="342">
        <v>4741550</v>
      </c>
    </row>
    <row r="1132" spans="1:5" x14ac:dyDescent="0.25">
      <c r="A1132">
        <v>94920</v>
      </c>
      <c r="B1132" s="343">
        <v>37.8874</v>
      </c>
      <c r="C1132" s="343">
        <v>-122.465</v>
      </c>
      <c r="D1132" s="342">
        <v>3777970</v>
      </c>
      <c r="E1132" s="342">
        <v>4763300</v>
      </c>
    </row>
    <row r="1133" spans="1:5" x14ac:dyDescent="0.25">
      <c r="A1133">
        <v>94922</v>
      </c>
      <c r="B1133" s="343">
        <v>38.335099999999997</v>
      </c>
      <c r="C1133" s="343">
        <v>-122.94799999999999</v>
      </c>
      <c r="D1133" s="342">
        <v>3949870</v>
      </c>
      <c r="E1133" s="342">
        <v>4634340</v>
      </c>
    </row>
    <row r="1134" spans="1:5" x14ac:dyDescent="0.25">
      <c r="A1134">
        <v>94923</v>
      </c>
      <c r="B1134" s="343">
        <v>38.3369</v>
      </c>
      <c r="C1134" s="343">
        <v>-123.027</v>
      </c>
      <c r="D1134" s="342">
        <v>3952030</v>
      </c>
      <c r="E1134" s="342">
        <v>4611580</v>
      </c>
    </row>
    <row r="1135" spans="1:5" x14ac:dyDescent="0.25">
      <c r="A1135">
        <v>94924</v>
      </c>
      <c r="B1135" s="343">
        <v>37.928699999999999</v>
      </c>
      <c r="C1135" s="343">
        <v>-122.703</v>
      </c>
      <c r="D1135" s="342">
        <v>3797200</v>
      </c>
      <c r="E1135" s="342">
        <v>4695660</v>
      </c>
    </row>
    <row r="1136" spans="1:5" x14ac:dyDescent="0.25">
      <c r="A1136">
        <v>94925</v>
      </c>
      <c r="B1136" s="343">
        <v>37.922800000000002</v>
      </c>
      <c r="C1136" s="343">
        <v>-122.51300000000001</v>
      </c>
      <c r="D1136" s="342">
        <v>3791690</v>
      </c>
      <c r="E1136" s="342">
        <v>4750410</v>
      </c>
    </row>
    <row r="1137" spans="1:5" x14ac:dyDescent="0.25">
      <c r="A1137">
        <v>94928</v>
      </c>
      <c r="B1137" s="343">
        <v>38.346299999999999</v>
      </c>
      <c r="C1137" s="343">
        <v>-122.69499999999999</v>
      </c>
      <c r="D1137" s="342">
        <v>3949370</v>
      </c>
      <c r="E1137" s="342">
        <v>4707210</v>
      </c>
    </row>
    <row r="1138" spans="1:5" x14ac:dyDescent="0.25">
      <c r="A1138">
        <v>94929</v>
      </c>
      <c r="B1138" s="343">
        <v>38.250999999999998</v>
      </c>
      <c r="C1138" s="343">
        <v>-122.95699999999999</v>
      </c>
      <c r="D1138" s="342">
        <v>3919380</v>
      </c>
      <c r="E1138" s="342">
        <v>4629860</v>
      </c>
    </row>
    <row r="1139" spans="1:5" x14ac:dyDescent="0.25">
      <c r="A1139">
        <v>94930</v>
      </c>
      <c r="B1139" s="343">
        <v>37.9636</v>
      </c>
      <c r="C1139" s="343">
        <v>-122.628</v>
      </c>
      <c r="D1139" s="342">
        <v>3808590</v>
      </c>
      <c r="E1139" s="342">
        <v>4717930</v>
      </c>
    </row>
    <row r="1140" spans="1:5" x14ac:dyDescent="0.25">
      <c r="A1140">
        <v>94931</v>
      </c>
      <c r="B1140" s="343">
        <v>38.325899999999997</v>
      </c>
      <c r="C1140" s="343">
        <v>-122.718</v>
      </c>
      <c r="D1140" s="342">
        <v>3942340</v>
      </c>
      <c r="E1140" s="342">
        <v>4700090</v>
      </c>
    </row>
    <row r="1141" spans="1:5" x14ac:dyDescent="0.25">
      <c r="A1141">
        <v>94933</v>
      </c>
      <c r="B1141" s="343">
        <v>38.011800000000001</v>
      </c>
      <c r="C1141" s="343">
        <v>-122.688</v>
      </c>
      <c r="D1141" s="342">
        <v>3827230</v>
      </c>
      <c r="E1141" s="342">
        <v>4701680</v>
      </c>
    </row>
    <row r="1142" spans="1:5" x14ac:dyDescent="0.25">
      <c r="A1142">
        <v>94937</v>
      </c>
      <c r="B1142" s="343">
        <v>38.090600000000002</v>
      </c>
      <c r="C1142" s="343">
        <v>-122.923</v>
      </c>
      <c r="D1142" s="342">
        <v>3860250</v>
      </c>
      <c r="E1142" s="342">
        <v>4635690</v>
      </c>
    </row>
    <row r="1143" spans="1:5" x14ac:dyDescent="0.25">
      <c r="A1143">
        <v>94938</v>
      </c>
      <c r="B1143" s="343">
        <v>38.012099999999997</v>
      </c>
      <c r="C1143" s="343">
        <v>-122.70399999999999</v>
      </c>
      <c r="D1143" s="342">
        <v>3827650</v>
      </c>
      <c r="E1143" s="342">
        <v>4697050</v>
      </c>
    </row>
    <row r="1144" spans="1:5" x14ac:dyDescent="0.25">
      <c r="A1144">
        <v>94939</v>
      </c>
      <c r="B1144" s="343">
        <v>37.938099999999999</v>
      </c>
      <c r="C1144" s="343">
        <v>-122.533</v>
      </c>
      <c r="D1144" s="342">
        <v>3797640</v>
      </c>
      <c r="E1144" s="342">
        <v>4744860</v>
      </c>
    </row>
    <row r="1145" spans="1:5" x14ac:dyDescent="0.25">
      <c r="A1145">
        <v>94940</v>
      </c>
      <c r="B1145" s="343">
        <v>38.195099999999996</v>
      </c>
      <c r="C1145" s="343">
        <v>-122.89</v>
      </c>
      <c r="D1145" s="342">
        <v>3897740</v>
      </c>
      <c r="E1145" s="342">
        <v>4647830</v>
      </c>
    </row>
    <row r="1146" spans="1:5" x14ac:dyDescent="0.25">
      <c r="A1146">
        <v>94941</v>
      </c>
      <c r="B1146" s="343">
        <v>37.893099999999997</v>
      </c>
      <c r="C1146" s="343">
        <v>-122.565</v>
      </c>
      <c r="D1146" s="342">
        <v>3781770</v>
      </c>
      <c r="E1146" s="342">
        <v>4734530</v>
      </c>
    </row>
    <row r="1147" spans="1:5" x14ac:dyDescent="0.25">
      <c r="A1147">
        <v>94945</v>
      </c>
      <c r="B1147" s="343">
        <v>38.128900000000002</v>
      </c>
      <c r="C1147" s="343">
        <v>-122.556</v>
      </c>
      <c r="D1147" s="342">
        <v>3867600</v>
      </c>
      <c r="E1147" s="342">
        <v>4742450</v>
      </c>
    </row>
    <row r="1148" spans="1:5" x14ac:dyDescent="0.25">
      <c r="A1148">
        <v>94946</v>
      </c>
      <c r="B1148" s="343">
        <v>38.051900000000003</v>
      </c>
      <c r="C1148" s="343">
        <v>-122.705</v>
      </c>
      <c r="D1148" s="342">
        <v>3842150</v>
      </c>
      <c r="E1148" s="342">
        <v>4697780</v>
      </c>
    </row>
    <row r="1149" spans="1:5" x14ac:dyDescent="0.25">
      <c r="A1149">
        <v>94947</v>
      </c>
      <c r="B1149" s="343">
        <v>38.1128</v>
      </c>
      <c r="C1149" s="343">
        <v>-122.633</v>
      </c>
      <c r="D1149" s="342">
        <v>3863090</v>
      </c>
      <c r="E1149" s="342">
        <v>4719780</v>
      </c>
    </row>
    <row r="1150" spans="1:5" x14ac:dyDescent="0.25">
      <c r="A1150">
        <v>94949</v>
      </c>
      <c r="B1150" s="343">
        <v>38.065300000000001</v>
      </c>
      <c r="C1150" s="343">
        <v>-122.54</v>
      </c>
      <c r="D1150" s="342">
        <v>3844120</v>
      </c>
      <c r="E1150" s="342">
        <v>4745680</v>
      </c>
    </row>
    <row r="1151" spans="1:5" x14ac:dyDescent="0.25">
      <c r="A1151">
        <v>94951</v>
      </c>
      <c r="B1151" s="343">
        <v>38.323599999999999</v>
      </c>
      <c r="C1151" s="343">
        <v>-122.639</v>
      </c>
      <c r="D1151" s="342">
        <v>3940130</v>
      </c>
      <c r="E1151" s="342">
        <v>4722820</v>
      </c>
    </row>
    <row r="1152" spans="1:5" x14ac:dyDescent="0.25">
      <c r="A1152">
        <v>94952</v>
      </c>
      <c r="B1152" s="343">
        <v>38.219700000000003</v>
      </c>
      <c r="C1152" s="343">
        <v>-122.776</v>
      </c>
      <c r="D1152" s="342">
        <v>3904620</v>
      </c>
      <c r="E1152" s="342">
        <v>4681190</v>
      </c>
    </row>
    <row r="1153" spans="1:5" x14ac:dyDescent="0.25">
      <c r="A1153">
        <v>94954</v>
      </c>
      <c r="B1153" s="343">
        <v>38.226300000000002</v>
      </c>
      <c r="C1153" s="343">
        <v>-122.559</v>
      </c>
      <c r="D1153" s="342">
        <v>3903170</v>
      </c>
      <c r="E1153" s="342">
        <v>4743850</v>
      </c>
    </row>
    <row r="1154" spans="1:5" x14ac:dyDescent="0.25">
      <c r="A1154">
        <v>94956</v>
      </c>
      <c r="B1154" s="343">
        <v>38.0045</v>
      </c>
      <c r="C1154" s="343">
        <v>-122.79300000000001</v>
      </c>
      <c r="D1154" s="342">
        <v>3826460</v>
      </c>
      <c r="E1154" s="342">
        <v>4671240</v>
      </c>
    </row>
    <row r="1155" spans="1:5" x14ac:dyDescent="0.25">
      <c r="A1155">
        <v>94957</v>
      </c>
      <c r="B1155" s="343">
        <v>37.963500000000003</v>
      </c>
      <c r="C1155" s="343">
        <v>-122.563</v>
      </c>
      <c r="D1155" s="342">
        <v>3807410</v>
      </c>
      <c r="E1155" s="342">
        <v>4736620</v>
      </c>
    </row>
    <row r="1156" spans="1:5" x14ac:dyDescent="0.25">
      <c r="A1156">
        <v>94960</v>
      </c>
      <c r="B1156" s="343">
        <v>37.997300000000003</v>
      </c>
      <c r="C1156" s="343">
        <v>-122.578</v>
      </c>
      <c r="D1156" s="342">
        <v>3819990</v>
      </c>
      <c r="E1156" s="342">
        <v>4733160</v>
      </c>
    </row>
    <row r="1157" spans="1:5" x14ac:dyDescent="0.25">
      <c r="A1157">
        <v>94963</v>
      </c>
      <c r="B1157" s="343">
        <v>37.9998</v>
      </c>
      <c r="C1157" s="343">
        <v>-122.675</v>
      </c>
      <c r="D1157" s="342">
        <v>3822610</v>
      </c>
      <c r="E1157" s="342">
        <v>4705250</v>
      </c>
    </row>
    <row r="1158" spans="1:5" x14ac:dyDescent="0.25">
      <c r="A1158">
        <v>94964</v>
      </c>
      <c r="B1158" s="343">
        <v>37.942500000000003</v>
      </c>
      <c r="C1158" s="343">
        <v>-122.492</v>
      </c>
      <c r="D1158" s="342">
        <v>3798530</v>
      </c>
      <c r="E1158" s="342">
        <v>4756860</v>
      </c>
    </row>
    <row r="1159" spans="1:5" x14ac:dyDescent="0.25">
      <c r="A1159">
        <v>94965</v>
      </c>
      <c r="B1159" s="343">
        <v>37.8461</v>
      </c>
      <c r="C1159" s="343">
        <v>-122.517</v>
      </c>
      <c r="D1159" s="342">
        <v>3763790</v>
      </c>
      <c r="E1159" s="342">
        <v>4747570</v>
      </c>
    </row>
    <row r="1160" spans="1:5" x14ac:dyDescent="0.25">
      <c r="A1160">
        <v>94970</v>
      </c>
      <c r="B1160" s="343">
        <v>37.921599999999998</v>
      </c>
      <c r="C1160" s="343">
        <v>-122.658</v>
      </c>
      <c r="D1160" s="342">
        <v>3793810</v>
      </c>
      <c r="E1160" s="342">
        <v>4708380</v>
      </c>
    </row>
    <row r="1161" spans="1:5" x14ac:dyDescent="0.25">
      <c r="A1161">
        <v>94971</v>
      </c>
      <c r="B1161" s="343">
        <v>38.240600000000001</v>
      </c>
      <c r="C1161" s="343">
        <v>-122.913</v>
      </c>
      <c r="D1161" s="342">
        <v>3914780</v>
      </c>
      <c r="E1161" s="342">
        <v>4642100</v>
      </c>
    </row>
    <row r="1162" spans="1:5" x14ac:dyDescent="0.25">
      <c r="A1162">
        <v>94972</v>
      </c>
      <c r="B1162" s="343">
        <v>38.314599999999999</v>
      </c>
      <c r="C1162" s="343">
        <v>-122.92700000000001</v>
      </c>
      <c r="D1162" s="342">
        <v>3942040</v>
      </c>
      <c r="E1162" s="342">
        <v>4639770</v>
      </c>
    </row>
    <row r="1163" spans="1:5" x14ac:dyDescent="0.25">
      <c r="A1163">
        <v>94973</v>
      </c>
      <c r="B1163" s="343">
        <v>38.003300000000003</v>
      </c>
      <c r="C1163" s="343">
        <v>-122.64400000000001</v>
      </c>
      <c r="D1163" s="342">
        <v>3823350</v>
      </c>
      <c r="E1163" s="342">
        <v>4714390</v>
      </c>
    </row>
    <row r="1164" spans="1:5" x14ac:dyDescent="0.25">
      <c r="A1164">
        <v>95002</v>
      </c>
      <c r="B1164" s="343">
        <v>37.447200000000002</v>
      </c>
      <c r="C1164" s="343">
        <v>-121.992</v>
      </c>
      <c r="D1164" s="342">
        <v>3609590</v>
      </c>
      <c r="E1164" s="342">
        <v>4891160</v>
      </c>
    </row>
    <row r="1165" spans="1:5" x14ac:dyDescent="0.25">
      <c r="A1165">
        <v>95003</v>
      </c>
      <c r="B1165" s="343">
        <v>37.009900000000002</v>
      </c>
      <c r="C1165" s="343">
        <v>-121.88</v>
      </c>
      <c r="D1165" s="342">
        <v>3448470</v>
      </c>
      <c r="E1165" s="342">
        <v>4915320</v>
      </c>
    </row>
    <row r="1166" spans="1:5" x14ac:dyDescent="0.25">
      <c r="A1166">
        <v>95004</v>
      </c>
      <c r="B1166" s="343">
        <v>36.876399999999997</v>
      </c>
      <c r="C1166" s="343">
        <v>-121.636</v>
      </c>
      <c r="D1166" s="342">
        <v>3396050</v>
      </c>
      <c r="E1166" s="342">
        <v>4984090</v>
      </c>
    </row>
    <row r="1167" spans="1:5" x14ac:dyDescent="0.25">
      <c r="A1167">
        <v>95005</v>
      </c>
      <c r="B1167" s="343">
        <v>37.098199999999999</v>
      </c>
      <c r="C1167" s="343">
        <v>-122.09399999999999</v>
      </c>
      <c r="D1167" s="342">
        <v>3484070</v>
      </c>
      <c r="E1167" s="342">
        <v>4854620</v>
      </c>
    </row>
    <row r="1168" spans="1:5" x14ac:dyDescent="0.25">
      <c r="A1168">
        <v>95006</v>
      </c>
      <c r="B1168" s="343">
        <v>37.171399999999998</v>
      </c>
      <c r="C1168" s="343">
        <v>-122.15</v>
      </c>
      <c r="D1168" s="342">
        <v>3511660</v>
      </c>
      <c r="E1168" s="342">
        <v>4839590</v>
      </c>
    </row>
    <row r="1169" spans="1:5" x14ac:dyDescent="0.25">
      <c r="A1169">
        <v>95008</v>
      </c>
      <c r="B1169" s="343">
        <v>37.28</v>
      </c>
      <c r="C1169" s="343">
        <v>-121.955</v>
      </c>
      <c r="D1169" s="342">
        <v>3548060</v>
      </c>
      <c r="E1169" s="342">
        <v>4898750</v>
      </c>
    </row>
    <row r="1170" spans="1:5" x14ac:dyDescent="0.25">
      <c r="A1170">
        <v>95010</v>
      </c>
      <c r="B1170" s="343">
        <v>36.977200000000003</v>
      </c>
      <c r="C1170" s="343">
        <v>-121.955</v>
      </c>
      <c r="D1170" s="342">
        <v>3437730</v>
      </c>
      <c r="E1170" s="342">
        <v>4892650</v>
      </c>
    </row>
    <row r="1171" spans="1:5" x14ac:dyDescent="0.25">
      <c r="A1171">
        <v>95012</v>
      </c>
      <c r="B1171" s="343">
        <v>36.776899999999998</v>
      </c>
      <c r="C1171" s="343">
        <v>-121.751</v>
      </c>
      <c r="D1171" s="342">
        <v>3361580</v>
      </c>
      <c r="E1171" s="342">
        <v>4948530</v>
      </c>
    </row>
    <row r="1172" spans="1:5" x14ac:dyDescent="0.25">
      <c r="A1172">
        <v>95013</v>
      </c>
      <c r="B1172" s="343">
        <v>37.206800000000001</v>
      </c>
      <c r="C1172" s="343">
        <v>-121.753</v>
      </c>
      <c r="D1172" s="342">
        <v>3518250</v>
      </c>
      <c r="E1172" s="342">
        <v>4955990</v>
      </c>
    </row>
    <row r="1173" spans="1:5" x14ac:dyDescent="0.25">
      <c r="A1173">
        <v>95014</v>
      </c>
      <c r="B1173" s="343">
        <v>37.304099999999998</v>
      </c>
      <c r="C1173" s="343">
        <v>-122.095</v>
      </c>
      <c r="D1173" s="342">
        <v>3559130</v>
      </c>
      <c r="E1173" s="342">
        <v>4858320</v>
      </c>
    </row>
    <row r="1174" spans="1:5" x14ac:dyDescent="0.25">
      <c r="A1174">
        <v>95017</v>
      </c>
      <c r="B1174" s="343">
        <v>37.061</v>
      </c>
      <c r="C1174" s="343">
        <v>-122.212</v>
      </c>
      <c r="D1174" s="342">
        <v>3472490</v>
      </c>
      <c r="E1174" s="342">
        <v>4819180</v>
      </c>
    </row>
    <row r="1175" spans="1:5" x14ac:dyDescent="0.25">
      <c r="A1175">
        <v>95018</v>
      </c>
      <c r="B1175" s="343">
        <v>37.079599999999999</v>
      </c>
      <c r="C1175" s="343">
        <v>-122.057</v>
      </c>
      <c r="D1175" s="342">
        <v>3476700</v>
      </c>
      <c r="E1175" s="342">
        <v>4865030</v>
      </c>
    </row>
    <row r="1176" spans="1:5" x14ac:dyDescent="0.25">
      <c r="A1176">
        <v>95019</v>
      </c>
      <c r="B1176" s="343">
        <v>36.936399999999999</v>
      </c>
      <c r="C1176" s="343">
        <v>-121.777</v>
      </c>
      <c r="D1176" s="342">
        <v>3420070</v>
      </c>
      <c r="E1176" s="342">
        <v>4943840</v>
      </c>
    </row>
    <row r="1177" spans="1:5" x14ac:dyDescent="0.25">
      <c r="A1177">
        <v>95020</v>
      </c>
      <c r="B1177" s="343">
        <v>37.007899999999999</v>
      </c>
      <c r="C1177" s="343">
        <v>-121.57899999999999</v>
      </c>
      <c r="D1177" s="342">
        <v>3443100</v>
      </c>
      <c r="E1177" s="342">
        <v>5002990</v>
      </c>
    </row>
    <row r="1178" spans="1:5" x14ac:dyDescent="0.25">
      <c r="A1178">
        <v>95023</v>
      </c>
      <c r="B1178" s="343">
        <v>36.857700000000001</v>
      </c>
      <c r="C1178" s="343">
        <v>-121.25</v>
      </c>
      <c r="D1178" s="342">
        <v>3383560</v>
      </c>
      <c r="E1178" s="342">
        <v>5096640</v>
      </c>
    </row>
    <row r="1179" spans="1:5" x14ac:dyDescent="0.25">
      <c r="A1179">
        <v>95030</v>
      </c>
      <c r="B1179" s="343">
        <v>37.223199999999999</v>
      </c>
      <c r="C1179" s="343">
        <v>-121.988</v>
      </c>
      <c r="D1179" s="342">
        <v>3527910</v>
      </c>
      <c r="E1179" s="342">
        <v>4887890</v>
      </c>
    </row>
    <row r="1180" spans="1:5" x14ac:dyDescent="0.25">
      <c r="A1180">
        <v>95032</v>
      </c>
      <c r="B1180" s="343">
        <v>37.215800000000002</v>
      </c>
      <c r="C1180" s="343">
        <v>-121.928</v>
      </c>
      <c r="D1180" s="342">
        <v>3524250</v>
      </c>
      <c r="E1180" s="342">
        <v>4905300</v>
      </c>
    </row>
    <row r="1181" spans="1:5" x14ac:dyDescent="0.25">
      <c r="A1181">
        <v>95033</v>
      </c>
      <c r="B1181" s="343">
        <v>37.1492</v>
      </c>
      <c r="C1181" s="343">
        <v>-121.96</v>
      </c>
      <c r="D1181" s="342">
        <v>3500490</v>
      </c>
      <c r="E1181" s="342">
        <v>4894610</v>
      </c>
    </row>
    <row r="1182" spans="1:5" x14ac:dyDescent="0.25">
      <c r="A1182">
        <v>95035</v>
      </c>
      <c r="B1182" s="343">
        <v>37.438200000000002</v>
      </c>
      <c r="C1182" s="343">
        <v>-121.818</v>
      </c>
      <c r="D1182" s="342">
        <v>3603590</v>
      </c>
      <c r="E1182" s="342">
        <v>4941700</v>
      </c>
    </row>
    <row r="1183" spans="1:5" x14ac:dyDescent="0.25">
      <c r="A1183">
        <v>95037</v>
      </c>
      <c r="B1183" s="343">
        <v>37.158200000000001</v>
      </c>
      <c r="C1183" s="343">
        <v>-121.595</v>
      </c>
      <c r="D1183" s="342">
        <v>3498120</v>
      </c>
      <c r="E1183" s="342">
        <v>5001190</v>
      </c>
    </row>
    <row r="1184" spans="1:5" x14ac:dyDescent="0.25">
      <c r="A1184">
        <v>95039</v>
      </c>
      <c r="B1184" s="343">
        <v>36.829599999999999</v>
      </c>
      <c r="C1184" s="343">
        <v>-121.776</v>
      </c>
      <c r="D1184" s="342">
        <v>3381160</v>
      </c>
      <c r="E1184" s="342">
        <v>4942240</v>
      </c>
    </row>
    <row r="1185" spans="1:5" x14ac:dyDescent="0.25">
      <c r="A1185">
        <v>95043</v>
      </c>
      <c r="B1185" s="343">
        <v>36.483899999999998</v>
      </c>
      <c r="C1185" s="343">
        <v>-120.952</v>
      </c>
      <c r="D1185" s="342">
        <v>3243380</v>
      </c>
      <c r="E1185" s="342">
        <v>5177820</v>
      </c>
    </row>
    <row r="1186" spans="1:5" x14ac:dyDescent="0.25">
      <c r="A1186">
        <v>95045</v>
      </c>
      <c r="B1186" s="343">
        <v>36.8508</v>
      </c>
      <c r="C1186" s="343">
        <v>-121.52</v>
      </c>
      <c r="D1186" s="342">
        <v>3384970</v>
      </c>
      <c r="E1186" s="342">
        <v>5017580</v>
      </c>
    </row>
    <row r="1187" spans="1:5" x14ac:dyDescent="0.25">
      <c r="A1187">
        <v>95046</v>
      </c>
      <c r="B1187" s="343">
        <v>37.087299999999999</v>
      </c>
      <c r="C1187" s="343">
        <v>-121.601</v>
      </c>
      <c r="D1187" s="342">
        <v>3472360</v>
      </c>
      <c r="E1187" s="342">
        <v>4998130</v>
      </c>
    </row>
    <row r="1188" spans="1:5" x14ac:dyDescent="0.25">
      <c r="A1188">
        <v>95050</v>
      </c>
      <c r="B1188" s="343">
        <v>37.350499999999997</v>
      </c>
      <c r="C1188" s="343">
        <v>-121.952</v>
      </c>
      <c r="D1188" s="342">
        <v>3573720</v>
      </c>
      <c r="E1188" s="342">
        <v>4900890</v>
      </c>
    </row>
    <row r="1189" spans="1:5" x14ac:dyDescent="0.25">
      <c r="A1189">
        <v>95051</v>
      </c>
      <c r="B1189" s="343">
        <v>37.348700000000001</v>
      </c>
      <c r="C1189" s="343">
        <v>-121.98399999999999</v>
      </c>
      <c r="D1189" s="342">
        <v>3573570</v>
      </c>
      <c r="E1189" s="342">
        <v>4891510</v>
      </c>
    </row>
    <row r="1190" spans="1:5" x14ac:dyDescent="0.25">
      <c r="A1190">
        <v>95053</v>
      </c>
      <c r="B1190" s="343">
        <v>37.349400000000003</v>
      </c>
      <c r="C1190" s="343">
        <v>-121.938</v>
      </c>
      <c r="D1190" s="342">
        <v>3573100</v>
      </c>
      <c r="E1190" s="342">
        <v>4905080</v>
      </c>
    </row>
    <row r="1191" spans="1:5" x14ac:dyDescent="0.25">
      <c r="A1191">
        <v>95054</v>
      </c>
      <c r="B1191" s="343">
        <v>37.393300000000004</v>
      </c>
      <c r="C1191" s="343">
        <v>-121.965</v>
      </c>
      <c r="D1191" s="342">
        <v>3589510</v>
      </c>
      <c r="E1191" s="342">
        <v>4898130</v>
      </c>
    </row>
    <row r="1192" spans="1:5" x14ac:dyDescent="0.25">
      <c r="A1192">
        <v>95060</v>
      </c>
      <c r="B1192" s="343">
        <v>37.059399999999997</v>
      </c>
      <c r="C1192" s="343">
        <v>-122.158</v>
      </c>
      <c r="D1192" s="342">
        <v>3470980</v>
      </c>
      <c r="E1192" s="342">
        <v>4835150</v>
      </c>
    </row>
    <row r="1193" spans="1:5" x14ac:dyDescent="0.25">
      <c r="A1193">
        <v>95062</v>
      </c>
      <c r="B1193" s="343">
        <v>36.972999999999999</v>
      </c>
      <c r="C1193" s="343">
        <v>-121.99</v>
      </c>
      <c r="D1193" s="342">
        <v>3436760</v>
      </c>
      <c r="E1193" s="342">
        <v>4882420</v>
      </c>
    </row>
    <row r="1194" spans="1:5" x14ac:dyDescent="0.25">
      <c r="A1194">
        <v>95064</v>
      </c>
      <c r="B1194" s="343">
        <v>36.999600000000001</v>
      </c>
      <c r="C1194" s="343">
        <v>-122.062</v>
      </c>
      <c r="D1194" s="342">
        <v>3447650</v>
      </c>
      <c r="E1194" s="342">
        <v>4861880</v>
      </c>
    </row>
    <row r="1195" spans="1:5" x14ac:dyDescent="0.25">
      <c r="A1195">
        <v>95065</v>
      </c>
      <c r="B1195" s="343">
        <v>37.032600000000002</v>
      </c>
      <c r="C1195" s="343">
        <v>-121.98399999999999</v>
      </c>
      <c r="D1195" s="342">
        <v>3458380</v>
      </c>
      <c r="E1195" s="342">
        <v>4885380</v>
      </c>
    </row>
    <row r="1196" spans="1:5" x14ac:dyDescent="0.25">
      <c r="A1196">
        <v>95066</v>
      </c>
      <c r="B1196" s="343">
        <v>37.074199999999998</v>
      </c>
      <c r="C1196" s="343">
        <v>-122.011</v>
      </c>
      <c r="D1196" s="342">
        <v>3473990</v>
      </c>
      <c r="E1196" s="342">
        <v>4878190</v>
      </c>
    </row>
    <row r="1197" spans="1:5" x14ac:dyDescent="0.25">
      <c r="A1197">
        <v>95070</v>
      </c>
      <c r="B1197" s="343">
        <v>37.255600000000001</v>
      </c>
      <c r="C1197" s="343">
        <v>-122.04900000000001</v>
      </c>
      <c r="D1197" s="342">
        <v>3540700</v>
      </c>
      <c r="E1197" s="342">
        <v>4870940</v>
      </c>
    </row>
    <row r="1198" spans="1:5" x14ac:dyDescent="0.25">
      <c r="A1198">
        <v>95073</v>
      </c>
      <c r="B1198" s="343">
        <v>37.031300000000002</v>
      </c>
      <c r="C1198" s="343">
        <v>-121.947</v>
      </c>
      <c r="D1198" s="342">
        <v>3457340</v>
      </c>
      <c r="E1198" s="342">
        <v>4895920</v>
      </c>
    </row>
    <row r="1199" spans="1:5" x14ac:dyDescent="0.25">
      <c r="A1199">
        <v>95076</v>
      </c>
      <c r="B1199" s="343">
        <v>36.940600000000003</v>
      </c>
      <c r="C1199" s="343">
        <v>-121.75</v>
      </c>
      <c r="D1199" s="342">
        <v>3421180</v>
      </c>
      <c r="E1199" s="342">
        <v>4951800</v>
      </c>
    </row>
    <row r="1200" spans="1:5" x14ac:dyDescent="0.25">
      <c r="A1200">
        <v>95110</v>
      </c>
      <c r="B1200" s="343">
        <v>37.346400000000003</v>
      </c>
      <c r="C1200" s="343">
        <v>-121.90900000000001</v>
      </c>
      <c r="D1200" s="342">
        <v>3571540</v>
      </c>
      <c r="E1200" s="342">
        <v>4913240</v>
      </c>
    </row>
    <row r="1201" spans="1:5" x14ac:dyDescent="0.25">
      <c r="A1201">
        <v>95111</v>
      </c>
      <c r="B1201" s="343">
        <v>37.284700000000001</v>
      </c>
      <c r="C1201" s="343">
        <v>-121.828</v>
      </c>
      <c r="D1201" s="342">
        <v>3547770</v>
      </c>
      <c r="E1201" s="342">
        <v>4935760</v>
      </c>
    </row>
    <row r="1202" spans="1:5" x14ac:dyDescent="0.25">
      <c r="A1202">
        <v>95112</v>
      </c>
      <c r="B1202" s="343">
        <v>37.344000000000001</v>
      </c>
      <c r="C1202" s="343">
        <v>-121.883</v>
      </c>
      <c r="D1202" s="342">
        <v>3570240</v>
      </c>
      <c r="E1202" s="342">
        <v>4921010</v>
      </c>
    </row>
    <row r="1203" spans="1:5" x14ac:dyDescent="0.25">
      <c r="A1203">
        <v>95113</v>
      </c>
      <c r="B1203" s="343">
        <v>37.333300000000001</v>
      </c>
      <c r="C1203" s="343">
        <v>-121.892</v>
      </c>
      <c r="D1203" s="342">
        <v>3566500</v>
      </c>
      <c r="E1203" s="342">
        <v>4918070</v>
      </c>
    </row>
    <row r="1204" spans="1:5" x14ac:dyDescent="0.25">
      <c r="A1204">
        <v>95116</v>
      </c>
      <c r="B1204" s="343">
        <v>37.3506</v>
      </c>
      <c r="C1204" s="343">
        <v>-121.852</v>
      </c>
      <c r="D1204" s="342">
        <v>3572200</v>
      </c>
      <c r="E1204" s="342">
        <v>4929920</v>
      </c>
    </row>
    <row r="1205" spans="1:5" x14ac:dyDescent="0.25">
      <c r="A1205">
        <v>95117</v>
      </c>
      <c r="B1205" s="343">
        <v>37.310099999999998</v>
      </c>
      <c r="C1205" s="343">
        <v>-121.96299999999999</v>
      </c>
      <c r="D1205" s="342">
        <v>3559170</v>
      </c>
      <c r="E1205" s="342">
        <v>4897040</v>
      </c>
    </row>
    <row r="1206" spans="1:5" x14ac:dyDescent="0.25">
      <c r="A1206">
        <v>95118</v>
      </c>
      <c r="B1206" s="343">
        <v>37.255299999999998</v>
      </c>
      <c r="C1206" s="343">
        <v>-121.89100000000001</v>
      </c>
      <c r="D1206" s="342">
        <v>3538050</v>
      </c>
      <c r="E1206" s="342">
        <v>4916930</v>
      </c>
    </row>
    <row r="1207" spans="1:5" x14ac:dyDescent="0.25">
      <c r="A1207">
        <v>95119</v>
      </c>
      <c r="B1207" s="343">
        <v>37.2316</v>
      </c>
      <c r="C1207" s="343">
        <v>-121.789</v>
      </c>
      <c r="D1207" s="342">
        <v>3527840</v>
      </c>
      <c r="E1207" s="342">
        <v>4946100</v>
      </c>
    </row>
    <row r="1208" spans="1:5" x14ac:dyDescent="0.25">
      <c r="A1208">
        <v>95120</v>
      </c>
      <c r="B1208" s="343">
        <v>37.198900000000002</v>
      </c>
      <c r="C1208" s="343">
        <v>-121.836</v>
      </c>
      <c r="D1208" s="342">
        <v>3516650</v>
      </c>
      <c r="E1208" s="342">
        <v>4931690</v>
      </c>
    </row>
    <row r="1209" spans="1:5" x14ac:dyDescent="0.25">
      <c r="A1209">
        <v>95121</v>
      </c>
      <c r="B1209" s="343">
        <v>37.304400000000001</v>
      </c>
      <c r="C1209" s="343">
        <v>-121.809</v>
      </c>
      <c r="D1209" s="342">
        <v>3554670</v>
      </c>
      <c r="E1209" s="342">
        <v>4941650</v>
      </c>
    </row>
    <row r="1210" spans="1:5" x14ac:dyDescent="0.25">
      <c r="A1210">
        <v>95122</v>
      </c>
      <c r="B1210" s="343">
        <v>37.329099999999997</v>
      </c>
      <c r="C1210" s="343">
        <v>-121.83499999999999</v>
      </c>
      <c r="D1210" s="342">
        <v>3564060</v>
      </c>
      <c r="E1210" s="342">
        <v>4934710</v>
      </c>
    </row>
    <row r="1211" spans="1:5" x14ac:dyDescent="0.25">
      <c r="A1211">
        <v>95123</v>
      </c>
      <c r="B1211" s="343">
        <v>37.2438</v>
      </c>
      <c r="C1211" s="343">
        <v>-121.83</v>
      </c>
      <c r="D1211" s="342">
        <v>3532910</v>
      </c>
      <c r="E1211" s="342">
        <v>4934360</v>
      </c>
    </row>
    <row r="1212" spans="1:5" x14ac:dyDescent="0.25">
      <c r="A1212">
        <v>95124</v>
      </c>
      <c r="B1212" s="343">
        <v>37.256900000000002</v>
      </c>
      <c r="C1212" s="343">
        <v>-121.923</v>
      </c>
      <c r="D1212" s="342">
        <v>3539150</v>
      </c>
      <c r="E1212" s="342">
        <v>4907530</v>
      </c>
    </row>
    <row r="1213" spans="1:5" x14ac:dyDescent="0.25">
      <c r="A1213">
        <v>95125</v>
      </c>
      <c r="B1213" s="343">
        <v>37.295400000000001</v>
      </c>
      <c r="C1213" s="343">
        <v>-121.893</v>
      </c>
      <c r="D1213" s="342">
        <v>3552690</v>
      </c>
      <c r="E1213" s="342">
        <v>4916910</v>
      </c>
    </row>
    <row r="1214" spans="1:5" x14ac:dyDescent="0.25">
      <c r="A1214">
        <v>95126</v>
      </c>
      <c r="B1214" s="343">
        <v>37.327100000000002</v>
      </c>
      <c r="C1214" s="343">
        <v>-121.917</v>
      </c>
      <c r="D1214" s="342">
        <v>3564640</v>
      </c>
      <c r="E1214" s="342">
        <v>4910700</v>
      </c>
    </row>
    <row r="1215" spans="1:5" x14ac:dyDescent="0.25">
      <c r="A1215">
        <v>95127</v>
      </c>
      <c r="B1215" s="343">
        <v>37.375300000000003</v>
      </c>
      <c r="C1215" s="343">
        <v>-121.794</v>
      </c>
      <c r="D1215" s="342">
        <v>3580290</v>
      </c>
      <c r="E1215" s="342">
        <v>4947260</v>
      </c>
    </row>
    <row r="1216" spans="1:5" x14ac:dyDescent="0.25">
      <c r="A1216">
        <v>95128</v>
      </c>
      <c r="B1216" s="343">
        <v>37.315800000000003</v>
      </c>
      <c r="C1216" s="343">
        <v>-121.93600000000001</v>
      </c>
      <c r="D1216" s="342">
        <v>3560810</v>
      </c>
      <c r="E1216" s="342">
        <v>4904930</v>
      </c>
    </row>
    <row r="1217" spans="1:5" x14ac:dyDescent="0.25">
      <c r="A1217">
        <v>95129</v>
      </c>
      <c r="B1217" s="343">
        <v>37.305900000000001</v>
      </c>
      <c r="C1217" s="343">
        <v>-122.002</v>
      </c>
      <c r="D1217" s="342">
        <v>3558260</v>
      </c>
      <c r="E1217" s="342">
        <v>4885630</v>
      </c>
    </row>
    <row r="1218" spans="1:5" x14ac:dyDescent="0.25">
      <c r="A1218">
        <v>95130</v>
      </c>
      <c r="B1218" s="343">
        <v>37.287300000000002</v>
      </c>
      <c r="C1218" s="343">
        <v>-121.982</v>
      </c>
      <c r="D1218" s="342">
        <v>3551180</v>
      </c>
      <c r="E1218" s="342">
        <v>4890960</v>
      </c>
    </row>
    <row r="1219" spans="1:5" x14ac:dyDescent="0.25">
      <c r="A1219">
        <v>95131</v>
      </c>
      <c r="B1219" s="343">
        <v>37.386899999999997</v>
      </c>
      <c r="C1219" s="343">
        <v>-121.898</v>
      </c>
      <c r="D1219" s="342">
        <v>3586140</v>
      </c>
      <c r="E1219" s="342">
        <v>4917470</v>
      </c>
    </row>
    <row r="1220" spans="1:5" x14ac:dyDescent="0.25">
      <c r="A1220">
        <v>95132</v>
      </c>
      <c r="B1220" s="343">
        <v>37.415100000000002</v>
      </c>
      <c r="C1220" s="343">
        <v>-121.82299999999999</v>
      </c>
      <c r="D1220" s="342">
        <v>3595220</v>
      </c>
      <c r="E1220" s="342">
        <v>4939750</v>
      </c>
    </row>
    <row r="1221" spans="1:5" x14ac:dyDescent="0.25">
      <c r="A1221">
        <v>95133</v>
      </c>
      <c r="B1221" s="343">
        <v>37.371699999999997</v>
      </c>
      <c r="C1221" s="343">
        <v>-121.86</v>
      </c>
      <c r="D1221" s="342">
        <v>3580000</v>
      </c>
      <c r="E1221" s="342">
        <v>4928070</v>
      </c>
    </row>
    <row r="1222" spans="1:5" x14ac:dyDescent="0.25">
      <c r="A1222">
        <v>95134</v>
      </c>
      <c r="B1222" s="343">
        <v>37.429400000000001</v>
      </c>
      <c r="C1222" s="343">
        <v>-121.946</v>
      </c>
      <c r="D1222" s="342">
        <v>3602360</v>
      </c>
      <c r="E1222" s="342">
        <v>4904370</v>
      </c>
    </row>
    <row r="1223" spans="1:5" x14ac:dyDescent="0.25">
      <c r="A1223">
        <v>95135</v>
      </c>
      <c r="B1223" s="343">
        <v>37.283000000000001</v>
      </c>
      <c r="C1223" s="343">
        <v>-121.71</v>
      </c>
      <c r="D1223" s="342">
        <v>3545340</v>
      </c>
      <c r="E1223" s="342">
        <v>4970060</v>
      </c>
    </row>
    <row r="1224" spans="1:5" x14ac:dyDescent="0.25">
      <c r="A1224">
        <v>95136</v>
      </c>
      <c r="B1224" s="343">
        <v>37.270200000000003</v>
      </c>
      <c r="C1224" s="343">
        <v>-121.851</v>
      </c>
      <c r="D1224" s="342">
        <v>3542870</v>
      </c>
      <c r="E1224" s="342">
        <v>4928620</v>
      </c>
    </row>
    <row r="1225" spans="1:5" x14ac:dyDescent="0.25">
      <c r="A1225">
        <v>95138</v>
      </c>
      <c r="B1225" s="343">
        <v>37.244900000000001</v>
      </c>
      <c r="C1225" s="343">
        <v>-121.736</v>
      </c>
      <c r="D1225" s="342">
        <v>3531870</v>
      </c>
      <c r="E1225" s="342">
        <v>4961830</v>
      </c>
    </row>
    <row r="1226" spans="1:5" x14ac:dyDescent="0.25">
      <c r="A1226">
        <v>95139</v>
      </c>
      <c r="B1226" s="343">
        <v>37.223999999999997</v>
      </c>
      <c r="C1226" s="343">
        <v>-121.76600000000001</v>
      </c>
      <c r="D1226" s="342">
        <v>3524700</v>
      </c>
      <c r="E1226" s="342">
        <v>4952620</v>
      </c>
    </row>
    <row r="1227" spans="1:5" x14ac:dyDescent="0.25">
      <c r="A1227">
        <v>95140</v>
      </c>
      <c r="B1227" s="343">
        <v>37.388300000000001</v>
      </c>
      <c r="C1227" s="343">
        <v>-121.66800000000001</v>
      </c>
      <c r="D1227" s="342">
        <v>3583080</v>
      </c>
      <c r="E1227" s="342">
        <v>4984430</v>
      </c>
    </row>
    <row r="1228" spans="1:5" x14ac:dyDescent="0.25">
      <c r="A1228">
        <v>95141</v>
      </c>
      <c r="B1228" s="343">
        <v>37.1755</v>
      </c>
      <c r="C1228" s="343">
        <v>-121.748</v>
      </c>
      <c r="D1228" s="342">
        <v>3506750</v>
      </c>
      <c r="E1228" s="342">
        <v>4956840</v>
      </c>
    </row>
    <row r="1229" spans="1:5" x14ac:dyDescent="0.25">
      <c r="A1229">
        <v>95148</v>
      </c>
      <c r="B1229" s="343">
        <v>37.335000000000001</v>
      </c>
      <c r="C1229" s="343">
        <v>-121.776</v>
      </c>
      <c r="D1229" s="342">
        <v>3565320</v>
      </c>
      <c r="E1229" s="342">
        <v>4951800</v>
      </c>
    </row>
    <row r="1230" spans="1:5" x14ac:dyDescent="0.25">
      <c r="A1230">
        <v>95192</v>
      </c>
      <c r="B1230" s="343">
        <v>37.3352</v>
      </c>
      <c r="C1230" s="343">
        <v>-121.881</v>
      </c>
      <c r="D1230" s="342">
        <v>3567010</v>
      </c>
      <c r="E1230" s="342">
        <v>4921240</v>
      </c>
    </row>
    <row r="1231" spans="1:5" x14ac:dyDescent="0.25">
      <c r="A1231">
        <v>95202</v>
      </c>
      <c r="B1231" s="343">
        <v>37.959800000000001</v>
      </c>
      <c r="C1231" s="343">
        <v>-121.288</v>
      </c>
      <c r="D1231" s="342">
        <v>3786010</v>
      </c>
      <c r="E1231" s="342">
        <v>5105030</v>
      </c>
    </row>
    <row r="1232" spans="1:5" x14ac:dyDescent="0.25">
      <c r="A1232">
        <v>95203</v>
      </c>
      <c r="B1232" s="343">
        <v>37.952100000000002</v>
      </c>
      <c r="C1232" s="343">
        <v>-121.331</v>
      </c>
      <c r="D1232" s="342">
        <v>3783800</v>
      </c>
      <c r="E1232" s="342">
        <v>5092420</v>
      </c>
    </row>
    <row r="1233" spans="1:5" x14ac:dyDescent="0.25">
      <c r="A1233">
        <v>95204</v>
      </c>
      <c r="B1233" s="343">
        <v>37.973300000000002</v>
      </c>
      <c r="C1233" s="343">
        <v>-121.321</v>
      </c>
      <c r="D1233" s="342">
        <v>3791370</v>
      </c>
      <c r="E1233" s="342">
        <v>5095720</v>
      </c>
    </row>
    <row r="1234" spans="1:5" x14ac:dyDescent="0.25">
      <c r="A1234">
        <v>95205</v>
      </c>
      <c r="B1234" s="343">
        <v>37.965400000000002</v>
      </c>
      <c r="C1234" s="343">
        <v>-121.261</v>
      </c>
      <c r="D1234" s="342">
        <v>3787670</v>
      </c>
      <c r="E1234" s="342">
        <v>5112930</v>
      </c>
    </row>
    <row r="1235" spans="1:5" x14ac:dyDescent="0.25">
      <c r="A1235">
        <v>95206</v>
      </c>
      <c r="B1235" s="343">
        <v>37.913800000000002</v>
      </c>
      <c r="C1235" s="343">
        <v>-121.426</v>
      </c>
      <c r="D1235" s="342">
        <v>3771170</v>
      </c>
      <c r="E1235" s="342">
        <v>5064150</v>
      </c>
    </row>
    <row r="1236" spans="1:5" x14ac:dyDescent="0.25">
      <c r="A1236">
        <v>95207</v>
      </c>
      <c r="B1236" s="343">
        <v>38.002299999999998</v>
      </c>
      <c r="C1236" s="343">
        <v>-121.325</v>
      </c>
      <c r="D1236" s="342">
        <v>3802040</v>
      </c>
      <c r="E1236" s="342">
        <v>5094990</v>
      </c>
    </row>
    <row r="1237" spans="1:5" x14ac:dyDescent="0.25">
      <c r="A1237">
        <v>95209</v>
      </c>
      <c r="B1237" s="343">
        <v>38.046900000000001</v>
      </c>
      <c r="C1237" s="343">
        <v>-121.35</v>
      </c>
      <c r="D1237" s="342">
        <v>3818650</v>
      </c>
      <c r="E1237" s="342">
        <v>5088530</v>
      </c>
    </row>
    <row r="1238" spans="1:5" x14ac:dyDescent="0.25">
      <c r="A1238">
        <v>95210</v>
      </c>
      <c r="B1238" s="343">
        <v>38.030500000000004</v>
      </c>
      <c r="C1238" s="343">
        <v>-121.29900000000001</v>
      </c>
      <c r="D1238" s="342">
        <v>3811950</v>
      </c>
      <c r="E1238" s="342">
        <v>5102890</v>
      </c>
    </row>
    <row r="1239" spans="1:5" x14ac:dyDescent="0.25">
      <c r="A1239">
        <v>95211</v>
      </c>
      <c r="B1239" s="343">
        <v>37.9801</v>
      </c>
      <c r="C1239" s="343">
        <v>-121.31399999999999</v>
      </c>
      <c r="D1239" s="342">
        <v>3793770</v>
      </c>
      <c r="E1239" s="342">
        <v>5097870</v>
      </c>
    </row>
    <row r="1240" spans="1:5" x14ac:dyDescent="0.25">
      <c r="A1240">
        <v>95212</v>
      </c>
      <c r="B1240" s="343">
        <v>38.047499999999999</v>
      </c>
      <c r="C1240" s="343">
        <v>-121.22799999999999</v>
      </c>
      <c r="D1240" s="342">
        <v>3817190</v>
      </c>
      <c r="E1240" s="342">
        <v>5123670</v>
      </c>
    </row>
    <row r="1241" spans="1:5" x14ac:dyDescent="0.25">
      <c r="A1241">
        <v>95215</v>
      </c>
      <c r="B1241" s="343">
        <v>37.943899999999999</v>
      </c>
      <c r="C1241" s="343">
        <v>-121.149</v>
      </c>
      <c r="D1241" s="342">
        <v>3778270</v>
      </c>
      <c r="E1241" s="342">
        <v>5144900</v>
      </c>
    </row>
    <row r="1242" spans="1:5" x14ac:dyDescent="0.25">
      <c r="A1242">
        <v>95219</v>
      </c>
      <c r="B1242" s="343">
        <v>38.020899999999997</v>
      </c>
      <c r="C1242" s="343">
        <v>-121.477</v>
      </c>
      <c r="D1242" s="342">
        <v>3811000</v>
      </c>
      <c r="E1242" s="342">
        <v>5051490</v>
      </c>
    </row>
    <row r="1243" spans="1:5" x14ac:dyDescent="0.25">
      <c r="A1243">
        <v>95220</v>
      </c>
      <c r="B1243" s="343">
        <v>38.200600000000001</v>
      </c>
      <c r="C1243" s="343">
        <v>-121.191</v>
      </c>
      <c r="D1243" s="342">
        <v>3872560</v>
      </c>
      <c r="E1243" s="342">
        <v>5137170</v>
      </c>
    </row>
    <row r="1244" spans="1:5" x14ac:dyDescent="0.25">
      <c r="A1244">
        <v>95222</v>
      </c>
      <c r="B1244" s="343">
        <v>38.055199999999999</v>
      </c>
      <c r="C1244" s="343">
        <v>-120.57899999999999</v>
      </c>
      <c r="D1244" s="342">
        <v>3811600</v>
      </c>
      <c r="E1244" s="342">
        <v>5311390</v>
      </c>
    </row>
    <row r="1245" spans="1:5" x14ac:dyDescent="0.25">
      <c r="A1245">
        <v>95223</v>
      </c>
      <c r="B1245" s="343">
        <v>38.3919</v>
      </c>
      <c r="C1245" s="343">
        <v>-120.17400000000001</v>
      </c>
      <c r="D1245" s="342">
        <v>3929960</v>
      </c>
      <c r="E1245" s="342">
        <v>5432710</v>
      </c>
    </row>
    <row r="1246" spans="1:5" x14ac:dyDescent="0.25">
      <c r="A1246">
        <v>95228</v>
      </c>
      <c r="B1246" s="343">
        <v>37.942799999999998</v>
      </c>
      <c r="C1246" s="343">
        <v>-120.68</v>
      </c>
      <c r="D1246" s="342">
        <v>3771820</v>
      </c>
      <c r="E1246" s="342">
        <v>5280330</v>
      </c>
    </row>
    <row r="1247" spans="1:5" x14ac:dyDescent="0.25">
      <c r="A1247">
        <v>95230</v>
      </c>
      <c r="B1247" s="343">
        <v>37.963900000000002</v>
      </c>
      <c r="C1247" s="343">
        <v>-120.842</v>
      </c>
      <c r="D1247" s="342">
        <v>3781530</v>
      </c>
      <c r="E1247" s="342">
        <v>5233980</v>
      </c>
    </row>
    <row r="1248" spans="1:5" x14ac:dyDescent="0.25">
      <c r="A1248">
        <v>95231</v>
      </c>
      <c r="B1248" s="343">
        <v>37.877299999999998</v>
      </c>
      <c r="C1248" s="343">
        <v>-121.29600000000001</v>
      </c>
      <c r="D1248" s="342">
        <v>3755980</v>
      </c>
      <c r="E1248" s="342">
        <v>5101290</v>
      </c>
    </row>
    <row r="1249" spans="1:5" x14ac:dyDescent="0.25">
      <c r="A1249">
        <v>95232</v>
      </c>
      <c r="B1249" s="343">
        <v>38.357700000000001</v>
      </c>
      <c r="C1249" s="343">
        <v>-120.586</v>
      </c>
      <c r="D1249" s="342">
        <v>3922180</v>
      </c>
      <c r="E1249" s="342">
        <v>5313710</v>
      </c>
    </row>
    <row r="1250" spans="1:5" x14ac:dyDescent="0.25">
      <c r="A1250">
        <v>95236</v>
      </c>
      <c r="B1250" s="343">
        <v>38.0548</v>
      </c>
      <c r="C1250" s="343">
        <v>-121.03100000000001</v>
      </c>
      <c r="D1250" s="342">
        <v>3817150</v>
      </c>
      <c r="E1250" s="342">
        <v>5180740</v>
      </c>
    </row>
    <row r="1251" spans="1:5" x14ac:dyDescent="0.25">
      <c r="A1251">
        <v>95237</v>
      </c>
      <c r="B1251" s="343">
        <v>38.1646</v>
      </c>
      <c r="C1251" s="343">
        <v>-121.133</v>
      </c>
      <c r="D1251" s="342">
        <v>3858610</v>
      </c>
      <c r="E1251" s="342">
        <v>5153110</v>
      </c>
    </row>
    <row r="1252" spans="1:5" x14ac:dyDescent="0.25">
      <c r="A1252">
        <v>95240</v>
      </c>
      <c r="B1252" s="343">
        <v>38.117600000000003</v>
      </c>
      <c r="C1252" s="343">
        <v>-121.16800000000001</v>
      </c>
      <c r="D1252" s="342">
        <v>3841950</v>
      </c>
      <c r="E1252" s="342">
        <v>5142410</v>
      </c>
    </row>
    <row r="1253" spans="1:5" x14ac:dyDescent="0.25">
      <c r="A1253">
        <v>95242</v>
      </c>
      <c r="B1253" s="343">
        <v>38.140300000000003</v>
      </c>
      <c r="C1253" s="343">
        <v>-121.423</v>
      </c>
      <c r="D1253" s="342">
        <v>3853770</v>
      </c>
      <c r="E1253" s="342">
        <v>5069250</v>
      </c>
    </row>
    <row r="1254" spans="1:5" x14ac:dyDescent="0.25">
      <c r="A1254">
        <v>95245</v>
      </c>
      <c r="B1254" s="343">
        <v>38.318300000000001</v>
      </c>
      <c r="C1254" s="343">
        <v>-120.52500000000001</v>
      </c>
      <c r="D1254" s="342">
        <v>3907070</v>
      </c>
      <c r="E1254" s="342">
        <v>5330760</v>
      </c>
    </row>
    <row r="1255" spans="1:5" x14ac:dyDescent="0.25">
      <c r="A1255">
        <v>95246</v>
      </c>
      <c r="B1255" s="343">
        <v>38.228099999999998</v>
      </c>
      <c r="C1255" s="343">
        <v>-120.505</v>
      </c>
      <c r="D1255" s="342">
        <v>3873890</v>
      </c>
      <c r="E1255" s="342">
        <v>5335200</v>
      </c>
    </row>
    <row r="1256" spans="1:5" x14ac:dyDescent="0.25">
      <c r="A1256">
        <v>95247</v>
      </c>
      <c r="B1256" s="343">
        <v>38.116500000000002</v>
      </c>
      <c r="C1256" s="343">
        <v>-120.449</v>
      </c>
      <c r="D1256" s="342">
        <v>3832460</v>
      </c>
      <c r="E1256" s="342">
        <v>5349790</v>
      </c>
    </row>
    <row r="1257" spans="1:5" x14ac:dyDescent="0.25">
      <c r="A1257">
        <v>95249</v>
      </c>
      <c r="B1257" s="343">
        <v>38.185299999999998</v>
      </c>
      <c r="C1257" s="343">
        <v>-120.626</v>
      </c>
      <c r="D1257" s="342">
        <v>3859700</v>
      </c>
      <c r="E1257" s="342">
        <v>5299730</v>
      </c>
    </row>
    <row r="1258" spans="1:5" x14ac:dyDescent="0.25">
      <c r="A1258">
        <v>95251</v>
      </c>
      <c r="B1258" s="343">
        <v>38.103099999999998</v>
      </c>
      <c r="C1258" s="343">
        <v>-120.46899999999999</v>
      </c>
      <c r="D1258" s="342">
        <v>3827810</v>
      </c>
      <c r="E1258" s="342">
        <v>5343710</v>
      </c>
    </row>
    <row r="1259" spans="1:5" x14ac:dyDescent="0.25">
      <c r="A1259">
        <v>95252</v>
      </c>
      <c r="B1259" s="343">
        <v>38.1599</v>
      </c>
      <c r="C1259" s="343">
        <v>-120.828</v>
      </c>
      <c r="D1259" s="342">
        <v>3852920</v>
      </c>
      <c r="E1259" s="342">
        <v>5241190</v>
      </c>
    </row>
    <row r="1260" spans="1:5" x14ac:dyDescent="0.25">
      <c r="A1260">
        <v>95255</v>
      </c>
      <c r="B1260" s="343">
        <v>38.432299999999998</v>
      </c>
      <c r="C1260" s="343">
        <v>-120.357</v>
      </c>
      <c r="D1260" s="342">
        <v>3946780</v>
      </c>
      <c r="E1260" s="342">
        <v>5380860</v>
      </c>
    </row>
    <row r="1261" spans="1:5" x14ac:dyDescent="0.25">
      <c r="A1261">
        <v>95257</v>
      </c>
      <c r="B1261" s="343">
        <v>38.3825</v>
      </c>
      <c r="C1261" s="343">
        <v>-120.437</v>
      </c>
      <c r="D1261" s="342">
        <v>3929490</v>
      </c>
      <c r="E1261" s="342">
        <v>5357050</v>
      </c>
    </row>
    <row r="1262" spans="1:5" x14ac:dyDescent="0.25">
      <c r="A1262">
        <v>95258</v>
      </c>
      <c r="B1262" s="343">
        <v>38.165100000000002</v>
      </c>
      <c r="C1262" s="343">
        <v>-121.312</v>
      </c>
      <c r="D1262" s="342">
        <v>3861280</v>
      </c>
      <c r="E1262" s="342">
        <v>5101610</v>
      </c>
    </row>
    <row r="1263" spans="1:5" x14ac:dyDescent="0.25">
      <c r="A1263">
        <v>95301</v>
      </c>
      <c r="B1263" s="343">
        <v>37.310600000000001</v>
      </c>
      <c r="C1263" s="343">
        <v>-120.645</v>
      </c>
      <c r="D1263" s="342">
        <v>3540730</v>
      </c>
      <c r="E1263" s="342">
        <v>5280870</v>
      </c>
    </row>
    <row r="1264" spans="1:5" x14ac:dyDescent="0.25">
      <c r="A1264">
        <v>95303</v>
      </c>
      <c r="B1264" s="343">
        <v>37.475200000000001</v>
      </c>
      <c r="C1264" s="343">
        <v>-120.666</v>
      </c>
      <c r="D1264" s="342">
        <v>3601020</v>
      </c>
      <c r="E1264" s="342">
        <v>5277230</v>
      </c>
    </row>
    <row r="1265" spans="1:5" x14ac:dyDescent="0.25">
      <c r="A1265">
        <v>95304</v>
      </c>
      <c r="B1265" s="343">
        <v>37.718499999999999</v>
      </c>
      <c r="C1265" s="343">
        <v>-121.381</v>
      </c>
      <c r="D1265" s="342">
        <v>3699250</v>
      </c>
      <c r="E1265" s="342">
        <v>5073780</v>
      </c>
    </row>
    <row r="1266" spans="1:5" x14ac:dyDescent="0.25">
      <c r="A1266">
        <v>95306</v>
      </c>
      <c r="B1266" s="343">
        <v>37.419699999999999</v>
      </c>
      <c r="C1266" s="343">
        <v>-120.155</v>
      </c>
      <c r="D1266" s="342">
        <v>3574850</v>
      </c>
      <c r="E1266" s="342">
        <v>5424880</v>
      </c>
    </row>
    <row r="1267" spans="1:5" x14ac:dyDescent="0.25">
      <c r="A1267">
        <v>95307</v>
      </c>
      <c r="B1267" s="343">
        <v>37.553800000000003</v>
      </c>
      <c r="C1267" s="343">
        <v>-120.95399999999999</v>
      </c>
      <c r="D1267" s="342">
        <v>3633340</v>
      </c>
      <c r="E1267" s="342">
        <v>5194680</v>
      </c>
    </row>
    <row r="1268" spans="1:5" x14ac:dyDescent="0.25">
      <c r="A1268">
        <v>95310</v>
      </c>
      <c r="B1268" s="343">
        <v>38.052599999999998</v>
      </c>
      <c r="C1268" s="343">
        <v>-120.4</v>
      </c>
      <c r="D1268" s="342">
        <v>3808550</v>
      </c>
      <c r="E1268" s="342">
        <v>5362980</v>
      </c>
    </row>
    <row r="1269" spans="1:5" x14ac:dyDescent="0.25">
      <c r="A1269">
        <v>95311</v>
      </c>
      <c r="B1269" s="343">
        <v>37.700000000000003</v>
      </c>
      <c r="C1269" s="343">
        <v>-120.101</v>
      </c>
      <c r="D1269" s="342">
        <v>3676530</v>
      </c>
      <c r="E1269" s="342">
        <v>5444340</v>
      </c>
    </row>
    <row r="1270" spans="1:5" x14ac:dyDescent="0.25">
      <c r="A1270">
        <v>95313</v>
      </c>
      <c r="B1270" s="343">
        <v>37.4313</v>
      </c>
      <c r="C1270" s="343">
        <v>-121.03100000000001</v>
      </c>
      <c r="D1270" s="342">
        <v>3589710</v>
      </c>
      <c r="E1270" s="342">
        <v>5170300</v>
      </c>
    </row>
    <row r="1271" spans="1:5" x14ac:dyDescent="0.25">
      <c r="A1271">
        <v>95315</v>
      </c>
      <c r="B1271" s="343">
        <v>37.4255</v>
      </c>
      <c r="C1271" s="343">
        <v>-120.767</v>
      </c>
      <c r="D1271" s="342">
        <v>3584160</v>
      </c>
      <c r="E1271" s="342">
        <v>5246970</v>
      </c>
    </row>
    <row r="1272" spans="1:5" x14ac:dyDescent="0.25">
      <c r="A1272">
        <v>95316</v>
      </c>
      <c r="B1272" s="343">
        <v>37.553400000000003</v>
      </c>
      <c r="C1272" s="343">
        <v>-120.711</v>
      </c>
      <c r="D1272" s="342">
        <v>3630130</v>
      </c>
      <c r="E1272" s="342">
        <v>5265310</v>
      </c>
    </row>
    <row r="1273" spans="1:5" x14ac:dyDescent="0.25">
      <c r="A1273">
        <v>95317</v>
      </c>
      <c r="B1273" s="343">
        <v>37.146099999999997</v>
      </c>
      <c r="C1273" s="343">
        <v>-120.504</v>
      </c>
      <c r="D1273" s="342">
        <v>3479030</v>
      </c>
      <c r="E1273" s="342">
        <v>5319380</v>
      </c>
    </row>
    <row r="1274" spans="1:5" x14ac:dyDescent="0.25">
      <c r="A1274">
        <v>95318</v>
      </c>
      <c r="B1274" s="343">
        <v>37.676099999999998</v>
      </c>
      <c r="C1274" s="343">
        <v>-119.854</v>
      </c>
      <c r="D1274" s="342">
        <v>3665240</v>
      </c>
      <c r="E1274" s="342">
        <v>5515890</v>
      </c>
    </row>
    <row r="1275" spans="1:5" x14ac:dyDescent="0.25">
      <c r="A1275">
        <v>95320</v>
      </c>
      <c r="B1275" s="343">
        <v>37.818100000000001</v>
      </c>
      <c r="C1275" s="343">
        <v>-121.015</v>
      </c>
      <c r="D1275" s="342">
        <v>3730570</v>
      </c>
      <c r="E1275" s="342">
        <v>5181500</v>
      </c>
    </row>
    <row r="1276" spans="1:5" x14ac:dyDescent="0.25">
      <c r="A1276">
        <v>95321</v>
      </c>
      <c r="B1276" s="343">
        <v>37.854500000000002</v>
      </c>
      <c r="C1276" s="343">
        <v>-119.92</v>
      </c>
      <c r="D1276" s="342">
        <v>3731090</v>
      </c>
      <c r="E1276" s="342">
        <v>5498830</v>
      </c>
    </row>
    <row r="1277" spans="1:5" x14ac:dyDescent="0.25">
      <c r="A1277">
        <v>95322</v>
      </c>
      <c r="B1277" s="343">
        <v>37.197600000000001</v>
      </c>
      <c r="C1277" s="343">
        <v>-120.968</v>
      </c>
      <c r="D1277" s="342">
        <v>3503640</v>
      </c>
      <c r="E1277" s="342">
        <v>5184900</v>
      </c>
    </row>
    <row r="1278" spans="1:5" x14ac:dyDescent="0.25">
      <c r="A1278">
        <v>95323</v>
      </c>
      <c r="B1278" s="343">
        <v>37.606999999999999</v>
      </c>
      <c r="C1278" s="343">
        <v>-120.664</v>
      </c>
      <c r="D1278" s="342">
        <v>3649090</v>
      </c>
      <c r="E1278" s="342">
        <v>5279920</v>
      </c>
    </row>
    <row r="1279" spans="1:5" x14ac:dyDescent="0.25">
      <c r="A1279">
        <v>95324</v>
      </c>
      <c r="B1279" s="343">
        <v>37.395200000000003</v>
      </c>
      <c r="C1279" s="343">
        <v>-120.89100000000001</v>
      </c>
      <c r="D1279" s="342">
        <v>3574700</v>
      </c>
      <c r="E1279" s="342">
        <v>5210510</v>
      </c>
    </row>
    <row r="1280" spans="1:5" x14ac:dyDescent="0.25">
      <c r="A1280">
        <v>95326</v>
      </c>
      <c r="B1280" s="343">
        <v>37.592700000000001</v>
      </c>
      <c r="C1280" s="343">
        <v>-120.851</v>
      </c>
      <c r="D1280" s="342">
        <v>3646200</v>
      </c>
      <c r="E1280" s="342">
        <v>5225400</v>
      </c>
    </row>
    <row r="1281" spans="1:5" x14ac:dyDescent="0.25">
      <c r="A1281">
        <v>95327</v>
      </c>
      <c r="B1281" s="343">
        <v>37.868499999999997</v>
      </c>
      <c r="C1281" s="343">
        <v>-120.48399999999999</v>
      </c>
      <c r="D1281" s="342">
        <v>3742340</v>
      </c>
      <c r="E1281" s="342">
        <v>5335900</v>
      </c>
    </row>
    <row r="1282" spans="1:5" x14ac:dyDescent="0.25">
      <c r="A1282">
        <v>95328</v>
      </c>
      <c r="B1282" s="343">
        <v>37.5593</v>
      </c>
      <c r="C1282" s="343">
        <v>-120.91</v>
      </c>
      <c r="D1282" s="342">
        <v>3634770</v>
      </c>
      <c r="E1282" s="342">
        <v>5207710</v>
      </c>
    </row>
    <row r="1283" spans="1:5" x14ac:dyDescent="0.25">
      <c r="A1283">
        <v>95329</v>
      </c>
      <c r="B1283" s="343">
        <v>37.700099999999999</v>
      </c>
      <c r="C1283" s="343">
        <v>-120.4</v>
      </c>
      <c r="D1283" s="342">
        <v>3679900</v>
      </c>
      <c r="E1283" s="342">
        <v>5357810</v>
      </c>
    </row>
    <row r="1284" spans="1:5" x14ac:dyDescent="0.25">
      <c r="A1284">
        <v>95330</v>
      </c>
      <c r="B1284" s="343">
        <v>37.814300000000003</v>
      </c>
      <c r="C1284" s="343">
        <v>-121.30500000000001</v>
      </c>
      <c r="D1284" s="342">
        <v>3733130</v>
      </c>
      <c r="E1284" s="342">
        <v>5097430</v>
      </c>
    </row>
    <row r="1285" spans="1:5" x14ac:dyDescent="0.25">
      <c r="A1285">
        <v>95333</v>
      </c>
      <c r="B1285" s="343">
        <v>37.250100000000003</v>
      </c>
      <c r="C1285" s="343">
        <v>-120.232</v>
      </c>
      <c r="D1285" s="342">
        <v>3513810</v>
      </c>
      <c r="E1285" s="342">
        <v>5400280</v>
      </c>
    </row>
    <row r="1286" spans="1:5" x14ac:dyDescent="0.25">
      <c r="A1286">
        <v>95334</v>
      </c>
      <c r="B1286" s="343">
        <v>37.358600000000003</v>
      </c>
      <c r="C1286" s="343">
        <v>-120.747</v>
      </c>
      <c r="D1286" s="342">
        <v>3559490</v>
      </c>
      <c r="E1286" s="342">
        <v>5251690</v>
      </c>
    </row>
    <row r="1287" spans="1:5" x14ac:dyDescent="0.25">
      <c r="A1287">
        <v>95335</v>
      </c>
      <c r="B1287" s="343">
        <v>38.216099999999997</v>
      </c>
      <c r="C1287" s="343">
        <v>-119.93600000000001</v>
      </c>
      <c r="D1287" s="342">
        <v>3863290</v>
      </c>
      <c r="E1287" s="342">
        <v>5499110</v>
      </c>
    </row>
    <row r="1288" spans="1:5" x14ac:dyDescent="0.25">
      <c r="A1288">
        <v>95336</v>
      </c>
      <c r="B1288" s="343">
        <v>37.834000000000003</v>
      </c>
      <c r="C1288" s="343">
        <v>-121.19199999999999</v>
      </c>
      <c r="D1288" s="342">
        <v>3738760</v>
      </c>
      <c r="E1288" s="342">
        <v>5130610</v>
      </c>
    </row>
    <row r="1289" spans="1:5" x14ac:dyDescent="0.25">
      <c r="A1289">
        <v>95337</v>
      </c>
      <c r="B1289" s="343">
        <v>37.741</v>
      </c>
      <c r="C1289" s="343">
        <v>-121.238</v>
      </c>
      <c r="D1289" s="342">
        <v>3705460</v>
      </c>
      <c r="E1289" s="342">
        <v>5115440</v>
      </c>
    </row>
    <row r="1290" spans="1:5" x14ac:dyDescent="0.25">
      <c r="A1290">
        <v>95338</v>
      </c>
      <c r="B1290" s="343">
        <v>37.518799999999999</v>
      </c>
      <c r="C1290" s="343">
        <v>-119.937</v>
      </c>
      <c r="D1290" s="342">
        <v>3608700</v>
      </c>
      <c r="E1290" s="342">
        <v>5489610</v>
      </c>
    </row>
    <row r="1291" spans="1:5" x14ac:dyDescent="0.25">
      <c r="A1291">
        <v>95340</v>
      </c>
      <c r="B1291" s="343">
        <v>37.365099999999998</v>
      </c>
      <c r="C1291" s="343">
        <v>-120.369</v>
      </c>
      <c r="D1291" s="342">
        <v>3557340</v>
      </c>
      <c r="E1291" s="342">
        <v>5361900</v>
      </c>
    </row>
    <row r="1292" spans="1:5" x14ac:dyDescent="0.25">
      <c r="A1292">
        <v>95341</v>
      </c>
      <c r="B1292" s="343">
        <v>37.238599999999998</v>
      </c>
      <c r="C1292" s="343">
        <v>-120.501</v>
      </c>
      <c r="D1292" s="342">
        <v>3512750</v>
      </c>
      <c r="E1292" s="342">
        <v>5321540</v>
      </c>
    </row>
    <row r="1293" spans="1:5" x14ac:dyDescent="0.25">
      <c r="A1293">
        <v>95345</v>
      </c>
      <c r="B1293" s="343">
        <v>37.583399999999997</v>
      </c>
      <c r="C1293" s="343">
        <v>-119.97</v>
      </c>
      <c r="D1293" s="342">
        <v>3632600</v>
      </c>
      <c r="E1293" s="342">
        <v>5480980</v>
      </c>
    </row>
    <row r="1294" spans="1:5" x14ac:dyDescent="0.25">
      <c r="A1294">
        <v>95346</v>
      </c>
      <c r="B1294" s="343">
        <v>38.046799999999998</v>
      </c>
      <c r="C1294" s="343">
        <v>-120.107</v>
      </c>
      <c r="D1294" s="342">
        <v>3803200</v>
      </c>
      <c r="E1294" s="342">
        <v>5447390</v>
      </c>
    </row>
    <row r="1295" spans="1:5" x14ac:dyDescent="0.25">
      <c r="A1295">
        <v>95348</v>
      </c>
      <c r="B1295" s="343">
        <v>37.366300000000003</v>
      </c>
      <c r="C1295" s="343">
        <v>-120.51300000000001</v>
      </c>
      <c r="D1295" s="342">
        <v>3559450</v>
      </c>
      <c r="E1295" s="342">
        <v>5319900</v>
      </c>
    </row>
    <row r="1296" spans="1:5" x14ac:dyDescent="0.25">
      <c r="A1296">
        <v>95350</v>
      </c>
      <c r="B1296" s="343">
        <v>37.671599999999998</v>
      </c>
      <c r="C1296" s="343">
        <v>-121.00700000000001</v>
      </c>
      <c r="D1296" s="342">
        <v>3677020</v>
      </c>
      <c r="E1296" s="342">
        <v>5181280</v>
      </c>
    </row>
    <row r="1297" spans="1:5" x14ac:dyDescent="0.25">
      <c r="A1297">
        <v>95351</v>
      </c>
      <c r="B1297" s="343">
        <v>37.624299999999998</v>
      </c>
      <c r="C1297" s="343">
        <v>-121</v>
      </c>
      <c r="D1297" s="342">
        <v>3659670</v>
      </c>
      <c r="E1297" s="342">
        <v>5182700</v>
      </c>
    </row>
    <row r="1298" spans="1:5" x14ac:dyDescent="0.25">
      <c r="A1298">
        <v>95354</v>
      </c>
      <c r="B1298" s="343">
        <v>37.6374</v>
      </c>
      <c r="C1298" s="343">
        <v>-120.965</v>
      </c>
      <c r="D1298" s="342">
        <v>3664010</v>
      </c>
      <c r="E1298" s="342">
        <v>5192860</v>
      </c>
    </row>
    <row r="1299" spans="1:5" x14ac:dyDescent="0.25">
      <c r="A1299">
        <v>95355</v>
      </c>
      <c r="B1299" s="343">
        <v>37.671500000000002</v>
      </c>
      <c r="C1299" s="343">
        <v>-120.94799999999999</v>
      </c>
      <c r="D1299" s="342">
        <v>3676220</v>
      </c>
      <c r="E1299" s="342">
        <v>5198520</v>
      </c>
    </row>
    <row r="1300" spans="1:5" x14ac:dyDescent="0.25">
      <c r="A1300">
        <v>95356</v>
      </c>
      <c r="B1300" s="343">
        <v>37.719299999999997</v>
      </c>
      <c r="C1300" s="343">
        <v>-121.02800000000001</v>
      </c>
      <c r="D1300" s="342">
        <v>3694710</v>
      </c>
      <c r="E1300" s="342">
        <v>5176130</v>
      </c>
    </row>
    <row r="1301" spans="1:5" x14ac:dyDescent="0.25">
      <c r="A1301">
        <v>95357</v>
      </c>
      <c r="B1301" s="343">
        <v>37.666800000000002</v>
      </c>
      <c r="C1301" s="343">
        <v>-120.887</v>
      </c>
      <c r="D1301" s="342">
        <v>3673720</v>
      </c>
      <c r="E1301" s="342">
        <v>5215920</v>
      </c>
    </row>
    <row r="1302" spans="1:5" x14ac:dyDescent="0.25">
      <c r="A1302">
        <v>95358</v>
      </c>
      <c r="B1302" s="343">
        <v>37.614800000000002</v>
      </c>
      <c r="C1302" s="343">
        <v>-121.1</v>
      </c>
      <c r="D1302" s="342">
        <v>3657550</v>
      </c>
      <c r="E1302" s="342">
        <v>5153530</v>
      </c>
    </row>
    <row r="1303" spans="1:5" x14ac:dyDescent="0.25">
      <c r="A1303">
        <v>95360</v>
      </c>
      <c r="B1303" s="343">
        <v>37.270299999999999</v>
      </c>
      <c r="C1303" s="343">
        <v>-121.238</v>
      </c>
      <c r="D1303" s="342">
        <v>3533840</v>
      </c>
      <c r="E1303" s="342">
        <v>5107230</v>
      </c>
    </row>
    <row r="1304" spans="1:5" x14ac:dyDescent="0.25">
      <c r="A1304">
        <v>95361</v>
      </c>
      <c r="B1304" s="343">
        <v>37.785299999999999</v>
      </c>
      <c r="C1304" s="343">
        <v>-120.783</v>
      </c>
      <c r="D1304" s="342">
        <v>3715600</v>
      </c>
      <c r="E1304" s="342">
        <v>5248150</v>
      </c>
    </row>
    <row r="1305" spans="1:5" x14ac:dyDescent="0.25">
      <c r="A1305">
        <v>95363</v>
      </c>
      <c r="B1305" s="343">
        <v>37.453299999999999</v>
      </c>
      <c r="C1305" s="343">
        <v>-121.255</v>
      </c>
      <c r="D1305" s="342">
        <v>3600750</v>
      </c>
      <c r="E1305" s="342">
        <v>5105550</v>
      </c>
    </row>
    <row r="1306" spans="1:5" x14ac:dyDescent="0.25">
      <c r="A1306">
        <v>95364</v>
      </c>
      <c r="B1306" s="343">
        <v>38.349800000000002</v>
      </c>
      <c r="C1306" s="343">
        <v>-119.911</v>
      </c>
      <c r="D1306" s="342">
        <v>3911840</v>
      </c>
      <c r="E1306" s="342">
        <v>5508040</v>
      </c>
    </row>
    <row r="1307" spans="1:5" x14ac:dyDescent="0.25">
      <c r="A1307">
        <v>95365</v>
      </c>
      <c r="B1307" s="343">
        <v>37.288800000000002</v>
      </c>
      <c r="C1307" s="343">
        <v>-120.318</v>
      </c>
      <c r="D1307" s="342">
        <v>3528920</v>
      </c>
      <c r="E1307" s="342">
        <v>5375660</v>
      </c>
    </row>
    <row r="1308" spans="1:5" x14ac:dyDescent="0.25">
      <c r="A1308">
        <v>95366</v>
      </c>
      <c r="B1308" s="343">
        <v>37.764000000000003</v>
      </c>
      <c r="C1308" s="343">
        <v>-121.126</v>
      </c>
      <c r="D1308" s="342">
        <v>3712330</v>
      </c>
      <c r="E1308" s="342">
        <v>5148480</v>
      </c>
    </row>
    <row r="1309" spans="1:5" x14ac:dyDescent="0.25">
      <c r="A1309">
        <v>95367</v>
      </c>
      <c r="B1309" s="343">
        <v>37.730800000000002</v>
      </c>
      <c r="C1309" s="343">
        <v>-120.946</v>
      </c>
      <c r="D1309" s="342">
        <v>3697800</v>
      </c>
      <c r="E1309" s="342">
        <v>5200080</v>
      </c>
    </row>
    <row r="1310" spans="1:5" x14ac:dyDescent="0.25">
      <c r="A1310">
        <v>95368</v>
      </c>
      <c r="B1310" s="343">
        <v>37.714500000000001</v>
      </c>
      <c r="C1310" s="343">
        <v>-121.089</v>
      </c>
      <c r="D1310" s="342">
        <v>3693770</v>
      </c>
      <c r="E1310" s="342">
        <v>5158280</v>
      </c>
    </row>
    <row r="1311" spans="1:5" x14ac:dyDescent="0.25">
      <c r="A1311">
        <v>95369</v>
      </c>
      <c r="B1311" s="343">
        <v>37.524299999999997</v>
      </c>
      <c r="C1311" s="343">
        <v>-120.413</v>
      </c>
      <c r="D1311" s="342">
        <v>3615930</v>
      </c>
      <c r="E1311" s="342">
        <v>5351510</v>
      </c>
    </row>
    <row r="1312" spans="1:5" x14ac:dyDescent="0.25">
      <c r="A1312">
        <v>95370</v>
      </c>
      <c r="B1312" s="343">
        <v>37.9893</v>
      </c>
      <c r="C1312" s="343">
        <v>-120.35</v>
      </c>
      <c r="D1312" s="342">
        <v>3784870</v>
      </c>
      <c r="E1312" s="342">
        <v>5376330</v>
      </c>
    </row>
    <row r="1313" spans="1:5" x14ac:dyDescent="0.25">
      <c r="A1313">
        <v>95372</v>
      </c>
      <c r="B1313" s="343">
        <v>37.992800000000003</v>
      </c>
      <c r="C1313" s="343">
        <v>-120.261</v>
      </c>
      <c r="D1313" s="342">
        <v>3785160</v>
      </c>
      <c r="E1313" s="342">
        <v>5402290</v>
      </c>
    </row>
    <row r="1314" spans="1:5" x14ac:dyDescent="0.25">
      <c r="A1314">
        <v>95374</v>
      </c>
      <c r="B1314" s="343">
        <v>37.323500000000003</v>
      </c>
      <c r="C1314" s="343">
        <v>-120.869</v>
      </c>
      <c r="D1314" s="342">
        <v>3548250</v>
      </c>
      <c r="E1314" s="342">
        <v>5215630</v>
      </c>
    </row>
    <row r="1315" spans="1:5" x14ac:dyDescent="0.25">
      <c r="A1315">
        <v>95376</v>
      </c>
      <c r="B1315" s="343">
        <v>37.7378</v>
      </c>
      <c r="C1315" s="343">
        <v>-121.431</v>
      </c>
      <c r="D1315" s="342">
        <v>3707050</v>
      </c>
      <c r="E1315" s="342">
        <v>5059500</v>
      </c>
    </row>
    <row r="1316" spans="1:5" x14ac:dyDescent="0.25">
      <c r="A1316">
        <v>95377</v>
      </c>
      <c r="B1316" s="343">
        <v>37.627499999999998</v>
      </c>
      <c r="C1316" s="343">
        <v>-121.483</v>
      </c>
      <c r="D1316" s="342">
        <v>3667540</v>
      </c>
      <c r="E1316" s="342">
        <v>5042490</v>
      </c>
    </row>
    <row r="1317" spans="1:5" x14ac:dyDescent="0.25">
      <c r="A1317">
        <v>95379</v>
      </c>
      <c r="B1317" s="343">
        <v>37.931800000000003</v>
      </c>
      <c r="C1317" s="343">
        <v>-120.23099999999999</v>
      </c>
      <c r="D1317" s="342">
        <v>3762570</v>
      </c>
      <c r="E1317" s="342">
        <v>5409950</v>
      </c>
    </row>
    <row r="1318" spans="1:5" x14ac:dyDescent="0.25">
      <c r="A1318">
        <v>95380</v>
      </c>
      <c r="B1318" s="343">
        <v>37.473199999999999</v>
      </c>
      <c r="C1318" s="343">
        <v>-120.873</v>
      </c>
      <c r="D1318" s="342">
        <v>3602920</v>
      </c>
      <c r="E1318" s="342">
        <v>5216820</v>
      </c>
    </row>
    <row r="1319" spans="1:5" x14ac:dyDescent="0.25">
      <c r="A1319">
        <v>95382</v>
      </c>
      <c r="B1319" s="343">
        <v>37.529299999999999</v>
      </c>
      <c r="C1319" s="343">
        <v>-120.851</v>
      </c>
      <c r="D1319" s="342">
        <v>3623080</v>
      </c>
      <c r="E1319" s="342">
        <v>5224220</v>
      </c>
    </row>
    <row r="1320" spans="1:5" x14ac:dyDescent="0.25">
      <c r="A1320">
        <v>95383</v>
      </c>
      <c r="B1320" s="343">
        <v>38.041499999999999</v>
      </c>
      <c r="C1320" s="343">
        <v>-120.208</v>
      </c>
      <c r="D1320" s="342">
        <v>3802330</v>
      </c>
      <c r="E1320" s="342">
        <v>5418220</v>
      </c>
    </row>
    <row r="1321" spans="1:5" x14ac:dyDescent="0.25">
      <c r="A1321">
        <v>95385</v>
      </c>
      <c r="B1321" s="343">
        <v>37.624099999999999</v>
      </c>
      <c r="C1321" s="343">
        <v>-121.255</v>
      </c>
      <c r="D1321" s="342">
        <v>3663080</v>
      </c>
      <c r="E1321" s="342">
        <v>5108720</v>
      </c>
    </row>
    <row r="1322" spans="1:5" x14ac:dyDescent="0.25">
      <c r="A1322">
        <v>95386</v>
      </c>
      <c r="B1322" s="343">
        <v>37.679000000000002</v>
      </c>
      <c r="C1322" s="343">
        <v>-120.631</v>
      </c>
      <c r="D1322" s="342">
        <v>3674950</v>
      </c>
      <c r="E1322" s="342">
        <v>5290340</v>
      </c>
    </row>
    <row r="1323" spans="1:5" x14ac:dyDescent="0.25">
      <c r="A1323">
        <v>95388</v>
      </c>
      <c r="B1323" s="343">
        <v>37.428600000000003</v>
      </c>
      <c r="C1323" s="343">
        <v>-120.554</v>
      </c>
      <c r="D1323" s="342">
        <v>3582670</v>
      </c>
      <c r="E1323" s="342">
        <v>5308970</v>
      </c>
    </row>
    <row r="1324" spans="1:5" x14ac:dyDescent="0.25">
      <c r="A1324">
        <v>95389</v>
      </c>
      <c r="B1324" s="343">
        <v>37.7502</v>
      </c>
      <c r="C1324" s="343">
        <v>-119.553</v>
      </c>
      <c r="D1324" s="342">
        <v>3689410</v>
      </c>
      <c r="E1324" s="342">
        <v>5603800</v>
      </c>
    </row>
    <row r="1325" spans="1:5" x14ac:dyDescent="0.25">
      <c r="A1325">
        <v>95391</v>
      </c>
      <c r="B1325" s="343">
        <v>37.769500000000001</v>
      </c>
      <c r="C1325" s="343">
        <v>-121.563</v>
      </c>
      <c r="D1325" s="342">
        <v>3720520</v>
      </c>
      <c r="E1325" s="342">
        <v>5021930</v>
      </c>
    </row>
    <row r="1326" spans="1:5" x14ac:dyDescent="0.25">
      <c r="A1326">
        <v>95401</v>
      </c>
      <c r="B1326" s="343">
        <v>38.4514</v>
      </c>
      <c r="C1326" s="343">
        <v>-122.79300000000001</v>
      </c>
      <c r="D1326" s="342">
        <v>3989480</v>
      </c>
      <c r="E1326" s="342">
        <v>4681450</v>
      </c>
    </row>
    <row r="1327" spans="1:5" x14ac:dyDescent="0.25">
      <c r="A1327">
        <v>95403</v>
      </c>
      <c r="B1327" s="343">
        <v>38.5032</v>
      </c>
      <c r="C1327" s="343">
        <v>-122.753</v>
      </c>
      <c r="D1327" s="342">
        <v>4007690</v>
      </c>
      <c r="E1327" s="342">
        <v>4694060</v>
      </c>
    </row>
    <row r="1328" spans="1:5" x14ac:dyDescent="0.25">
      <c r="A1328">
        <v>95404</v>
      </c>
      <c r="B1328" s="343">
        <v>38.4664</v>
      </c>
      <c r="C1328" s="343">
        <v>-122.65300000000001</v>
      </c>
      <c r="D1328" s="342">
        <v>3992470</v>
      </c>
      <c r="E1328" s="342">
        <v>4722010</v>
      </c>
    </row>
    <row r="1329" spans="1:5" x14ac:dyDescent="0.25">
      <c r="A1329">
        <v>95405</v>
      </c>
      <c r="B1329" s="343">
        <v>38.439399999999999</v>
      </c>
      <c r="C1329" s="343">
        <v>-122.66800000000001</v>
      </c>
      <c r="D1329" s="342">
        <v>3982880</v>
      </c>
      <c r="E1329" s="342">
        <v>4717030</v>
      </c>
    </row>
    <row r="1330" spans="1:5" x14ac:dyDescent="0.25">
      <c r="A1330">
        <v>95407</v>
      </c>
      <c r="B1330" s="343">
        <v>38.395099999999999</v>
      </c>
      <c r="C1330" s="343">
        <v>-122.744</v>
      </c>
      <c r="D1330" s="342">
        <v>3968070</v>
      </c>
      <c r="E1330" s="342">
        <v>4694250</v>
      </c>
    </row>
    <row r="1331" spans="1:5" x14ac:dyDescent="0.25">
      <c r="A1331">
        <v>95409</v>
      </c>
      <c r="B1331" s="343">
        <v>38.457500000000003</v>
      </c>
      <c r="C1331" s="343">
        <v>-122.599</v>
      </c>
      <c r="D1331" s="342">
        <v>3988270</v>
      </c>
      <c r="E1331" s="342">
        <v>4737450</v>
      </c>
    </row>
    <row r="1332" spans="1:5" x14ac:dyDescent="0.25">
      <c r="A1332">
        <v>95410</v>
      </c>
      <c r="B1332" s="343">
        <v>39.206099999999999</v>
      </c>
      <c r="C1332" s="343">
        <v>-123.678</v>
      </c>
      <c r="D1332" s="342">
        <v>4281980</v>
      </c>
      <c r="E1332" s="342">
        <v>4447380</v>
      </c>
    </row>
    <row r="1333" spans="1:5" x14ac:dyDescent="0.25">
      <c r="A1333">
        <v>95412</v>
      </c>
      <c r="B1333" s="343">
        <v>38.697800000000001</v>
      </c>
      <c r="C1333" s="343">
        <v>-123.351</v>
      </c>
      <c r="D1333" s="342">
        <v>4089890</v>
      </c>
      <c r="E1333" s="342">
        <v>4527680</v>
      </c>
    </row>
    <row r="1334" spans="1:5" x14ac:dyDescent="0.25">
      <c r="A1334">
        <v>95415</v>
      </c>
      <c r="B1334" s="343">
        <v>39.013800000000003</v>
      </c>
      <c r="C1334" s="343">
        <v>-123.38800000000001</v>
      </c>
      <c r="D1334" s="342">
        <v>4205980</v>
      </c>
      <c r="E1334" s="342">
        <v>4524930</v>
      </c>
    </row>
    <row r="1335" spans="1:5" x14ac:dyDescent="0.25">
      <c r="A1335">
        <v>95417</v>
      </c>
      <c r="B1335" s="343">
        <v>39.677199999999999</v>
      </c>
      <c r="C1335" s="343">
        <v>-123.61499999999999</v>
      </c>
      <c r="D1335" s="342">
        <v>4452880</v>
      </c>
      <c r="E1335" s="342">
        <v>4477260</v>
      </c>
    </row>
    <row r="1336" spans="1:5" x14ac:dyDescent="0.25">
      <c r="A1336">
        <v>95420</v>
      </c>
      <c r="B1336" s="343">
        <v>39.361600000000003</v>
      </c>
      <c r="C1336" s="343">
        <v>-123.782</v>
      </c>
      <c r="D1336" s="342">
        <v>4340930</v>
      </c>
      <c r="E1336" s="342">
        <v>4421720</v>
      </c>
    </row>
    <row r="1337" spans="1:5" x14ac:dyDescent="0.25">
      <c r="A1337">
        <v>95421</v>
      </c>
      <c r="B1337" s="343">
        <v>38.634999999999998</v>
      </c>
      <c r="C1337" s="343">
        <v>-123.212</v>
      </c>
      <c r="D1337" s="342">
        <v>4064260</v>
      </c>
      <c r="E1337" s="342">
        <v>4565890</v>
      </c>
    </row>
    <row r="1338" spans="1:5" x14ac:dyDescent="0.25">
      <c r="A1338">
        <v>95422</v>
      </c>
      <c r="B1338" s="343">
        <v>38.976799999999997</v>
      </c>
      <c r="C1338" s="343">
        <v>-122.557</v>
      </c>
      <c r="D1338" s="342">
        <v>4177180</v>
      </c>
      <c r="E1338" s="342">
        <v>4760930</v>
      </c>
    </row>
    <row r="1339" spans="1:5" x14ac:dyDescent="0.25">
      <c r="A1339">
        <v>95423</v>
      </c>
      <c r="B1339" s="343">
        <v>39.121200000000002</v>
      </c>
      <c r="C1339" s="343">
        <v>-122.643</v>
      </c>
      <c r="D1339" s="342">
        <v>4231420</v>
      </c>
      <c r="E1339" s="342">
        <v>4739590</v>
      </c>
    </row>
    <row r="1340" spans="1:5" x14ac:dyDescent="0.25">
      <c r="A1340">
        <v>95425</v>
      </c>
      <c r="B1340" s="343">
        <v>38.796900000000001</v>
      </c>
      <c r="C1340" s="343">
        <v>-123.011</v>
      </c>
      <c r="D1340" s="342">
        <v>4119580</v>
      </c>
      <c r="E1340" s="342">
        <v>4627150</v>
      </c>
    </row>
    <row r="1341" spans="1:5" x14ac:dyDescent="0.25">
      <c r="A1341">
        <v>95426</v>
      </c>
      <c r="B1341" s="343">
        <v>38.837800000000001</v>
      </c>
      <c r="C1341" s="343">
        <v>-122.76300000000001</v>
      </c>
      <c r="D1341" s="342">
        <v>4130010</v>
      </c>
      <c r="E1341" s="342">
        <v>4698930</v>
      </c>
    </row>
    <row r="1342" spans="1:5" x14ac:dyDescent="0.25">
      <c r="A1342">
        <v>95427</v>
      </c>
      <c r="B1342" s="343">
        <v>39.277200000000001</v>
      </c>
      <c r="C1342" s="343">
        <v>-123.58199999999999</v>
      </c>
      <c r="D1342" s="342">
        <v>4306000</v>
      </c>
      <c r="E1342" s="342">
        <v>4476390</v>
      </c>
    </row>
    <row r="1343" spans="1:5" x14ac:dyDescent="0.25">
      <c r="A1343">
        <v>95428</v>
      </c>
      <c r="B1343" s="343">
        <v>39.767400000000002</v>
      </c>
      <c r="C1343" s="343">
        <v>-123.142</v>
      </c>
      <c r="D1343" s="342">
        <v>4476670</v>
      </c>
      <c r="E1343" s="342">
        <v>4613130</v>
      </c>
    </row>
    <row r="1344" spans="1:5" x14ac:dyDescent="0.25">
      <c r="A1344">
        <v>95429</v>
      </c>
      <c r="B1344" s="343">
        <v>39.696199999999997</v>
      </c>
      <c r="C1344" s="343">
        <v>-123.33799999999999</v>
      </c>
      <c r="D1344" s="342">
        <v>4454380</v>
      </c>
      <c r="E1344" s="342">
        <v>4555990</v>
      </c>
    </row>
    <row r="1345" spans="1:5" x14ac:dyDescent="0.25">
      <c r="A1345">
        <v>95432</v>
      </c>
      <c r="B1345" s="343">
        <v>39.131599999999999</v>
      </c>
      <c r="C1345" s="343">
        <v>-123.68600000000001</v>
      </c>
      <c r="D1345" s="342">
        <v>4254930</v>
      </c>
      <c r="E1345" s="342">
        <v>4443170</v>
      </c>
    </row>
    <row r="1346" spans="1:5" x14ac:dyDescent="0.25">
      <c r="A1346">
        <v>95436</v>
      </c>
      <c r="B1346" s="343">
        <v>38.4925</v>
      </c>
      <c r="C1346" s="343">
        <v>-122.91200000000001</v>
      </c>
      <c r="D1346" s="342">
        <v>4006650</v>
      </c>
      <c r="E1346" s="342">
        <v>4648220</v>
      </c>
    </row>
    <row r="1347" spans="1:5" x14ac:dyDescent="0.25">
      <c r="A1347">
        <v>95437</v>
      </c>
      <c r="B1347" s="343">
        <v>39.464799999999997</v>
      </c>
      <c r="C1347" s="343">
        <v>-123.697</v>
      </c>
      <c r="D1347" s="342">
        <v>4376880</v>
      </c>
      <c r="E1347" s="342">
        <v>4448770</v>
      </c>
    </row>
    <row r="1348" spans="1:5" x14ac:dyDescent="0.25">
      <c r="A1348">
        <v>95439</v>
      </c>
      <c r="B1348" s="343">
        <v>38.492899999999999</v>
      </c>
      <c r="C1348" s="343">
        <v>-122.77500000000001</v>
      </c>
      <c r="D1348" s="342">
        <v>4004310</v>
      </c>
      <c r="E1348" s="342">
        <v>4687760</v>
      </c>
    </row>
    <row r="1349" spans="1:5" x14ac:dyDescent="0.25">
      <c r="A1349">
        <v>95441</v>
      </c>
      <c r="B1349" s="343">
        <v>38.740299999999998</v>
      </c>
      <c r="C1349" s="343">
        <v>-122.95699999999999</v>
      </c>
      <c r="D1349" s="342">
        <v>4097960</v>
      </c>
      <c r="E1349" s="342">
        <v>4641320</v>
      </c>
    </row>
    <row r="1350" spans="1:5" x14ac:dyDescent="0.25">
      <c r="A1350">
        <v>95442</v>
      </c>
      <c r="B1350" s="343">
        <v>38.3733</v>
      </c>
      <c r="C1350" s="343">
        <v>-122.517</v>
      </c>
      <c r="D1350" s="342">
        <v>3956110</v>
      </c>
      <c r="E1350" s="342">
        <v>4759060</v>
      </c>
    </row>
    <row r="1351" spans="1:5" x14ac:dyDescent="0.25">
      <c r="A1351">
        <v>95443</v>
      </c>
      <c r="B1351" s="343">
        <v>39.030299999999997</v>
      </c>
      <c r="C1351" s="343">
        <v>-122.738</v>
      </c>
      <c r="D1351" s="342">
        <v>4199900</v>
      </c>
      <c r="E1351" s="342">
        <v>4710500</v>
      </c>
    </row>
    <row r="1352" spans="1:5" x14ac:dyDescent="0.25">
      <c r="A1352">
        <v>95444</v>
      </c>
      <c r="B1352" s="343">
        <v>38.4298</v>
      </c>
      <c r="C1352" s="343">
        <v>-122.86499999999999</v>
      </c>
      <c r="D1352" s="342">
        <v>3982910</v>
      </c>
      <c r="E1352" s="342">
        <v>4660380</v>
      </c>
    </row>
    <row r="1353" spans="1:5" x14ac:dyDescent="0.25">
      <c r="A1353">
        <v>95445</v>
      </c>
      <c r="B1353" s="343">
        <v>38.836799999999997</v>
      </c>
      <c r="C1353" s="343">
        <v>-123.43300000000001</v>
      </c>
      <c r="D1353" s="342">
        <v>4142260</v>
      </c>
      <c r="E1353" s="342">
        <v>4507500</v>
      </c>
    </row>
    <row r="1354" spans="1:5" x14ac:dyDescent="0.25">
      <c r="A1354">
        <v>95446</v>
      </c>
      <c r="B1354" s="343">
        <v>38.5259</v>
      </c>
      <c r="C1354" s="343">
        <v>-123.006</v>
      </c>
      <c r="D1354" s="342">
        <v>4020570</v>
      </c>
      <c r="E1354" s="342">
        <v>4622120</v>
      </c>
    </row>
    <row r="1355" spans="1:5" x14ac:dyDescent="0.25">
      <c r="A1355">
        <v>95448</v>
      </c>
      <c r="B1355" s="343">
        <v>38.622999999999998</v>
      </c>
      <c r="C1355" s="343">
        <v>-122.85299999999999</v>
      </c>
      <c r="D1355" s="342">
        <v>4053220</v>
      </c>
      <c r="E1355" s="342">
        <v>4668360</v>
      </c>
    </row>
    <row r="1356" spans="1:5" x14ac:dyDescent="0.25">
      <c r="A1356">
        <v>95449</v>
      </c>
      <c r="B1356" s="343">
        <v>38.928600000000003</v>
      </c>
      <c r="C1356" s="343">
        <v>-123.107</v>
      </c>
      <c r="D1356" s="342">
        <v>4169500</v>
      </c>
      <c r="E1356" s="342">
        <v>4602870</v>
      </c>
    </row>
    <row r="1357" spans="1:5" x14ac:dyDescent="0.25">
      <c r="A1357">
        <v>95450</v>
      </c>
      <c r="B1357" s="343">
        <v>38.503599999999999</v>
      </c>
      <c r="C1357" s="343">
        <v>-123.18899999999999</v>
      </c>
      <c r="D1357" s="342">
        <v>4015890</v>
      </c>
      <c r="E1357" s="342">
        <v>4569230</v>
      </c>
    </row>
    <row r="1358" spans="1:5" x14ac:dyDescent="0.25">
      <c r="A1358">
        <v>95451</v>
      </c>
      <c r="B1358" s="343">
        <v>38.947099999999999</v>
      </c>
      <c r="C1358" s="343">
        <v>-122.798</v>
      </c>
      <c r="D1358" s="342">
        <v>4170540</v>
      </c>
      <c r="E1358" s="342">
        <v>4691530</v>
      </c>
    </row>
    <row r="1359" spans="1:5" x14ac:dyDescent="0.25">
      <c r="A1359">
        <v>95452</v>
      </c>
      <c r="B1359" s="343">
        <v>38.426400000000001</v>
      </c>
      <c r="C1359" s="343">
        <v>-122.53100000000001</v>
      </c>
      <c r="D1359" s="342">
        <v>3975730</v>
      </c>
      <c r="E1359" s="342">
        <v>4756110</v>
      </c>
    </row>
    <row r="1360" spans="1:5" x14ac:dyDescent="0.25">
      <c r="A1360">
        <v>95453</v>
      </c>
      <c r="B1360" s="343">
        <v>39.0563</v>
      </c>
      <c r="C1360" s="343">
        <v>-122.965</v>
      </c>
      <c r="D1360" s="342">
        <v>4213470</v>
      </c>
      <c r="E1360" s="342">
        <v>4646430</v>
      </c>
    </row>
    <row r="1361" spans="1:5" x14ac:dyDescent="0.25">
      <c r="A1361">
        <v>95454</v>
      </c>
      <c r="B1361" s="343">
        <v>39.766100000000002</v>
      </c>
      <c r="C1361" s="343">
        <v>-123.492</v>
      </c>
      <c r="D1361" s="342">
        <v>4482900</v>
      </c>
      <c r="E1361" s="342">
        <v>4514290</v>
      </c>
    </row>
    <row r="1362" spans="1:5" x14ac:dyDescent="0.25">
      <c r="A1362">
        <v>95456</v>
      </c>
      <c r="B1362" s="343">
        <v>39.261899999999997</v>
      </c>
      <c r="C1362" s="343">
        <v>-123.747</v>
      </c>
      <c r="D1362" s="342">
        <v>4303770</v>
      </c>
      <c r="E1362" s="342">
        <v>4429080</v>
      </c>
    </row>
    <row r="1363" spans="1:5" x14ac:dyDescent="0.25">
      <c r="A1363">
        <v>95457</v>
      </c>
      <c r="B1363" s="343">
        <v>38.875500000000002</v>
      </c>
      <c r="C1363" s="343">
        <v>-122.526</v>
      </c>
      <c r="D1363" s="342">
        <v>4139620</v>
      </c>
      <c r="E1363" s="342">
        <v>4767540</v>
      </c>
    </row>
    <row r="1364" spans="1:5" x14ac:dyDescent="0.25">
      <c r="A1364">
        <v>95458</v>
      </c>
      <c r="B1364" s="343">
        <v>39.064500000000002</v>
      </c>
      <c r="C1364" s="343">
        <v>-122.788</v>
      </c>
      <c r="D1364" s="342">
        <v>4213270</v>
      </c>
      <c r="E1364" s="342">
        <v>4697120</v>
      </c>
    </row>
    <row r="1365" spans="1:5" x14ac:dyDescent="0.25">
      <c r="A1365">
        <v>95459</v>
      </c>
      <c r="B1365" s="343">
        <v>39.002699999999997</v>
      </c>
      <c r="C1365" s="343">
        <v>-123.611</v>
      </c>
      <c r="D1365" s="342">
        <v>4206320</v>
      </c>
      <c r="E1365" s="342">
        <v>4461180</v>
      </c>
    </row>
    <row r="1366" spans="1:5" x14ac:dyDescent="0.25">
      <c r="A1366">
        <v>95460</v>
      </c>
      <c r="B1366" s="343">
        <v>39.31</v>
      </c>
      <c r="C1366" s="343">
        <v>-123.71899999999999</v>
      </c>
      <c r="D1366" s="342">
        <v>4320780</v>
      </c>
      <c r="E1366" s="342">
        <v>4438260</v>
      </c>
    </row>
    <row r="1367" spans="1:5" x14ac:dyDescent="0.25">
      <c r="A1367">
        <v>95461</v>
      </c>
      <c r="B1367" s="343">
        <v>38.765099999999997</v>
      </c>
      <c r="C1367" s="343">
        <v>-122.607</v>
      </c>
      <c r="D1367" s="342">
        <v>4100700</v>
      </c>
      <c r="E1367" s="342">
        <v>4741990</v>
      </c>
    </row>
    <row r="1368" spans="1:5" x14ac:dyDescent="0.25">
      <c r="A1368">
        <v>95462</v>
      </c>
      <c r="B1368" s="343">
        <v>38.464599999999997</v>
      </c>
      <c r="C1368" s="343">
        <v>-123.02500000000001</v>
      </c>
      <c r="D1368" s="342">
        <v>3998570</v>
      </c>
      <c r="E1368" s="342">
        <v>4615400</v>
      </c>
    </row>
    <row r="1369" spans="1:5" x14ac:dyDescent="0.25">
      <c r="A1369">
        <v>95464</v>
      </c>
      <c r="B1369" s="343">
        <v>39.1036</v>
      </c>
      <c r="C1369" s="343">
        <v>-122.839</v>
      </c>
      <c r="D1369" s="342">
        <v>4228460</v>
      </c>
      <c r="E1369" s="342">
        <v>4683390</v>
      </c>
    </row>
    <row r="1370" spans="1:5" x14ac:dyDescent="0.25">
      <c r="A1370">
        <v>95465</v>
      </c>
      <c r="B1370" s="343">
        <v>38.401200000000003</v>
      </c>
      <c r="C1370" s="343">
        <v>-123.015</v>
      </c>
      <c r="D1370" s="342">
        <v>3975230</v>
      </c>
      <c r="E1370" s="342">
        <v>4616620</v>
      </c>
    </row>
    <row r="1371" spans="1:5" x14ac:dyDescent="0.25">
      <c r="A1371">
        <v>95466</v>
      </c>
      <c r="B1371" s="343">
        <v>39.0914</v>
      </c>
      <c r="C1371" s="343">
        <v>-123.536</v>
      </c>
      <c r="D1371" s="342">
        <v>4237230</v>
      </c>
      <c r="E1371" s="342">
        <v>4484730</v>
      </c>
    </row>
    <row r="1372" spans="1:5" x14ac:dyDescent="0.25">
      <c r="A1372">
        <v>95467</v>
      </c>
      <c r="B1372" s="343">
        <v>38.800899999999999</v>
      </c>
      <c r="C1372" s="343">
        <v>-122.547</v>
      </c>
      <c r="D1372" s="342">
        <v>4112750</v>
      </c>
      <c r="E1372" s="342">
        <v>4759760</v>
      </c>
    </row>
    <row r="1373" spans="1:5" x14ac:dyDescent="0.25">
      <c r="A1373">
        <v>95468</v>
      </c>
      <c r="B1373" s="343">
        <v>38.918500000000002</v>
      </c>
      <c r="C1373" s="343">
        <v>-123.53100000000001</v>
      </c>
      <c r="D1373" s="342">
        <v>4174020</v>
      </c>
      <c r="E1373" s="342">
        <v>4481740</v>
      </c>
    </row>
    <row r="1374" spans="1:5" x14ac:dyDescent="0.25">
      <c r="A1374">
        <v>95469</v>
      </c>
      <c r="B1374" s="343">
        <v>39.401499999999999</v>
      </c>
      <c r="C1374" s="343">
        <v>-123.069</v>
      </c>
      <c r="D1374" s="342">
        <v>4341520</v>
      </c>
      <c r="E1374" s="342">
        <v>4625170</v>
      </c>
    </row>
    <row r="1375" spans="1:5" x14ac:dyDescent="0.25">
      <c r="A1375">
        <v>95470</v>
      </c>
      <c r="B1375" s="343">
        <v>39.288200000000003</v>
      </c>
      <c r="C1375" s="343">
        <v>-123.313</v>
      </c>
      <c r="D1375" s="342">
        <v>4304760</v>
      </c>
      <c r="E1375" s="342">
        <v>4552930</v>
      </c>
    </row>
    <row r="1376" spans="1:5" x14ac:dyDescent="0.25">
      <c r="A1376">
        <v>95472</v>
      </c>
      <c r="B1376" s="343">
        <v>38.397500000000001</v>
      </c>
      <c r="C1376" s="343">
        <v>-122.869</v>
      </c>
      <c r="D1376" s="342">
        <v>3971180</v>
      </c>
      <c r="E1376" s="342">
        <v>4658460</v>
      </c>
    </row>
    <row r="1377" spans="1:5" x14ac:dyDescent="0.25">
      <c r="A1377">
        <v>95476</v>
      </c>
      <c r="B1377" s="343">
        <v>38.250300000000003</v>
      </c>
      <c r="C1377" s="343">
        <v>-122.45399999999999</v>
      </c>
      <c r="D1377" s="342">
        <v>3910140</v>
      </c>
      <c r="E1377" s="342">
        <v>4774530</v>
      </c>
    </row>
    <row r="1378" spans="1:5" x14ac:dyDescent="0.25">
      <c r="A1378">
        <v>95482</v>
      </c>
      <c r="B1378" s="343">
        <v>39.147100000000002</v>
      </c>
      <c r="C1378" s="343">
        <v>-123.241</v>
      </c>
      <c r="D1378" s="342">
        <v>4251840</v>
      </c>
      <c r="E1378" s="342">
        <v>4569890</v>
      </c>
    </row>
    <row r="1379" spans="1:5" x14ac:dyDescent="0.25">
      <c r="A1379">
        <v>95485</v>
      </c>
      <c r="B1379" s="343">
        <v>39.215899999999998</v>
      </c>
      <c r="C1379" s="343">
        <v>-122.92400000000001</v>
      </c>
      <c r="D1379" s="342">
        <v>4271040</v>
      </c>
      <c r="E1379" s="342">
        <v>4661930</v>
      </c>
    </row>
    <row r="1380" spans="1:5" x14ac:dyDescent="0.25">
      <c r="A1380">
        <v>95488</v>
      </c>
      <c r="B1380" s="343">
        <v>39.674300000000002</v>
      </c>
      <c r="C1380" s="343">
        <v>-123.742</v>
      </c>
      <c r="D1380" s="342">
        <v>4454370</v>
      </c>
      <c r="E1380" s="342">
        <v>4441370</v>
      </c>
    </row>
    <row r="1381" spans="1:5" x14ac:dyDescent="0.25">
      <c r="A1381">
        <v>95490</v>
      </c>
      <c r="B1381" s="343">
        <v>39.472700000000003</v>
      </c>
      <c r="C1381" s="343">
        <v>-123.376</v>
      </c>
      <c r="D1381" s="342">
        <v>4373390</v>
      </c>
      <c r="E1381" s="342">
        <v>4539790</v>
      </c>
    </row>
    <row r="1382" spans="1:5" x14ac:dyDescent="0.25">
      <c r="A1382">
        <v>95492</v>
      </c>
      <c r="B1382" s="343">
        <v>38.543100000000003</v>
      </c>
      <c r="C1382" s="343">
        <v>-122.81100000000001</v>
      </c>
      <c r="D1382" s="342">
        <v>4023290</v>
      </c>
      <c r="E1382" s="342">
        <v>4678380</v>
      </c>
    </row>
    <row r="1383" spans="1:5" x14ac:dyDescent="0.25">
      <c r="A1383">
        <v>95493</v>
      </c>
      <c r="B1383" s="343">
        <v>39.190100000000001</v>
      </c>
      <c r="C1383" s="343">
        <v>-122.971</v>
      </c>
      <c r="D1383" s="342">
        <v>4262470</v>
      </c>
      <c r="E1383" s="342">
        <v>4647960</v>
      </c>
    </row>
    <row r="1384" spans="1:5" x14ac:dyDescent="0.25">
      <c r="A1384">
        <v>95494</v>
      </c>
      <c r="B1384" s="343">
        <v>38.929299999999998</v>
      </c>
      <c r="C1384" s="343">
        <v>-123.30200000000001</v>
      </c>
      <c r="D1384" s="342">
        <v>4173440</v>
      </c>
      <c r="E1384" s="342">
        <v>4547390</v>
      </c>
    </row>
    <row r="1385" spans="1:5" x14ac:dyDescent="0.25">
      <c r="A1385">
        <v>95497</v>
      </c>
      <c r="B1385" s="343">
        <v>38.735300000000002</v>
      </c>
      <c r="C1385" s="343">
        <v>-123.474</v>
      </c>
      <c r="D1385" s="342">
        <v>4106000</v>
      </c>
      <c r="E1385" s="342">
        <v>4493360</v>
      </c>
    </row>
    <row r="1386" spans="1:5" x14ac:dyDescent="0.25">
      <c r="A1386">
        <v>95501</v>
      </c>
      <c r="B1386" s="343">
        <v>40.795499999999997</v>
      </c>
      <c r="C1386" s="343">
        <v>-124.15300000000001</v>
      </c>
      <c r="D1386" s="342">
        <v>4873260</v>
      </c>
      <c r="E1386" s="342">
        <v>4356570</v>
      </c>
    </row>
    <row r="1387" spans="1:5" x14ac:dyDescent="0.25">
      <c r="A1387">
        <v>95503</v>
      </c>
      <c r="B1387" s="343">
        <v>40.7121</v>
      </c>
      <c r="C1387" s="343">
        <v>-124.098</v>
      </c>
      <c r="D1387" s="342">
        <v>4841540</v>
      </c>
      <c r="E1387" s="342">
        <v>4369510</v>
      </c>
    </row>
    <row r="1388" spans="1:5" x14ac:dyDescent="0.25">
      <c r="A1388">
        <v>95511</v>
      </c>
      <c r="B1388" s="343">
        <v>40.163200000000003</v>
      </c>
      <c r="C1388" s="343">
        <v>-123.628</v>
      </c>
      <c r="D1388" s="342">
        <v>4630930</v>
      </c>
      <c r="E1388" s="342">
        <v>4486330</v>
      </c>
    </row>
    <row r="1389" spans="1:5" x14ac:dyDescent="0.25">
      <c r="A1389">
        <v>95514</v>
      </c>
      <c r="B1389" s="343">
        <v>40.299500000000002</v>
      </c>
      <c r="C1389" s="343">
        <v>-123.65600000000001</v>
      </c>
      <c r="D1389" s="342">
        <v>4681360</v>
      </c>
      <c r="E1389" s="342">
        <v>4481960</v>
      </c>
    </row>
    <row r="1390" spans="1:5" x14ac:dyDescent="0.25">
      <c r="A1390">
        <v>95519</v>
      </c>
      <c r="B1390" s="343">
        <v>40.951799999999999</v>
      </c>
      <c r="C1390" s="343">
        <v>-124.039</v>
      </c>
      <c r="D1390" s="342">
        <v>4928170</v>
      </c>
      <c r="E1390" s="342">
        <v>4392560</v>
      </c>
    </row>
    <row r="1391" spans="1:5" x14ac:dyDescent="0.25">
      <c r="A1391">
        <v>95521</v>
      </c>
      <c r="B1391" s="343">
        <v>40.849200000000003</v>
      </c>
      <c r="C1391" s="343">
        <v>-124.035</v>
      </c>
      <c r="D1391" s="342">
        <v>4890460</v>
      </c>
      <c r="E1391" s="342">
        <v>4390900</v>
      </c>
    </row>
    <row r="1392" spans="1:5" x14ac:dyDescent="0.25">
      <c r="A1392">
        <v>95524</v>
      </c>
      <c r="B1392" s="343">
        <v>40.818300000000001</v>
      </c>
      <c r="C1392" s="343">
        <v>-124.033</v>
      </c>
      <c r="D1392" s="342">
        <v>4879110</v>
      </c>
      <c r="E1392" s="342">
        <v>4390390</v>
      </c>
    </row>
    <row r="1393" spans="1:5" x14ac:dyDescent="0.25">
      <c r="A1393">
        <v>95525</v>
      </c>
      <c r="B1393" s="343">
        <v>40.9499</v>
      </c>
      <c r="C1393" s="343">
        <v>-123.84699999999999</v>
      </c>
      <c r="D1393" s="342">
        <v>4923530</v>
      </c>
      <c r="E1393" s="342">
        <v>4445750</v>
      </c>
    </row>
    <row r="1394" spans="1:5" x14ac:dyDescent="0.25">
      <c r="A1394">
        <v>95526</v>
      </c>
      <c r="B1394" s="343">
        <v>40.435200000000002</v>
      </c>
      <c r="C1394" s="343">
        <v>-123.6</v>
      </c>
      <c r="D1394" s="342">
        <v>4729950</v>
      </c>
      <c r="E1394" s="342">
        <v>4501080</v>
      </c>
    </row>
    <row r="1395" spans="1:5" x14ac:dyDescent="0.25">
      <c r="A1395">
        <v>95527</v>
      </c>
      <c r="B1395" s="343">
        <v>40.788400000000003</v>
      </c>
      <c r="C1395" s="343">
        <v>-123.408</v>
      </c>
      <c r="D1395" s="342">
        <v>4855640</v>
      </c>
      <c r="E1395" s="342">
        <v>4563790</v>
      </c>
    </row>
    <row r="1396" spans="1:5" x14ac:dyDescent="0.25">
      <c r="A1396">
        <v>95528</v>
      </c>
      <c r="B1396" s="343">
        <v>40.487499999999997</v>
      </c>
      <c r="C1396" s="343">
        <v>-123.91</v>
      </c>
      <c r="D1396" s="342">
        <v>4755380</v>
      </c>
      <c r="E1396" s="342">
        <v>4415770</v>
      </c>
    </row>
    <row r="1397" spans="1:5" x14ac:dyDescent="0.25">
      <c r="A1397">
        <v>95531</v>
      </c>
      <c r="B1397" s="343">
        <v>41.775599999999997</v>
      </c>
      <c r="C1397" s="343">
        <v>-123.995</v>
      </c>
      <c r="D1397" s="342">
        <v>5229650</v>
      </c>
      <c r="E1397" s="342">
        <v>4427340</v>
      </c>
    </row>
    <row r="1398" spans="1:5" x14ac:dyDescent="0.25">
      <c r="A1398">
        <v>95536</v>
      </c>
      <c r="B1398" s="343">
        <v>40.465000000000003</v>
      </c>
      <c r="C1398" s="343">
        <v>-124.25</v>
      </c>
      <c r="D1398" s="342">
        <v>4754260</v>
      </c>
      <c r="E1398" s="342">
        <v>4320180</v>
      </c>
    </row>
    <row r="1399" spans="1:5" x14ac:dyDescent="0.25">
      <c r="A1399">
        <v>95540</v>
      </c>
      <c r="B1399" s="343">
        <v>40.5884</v>
      </c>
      <c r="C1399" s="343">
        <v>-124.128</v>
      </c>
      <c r="D1399" s="342">
        <v>4796880</v>
      </c>
      <c r="E1399" s="342">
        <v>4357670</v>
      </c>
    </row>
    <row r="1400" spans="1:5" x14ac:dyDescent="0.25">
      <c r="A1400">
        <v>95542</v>
      </c>
      <c r="B1400" s="343">
        <v>40.116199999999999</v>
      </c>
      <c r="C1400" s="343">
        <v>-123.85899999999999</v>
      </c>
      <c r="D1400" s="342">
        <v>4618420</v>
      </c>
      <c r="E1400" s="342">
        <v>4420260</v>
      </c>
    </row>
    <row r="1401" spans="1:5" x14ac:dyDescent="0.25">
      <c r="A1401">
        <v>95543</v>
      </c>
      <c r="B1401" s="343">
        <v>41.915999999999997</v>
      </c>
      <c r="C1401" s="343">
        <v>-123.821</v>
      </c>
      <c r="D1401" s="342">
        <v>5277720</v>
      </c>
      <c r="E1401" s="342">
        <v>4478960</v>
      </c>
    </row>
    <row r="1402" spans="1:5" x14ac:dyDescent="0.25">
      <c r="A1402">
        <v>95546</v>
      </c>
      <c r="B1402" s="343">
        <v>41.246499999999997</v>
      </c>
      <c r="C1402" s="343">
        <v>-123.73</v>
      </c>
      <c r="D1402" s="342">
        <v>5029930</v>
      </c>
      <c r="E1402" s="342">
        <v>4486130</v>
      </c>
    </row>
    <row r="1403" spans="1:5" x14ac:dyDescent="0.25">
      <c r="A1403">
        <v>95547</v>
      </c>
      <c r="B1403" s="343">
        <v>40.551200000000001</v>
      </c>
      <c r="C1403" s="343">
        <v>-124.083</v>
      </c>
      <c r="D1403" s="342">
        <v>4782300</v>
      </c>
      <c r="E1403" s="342">
        <v>4369160</v>
      </c>
    </row>
    <row r="1404" spans="1:5" x14ac:dyDescent="0.25">
      <c r="A1404">
        <v>95548</v>
      </c>
      <c r="B1404" s="343">
        <v>41.6111</v>
      </c>
      <c r="C1404" s="343">
        <v>-124.036</v>
      </c>
      <c r="D1404" s="342">
        <v>5170020</v>
      </c>
      <c r="E1404" s="342">
        <v>4411430</v>
      </c>
    </row>
    <row r="1405" spans="1:5" x14ac:dyDescent="0.25">
      <c r="A1405">
        <v>95549</v>
      </c>
      <c r="B1405" s="343">
        <v>40.621499999999997</v>
      </c>
      <c r="C1405" s="343">
        <v>-123.902</v>
      </c>
      <c r="D1405" s="342">
        <v>4804290</v>
      </c>
      <c r="E1405" s="342">
        <v>4421640</v>
      </c>
    </row>
    <row r="1406" spans="1:5" x14ac:dyDescent="0.25">
      <c r="A1406">
        <v>95550</v>
      </c>
      <c r="B1406" s="343">
        <v>40.744100000000003</v>
      </c>
      <c r="C1406" s="343">
        <v>-123.794</v>
      </c>
      <c r="D1406" s="342">
        <v>4847020</v>
      </c>
      <c r="E1406" s="342">
        <v>4455110</v>
      </c>
    </row>
    <row r="1407" spans="1:5" x14ac:dyDescent="0.25">
      <c r="A1407">
        <v>95551</v>
      </c>
      <c r="B1407" s="343">
        <v>40.660299999999999</v>
      </c>
      <c r="C1407" s="343">
        <v>-124.245</v>
      </c>
      <c r="D1407" s="342">
        <v>4825660</v>
      </c>
      <c r="E1407" s="342">
        <v>4327160</v>
      </c>
    </row>
    <row r="1408" spans="1:5" x14ac:dyDescent="0.25">
      <c r="A1408">
        <v>95552</v>
      </c>
      <c r="B1408" s="343">
        <v>40.335700000000003</v>
      </c>
      <c r="C1408" s="343">
        <v>-123.378</v>
      </c>
      <c r="D1408" s="342">
        <v>4689180</v>
      </c>
      <c r="E1408" s="342">
        <v>4560770</v>
      </c>
    </row>
    <row r="1409" spans="1:5" x14ac:dyDescent="0.25">
      <c r="A1409">
        <v>95554</v>
      </c>
      <c r="B1409" s="343">
        <v>40.2759</v>
      </c>
      <c r="C1409" s="343">
        <v>-123.869</v>
      </c>
      <c r="D1409" s="342">
        <v>4677040</v>
      </c>
      <c r="E1409" s="342">
        <v>4421570</v>
      </c>
    </row>
    <row r="1410" spans="1:5" x14ac:dyDescent="0.25">
      <c r="A1410">
        <v>95555</v>
      </c>
      <c r="B1410" s="343">
        <v>41.362400000000001</v>
      </c>
      <c r="C1410" s="343">
        <v>-124.015</v>
      </c>
      <c r="D1410" s="342">
        <v>5078280</v>
      </c>
      <c r="E1410" s="342">
        <v>4410310</v>
      </c>
    </row>
    <row r="1411" spans="1:5" x14ac:dyDescent="0.25">
      <c r="A1411">
        <v>95556</v>
      </c>
      <c r="B1411" s="343">
        <v>41.283000000000001</v>
      </c>
      <c r="C1411" s="343">
        <v>-123.542</v>
      </c>
      <c r="D1411" s="342">
        <v>5039680</v>
      </c>
      <c r="E1411" s="342">
        <v>4539180</v>
      </c>
    </row>
    <row r="1412" spans="1:5" x14ac:dyDescent="0.25">
      <c r="A1412">
        <v>95558</v>
      </c>
      <c r="B1412" s="343">
        <v>40.288400000000003</v>
      </c>
      <c r="C1412" s="343">
        <v>-124.22199999999999</v>
      </c>
      <c r="D1412" s="342">
        <v>4689020</v>
      </c>
      <c r="E1412" s="342">
        <v>4323020</v>
      </c>
    </row>
    <row r="1413" spans="1:5" x14ac:dyDescent="0.25">
      <c r="A1413">
        <v>95560</v>
      </c>
      <c r="B1413" s="343">
        <v>40.138399999999997</v>
      </c>
      <c r="C1413" s="343">
        <v>-123.86799999999999</v>
      </c>
      <c r="D1413" s="342">
        <v>4626690</v>
      </c>
      <c r="E1413" s="342">
        <v>4418320</v>
      </c>
    </row>
    <row r="1414" spans="1:5" x14ac:dyDescent="0.25">
      <c r="A1414">
        <v>95562</v>
      </c>
      <c r="B1414" s="343">
        <v>40.478299999999997</v>
      </c>
      <c r="C1414" s="343">
        <v>-124.142</v>
      </c>
      <c r="D1414" s="342">
        <v>4756850</v>
      </c>
      <c r="E1414" s="342">
        <v>4350650</v>
      </c>
    </row>
    <row r="1415" spans="1:5" x14ac:dyDescent="0.25">
      <c r="A1415">
        <v>95563</v>
      </c>
      <c r="B1415" s="343">
        <v>40.831000000000003</v>
      </c>
      <c r="C1415" s="343">
        <v>-123.605</v>
      </c>
      <c r="D1415" s="342">
        <v>4875100</v>
      </c>
      <c r="E1415" s="342">
        <v>4509940</v>
      </c>
    </row>
    <row r="1416" spans="1:5" x14ac:dyDescent="0.25">
      <c r="A1416">
        <v>95564</v>
      </c>
      <c r="B1416" s="343">
        <v>40.792200000000001</v>
      </c>
      <c r="C1416" s="343">
        <v>-124.20399999999999</v>
      </c>
      <c r="D1416" s="342">
        <v>4873140</v>
      </c>
      <c r="E1416" s="342">
        <v>4342140</v>
      </c>
    </row>
    <row r="1417" spans="1:5" x14ac:dyDescent="0.25">
      <c r="A1417">
        <v>95565</v>
      </c>
      <c r="B1417" s="343">
        <v>40.445399999999999</v>
      </c>
      <c r="C1417" s="343">
        <v>-124.03</v>
      </c>
      <c r="D1417" s="342">
        <v>4742430</v>
      </c>
      <c r="E1417" s="342">
        <v>4381030</v>
      </c>
    </row>
    <row r="1418" spans="1:5" x14ac:dyDescent="0.25">
      <c r="A1418">
        <v>95567</v>
      </c>
      <c r="B1418" s="343">
        <v>41.952199999999998</v>
      </c>
      <c r="C1418" s="343">
        <v>-124.136</v>
      </c>
      <c r="D1418" s="342">
        <v>5297450</v>
      </c>
      <c r="E1418" s="342">
        <v>4393390</v>
      </c>
    </row>
    <row r="1419" spans="1:5" x14ac:dyDescent="0.25">
      <c r="A1419">
        <v>95568</v>
      </c>
      <c r="B1419" s="343">
        <v>41.595799999999997</v>
      </c>
      <c r="C1419" s="343">
        <v>-123.363</v>
      </c>
      <c r="D1419" s="342">
        <v>5151090</v>
      </c>
      <c r="E1419" s="342">
        <v>4596790</v>
      </c>
    </row>
    <row r="1420" spans="1:5" x14ac:dyDescent="0.25">
      <c r="A1420">
        <v>95569</v>
      </c>
      <c r="B1420" s="343">
        <v>40.348599999999998</v>
      </c>
      <c r="C1420" s="343">
        <v>-123.88</v>
      </c>
      <c r="D1420" s="342">
        <v>4703880</v>
      </c>
      <c r="E1420" s="342">
        <v>4420430</v>
      </c>
    </row>
    <row r="1421" spans="1:5" x14ac:dyDescent="0.25">
      <c r="A1421">
        <v>95570</v>
      </c>
      <c r="B1421" s="343">
        <v>41.1327</v>
      </c>
      <c r="C1421" s="343">
        <v>-124.054</v>
      </c>
      <c r="D1421" s="342">
        <v>4994820</v>
      </c>
      <c r="E1421" s="342">
        <v>4393200</v>
      </c>
    </row>
    <row r="1422" spans="1:5" x14ac:dyDescent="0.25">
      <c r="A1422">
        <v>95573</v>
      </c>
      <c r="B1422" s="343">
        <v>40.960700000000003</v>
      </c>
      <c r="C1422" s="343">
        <v>-123.651</v>
      </c>
      <c r="D1422" s="342">
        <v>4923570</v>
      </c>
      <c r="E1422" s="342">
        <v>4500560</v>
      </c>
    </row>
    <row r="1423" spans="1:5" x14ac:dyDescent="0.25">
      <c r="A1423">
        <v>95585</v>
      </c>
      <c r="B1423" s="343">
        <v>39.829099999999997</v>
      </c>
      <c r="C1423" s="343">
        <v>-123.69</v>
      </c>
      <c r="D1423" s="342">
        <v>4509910</v>
      </c>
      <c r="E1423" s="342">
        <v>4460140</v>
      </c>
    </row>
    <row r="1424" spans="1:5" x14ac:dyDescent="0.25">
      <c r="A1424">
        <v>95587</v>
      </c>
      <c r="B1424" s="343">
        <v>39.942</v>
      </c>
      <c r="C1424" s="343">
        <v>-123.723</v>
      </c>
      <c r="D1424" s="342">
        <v>4551900</v>
      </c>
      <c r="E1424" s="342">
        <v>4453760</v>
      </c>
    </row>
    <row r="1425" spans="1:5" x14ac:dyDescent="0.25">
      <c r="A1425">
        <v>95589</v>
      </c>
      <c r="B1425" s="343">
        <v>40.039000000000001</v>
      </c>
      <c r="C1425" s="343">
        <v>-123.995</v>
      </c>
      <c r="D1425" s="342">
        <v>4592920</v>
      </c>
      <c r="E1425" s="342">
        <v>4379980</v>
      </c>
    </row>
    <row r="1426" spans="1:5" x14ac:dyDescent="0.25">
      <c r="A1426">
        <v>95595</v>
      </c>
      <c r="B1426" s="343">
        <v>40.171100000000003</v>
      </c>
      <c r="C1426" s="343">
        <v>-123.401</v>
      </c>
      <c r="D1426" s="342">
        <v>4629330</v>
      </c>
      <c r="E1426" s="342">
        <v>4550260</v>
      </c>
    </row>
    <row r="1427" spans="1:5" x14ac:dyDescent="0.25">
      <c r="A1427">
        <v>95602</v>
      </c>
      <c r="B1427" s="343">
        <v>38.990600000000001</v>
      </c>
      <c r="C1427" s="343">
        <v>-121.114</v>
      </c>
      <c r="D1427" s="342">
        <v>4160150</v>
      </c>
      <c r="E1427" s="342">
        <v>5172690</v>
      </c>
    </row>
    <row r="1428" spans="1:5" x14ac:dyDescent="0.25">
      <c r="A1428">
        <v>95603</v>
      </c>
      <c r="B1428" s="343">
        <v>38.916699999999999</v>
      </c>
      <c r="C1428" s="343">
        <v>-121.078</v>
      </c>
      <c r="D1428" s="342">
        <v>4132640</v>
      </c>
      <c r="E1428" s="342">
        <v>5181680</v>
      </c>
    </row>
    <row r="1429" spans="1:5" x14ac:dyDescent="0.25">
      <c r="A1429">
        <v>95605</v>
      </c>
      <c r="B1429" s="343">
        <v>38.5929</v>
      </c>
      <c r="C1429" s="343">
        <v>-121.54</v>
      </c>
      <c r="D1429" s="342">
        <v>4020750</v>
      </c>
      <c r="E1429" s="342">
        <v>5043900</v>
      </c>
    </row>
    <row r="1430" spans="1:5" x14ac:dyDescent="0.25">
      <c r="A1430">
        <v>95606</v>
      </c>
      <c r="B1430" s="343">
        <v>38.807099999999998</v>
      </c>
      <c r="C1430" s="343">
        <v>-122.236</v>
      </c>
      <c r="D1430" s="342">
        <v>4109760</v>
      </c>
      <c r="E1430" s="342">
        <v>4848980</v>
      </c>
    </row>
    <row r="1431" spans="1:5" x14ac:dyDescent="0.25">
      <c r="A1431">
        <v>95607</v>
      </c>
      <c r="B1431" s="343">
        <v>38.701500000000003</v>
      </c>
      <c r="C1431" s="343">
        <v>-122.113</v>
      </c>
      <c r="D1431" s="342">
        <v>4069190</v>
      </c>
      <c r="E1431" s="342">
        <v>4881960</v>
      </c>
    </row>
    <row r="1432" spans="1:5" x14ac:dyDescent="0.25">
      <c r="A1432">
        <v>95608</v>
      </c>
      <c r="B1432" s="343">
        <v>38.625799999999998</v>
      </c>
      <c r="C1432" s="343">
        <v>-121.328</v>
      </c>
      <c r="D1432" s="342">
        <v>4029720</v>
      </c>
      <c r="E1432" s="342">
        <v>5105180</v>
      </c>
    </row>
    <row r="1433" spans="1:5" x14ac:dyDescent="0.25">
      <c r="A1433">
        <v>95610</v>
      </c>
      <c r="B1433" s="343">
        <v>38.694899999999997</v>
      </c>
      <c r="C1433" s="343">
        <v>-121.27200000000001</v>
      </c>
      <c r="D1433" s="342">
        <v>4054190</v>
      </c>
      <c r="E1433" s="342">
        <v>5122600</v>
      </c>
    </row>
    <row r="1434" spans="1:5" x14ac:dyDescent="0.25">
      <c r="A1434">
        <v>95612</v>
      </c>
      <c r="B1434" s="343">
        <v>38.3994</v>
      </c>
      <c r="C1434" s="343">
        <v>-121.57299999999999</v>
      </c>
      <c r="D1434" s="342">
        <v>3950560</v>
      </c>
      <c r="E1434" s="342">
        <v>5030700</v>
      </c>
    </row>
    <row r="1435" spans="1:5" x14ac:dyDescent="0.25">
      <c r="A1435">
        <v>95614</v>
      </c>
      <c r="B1435" s="343">
        <v>38.887500000000003</v>
      </c>
      <c r="C1435" s="343">
        <v>-120.986</v>
      </c>
      <c r="D1435" s="342">
        <v>4120780</v>
      </c>
      <c r="E1435" s="342">
        <v>5207480</v>
      </c>
    </row>
    <row r="1436" spans="1:5" x14ac:dyDescent="0.25">
      <c r="A1436">
        <v>95615</v>
      </c>
      <c r="B1436" s="343">
        <v>38.310600000000001</v>
      </c>
      <c r="C1436" s="343">
        <v>-121.55200000000001</v>
      </c>
      <c r="D1436" s="342">
        <v>3917810</v>
      </c>
      <c r="E1436" s="342">
        <v>5035240</v>
      </c>
    </row>
    <row r="1437" spans="1:5" x14ac:dyDescent="0.25">
      <c r="A1437">
        <v>95616</v>
      </c>
      <c r="B1437" s="343">
        <v>38.558300000000003</v>
      </c>
      <c r="C1437" s="343">
        <v>-121.804</v>
      </c>
      <c r="D1437" s="342">
        <v>4012040</v>
      </c>
      <c r="E1437" s="342">
        <v>4967640</v>
      </c>
    </row>
    <row r="1438" spans="1:5" x14ac:dyDescent="0.25">
      <c r="A1438">
        <v>95618</v>
      </c>
      <c r="B1438" s="343">
        <v>38.545400000000001</v>
      </c>
      <c r="C1438" s="343">
        <v>-121.669</v>
      </c>
      <c r="D1438" s="342">
        <v>4005290</v>
      </c>
      <c r="E1438" s="342">
        <v>5006080</v>
      </c>
    </row>
    <row r="1439" spans="1:5" x14ac:dyDescent="0.25">
      <c r="A1439">
        <v>95619</v>
      </c>
      <c r="B1439" s="343">
        <v>38.681800000000003</v>
      </c>
      <c r="C1439" s="343">
        <v>-120.813</v>
      </c>
      <c r="D1439" s="342">
        <v>4043350</v>
      </c>
      <c r="E1439" s="342">
        <v>5253700</v>
      </c>
    </row>
    <row r="1440" spans="1:5" x14ac:dyDescent="0.25">
      <c r="A1440">
        <v>95620</v>
      </c>
      <c r="B1440" s="343">
        <v>38.412799999999997</v>
      </c>
      <c r="C1440" s="343">
        <v>-121.758</v>
      </c>
      <c r="D1440" s="342">
        <v>3958210</v>
      </c>
      <c r="E1440" s="342">
        <v>4977760</v>
      </c>
    </row>
    <row r="1441" spans="1:5" x14ac:dyDescent="0.25">
      <c r="A1441">
        <v>95621</v>
      </c>
      <c r="B1441" s="343">
        <v>38.694800000000001</v>
      </c>
      <c r="C1441" s="343">
        <v>-121.30800000000001</v>
      </c>
      <c r="D1441" s="342">
        <v>4054670</v>
      </c>
      <c r="E1441" s="342">
        <v>5112220</v>
      </c>
    </row>
    <row r="1442" spans="1:5" x14ac:dyDescent="0.25">
      <c r="A1442">
        <v>95623</v>
      </c>
      <c r="B1442" s="343">
        <v>38.602499999999999</v>
      </c>
      <c r="C1442" s="343">
        <v>-120.854</v>
      </c>
      <c r="D1442" s="342">
        <v>4014890</v>
      </c>
      <c r="E1442" s="342">
        <v>5240640</v>
      </c>
    </row>
    <row r="1443" spans="1:5" x14ac:dyDescent="0.25">
      <c r="A1443">
        <v>95624</v>
      </c>
      <c r="B1443" s="343">
        <v>38.437800000000003</v>
      </c>
      <c r="C1443" s="343">
        <v>-121.3</v>
      </c>
      <c r="D1443" s="342">
        <v>3960660</v>
      </c>
      <c r="E1443" s="342">
        <v>5109950</v>
      </c>
    </row>
    <row r="1444" spans="1:5" x14ac:dyDescent="0.25">
      <c r="A1444">
        <v>95626</v>
      </c>
      <c r="B1444" s="343">
        <v>38.732100000000003</v>
      </c>
      <c r="C1444" s="343">
        <v>-121.458</v>
      </c>
      <c r="D1444" s="342">
        <v>4070400</v>
      </c>
      <c r="E1444" s="342">
        <v>5069770</v>
      </c>
    </row>
    <row r="1445" spans="1:5" x14ac:dyDescent="0.25">
      <c r="A1445">
        <v>95627</v>
      </c>
      <c r="B1445" s="343">
        <v>38.724699999999999</v>
      </c>
      <c r="C1445" s="343">
        <v>-122.009</v>
      </c>
      <c r="D1445" s="342">
        <v>4076010</v>
      </c>
      <c r="E1445" s="342">
        <v>4912010</v>
      </c>
    </row>
    <row r="1446" spans="1:5" x14ac:dyDescent="0.25">
      <c r="A1446">
        <v>95628</v>
      </c>
      <c r="B1446" s="343">
        <v>38.652200000000001</v>
      </c>
      <c r="C1446" s="343">
        <v>-121.255</v>
      </c>
      <c r="D1446" s="342">
        <v>4038350</v>
      </c>
      <c r="E1446" s="342">
        <v>5126750</v>
      </c>
    </row>
    <row r="1447" spans="1:5" x14ac:dyDescent="0.25">
      <c r="A1447">
        <v>95629</v>
      </c>
      <c r="B1447" s="343">
        <v>38.517800000000001</v>
      </c>
      <c r="C1447" s="343">
        <v>-120.67700000000001</v>
      </c>
      <c r="D1447" s="342">
        <v>3981770</v>
      </c>
      <c r="E1447" s="342">
        <v>5290250</v>
      </c>
    </row>
    <row r="1448" spans="1:5" x14ac:dyDescent="0.25">
      <c r="A1448">
        <v>95630</v>
      </c>
      <c r="B1448" s="343">
        <v>38.666899999999998</v>
      </c>
      <c r="C1448" s="343">
        <v>-121.142</v>
      </c>
      <c r="D1448" s="342">
        <v>4042200</v>
      </c>
      <c r="E1448" s="342">
        <v>5159210</v>
      </c>
    </row>
    <row r="1449" spans="1:5" x14ac:dyDescent="0.25">
      <c r="A1449">
        <v>95631</v>
      </c>
      <c r="B1449" s="343">
        <v>39.078499999999998</v>
      </c>
      <c r="C1449" s="343">
        <v>-120.60299999999999</v>
      </c>
      <c r="D1449" s="342">
        <v>4185850</v>
      </c>
      <c r="E1449" s="342">
        <v>5319830</v>
      </c>
    </row>
    <row r="1450" spans="1:5" x14ac:dyDescent="0.25">
      <c r="A1450">
        <v>95632</v>
      </c>
      <c r="B1450" s="343">
        <v>38.271299999999997</v>
      </c>
      <c r="C1450" s="343">
        <v>-121.247</v>
      </c>
      <c r="D1450" s="342">
        <v>3899130</v>
      </c>
      <c r="E1450" s="342">
        <v>5122360</v>
      </c>
    </row>
    <row r="1451" spans="1:5" x14ac:dyDescent="0.25">
      <c r="A1451">
        <v>95633</v>
      </c>
      <c r="B1451" s="343">
        <v>38.846800000000002</v>
      </c>
      <c r="C1451" s="343">
        <v>-120.831</v>
      </c>
      <c r="D1451" s="342">
        <v>4103880</v>
      </c>
      <c r="E1451" s="342">
        <v>5251300</v>
      </c>
    </row>
    <row r="1452" spans="1:5" x14ac:dyDescent="0.25">
      <c r="A1452">
        <v>95634</v>
      </c>
      <c r="B1452" s="343">
        <v>38.920900000000003</v>
      </c>
      <c r="C1452" s="343">
        <v>-120.712</v>
      </c>
      <c r="D1452" s="342">
        <v>4129530</v>
      </c>
      <c r="E1452" s="342">
        <v>5286400</v>
      </c>
    </row>
    <row r="1453" spans="1:5" x14ac:dyDescent="0.25">
      <c r="A1453">
        <v>95635</v>
      </c>
      <c r="B1453" s="343">
        <v>38.912100000000002</v>
      </c>
      <c r="C1453" s="343">
        <v>-120.913</v>
      </c>
      <c r="D1453" s="342">
        <v>4128810</v>
      </c>
      <c r="E1453" s="342">
        <v>5228970</v>
      </c>
    </row>
    <row r="1454" spans="1:5" x14ac:dyDescent="0.25">
      <c r="A1454">
        <v>95636</v>
      </c>
      <c r="B1454" s="343">
        <v>38.663800000000002</v>
      </c>
      <c r="C1454" s="343">
        <v>-120.492</v>
      </c>
      <c r="D1454" s="342">
        <v>4032890</v>
      </c>
      <c r="E1454" s="342">
        <v>5345360</v>
      </c>
    </row>
    <row r="1455" spans="1:5" x14ac:dyDescent="0.25">
      <c r="A1455">
        <v>95637</v>
      </c>
      <c r="B1455" s="343">
        <v>38.844799999999999</v>
      </c>
      <c r="C1455" s="343">
        <v>-122.205</v>
      </c>
      <c r="D1455" s="342">
        <v>4123030</v>
      </c>
      <c r="E1455" s="342">
        <v>4858440</v>
      </c>
    </row>
    <row r="1456" spans="1:5" x14ac:dyDescent="0.25">
      <c r="A1456">
        <v>95638</v>
      </c>
      <c r="B1456" s="343">
        <v>38.340499999999999</v>
      </c>
      <c r="C1456" s="343">
        <v>-121.11499999999999</v>
      </c>
      <c r="D1456" s="342">
        <v>3922610</v>
      </c>
      <c r="E1456" s="342">
        <v>5161430</v>
      </c>
    </row>
    <row r="1457" spans="1:5" x14ac:dyDescent="0.25">
      <c r="A1457">
        <v>95640</v>
      </c>
      <c r="B1457" s="343">
        <v>38.334899999999998</v>
      </c>
      <c r="C1457" s="343">
        <v>-120.94199999999999</v>
      </c>
      <c r="D1457" s="342">
        <v>3918260</v>
      </c>
      <c r="E1457" s="342">
        <v>5211170</v>
      </c>
    </row>
    <row r="1458" spans="1:5" x14ac:dyDescent="0.25">
      <c r="A1458">
        <v>95641</v>
      </c>
      <c r="B1458" s="343">
        <v>38.153399999999998</v>
      </c>
      <c r="C1458" s="343">
        <v>-121.601</v>
      </c>
      <c r="D1458" s="342">
        <v>3861160</v>
      </c>
      <c r="E1458" s="342">
        <v>5018150</v>
      </c>
    </row>
    <row r="1459" spans="1:5" x14ac:dyDescent="0.25">
      <c r="A1459">
        <v>95642</v>
      </c>
      <c r="B1459" s="343">
        <v>38.340400000000002</v>
      </c>
      <c r="C1459" s="343">
        <v>-120.761</v>
      </c>
      <c r="D1459" s="342">
        <v>3917990</v>
      </c>
      <c r="E1459" s="342">
        <v>5263200</v>
      </c>
    </row>
    <row r="1460" spans="1:5" x14ac:dyDescent="0.25">
      <c r="A1460">
        <v>95645</v>
      </c>
      <c r="B1460" s="343">
        <v>38.879800000000003</v>
      </c>
      <c r="C1460" s="343">
        <v>-121.76300000000001</v>
      </c>
      <c r="D1460" s="342">
        <v>4128870</v>
      </c>
      <c r="E1460" s="342">
        <v>4985560</v>
      </c>
    </row>
    <row r="1461" spans="1:5" x14ac:dyDescent="0.25">
      <c r="A1461">
        <v>95648</v>
      </c>
      <c r="B1461" s="343">
        <v>38.920900000000003</v>
      </c>
      <c r="C1461" s="343">
        <v>-121.313</v>
      </c>
      <c r="D1461" s="342">
        <v>4137360</v>
      </c>
      <c r="E1461" s="342">
        <v>5114760</v>
      </c>
    </row>
    <row r="1462" spans="1:5" x14ac:dyDescent="0.25">
      <c r="A1462">
        <v>95650</v>
      </c>
      <c r="B1462" s="343">
        <v>38.812199999999997</v>
      </c>
      <c r="C1462" s="343">
        <v>-121.169</v>
      </c>
      <c r="D1462" s="342">
        <v>4095640</v>
      </c>
      <c r="E1462" s="342">
        <v>5154040</v>
      </c>
    </row>
    <row r="1463" spans="1:5" x14ac:dyDescent="0.25">
      <c r="A1463">
        <v>95651</v>
      </c>
      <c r="B1463" s="343">
        <v>38.834400000000002</v>
      </c>
      <c r="C1463" s="343">
        <v>-120.925</v>
      </c>
      <c r="D1463" s="342">
        <v>4100560</v>
      </c>
      <c r="E1463" s="342">
        <v>5224140</v>
      </c>
    </row>
    <row r="1464" spans="1:5" x14ac:dyDescent="0.25">
      <c r="A1464">
        <v>95652</v>
      </c>
      <c r="B1464" s="343">
        <v>38.662500000000001</v>
      </c>
      <c r="C1464" s="343">
        <v>-121.402</v>
      </c>
      <c r="D1464" s="342">
        <v>4044180</v>
      </c>
      <c r="E1464" s="342">
        <v>5084640</v>
      </c>
    </row>
    <row r="1465" spans="1:5" x14ac:dyDescent="0.25">
      <c r="A1465">
        <v>95653</v>
      </c>
      <c r="B1465" s="343">
        <v>38.686199999999999</v>
      </c>
      <c r="C1465" s="343">
        <v>-121.979</v>
      </c>
      <c r="D1465" s="342">
        <v>4061460</v>
      </c>
      <c r="E1465" s="342">
        <v>4920010</v>
      </c>
    </row>
    <row r="1466" spans="1:5" x14ac:dyDescent="0.25">
      <c r="A1466">
        <v>95655</v>
      </c>
      <c r="B1466" s="343">
        <v>38.552799999999998</v>
      </c>
      <c r="C1466" s="343">
        <v>-121.288</v>
      </c>
      <c r="D1466" s="342">
        <v>4002510</v>
      </c>
      <c r="E1466" s="342">
        <v>5115500</v>
      </c>
    </row>
    <row r="1467" spans="1:5" x14ac:dyDescent="0.25">
      <c r="A1467">
        <v>95658</v>
      </c>
      <c r="B1467" s="343">
        <v>38.878999999999998</v>
      </c>
      <c r="C1467" s="343">
        <v>-121.152</v>
      </c>
      <c r="D1467" s="342">
        <v>4119850</v>
      </c>
      <c r="E1467" s="342">
        <v>5159890</v>
      </c>
    </row>
    <row r="1468" spans="1:5" x14ac:dyDescent="0.25">
      <c r="A1468">
        <v>95659</v>
      </c>
      <c r="B1468" s="343">
        <v>38.854700000000001</v>
      </c>
      <c r="C1468" s="343">
        <v>-121.57</v>
      </c>
      <c r="D1468" s="342">
        <v>4116810</v>
      </c>
      <c r="E1468" s="342">
        <v>5040180</v>
      </c>
    </row>
    <row r="1469" spans="1:5" x14ac:dyDescent="0.25">
      <c r="A1469">
        <v>95660</v>
      </c>
      <c r="B1469" s="343">
        <v>38.677700000000002</v>
      </c>
      <c r="C1469" s="343">
        <v>-121.38</v>
      </c>
      <c r="D1469" s="342">
        <v>4049430</v>
      </c>
      <c r="E1469" s="342">
        <v>5091200</v>
      </c>
    </row>
    <row r="1470" spans="1:5" x14ac:dyDescent="0.25">
      <c r="A1470">
        <v>95661</v>
      </c>
      <c r="B1470" s="343">
        <v>38.741199999999999</v>
      </c>
      <c r="C1470" s="343">
        <v>-121.249</v>
      </c>
      <c r="D1470" s="342">
        <v>4070790</v>
      </c>
      <c r="E1470" s="342">
        <v>5129810</v>
      </c>
    </row>
    <row r="1471" spans="1:5" x14ac:dyDescent="0.25">
      <c r="A1471">
        <v>95662</v>
      </c>
      <c r="B1471" s="343">
        <v>38.689100000000003</v>
      </c>
      <c r="C1471" s="343">
        <v>-121.22</v>
      </c>
      <c r="D1471" s="342">
        <v>4051360</v>
      </c>
      <c r="E1471" s="342">
        <v>5137370</v>
      </c>
    </row>
    <row r="1472" spans="1:5" x14ac:dyDescent="0.25">
      <c r="A1472">
        <v>95663</v>
      </c>
      <c r="B1472" s="343">
        <v>38.856099999999998</v>
      </c>
      <c r="C1472" s="343">
        <v>-121.184</v>
      </c>
      <c r="D1472" s="342">
        <v>4111880</v>
      </c>
      <c r="E1472" s="342">
        <v>5150600</v>
      </c>
    </row>
    <row r="1473" spans="1:5" x14ac:dyDescent="0.25">
      <c r="A1473">
        <v>95664</v>
      </c>
      <c r="B1473" s="343">
        <v>38.799100000000003</v>
      </c>
      <c r="C1473" s="343">
        <v>-121.05</v>
      </c>
      <c r="D1473" s="342">
        <v>4089300</v>
      </c>
      <c r="E1473" s="342">
        <v>5187670</v>
      </c>
    </row>
    <row r="1474" spans="1:5" x14ac:dyDescent="0.25">
      <c r="A1474">
        <v>95665</v>
      </c>
      <c r="B1474" s="343">
        <v>38.399900000000002</v>
      </c>
      <c r="C1474" s="343">
        <v>-120.652</v>
      </c>
      <c r="D1474" s="342">
        <v>3938370</v>
      </c>
      <c r="E1474" s="342">
        <v>5295400</v>
      </c>
    </row>
    <row r="1475" spans="1:5" x14ac:dyDescent="0.25">
      <c r="A1475">
        <v>95666</v>
      </c>
      <c r="B1475" s="343">
        <v>38.554200000000002</v>
      </c>
      <c r="C1475" s="343">
        <v>-120.27200000000001</v>
      </c>
      <c r="D1475" s="342">
        <v>3990360</v>
      </c>
      <c r="E1475" s="342">
        <v>5406950</v>
      </c>
    </row>
    <row r="1476" spans="1:5" x14ac:dyDescent="0.25">
      <c r="A1476">
        <v>95667</v>
      </c>
      <c r="B1476" s="343">
        <v>38.733199999999997</v>
      </c>
      <c r="C1476" s="343">
        <v>-120.788</v>
      </c>
      <c r="D1476" s="342">
        <v>4061850</v>
      </c>
      <c r="E1476" s="342">
        <v>5261690</v>
      </c>
    </row>
    <row r="1477" spans="1:5" x14ac:dyDescent="0.25">
      <c r="A1477">
        <v>95668</v>
      </c>
      <c r="B1477" s="343">
        <v>38.819600000000001</v>
      </c>
      <c r="C1477" s="343">
        <v>-121.49</v>
      </c>
      <c r="D1477" s="342">
        <v>4102850</v>
      </c>
      <c r="E1477" s="342">
        <v>5062370</v>
      </c>
    </row>
    <row r="1478" spans="1:5" x14ac:dyDescent="0.25">
      <c r="A1478">
        <v>95669</v>
      </c>
      <c r="B1478" s="343">
        <v>38.489400000000003</v>
      </c>
      <c r="C1478" s="343">
        <v>-120.889</v>
      </c>
      <c r="D1478" s="342">
        <v>3974020</v>
      </c>
      <c r="E1478" s="342">
        <v>5228810</v>
      </c>
    </row>
    <row r="1479" spans="1:5" x14ac:dyDescent="0.25">
      <c r="A1479">
        <v>95670</v>
      </c>
      <c r="B1479" s="343">
        <v>38.6053</v>
      </c>
      <c r="C1479" s="343">
        <v>-121.28</v>
      </c>
      <c r="D1479" s="342">
        <v>4021590</v>
      </c>
      <c r="E1479" s="342">
        <v>5118520</v>
      </c>
    </row>
    <row r="1480" spans="1:5" x14ac:dyDescent="0.25">
      <c r="A1480">
        <v>95672</v>
      </c>
      <c r="B1480" s="343">
        <v>38.724499999999999</v>
      </c>
      <c r="C1480" s="343">
        <v>-120.996</v>
      </c>
      <c r="D1480" s="342">
        <v>4061300</v>
      </c>
      <c r="E1480" s="342">
        <v>5202100</v>
      </c>
    </row>
    <row r="1481" spans="1:5" x14ac:dyDescent="0.25">
      <c r="A1481">
        <v>95673</v>
      </c>
      <c r="B1481" s="343">
        <v>38.689599999999999</v>
      </c>
      <c r="C1481" s="343">
        <v>-121.456</v>
      </c>
      <c r="D1481" s="342">
        <v>4054850</v>
      </c>
      <c r="E1481" s="342">
        <v>5069750</v>
      </c>
    </row>
    <row r="1482" spans="1:5" x14ac:dyDescent="0.25">
      <c r="A1482">
        <v>95674</v>
      </c>
      <c r="B1482" s="343">
        <v>38.956499999999998</v>
      </c>
      <c r="C1482" s="343">
        <v>-121.48</v>
      </c>
      <c r="D1482" s="342">
        <v>4152740</v>
      </c>
      <c r="E1482" s="342">
        <v>5067640</v>
      </c>
    </row>
    <row r="1483" spans="1:5" x14ac:dyDescent="0.25">
      <c r="A1483">
        <v>95677</v>
      </c>
      <c r="B1483" s="343">
        <v>38.791600000000003</v>
      </c>
      <c r="C1483" s="343">
        <v>-121.23099999999999</v>
      </c>
      <c r="D1483" s="342">
        <v>4088980</v>
      </c>
      <c r="E1483" s="342">
        <v>5135790</v>
      </c>
    </row>
    <row r="1484" spans="1:5" x14ac:dyDescent="0.25">
      <c r="A1484">
        <v>95678</v>
      </c>
      <c r="B1484" s="343">
        <v>38.7652</v>
      </c>
      <c r="C1484" s="343">
        <v>-121.288</v>
      </c>
      <c r="D1484" s="342">
        <v>4080100</v>
      </c>
      <c r="E1484" s="342">
        <v>5119020</v>
      </c>
    </row>
    <row r="1485" spans="1:5" x14ac:dyDescent="0.25">
      <c r="A1485">
        <v>95679</v>
      </c>
      <c r="B1485" s="343">
        <v>38.896000000000001</v>
      </c>
      <c r="C1485" s="343">
        <v>-122.351</v>
      </c>
      <c r="D1485" s="342">
        <v>4144160</v>
      </c>
      <c r="E1485" s="342">
        <v>4817900</v>
      </c>
    </row>
    <row r="1486" spans="1:5" x14ac:dyDescent="0.25">
      <c r="A1486">
        <v>95681</v>
      </c>
      <c r="B1486" s="343">
        <v>39.004399999999997</v>
      </c>
      <c r="C1486" s="343">
        <v>-121.354</v>
      </c>
      <c r="D1486" s="342">
        <v>4168440</v>
      </c>
      <c r="E1486" s="342">
        <v>5104580</v>
      </c>
    </row>
    <row r="1487" spans="1:5" x14ac:dyDescent="0.25">
      <c r="A1487">
        <v>95682</v>
      </c>
      <c r="B1487" s="343">
        <v>38.607199999999999</v>
      </c>
      <c r="C1487" s="343">
        <v>-120.965</v>
      </c>
      <c r="D1487" s="342">
        <v>4018010</v>
      </c>
      <c r="E1487" s="342">
        <v>5209080</v>
      </c>
    </row>
    <row r="1488" spans="1:5" x14ac:dyDescent="0.25">
      <c r="A1488">
        <v>95683</v>
      </c>
      <c r="B1488" s="343">
        <v>38.509099999999997</v>
      </c>
      <c r="C1488" s="343">
        <v>-121.105</v>
      </c>
      <c r="D1488" s="342">
        <v>3984040</v>
      </c>
      <c r="E1488" s="342">
        <v>5167090</v>
      </c>
    </row>
    <row r="1489" spans="1:5" x14ac:dyDescent="0.25">
      <c r="A1489">
        <v>95684</v>
      </c>
      <c r="B1489" s="343">
        <v>38.5931</v>
      </c>
      <c r="C1489" s="343">
        <v>-120.52</v>
      </c>
      <c r="D1489" s="342">
        <v>4007420</v>
      </c>
      <c r="E1489" s="342">
        <v>5336210</v>
      </c>
    </row>
    <row r="1490" spans="1:5" x14ac:dyDescent="0.25">
      <c r="A1490">
        <v>95685</v>
      </c>
      <c r="B1490" s="343">
        <v>38.4238</v>
      </c>
      <c r="C1490" s="343">
        <v>-120.776</v>
      </c>
      <c r="D1490" s="342">
        <v>3948650</v>
      </c>
      <c r="E1490" s="342">
        <v>5260350</v>
      </c>
    </row>
    <row r="1491" spans="1:5" x14ac:dyDescent="0.25">
      <c r="A1491">
        <v>95687</v>
      </c>
      <c r="B1491" s="343">
        <v>38.332599999999999</v>
      </c>
      <c r="C1491" s="343">
        <v>-121.914</v>
      </c>
      <c r="D1491" s="342">
        <v>3931350</v>
      </c>
      <c r="E1491" s="342">
        <v>4931350</v>
      </c>
    </row>
    <row r="1492" spans="1:5" x14ac:dyDescent="0.25">
      <c r="A1492">
        <v>95688</v>
      </c>
      <c r="B1492" s="343">
        <v>38.4176</v>
      </c>
      <c r="C1492" s="343">
        <v>-122.026</v>
      </c>
      <c r="D1492" s="342">
        <v>3964120</v>
      </c>
      <c r="E1492" s="342">
        <v>4901130</v>
      </c>
    </row>
    <row r="1493" spans="1:5" x14ac:dyDescent="0.25">
      <c r="A1493">
        <v>95689</v>
      </c>
      <c r="B1493" s="343">
        <v>38.476399999999998</v>
      </c>
      <c r="C1493" s="343">
        <v>-120.617</v>
      </c>
      <c r="D1493" s="342">
        <v>3965900</v>
      </c>
      <c r="E1493" s="342">
        <v>5306740</v>
      </c>
    </row>
    <row r="1494" spans="1:5" x14ac:dyDescent="0.25">
      <c r="A1494">
        <v>95690</v>
      </c>
      <c r="B1494" s="343">
        <v>38.236199999999997</v>
      </c>
      <c r="C1494" s="343">
        <v>-121.574</v>
      </c>
      <c r="D1494" s="342">
        <v>3891000</v>
      </c>
      <c r="E1494" s="342">
        <v>5027350</v>
      </c>
    </row>
    <row r="1495" spans="1:5" x14ac:dyDescent="0.25">
      <c r="A1495">
        <v>95691</v>
      </c>
      <c r="B1495" s="343">
        <v>38.617199999999997</v>
      </c>
      <c r="C1495" s="343">
        <v>-121.58199999999999</v>
      </c>
      <c r="D1495" s="342">
        <v>4030200</v>
      </c>
      <c r="E1495" s="342">
        <v>5032200</v>
      </c>
    </row>
    <row r="1496" spans="1:5" x14ac:dyDescent="0.25">
      <c r="A1496">
        <v>95692</v>
      </c>
      <c r="B1496" s="343">
        <v>39.047600000000003</v>
      </c>
      <c r="C1496" s="343">
        <v>-121.40300000000001</v>
      </c>
      <c r="D1496" s="342">
        <v>4184960</v>
      </c>
      <c r="E1496" s="342">
        <v>5091390</v>
      </c>
    </row>
    <row r="1497" spans="1:5" x14ac:dyDescent="0.25">
      <c r="A1497">
        <v>95693</v>
      </c>
      <c r="B1497" s="343">
        <v>38.3904</v>
      </c>
      <c r="C1497" s="343">
        <v>-121.229</v>
      </c>
      <c r="D1497" s="342">
        <v>3942390</v>
      </c>
      <c r="E1497" s="342">
        <v>5129430</v>
      </c>
    </row>
    <row r="1498" spans="1:5" x14ac:dyDescent="0.25">
      <c r="A1498">
        <v>95694</v>
      </c>
      <c r="B1498" s="343">
        <v>38.5608</v>
      </c>
      <c r="C1498" s="343">
        <v>-122.003</v>
      </c>
      <c r="D1498" s="342">
        <v>4016040</v>
      </c>
      <c r="E1498" s="342">
        <v>4910460</v>
      </c>
    </row>
    <row r="1499" spans="1:5" x14ac:dyDescent="0.25">
      <c r="A1499">
        <v>95695</v>
      </c>
      <c r="B1499" s="343">
        <v>38.692100000000003</v>
      </c>
      <c r="C1499" s="343">
        <v>-121.85599999999999</v>
      </c>
      <c r="D1499" s="342">
        <v>4061680</v>
      </c>
      <c r="E1499" s="342">
        <v>4955350</v>
      </c>
    </row>
    <row r="1500" spans="1:5" x14ac:dyDescent="0.25">
      <c r="A1500">
        <v>95698</v>
      </c>
      <c r="B1500" s="343">
        <v>38.819499999999998</v>
      </c>
      <c r="C1500" s="343">
        <v>-121.923</v>
      </c>
      <c r="D1500" s="342">
        <v>4109290</v>
      </c>
      <c r="E1500" s="342">
        <v>4938480</v>
      </c>
    </row>
    <row r="1501" spans="1:5" x14ac:dyDescent="0.25">
      <c r="A1501">
        <v>95701</v>
      </c>
      <c r="B1501" s="343">
        <v>39.241300000000003</v>
      </c>
      <c r="C1501" s="343">
        <v>-120.745</v>
      </c>
      <c r="D1501" s="342">
        <v>4247100</v>
      </c>
      <c r="E1501" s="342">
        <v>5281990</v>
      </c>
    </row>
    <row r="1502" spans="1:5" x14ac:dyDescent="0.25">
      <c r="A1502">
        <v>95703</v>
      </c>
      <c r="B1502" s="343">
        <v>38.998800000000003</v>
      </c>
      <c r="C1502" s="343">
        <v>-120.989</v>
      </c>
      <c r="D1502" s="342">
        <v>4161480</v>
      </c>
      <c r="E1502" s="342">
        <v>5208570</v>
      </c>
    </row>
    <row r="1503" spans="1:5" x14ac:dyDescent="0.25">
      <c r="A1503">
        <v>95709</v>
      </c>
      <c r="B1503" s="343">
        <v>38.750300000000003</v>
      </c>
      <c r="C1503" s="343">
        <v>-120.68</v>
      </c>
      <c r="D1503" s="342">
        <v>4066750</v>
      </c>
      <c r="E1503" s="342">
        <v>5292870</v>
      </c>
    </row>
    <row r="1504" spans="1:5" x14ac:dyDescent="0.25">
      <c r="A1504">
        <v>95713</v>
      </c>
      <c r="B1504" s="343">
        <v>39.090499999999999</v>
      </c>
      <c r="C1504" s="343">
        <v>-120.925</v>
      </c>
      <c r="D1504" s="342">
        <v>4194180</v>
      </c>
      <c r="E1504" s="342">
        <v>5228440</v>
      </c>
    </row>
    <row r="1505" spans="1:5" x14ac:dyDescent="0.25">
      <c r="A1505">
        <v>95714</v>
      </c>
      <c r="B1505" s="343">
        <v>39.194899999999997</v>
      </c>
      <c r="C1505" s="343">
        <v>-120.831</v>
      </c>
      <c r="D1505" s="342">
        <v>4231210</v>
      </c>
      <c r="E1505" s="342">
        <v>5256840</v>
      </c>
    </row>
    <row r="1506" spans="1:5" x14ac:dyDescent="0.25">
      <c r="A1506">
        <v>95715</v>
      </c>
      <c r="B1506" s="343">
        <v>39.252699999999997</v>
      </c>
      <c r="C1506" s="343">
        <v>-120.631</v>
      </c>
      <c r="D1506" s="342">
        <v>4249900</v>
      </c>
      <c r="E1506" s="342">
        <v>5314530</v>
      </c>
    </row>
    <row r="1507" spans="1:5" x14ac:dyDescent="0.25">
      <c r="A1507">
        <v>95717</v>
      </c>
      <c r="B1507" s="343">
        <v>39.1631</v>
      </c>
      <c r="C1507" s="343">
        <v>-120.85</v>
      </c>
      <c r="D1507" s="342">
        <v>4219810</v>
      </c>
      <c r="E1507" s="342">
        <v>5250960</v>
      </c>
    </row>
    <row r="1508" spans="1:5" x14ac:dyDescent="0.25">
      <c r="A1508">
        <v>95720</v>
      </c>
      <c r="B1508" s="343">
        <v>38.787799999999997</v>
      </c>
      <c r="C1508" s="343">
        <v>-120.22499999999999</v>
      </c>
      <c r="D1508" s="342">
        <v>4075230</v>
      </c>
      <c r="E1508" s="342">
        <v>5423530</v>
      </c>
    </row>
    <row r="1509" spans="1:5" x14ac:dyDescent="0.25">
      <c r="A1509">
        <v>95721</v>
      </c>
      <c r="B1509" s="343">
        <v>38.816899999999997</v>
      </c>
      <c r="C1509" s="343">
        <v>-120.08499999999999</v>
      </c>
      <c r="D1509" s="342">
        <v>4084340</v>
      </c>
      <c r="E1509" s="342">
        <v>5464170</v>
      </c>
    </row>
    <row r="1510" spans="1:5" x14ac:dyDescent="0.25">
      <c r="A1510">
        <v>95722</v>
      </c>
      <c r="B1510" s="343">
        <v>39.003399999999999</v>
      </c>
      <c r="C1510" s="343">
        <v>-121.02800000000001</v>
      </c>
      <c r="D1510" s="342">
        <v>4163680</v>
      </c>
      <c r="E1510" s="342">
        <v>5197420</v>
      </c>
    </row>
    <row r="1511" spans="1:5" x14ac:dyDescent="0.25">
      <c r="A1511">
        <v>95724</v>
      </c>
      <c r="B1511" s="343">
        <v>39.252800000000001</v>
      </c>
      <c r="C1511" s="343">
        <v>-120.431</v>
      </c>
      <c r="D1511" s="342">
        <v>4247590</v>
      </c>
      <c r="E1511" s="342">
        <v>5371450</v>
      </c>
    </row>
    <row r="1512" spans="1:5" x14ac:dyDescent="0.25">
      <c r="A1512">
        <v>95726</v>
      </c>
      <c r="B1512" s="343">
        <v>38.789400000000001</v>
      </c>
      <c r="C1512" s="343">
        <v>-120.514</v>
      </c>
      <c r="D1512" s="342">
        <v>4079080</v>
      </c>
      <c r="E1512" s="342">
        <v>5340880</v>
      </c>
    </row>
    <row r="1513" spans="1:5" x14ac:dyDescent="0.25">
      <c r="A1513">
        <v>95728</v>
      </c>
      <c r="B1513" s="343">
        <v>39.402000000000001</v>
      </c>
      <c r="C1513" s="343">
        <v>-120.498</v>
      </c>
      <c r="D1513" s="342">
        <v>4302960</v>
      </c>
      <c r="E1513" s="342">
        <v>5354800</v>
      </c>
    </row>
    <row r="1514" spans="1:5" x14ac:dyDescent="0.25">
      <c r="A1514">
        <v>95735</v>
      </c>
      <c r="B1514" s="343">
        <v>38.784500000000001</v>
      </c>
      <c r="C1514" s="343">
        <v>-120.10599999999999</v>
      </c>
      <c r="D1514" s="342">
        <v>4072730</v>
      </c>
      <c r="E1514" s="342">
        <v>5457760</v>
      </c>
    </row>
    <row r="1515" spans="1:5" x14ac:dyDescent="0.25">
      <c r="A1515">
        <v>95742</v>
      </c>
      <c r="B1515" s="343">
        <v>38.583199999999998</v>
      </c>
      <c r="C1515" s="343">
        <v>-121.205</v>
      </c>
      <c r="D1515" s="342">
        <v>4012450</v>
      </c>
      <c r="E1515" s="342">
        <v>5139780</v>
      </c>
    </row>
    <row r="1516" spans="1:5" x14ac:dyDescent="0.25">
      <c r="A1516">
        <v>95746</v>
      </c>
      <c r="B1516" s="343">
        <v>38.7483</v>
      </c>
      <c r="C1516" s="343">
        <v>-121.172</v>
      </c>
      <c r="D1516" s="342">
        <v>4072350</v>
      </c>
      <c r="E1516" s="342">
        <v>5152170</v>
      </c>
    </row>
    <row r="1517" spans="1:5" x14ac:dyDescent="0.25">
      <c r="A1517">
        <v>95747</v>
      </c>
      <c r="B1517" s="343">
        <v>38.777299999999997</v>
      </c>
      <c r="C1517" s="343">
        <v>-121.375</v>
      </c>
      <c r="D1517" s="342">
        <v>4085750</v>
      </c>
      <c r="E1517" s="342">
        <v>5094610</v>
      </c>
    </row>
    <row r="1518" spans="1:5" x14ac:dyDescent="0.25">
      <c r="A1518">
        <v>95757</v>
      </c>
      <c r="B1518" s="343">
        <v>38.345599999999997</v>
      </c>
      <c r="C1518" s="343">
        <v>-121.444</v>
      </c>
      <c r="D1518" s="342">
        <v>3929030</v>
      </c>
      <c r="E1518" s="342">
        <v>5066860</v>
      </c>
    </row>
    <row r="1519" spans="1:5" x14ac:dyDescent="0.25">
      <c r="A1519">
        <v>95758</v>
      </c>
      <c r="B1519" s="343">
        <v>38.428699999999999</v>
      </c>
      <c r="C1519" s="343">
        <v>-121.444</v>
      </c>
      <c r="D1519" s="342">
        <v>3959370</v>
      </c>
      <c r="E1519" s="342">
        <v>5068390</v>
      </c>
    </row>
    <row r="1520" spans="1:5" x14ac:dyDescent="0.25">
      <c r="A1520">
        <v>95762</v>
      </c>
      <c r="B1520" s="343">
        <v>38.680300000000003</v>
      </c>
      <c r="C1520" s="343">
        <v>-121.057</v>
      </c>
      <c r="D1520" s="342">
        <v>4045950</v>
      </c>
      <c r="E1520" s="342">
        <v>5183860</v>
      </c>
    </row>
    <row r="1521" spans="1:5" x14ac:dyDescent="0.25">
      <c r="A1521">
        <v>95765</v>
      </c>
      <c r="B1521" s="343">
        <v>38.819299999999998</v>
      </c>
      <c r="C1521" s="343">
        <v>-121.27500000000001</v>
      </c>
      <c r="D1521" s="342">
        <v>4099710</v>
      </c>
      <c r="E1521" s="342">
        <v>5123720</v>
      </c>
    </row>
    <row r="1522" spans="1:5" x14ac:dyDescent="0.25">
      <c r="A1522">
        <v>95776</v>
      </c>
      <c r="B1522" s="343">
        <v>38.679699999999997</v>
      </c>
      <c r="C1522" s="343">
        <v>-121.697</v>
      </c>
      <c r="D1522" s="342">
        <v>4054750</v>
      </c>
      <c r="E1522" s="342">
        <v>5000650</v>
      </c>
    </row>
    <row r="1523" spans="1:5" x14ac:dyDescent="0.25">
      <c r="A1523">
        <v>95811</v>
      </c>
      <c r="B1523" s="343">
        <v>38.588099999999997</v>
      </c>
      <c r="C1523" s="343">
        <v>-121.49</v>
      </c>
      <c r="D1523" s="342">
        <v>4018260</v>
      </c>
      <c r="E1523" s="342">
        <v>5058240</v>
      </c>
    </row>
    <row r="1524" spans="1:5" x14ac:dyDescent="0.25">
      <c r="A1524">
        <v>95814</v>
      </c>
      <c r="B1524" s="343">
        <v>38.581299999999999</v>
      </c>
      <c r="C1524" s="343">
        <v>-121.496</v>
      </c>
      <c r="D1524" s="342">
        <v>4015870</v>
      </c>
      <c r="E1524" s="342">
        <v>5056370</v>
      </c>
    </row>
    <row r="1525" spans="1:5" x14ac:dyDescent="0.25">
      <c r="A1525">
        <v>95815</v>
      </c>
      <c r="B1525" s="343">
        <v>38.605699999999999</v>
      </c>
      <c r="C1525" s="343">
        <v>-121.444</v>
      </c>
      <c r="D1525" s="342">
        <v>4024020</v>
      </c>
      <c r="E1525" s="342">
        <v>5071720</v>
      </c>
    </row>
    <row r="1526" spans="1:5" x14ac:dyDescent="0.25">
      <c r="A1526">
        <v>95816</v>
      </c>
      <c r="B1526" s="343">
        <v>38.575600000000001</v>
      </c>
      <c r="C1526" s="343">
        <v>-121.465</v>
      </c>
      <c r="D1526" s="342">
        <v>4013320</v>
      </c>
      <c r="E1526" s="342">
        <v>5064920</v>
      </c>
    </row>
    <row r="1527" spans="1:5" x14ac:dyDescent="0.25">
      <c r="A1527">
        <v>95817</v>
      </c>
      <c r="B1527" s="343">
        <v>38.550899999999999</v>
      </c>
      <c r="C1527" s="343">
        <v>-121.456</v>
      </c>
      <c r="D1527" s="342">
        <v>4004190</v>
      </c>
      <c r="E1527" s="342">
        <v>5067110</v>
      </c>
    </row>
    <row r="1528" spans="1:5" x14ac:dyDescent="0.25">
      <c r="A1528">
        <v>95818</v>
      </c>
      <c r="B1528" s="343">
        <v>38.556399999999996</v>
      </c>
      <c r="C1528" s="343">
        <v>-121.497</v>
      </c>
      <c r="D1528" s="342">
        <v>4006760</v>
      </c>
      <c r="E1528" s="342">
        <v>5055560</v>
      </c>
    </row>
    <row r="1529" spans="1:5" x14ac:dyDescent="0.25">
      <c r="A1529">
        <v>95819</v>
      </c>
      <c r="B1529" s="343">
        <v>38.5687</v>
      </c>
      <c r="C1529" s="343">
        <v>-121.437</v>
      </c>
      <c r="D1529" s="342">
        <v>4010420</v>
      </c>
      <c r="E1529" s="342">
        <v>5072850</v>
      </c>
    </row>
    <row r="1530" spans="1:5" x14ac:dyDescent="0.25">
      <c r="A1530">
        <v>95820</v>
      </c>
      <c r="B1530" s="343">
        <v>38.5349</v>
      </c>
      <c r="C1530" s="343">
        <v>-121.444</v>
      </c>
      <c r="D1530" s="342">
        <v>3998190</v>
      </c>
      <c r="E1530" s="342">
        <v>5070240</v>
      </c>
    </row>
    <row r="1531" spans="1:5" x14ac:dyDescent="0.25">
      <c r="A1531">
        <v>95821</v>
      </c>
      <c r="B1531" s="343">
        <v>38.625399999999999</v>
      </c>
      <c r="C1531" s="343">
        <v>-121.38500000000001</v>
      </c>
      <c r="D1531" s="342">
        <v>4030390</v>
      </c>
      <c r="E1531" s="342">
        <v>5088950</v>
      </c>
    </row>
    <row r="1532" spans="1:5" x14ac:dyDescent="0.25">
      <c r="A1532">
        <v>95822</v>
      </c>
      <c r="B1532" s="343">
        <v>38.512700000000002</v>
      </c>
      <c r="C1532" s="343">
        <v>-121.496</v>
      </c>
      <c r="D1532" s="342">
        <v>3990790</v>
      </c>
      <c r="E1532" s="342">
        <v>5055130</v>
      </c>
    </row>
    <row r="1533" spans="1:5" x14ac:dyDescent="0.25">
      <c r="A1533">
        <v>95823</v>
      </c>
      <c r="B1533" s="343">
        <v>38.475700000000003</v>
      </c>
      <c r="C1533" s="343">
        <v>-121.443</v>
      </c>
      <c r="D1533" s="342">
        <v>3976540</v>
      </c>
      <c r="E1533" s="342">
        <v>5069430</v>
      </c>
    </row>
    <row r="1534" spans="1:5" x14ac:dyDescent="0.25">
      <c r="A1534">
        <v>95824</v>
      </c>
      <c r="B1534" s="343">
        <v>38.517699999999998</v>
      </c>
      <c r="C1534" s="343">
        <v>-121.441</v>
      </c>
      <c r="D1534" s="342">
        <v>3991840</v>
      </c>
      <c r="E1534" s="342">
        <v>5070820</v>
      </c>
    </row>
    <row r="1535" spans="1:5" x14ac:dyDescent="0.25">
      <c r="A1535">
        <v>95825</v>
      </c>
      <c r="B1535" s="343">
        <v>38.5901</v>
      </c>
      <c r="C1535" s="343">
        <v>-121.407</v>
      </c>
      <c r="D1535" s="342">
        <v>4017810</v>
      </c>
      <c r="E1535" s="342">
        <v>5082020</v>
      </c>
    </row>
    <row r="1536" spans="1:5" x14ac:dyDescent="0.25">
      <c r="A1536">
        <v>95826</v>
      </c>
      <c r="B1536" s="343">
        <v>38.5458</v>
      </c>
      <c r="C1536" s="343">
        <v>-121.379</v>
      </c>
      <c r="D1536" s="342">
        <v>4001230</v>
      </c>
      <c r="E1536" s="342">
        <v>5089120</v>
      </c>
    </row>
    <row r="1537" spans="1:5" x14ac:dyDescent="0.25">
      <c r="A1537">
        <v>95827</v>
      </c>
      <c r="B1537" s="343">
        <v>38.5533</v>
      </c>
      <c r="C1537" s="343">
        <v>-121.327</v>
      </c>
      <c r="D1537" s="342">
        <v>4003250</v>
      </c>
      <c r="E1537" s="342">
        <v>5104100</v>
      </c>
    </row>
    <row r="1538" spans="1:5" x14ac:dyDescent="0.25">
      <c r="A1538">
        <v>95828</v>
      </c>
      <c r="B1538" s="343">
        <v>38.489400000000003</v>
      </c>
      <c r="C1538" s="343">
        <v>-121.396</v>
      </c>
      <c r="D1538" s="342">
        <v>3980870</v>
      </c>
      <c r="E1538" s="342">
        <v>5083260</v>
      </c>
    </row>
    <row r="1539" spans="1:5" x14ac:dyDescent="0.25">
      <c r="A1539">
        <v>95829</v>
      </c>
      <c r="B1539" s="343">
        <v>38.488199999999999</v>
      </c>
      <c r="C1539" s="343">
        <v>-121.33499999999999</v>
      </c>
      <c r="D1539" s="342">
        <v>3979560</v>
      </c>
      <c r="E1539" s="342">
        <v>5100750</v>
      </c>
    </row>
    <row r="1540" spans="1:5" x14ac:dyDescent="0.25">
      <c r="A1540">
        <v>95830</v>
      </c>
      <c r="B1540" s="343">
        <v>38.495600000000003</v>
      </c>
      <c r="C1540" s="343">
        <v>-121.27500000000001</v>
      </c>
      <c r="D1540" s="342">
        <v>3981430</v>
      </c>
      <c r="E1540" s="342">
        <v>5118240</v>
      </c>
    </row>
    <row r="1541" spans="1:5" x14ac:dyDescent="0.25">
      <c r="A1541">
        <v>95831</v>
      </c>
      <c r="B1541" s="343">
        <v>38.495699999999999</v>
      </c>
      <c r="C1541" s="343">
        <v>-121.529</v>
      </c>
      <c r="D1541" s="342">
        <v>3985080</v>
      </c>
      <c r="E1541" s="342">
        <v>5045160</v>
      </c>
    </row>
    <row r="1542" spans="1:5" x14ac:dyDescent="0.25">
      <c r="A1542">
        <v>95832</v>
      </c>
      <c r="B1542" s="343">
        <v>38.448</v>
      </c>
      <c r="C1542" s="343">
        <v>-121.495</v>
      </c>
      <c r="D1542" s="342">
        <v>3967150</v>
      </c>
      <c r="E1542" s="342">
        <v>5054050</v>
      </c>
    </row>
    <row r="1543" spans="1:5" x14ac:dyDescent="0.25">
      <c r="A1543">
        <v>95833</v>
      </c>
      <c r="B1543" s="343">
        <v>38.614899999999999</v>
      </c>
      <c r="C1543" s="343">
        <v>-121.514</v>
      </c>
      <c r="D1543" s="342">
        <v>4028390</v>
      </c>
      <c r="E1543" s="342">
        <v>5051670</v>
      </c>
    </row>
    <row r="1544" spans="1:5" x14ac:dyDescent="0.25">
      <c r="A1544">
        <v>95834</v>
      </c>
      <c r="B1544" s="343">
        <v>38.643300000000004</v>
      </c>
      <c r="C1544" s="343">
        <v>-121.523</v>
      </c>
      <c r="D1544" s="342">
        <v>4038910</v>
      </c>
      <c r="E1544" s="342">
        <v>5049720</v>
      </c>
    </row>
    <row r="1545" spans="1:5" x14ac:dyDescent="0.25">
      <c r="A1545">
        <v>95835</v>
      </c>
      <c r="B1545" s="343">
        <v>38.671100000000003</v>
      </c>
      <c r="C1545" s="343">
        <v>-121.526</v>
      </c>
      <c r="D1545" s="342">
        <v>4049100</v>
      </c>
      <c r="E1545" s="342">
        <v>5049390</v>
      </c>
    </row>
    <row r="1546" spans="1:5" x14ac:dyDescent="0.25">
      <c r="A1546">
        <v>95836</v>
      </c>
      <c r="B1546" s="343">
        <v>38.727200000000003</v>
      </c>
      <c r="C1546" s="343">
        <v>-121.54900000000001</v>
      </c>
      <c r="D1546" s="342">
        <v>4069910</v>
      </c>
      <c r="E1546" s="342">
        <v>5043870</v>
      </c>
    </row>
    <row r="1547" spans="1:5" x14ac:dyDescent="0.25">
      <c r="A1547">
        <v>95837</v>
      </c>
      <c r="B1547" s="343">
        <v>38.697299999999998</v>
      </c>
      <c r="C1547" s="343">
        <v>-121.592</v>
      </c>
      <c r="D1547" s="342">
        <v>4059630</v>
      </c>
      <c r="E1547" s="342">
        <v>5031020</v>
      </c>
    </row>
    <row r="1548" spans="1:5" x14ac:dyDescent="0.25">
      <c r="A1548">
        <v>95838</v>
      </c>
      <c r="B1548" s="343">
        <v>38.646700000000003</v>
      </c>
      <c r="C1548" s="343">
        <v>-121.444</v>
      </c>
      <c r="D1548" s="342">
        <v>4039000</v>
      </c>
      <c r="E1548" s="342">
        <v>5072330</v>
      </c>
    </row>
    <row r="1549" spans="1:5" x14ac:dyDescent="0.25">
      <c r="A1549">
        <v>95841</v>
      </c>
      <c r="B1549" s="343">
        <v>38.659599999999998</v>
      </c>
      <c r="C1549" s="343">
        <v>-121.348</v>
      </c>
      <c r="D1549" s="342">
        <v>4042350</v>
      </c>
      <c r="E1549" s="342">
        <v>5100150</v>
      </c>
    </row>
    <row r="1550" spans="1:5" x14ac:dyDescent="0.25">
      <c r="A1550">
        <v>95842</v>
      </c>
      <c r="B1550" s="343">
        <v>38.686900000000001</v>
      </c>
      <c r="C1550" s="343">
        <v>-121.349</v>
      </c>
      <c r="D1550" s="342">
        <v>4052360</v>
      </c>
      <c r="E1550" s="342">
        <v>5100280</v>
      </c>
    </row>
    <row r="1551" spans="1:5" x14ac:dyDescent="0.25">
      <c r="A1551">
        <v>95843</v>
      </c>
      <c r="B1551" s="343">
        <v>38.715400000000002</v>
      </c>
      <c r="C1551" s="343">
        <v>-121.36199999999999</v>
      </c>
      <c r="D1551" s="342">
        <v>4062940</v>
      </c>
      <c r="E1551" s="342">
        <v>5097170</v>
      </c>
    </row>
    <row r="1552" spans="1:5" x14ac:dyDescent="0.25">
      <c r="A1552">
        <v>95864</v>
      </c>
      <c r="B1552" s="343">
        <v>38.585700000000003</v>
      </c>
      <c r="C1552" s="343">
        <v>-121.377</v>
      </c>
      <c r="D1552" s="342">
        <v>4015770</v>
      </c>
      <c r="E1552" s="342">
        <v>5090450</v>
      </c>
    </row>
    <row r="1553" spans="1:5" x14ac:dyDescent="0.25">
      <c r="A1553">
        <v>95901</v>
      </c>
      <c r="B1553" s="343">
        <v>39.2102</v>
      </c>
      <c r="C1553" s="343">
        <v>-121.473</v>
      </c>
      <c r="D1553" s="342">
        <v>4245370</v>
      </c>
      <c r="E1553" s="342">
        <v>5074370</v>
      </c>
    </row>
    <row r="1554" spans="1:5" x14ac:dyDescent="0.25">
      <c r="A1554">
        <v>95903</v>
      </c>
      <c r="B1554" s="343">
        <v>39.127600000000001</v>
      </c>
      <c r="C1554" s="343">
        <v>-121.39400000000001</v>
      </c>
      <c r="D1554" s="342">
        <v>4214050</v>
      </c>
      <c r="E1554" s="342">
        <v>5095390</v>
      </c>
    </row>
    <row r="1555" spans="1:5" x14ac:dyDescent="0.25">
      <c r="A1555">
        <v>95910</v>
      </c>
      <c r="B1555" s="343">
        <v>39.489899999999999</v>
      </c>
      <c r="C1555" s="343">
        <v>-120.84099999999999</v>
      </c>
      <c r="D1555" s="342">
        <v>4339270</v>
      </c>
      <c r="E1555" s="342">
        <v>5258850</v>
      </c>
    </row>
    <row r="1556" spans="1:5" x14ac:dyDescent="0.25">
      <c r="A1556">
        <v>95912</v>
      </c>
      <c r="B1556" s="343">
        <v>39.005499999999998</v>
      </c>
      <c r="C1556" s="343">
        <v>-122.026</v>
      </c>
      <c r="D1556" s="342">
        <v>4178860</v>
      </c>
      <c r="E1556" s="342">
        <v>4912930</v>
      </c>
    </row>
    <row r="1557" spans="1:5" x14ac:dyDescent="0.25">
      <c r="A1557">
        <v>95914</v>
      </c>
      <c r="B1557" s="343">
        <v>39.411999999999999</v>
      </c>
      <c r="C1557" s="343">
        <v>-121.371</v>
      </c>
      <c r="D1557" s="342">
        <v>4317750</v>
      </c>
      <c r="E1557" s="342">
        <v>5107150</v>
      </c>
    </row>
    <row r="1558" spans="1:5" x14ac:dyDescent="0.25">
      <c r="A1558">
        <v>95915</v>
      </c>
      <c r="B1558" s="343">
        <v>39.9634</v>
      </c>
      <c r="C1558" s="343">
        <v>-121.32</v>
      </c>
      <c r="D1558" s="342">
        <v>4518940</v>
      </c>
      <c r="E1558" s="342">
        <v>5131230</v>
      </c>
    </row>
    <row r="1559" spans="1:5" x14ac:dyDescent="0.25">
      <c r="A1559">
        <v>95916</v>
      </c>
      <c r="B1559" s="343">
        <v>39.695799999999998</v>
      </c>
      <c r="C1559" s="343">
        <v>-121.35899999999999</v>
      </c>
      <c r="D1559" s="342">
        <v>4421460</v>
      </c>
      <c r="E1559" s="342">
        <v>5115630</v>
      </c>
    </row>
    <row r="1560" spans="1:5" x14ac:dyDescent="0.25">
      <c r="A1560">
        <v>95917</v>
      </c>
      <c r="B1560" s="343">
        <v>39.418500000000002</v>
      </c>
      <c r="C1560" s="343">
        <v>-121.768</v>
      </c>
      <c r="D1560" s="342">
        <v>4325910</v>
      </c>
      <c r="E1560" s="342">
        <v>4994560</v>
      </c>
    </row>
    <row r="1561" spans="1:5" x14ac:dyDescent="0.25">
      <c r="A1561">
        <v>95918</v>
      </c>
      <c r="B1561" s="343">
        <v>39.284300000000002</v>
      </c>
      <c r="C1561" s="343">
        <v>-121.32899999999999</v>
      </c>
      <c r="D1561" s="342">
        <v>4270450</v>
      </c>
      <c r="E1561" s="342">
        <v>5116640</v>
      </c>
    </row>
    <row r="1562" spans="1:5" x14ac:dyDescent="0.25">
      <c r="A1562">
        <v>95919</v>
      </c>
      <c r="B1562" s="343">
        <v>39.424300000000002</v>
      </c>
      <c r="C1562" s="343">
        <v>-121.276</v>
      </c>
      <c r="D1562" s="342">
        <v>4320950</v>
      </c>
      <c r="E1562" s="342">
        <v>5134250</v>
      </c>
    </row>
    <row r="1563" spans="1:5" x14ac:dyDescent="0.25">
      <c r="A1563">
        <v>95920</v>
      </c>
      <c r="B1563" s="343">
        <v>39.460500000000003</v>
      </c>
      <c r="C1563" s="343">
        <v>-121.93899999999999</v>
      </c>
      <c r="D1563" s="342">
        <v>4343880</v>
      </c>
      <c r="E1563" s="342">
        <v>4946760</v>
      </c>
    </row>
    <row r="1564" spans="1:5" x14ac:dyDescent="0.25">
      <c r="A1564">
        <v>95922</v>
      </c>
      <c r="B1564" s="343">
        <v>39.484999999999999</v>
      </c>
      <c r="C1564" s="343">
        <v>-120.97499999999999</v>
      </c>
      <c r="D1564" s="342">
        <v>4339190</v>
      </c>
      <c r="E1564" s="342">
        <v>5220580</v>
      </c>
    </row>
    <row r="1565" spans="1:5" x14ac:dyDescent="0.25">
      <c r="A1565">
        <v>95923</v>
      </c>
      <c r="B1565" s="343">
        <v>40.17</v>
      </c>
      <c r="C1565" s="343">
        <v>-121.15300000000001</v>
      </c>
      <c r="D1565" s="342">
        <v>4592420</v>
      </c>
      <c r="E1565" s="342">
        <v>5181830</v>
      </c>
    </row>
    <row r="1566" spans="1:5" x14ac:dyDescent="0.25">
      <c r="A1566">
        <v>95925</v>
      </c>
      <c r="B1566" s="343">
        <v>39.460999999999999</v>
      </c>
      <c r="C1566" s="343">
        <v>-121.188</v>
      </c>
      <c r="D1566" s="342">
        <v>4333180</v>
      </c>
      <c r="E1566" s="342">
        <v>5159860</v>
      </c>
    </row>
    <row r="1567" spans="1:5" x14ac:dyDescent="0.25">
      <c r="A1567">
        <v>95926</v>
      </c>
      <c r="B1567" s="343">
        <v>39.7453</v>
      </c>
      <c r="C1567" s="343">
        <v>-121.84399999999999</v>
      </c>
      <c r="D1567" s="342">
        <v>4446660</v>
      </c>
      <c r="E1567" s="342">
        <v>4979260</v>
      </c>
    </row>
    <row r="1568" spans="1:5" x14ac:dyDescent="0.25">
      <c r="A1568">
        <v>95928</v>
      </c>
      <c r="B1568" s="343">
        <v>39.707700000000003</v>
      </c>
      <c r="C1568" s="343">
        <v>-121.815</v>
      </c>
      <c r="D1568" s="342">
        <v>4432450</v>
      </c>
      <c r="E1568" s="342">
        <v>4986840</v>
      </c>
    </row>
    <row r="1569" spans="1:5" x14ac:dyDescent="0.25">
      <c r="A1569">
        <v>95932</v>
      </c>
      <c r="B1569" s="343">
        <v>39.261600000000001</v>
      </c>
      <c r="C1569" s="343">
        <v>-122.02800000000001</v>
      </c>
      <c r="D1569" s="342">
        <v>4272490</v>
      </c>
      <c r="E1569" s="342">
        <v>4917670</v>
      </c>
    </row>
    <row r="1570" spans="1:5" x14ac:dyDescent="0.25">
      <c r="A1570">
        <v>95934</v>
      </c>
      <c r="B1570" s="343">
        <v>40.068600000000004</v>
      </c>
      <c r="C1570" s="343">
        <v>-120.922</v>
      </c>
      <c r="D1570" s="342">
        <v>4552230</v>
      </c>
      <c r="E1570" s="342">
        <v>5245270</v>
      </c>
    </row>
    <row r="1571" spans="1:5" x14ac:dyDescent="0.25">
      <c r="A1571">
        <v>95935</v>
      </c>
      <c r="B1571" s="343">
        <v>39.370100000000001</v>
      </c>
      <c r="C1571" s="343">
        <v>-121.199</v>
      </c>
      <c r="D1571" s="342">
        <v>4300070</v>
      </c>
      <c r="E1571" s="342">
        <v>5155070</v>
      </c>
    </row>
    <row r="1572" spans="1:5" x14ac:dyDescent="0.25">
      <c r="A1572">
        <v>95936</v>
      </c>
      <c r="B1572" s="343">
        <v>39.605899999999998</v>
      </c>
      <c r="C1572" s="343">
        <v>-120.84699999999999</v>
      </c>
      <c r="D1572" s="342">
        <v>4381800</v>
      </c>
      <c r="E1572" s="342">
        <v>5259000</v>
      </c>
    </row>
    <row r="1573" spans="1:5" x14ac:dyDescent="0.25">
      <c r="A1573">
        <v>95937</v>
      </c>
      <c r="B1573" s="343">
        <v>38.8628</v>
      </c>
      <c r="C1573" s="343">
        <v>-122.081</v>
      </c>
      <c r="D1573" s="342">
        <v>4127590</v>
      </c>
      <c r="E1573" s="342">
        <v>4894330</v>
      </c>
    </row>
    <row r="1574" spans="1:5" x14ac:dyDescent="0.25">
      <c r="A1574">
        <v>95938</v>
      </c>
      <c r="B1574" s="343">
        <v>39.595599999999997</v>
      </c>
      <c r="C1574" s="343">
        <v>-121.837</v>
      </c>
      <c r="D1574" s="342">
        <v>4391760</v>
      </c>
      <c r="E1574" s="342">
        <v>4978270</v>
      </c>
    </row>
    <row r="1575" spans="1:5" x14ac:dyDescent="0.25">
      <c r="A1575">
        <v>95939</v>
      </c>
      <c r="B1575" s="343">
        <v>39.514899999999997</v>
      </c>
      <c r="C1575" s="343">
        <v>-122.623</v>
      </c>
      <c r="D1575" s="342">
        <v>4374970</v>
      </c>
      <c r="E1575" s="342">
        <v>4754190</v>
      </c>
    </row>
    <row r="1576" spans="1:5" x14ac:dyDescent="0.25">
      <c r="A1576">
        <v>95941</v>
      </c>
      <c r="B1576" s="343">
        <v>39.588900000000002</v>
      </c>
      <c r="C1576" s="343">
        <v>-121.2</v>
      </c>
      <c r="D1576" s="342">
        <v>4380180</v>
      </c>
      <c r="E1576" s="342">
        <v>5158520</v>
      </c>
    </row>
    <row r="1577" spans="1:5" x14ac:dyDescent="0.25">
      <c r="A1577">
        <v>95942</v>
      </c>
      <c r="B1577" s="343">
        <v>40.0809</v>
      </c>
      <c r="C1577" s="343">
        <v>-121.52</v>
      </c>
      <c r="D1577" s="342">
        <v>4564750</v>
      </c>
      <c r="E1577" s="342">
        <v>5077150</v>
      </c>
    </row>
    <row r="1578" spans="1:5" x14ac:dyDescent="0.25">
      <c r="A1578">
        <v>95943</v>
      </c>
      <c r="B1578" s="343">
        <v>39.591200000000001</v>
      </c>
      <c r="C1578" s="343">
        <v>-122.02500000000001</v>
      </c>
      <c r="D1578" s="342">
        <v>4393020</v>
      </c>
      <c r="E1578" s="342">
        <v>4924930</v>
      </c>
    </row>
    <row r="1579" spans="1:5" x14ac:dyDescent="0.25">
      <c r="A1579">
        <v>95944</v>
      </c>
      <c r="B1579" s="343">
        <v>39.539299999999997</v>
      </c>
      <c r="C1579" s="343">
        <v>-120.79600000000001</v>
      </c>
      <c r="D1579" s="342">
        <v>4356810</v>
      </c>
      <c r="E1579" s="342">
        <v>5272300</v>
      </c>
    </row>
    <row r="1580" spans="1:5" x14ac:dyDescent="0.25">
      <c r="A1580">
        <v>95945</v>
      </c>
      <c r="B1580" s="343">
        <v>39.214199999999998</v>
      </c>
      <c r="C1580" s="343">
        <v>-120.926</v>
      </c>
      <c r="D1580" s="342">
        <v>4239460</v>
      </c>
      <c r="E1580" s="342">
        <v>5230110</v>
      </c>
    </row>
    <row r="1581" spans="1:5" x14ac:dyDescent="0.25">
      <c r="A1581">
        <v>95946</v>
      </c>
      <c r="B1581" s="343">
        <v>39.188099999999999</v>
      </c>
      <c r="C1581" s="343">
        <v>-121.211</v>
      </c>
      <c r="D1581" s="342">
        <v>4233670</v>
      </c>
      <c r="E1581" s="342">
        <v>5148400</v>
      </c>
    </row>
    <row r="1582" spans="1:5" x14ac:dyDescent="0.25">
      <c r="A1582">
        <v>95947</v>
      </c>
      <c r="B1582" s="343">
        <v>40.1783</v>
      </c>
      <c r="C1582" s="343">
        <v>-120.887</v>
      </c>
      <c r="D1582" s="342">
        <v>4592030</v>
      </c>
      <c r="E1582" s="342">
        <v>5256840</v>
      </c>
    </row>
    <row r="1583" spans="1:5" x14ac:dyDescent="0.25">
      <c r="A1583">
        <v>95948</v>
      </c>
      <c r="B1583" s="343">
        <v>39.343499999999999</v>
      </c>
      <c r="C1583" s="343">
        <v>-121.754</v>
      </c>
      <c r="D1583" s="342">
        <v>4298250</v>
      </c>
      <c r="E1583" s="342">
        <v>4996910</v>
      </c>
    </row>
    <row r="1584" spans="1:5" x14ac:dyDescent="0.25">
      <c r="A1584">
        <v>95949</v>
      </c>
      <c r="B1584" s="343">
        <v>39.1004</v>
      </c>
      <c r="C1584" s="343">
        <v>-121.122</v>
      </c>
      <c r="D1584" s="342">
        <v>4200400</v>
      </c>
      <c r="E1584" s="342">
        <v>5172330</v>
      </c>
    </row>
    <row r="1585" spans="1:5" x14ac:dyDescent="0.25">
      <c r="A1585">
        <v>95951</v>
      </c>
      <c r="B1585" s="343">
        <v>39.729500000000002</v>
      </c>
      <c r="C1585" s="343">
        <v>-121.99299999999999</v>
      </c>
      <c r="D1585" s="342">
        <v>4443150</v>
      </c>
      <c r="E1585" s="342">
        <v>4936960</v>
      </c>
    </row>
    <row r="1586" spans="1:5" x14ac:dyDescent="0.25">
      <c r="A1586">
        <v>95953</v>
      </c>
      <c r="B1586" s="343">
        <v>39.252800000000001</v>
      </c>
      <c r="C1586" s="343">
        <v>-121.75</v>
      </c>
      <c r="D1586" s="342">
        <v>4265030</v>
      </c>
      <c r="E1586" s="342">
        <v>4996320</v>
      </c>
    </row>
    <row r="1587" spans="1:5" x14ac:dyDescent="0.25">
      <c r="A1587">
        <v>95954</v>
      </c>
      <c r="B1587" s="343">
        <v>39.9375</v>
      </c>
      <c r="C1587" s="343">
        <v>-121.556</v>
      </c>
      <c r="D1587" s="342">
        <v>4512770</v>
      </c>
      <c r="E1587" s="342">
        <v>5064190</v>
      </c>
    </row>
    <row r="1588" spans="1:5" x14ac:dyDescent="0.25">
      <c r="A1588">
        <v>95955</v>
      </c>
      <c r="B1588" s="343">
        <v>39.314700000000002</v>
      </c>
      <c r="C1588" s="343">
        <v>-122.151</v>
      </c>
      <c r="D1588" s="342">
        <v>4293910</v>
      </c>
      <c r="E1588" s="342">
        <v>4883790</v>
      </c>
    </row>
    <row r="1589" spans="1:5" x14ac:dyDescent="0.25">
      <c r="A1589">
        <v>95956</v>
      </c>
      <c r="B1589" s="343">
        <v>39.8934</v>
      </c>
      <c r="C1589" s="343">
        <v>-121.023</v>
      </c>
      <c r="D1589" s="342">
        <v>4489350</v>
      </c>
      <c r="E1589" s="342">
        <v>5213870</v>
      </c>
    </row>
    <row r="1590" spans="1:5" x14ac:dyDescent="0.25">
      <c r="A1590">
        <v>95957</v>
      </c>
      <c r="B1590" s="343">
        <v>39.039400000000001</v>
      </c>
      <c r="C1590" s="343">
        <v>-121.798</v>
      </c>
      <c r="D1590" s="342">
        <v>4187720</v>
      </c>
      <c r="E1590" s="342">
        <v>4978520</v>
      </c>
    </row>
    <row r="1591" spans="1:5" x14ac:dyDescent="0.25">
      <c r="A1591">
        <v>95959</v>
      </c>
      <c r="B1591" s="343">
        <v>39.340299999999999</v>
      </c>
      <c r="C1591" s="343">
        <v>-120.901</v>
      </c>
      <c r="D1591" s="342">
        <v>4285270</v>
      </c>
      <c r="E1591" s="342">
        <v>5239340</v>
      </c>
    </row>
    <row r="1592" spans="1:5" x14ac:dyDescent="0.25">
      <c r="A1592">
        <v>95960</v>
      </c>
      <c r="B1592" s="343">
        <v>39.387900000000002</v>
      </c>
      <c r="C1592" s="343">
        <v>-121.074</v>
      </c>
      <c r="D1592" s="342">
        <v>4304930</v>
      </c>
      <c r="E1592" s="342">
        <v>5190790</v>
      </c>
    </row>
    <row r="1593" spans="1:5" x14ac:dyDescent="0.25">
      <c r="A1593">
        <v>95961</v>
      </c>
      <c r="B1593" s="343">
        <v>39.036799999999999</v>
      </c>
      <c r="C1593" s="343">
        <v>-121.56399999999999</v>
      </c>
      <c r="D1593" s="342">
        <v>4183290</v>
      </c>
      <c r="E1593" s="342">
        <v>5045270</v>
      </c>
    </row>
    <row r="1594" spans="1:5" x14ac:dyDescent="0.25">
      <c r="A1594">
        <v>95962</v>
      </c>
      <c r="B1594" s="343">
        <v>39.337600000000002</v>
      </c>
      <c r="C1594" s="343">
        <v>-121.253</v>
      </c>
      <c r="D1594" s="342">
        <v>4288920</v>
      </c>
      <c r="E1594" s="342">
        <v>5139080</v>
      </c>
    </row>
    <row r="1595" spans="1:5" x14ac:dyDescent="0.25">
      <c r="A1595">
        <v>95963</v>
      </c>
      <c r="B1595" s="343">
        <v>39.717799999999997</v>
      </c>
      <c r="C1595" s="343">
        <v>-122.33799999999999</v>
      </c>
      <c r="D1595" s="342">
        <v>4444430</v>
      </c>
      <c r="E1595" s="342">
        <v>4839280</v>
      </c>
    </row>
    <row r="1596" spans="1:5" x14ac:dyDescent="0.25">
      <c r="A1596">
        <v>95965</v>
      </c>
      <c r="B1596" s="343">
        <v>39.639400000000002</v>
      </c>
      <c r="C1596" s="343">
        <v>-121.583</v>
      </c>
      <c r="D1596" s="342">
        <v>4403930</v>
      </c>
      <c r="E1596" s="342">
        <v>5050940</v>
      </c>
    </row>
    <row r="1597" spans="1:5" x14ac:dyDescent="0.25">
      <c r="A1597">
        <v>95966</v>
      </c>
      <c r="B1597" s="343">
        <v>39.478499999999997</v>
      </c>
      <c r="C1597" s="343">
        <v>-121.42400000000001</v>
      </c>
      <c r="D1597" s="342">
        <v>4342830</v>
      </c>
      <c r="E1597" s="342">
        <v>5093080</v>
      </c>
    </row>
    <row r="1598" spans="1:5" x14ac:dyDescent="0.25">
      <c r="A1598">
        <v>95968</v>
      </c>
      <c r="B1598" s="343">
        <v>39.433900000000001</v>
      </c>
      <c r="C1598" s="343">
        <v>-121.554</v>
      </c>
      <c r="D1598" s="342">
        <v>4328380</v>
      </c>
      <c r="E1598" s="342">
        <v>5055440</v>
      </c>
    </row>
    <row r="1599" spans="1:5" x14ac:dyDescent="0.25">
      <c r="A1599">
        <v>95969</v>
      </c>
      <c r="B1599" s="343">
        <v>39.724299999999999</v>
      </c>
      <c r="C1599" s="343">
        <v>-121.634</v>
      </c>
      <c r="D1599" s="342">
        <v>4435810</v>
      </c>
      <c r="E1599" s="342">
        <v>5038340</v>
      </c>
    </row>
    <row r="1600" spans="1:5" x14ac:dyDescent="0.25">
      <c r="A1600">
        <v>95970</v>
      </c>
      <c r="B1600" s="343">
        <v>39.410600000000002</v>
      </c>
      <c r="C1600" s="343">
        <v>-122.07299999999999</v>
      </c>
      <c r="D1600" s="342">
        <v>4327720</v>
      </c>
      <c r="E1600" s="342">
        <v>4907730</v>
      </c>
    </row>
    <row r="1601" spans="1:5" x14ac:dyDescent="0.25">
      <c r="A1601">
        <v>95971</v>
      </c>
      <c r="B1601" s="343">
        <v>39.912700000000001</v>
      </c>
      <c r="C1601" s="343">
        <v>-121.023</v>
      </c>
      <c r="D1601" s="342">
        <v>4496430</v>
      </c>
      <c r="E1601" s="342">
        <v>5214200</v>
      </c>
    </row>
    <row r="1602" spans="1:5" x14ac:dyDescent="0.25">
      <c r="A1602">
        <v>95972</v>
      </c>
      <c r="B1602" s="343">
        <v>39.406700000000001</v>
      </c>
      <c r="C1602" s="343">
        <v>-121.33</v>
      </c>
      <c r="D1602" s="342">
        <v>4315270</v>
      </c>
      <c r="E1602" s="342">
        <v>5118440</v>
      </c>
    </row>
    <row r="1603" spans="1:5" x14ac:dyDescent="0.25">
      <c r="A1603">
        <v>95973</v>
      </c>
      <c r="B1603" s="343">
        <v>39.8613</v>
      </c>
      <c r="C1603" s="343">
        <v>-121.878</v>
      </c>
      <c r="D1603" s="342">
        <v>4489640</v>
      </c>
      <c r="E1603" s="342">
        <v>4972020</v>
      </c>
    </row>
    <row r="1604" spans="1:5" x14ac:dyDescent="0.25">
      <c r="A1604">
        <v>95975</v>
      </c>
      <c r="B1604" s="343">
        <v>39.224800000000002</v>
      </c>
      <c r="C1604" s="343">
        <v>-121.152</v>
      </c>
      <c r="D1604" s="342">
        <v>4246280</v>
      </c>
      <c r="E1604" s="342">
        <v>5165900</v>
      </c>
    </row>
    <row r="1605" spans="1:5" x14ac:dyDescent="0.25">
      <c r="A1605">
        <v>95977</v>
      </c>
      <c r="B1605" s="343">
        <v>39.19</v>
      </c>
      <c r="C1605" s="343">
        <v>-121.28</v>
      </c>
      <c r="D1605" s="342">
        <v>4235300</v>
      </c>
      <c r="E1605" s="342">
        <v>5128950</v>
      </c>
    </row>
    <row r="1606" spans="1:5" x14ac:dyDescent="0.25">
      <c r="A1606">
        <v>95979</v>
      </c>
      <c r="B1606" s="343">
        <v>39.299399999999999</v>
      </c>
      <c r="C1606" s="343">
        <v>-122.49299999999999</v>
      </c>
      <c r="D1606" s="342">
        <v>4294010</v>
      </c>
      <c r="E1606" s="342">
        <v>4786070</v>
      </c>
    </row>
    <row r="1607" spans="1:5" x14ac:dyDescent="0.25">
      <c r="A1607">
        <v>95981</v>
      </c>
      <c r="B1607" s="343">
        <v>39.729100000000003</v>
      </c>
      <c r="C1607" s="343">
        <v>-121.02800000000001</v>
      </c>
      <c r="D1607" s="342">
        <v>4429220</v>
      </c>
      <c r="E1607" s="342">
        <v>5209650</v>
      </c>
    </row>
    <row r="1608" spans="1:5" x14ac:dyDescent="0.25">
      <c r="A1608">
        <v>95982</v>
      </c>
      <c r="B1608" s="343">
        <v>39.201599999999999</v>
      </c>
      <c r="C1608" s="343">
        <v>-121.82299999999999</v>
      </c>
      <c r="D1608" s="342">
        <v>4247400</v>
      </c>
      <c r="E1608" s="342">
        <v>4974570</v>
      </c>
    </row>
    <row r="1609" spans="1:5" x14ac:dyDescent="0.25">
      <c r="A1609">
        <v>95983</v>
      </c>
      <c r="B1609" s="343">
        <v>40.034799999999997</v>
      </c>
      <c r="C1609" s="343">
        <v>-120.71899999999999</v>
      </c>
      <c r="D1609" s="342">
        <v>4537360</v>
      </c>
      <c r="E1609" s="342">
        <v>5301850</v>
      </c>
    </row>
    <row r="1610" spans="1:5" x14ac:dyDescent="0.25">
      <c r="A1610">
        <v>95984</v>
      </c>
      <c r="B1610" s="343">
        <v>40.0396</v>
      </c>
      <c r="C1610" s="343">
        <v>-121.143</v>
      </c>
      <c r="D1610" s="342">
        <v>4544490</v>
      </c>
      <c r="E1610" s="342">
        <v>5182410</v>
      </c>
    </row>
    <row r="1611" spans="1:5" x14ac:dyDescent="0.25">
      <c r="A1611">
        <v>95987</v>
      </c>
      <c r="B1611" s="343">
        <v>39.097799999999999</v>
      </c>
      <c r="C1611" s="343">
        <v>-122.28</v>
      </c>
      <c r="D1611" s="342">
        <v>4216720</v>
      </c>
      <c r="E1611" s="342">
        <v>4842370</v>
      </c>
    </row>
    <row r="1612" spans="1:5" x14ac:dyDescent="0.25">
      <c r="A1612">
        <v>95988</v>
      </c>
      <c r="B1612" s="343">
        <v>39.514200000000002</v>
      </c>
      <c r="C1612" s="343">
        <v>-122.30500000000001</v>
      </c>
      <c r="D1612" s="342">
        <v>4369350</v>
      </c>
      <c r="E1612" s="342">
        <v>4844250</v>
      </c>
    </row>
    <row r="1613" spans="1:5" x14ac:dyDescent="0.25">
      <c r="A1613">
        <v>95991</v>
      </c>
      <c r="B1613" s="343">
        <v>39.023800000000001</v>
      </c>
      <c r="C1613" s="343">
        <v>-121.613</v>
      </c>
      <c r="D1613" s="342">
        <v>4179220</v>
      </c>
      <c r="E1613" s="342">
        <v>5031110</v>
      </c>
    </row>
    <row r="1614" spans="1:5" x14ac:dyDescent="0.25">
      <c r="A1614">
        <v>95993</v>
      </c>
      <c r="B1614" s="343">
        <v>39.079300000000003</v>
      </c>
      <c r="C1614" s="343">
        <v>-121.685</v>
      </c>
      <c r="D1614" s="342">
        <v>4200600</v>
      </c>
      <c r="E1614" s="342">
        <v>5011620</v>
      </c>
    </row>
    <row r="1615" spans="1:5" x14ac:dyDescent="0.25">
      <c r="A1615">
        <v>96001</v>
      </c>
      <c r="B1615" s="343">
        <v>40.597900000000003</v>
      </c>
      <c r="C1615" s="343">
        <v>-122.47</v>
      </c>
      <c r="D1615" s="342">
        <v>4768960</v>
      </c>
      <c r="E1615" s="342">
        <v>4821080</v>
      </c>
    </row>
    <row r="1616" spans="1:5" x14ac:dyDescent="0.25">
      <c r="A1616">
        <v>96002</v>
      </c>
      <c r="B1616" s="343">
        <v>40.529699999999998</v>
      </c>
      <c r="C1616" s="343">
        <v>-122.318</v>
      </c>
      <c r="D1616" s="342">
        <v>4741470</v>
      </c>
      <c r="E1616" s="342">
        <v>4862040</v>
      </c>
    </row>
    <row r="1617" spans="1:5" x14ac:dyDescent="0.25">
      <c r="A1617">
        <v>96003</v>
      </c>
      <c r="B1617" s="343">
        <v>40.669800000000002</v>
      </c>
      <c r="C1617" s="343">
        <v>-122.312</v>
      </c>
      <c r="D1617" s="342">
        <v>4792760</v>
      </c>
      <c r="E1617" s="342">
        <v>4866910</v>
      </c>
    </row>
    <row r="1618" spans="1:5" x14ac:dyDescent="0.25">
      <c r="A1618">
        <v>96006</v>
      </c>
      <c r="B1618" s="343">
        <v>41.194400000000002</v>
      </c>
      <c r="C1618" s="343">
        <v>-120.949</v>
      </c>
      <c r="D1618" s="342">
        <v>4965760</v>
      </c>
      <c r="E1618" s="342">
        <v>5256340</v>
      </c>
    </row>
    <row r="1619" spans="1:5" x14ac:dyDescent="0.25">
      <c r="A1619">
        <v>96007</v>
      </c>
      <c r="B1619" s="343">
        <v>40.453899999999997</v>
      </c>
      <c r="C1619" s="343">
        <v>-122.29900000000001</v>
      </c>
      <c r="D1619" s="342">
        <v>4713390</v>
      </c>
      <c r="E1619" s="342">
        <v>4865980</v>
      </c>
    </row>
    <row r="1620" spans="1:5" x14ac:dyDescent="0.25">
      <c r="A1620">
        <v>96008</v>
      </c>
      <c r="B1620" s="343">
        <v>40.74</v>
      </c>
      <c r="C1620" s="343">
        <v>-122.087</v>
      </c>
      <c r="D1620" s="342">
        <v>4814920</v>
      </c>
      <c r="E1620" s="342">
        <v>4931150</v>
      </c>
    </row>
    <row r="1621" spans="1:5" x14ac:dyDescent="0.25">
      <c r="A1621">
        <v>96010</v>
      </c>
      <c r="B1621" s="343">
        <v>40.805799999999998</v>
      </c>
      <c r="C1621" s="343">
        <v>-123.187</v>
      </c>
      <c r="D1621" s="342">
        <v>4857840</v>
      </c>
      <c r="E1621" s="342">
        <v>4625720</v>
      </c>
    </row>
    <row r="1622" spans="1:5" x14ac:dyDescent="0.25">
      <c r="A1622">
        <v>96013</v>
      </c>
      <c r="B1622" s="343">
        <v>40.940399999999997</v>
      </c>
      <c r="C1622" s="343">
        <v>-121.672</v>
      </c>
      <c r="D1622" s="342">
        <v>4882160</v>
      </c>
      <c r="E1622" s="342">
        <v>5050820</v>
      </c>
    </row>
    <row r="1623" spans="1:5" x14ac:dyDescent="0.25">
      <c r="A1623">
        <v>96014</v>
      </c>
      <c r="B1623" s="343">
        <v>41.321599999999997</v>
      </c>
      <c r="C1623" s="343">
        <v>-122.75700000000001</v>
      </c>
      <c r="D1623" s="342">
        <v>5039440</v>
      </c>
      <c r="E1623" s="342">
        <v>4757420</v>
      </c>
    </row>
    <row r="1624" spans="1:5" x14ac:dyDescent="0.25">
      <c r="A1624">
        <v>96015</v>
      </c>
      <c r="B1624" s="343">
        <v>41.556600000000003</v>
      </c>
      <c r="C1624" s="343">
        <v>-121.012</v>
      </c>
      <c r="D1624" s="342">
        <v>5099710</v>
      </c>
      <c r="E1624" s="342">
        <v>5244930</v>
      </c>
    </row>
    <row r="1625" spans="1:5" x14ac:dyDescent="0.25">
      <c r="A1625">
        <v>96016</v>
      </c>
      <c r="B1625" s="343">
        <v>40.893099999999997</v>
      </c>
      <c r="C1625" s="343">
        <v>-121.508</v>
      </c>
      <c r="D1625" s="342">
        <v>4862480</v>
      </c>
      <c r="E1625" s="342">
        <v>5095680</v>
      </c>
    </row>
    <row r="1626" spans="1:5" x14ac:dyDescent="0.25">
      <c r="A1626">
        <v>96017</v>
      </c>
      <c r="B1626" s="343">
        <v>41.089100000000002</v>
      </c>
      <c r="C1626" s="343">
        <v>-122.312</v>
      </c>
      <c r="D1626" s="342">
        <v>4946610</v>
      </c>
      <c r="E1626" s="342">
        <v>4875830</v>
      </c>
    </row>
    <row r="1627" spans="1:5" x14ac:dyDescent="0.25">
      <c r="A1627">
        <v>96019</v>
      </c>
      <c r="B1627" s="343">
        <v>40.683199999999999</v>
      </c>
      <c r="C1627" s="343">
        <v>-122.38</v>
      </c>
      <c r="D1627" s="342">
        <v>4798760</v>
      </c>
      <c r="E1627" s="342">
        <v>4848210</v>
      </c>
    </row>
    <row r="1628" spans="1:5" x14ac:dyDescent="0.25">
      <c r="A1628">
        <v>96020</v>
      </c>
      <c r="B1628" s="343">
        <v>40.272300000000001</v>
      </c>
      <c r="C1628" s="343">
        <v>-121.294</v>
      </c>
      <c r="D1628" s="342">
        <v>4631750</v>
      </c>
      <c r="E1628" s="342">
        <v>5144160</v>
      </c>
    </row>
    <row r="1629" spans="1:5" x14ac:dyDescent="0.25">
      <c r="A1629">
        <v>96021</v>
      </c>
      <c r="B1629" s="343">
        <v>39.900599999999997</v>
      </c>
      <c r="C1629" s="343">
        <v>-122.45</v>
      </c>
      <c r="D1629" s="342">
        <v>4513290</v>
      </c>
      <c r="E1629" s="342">
        <v>4811380</v>
      </c>
    </row>
    <row r="1630" spans="1:5" x14ac:dyDescent="0.25">
      <c r="A1630">
        <v>96022</v>
      </c>
      <c r="B1630" s="343">
        <v>40.333599999999997</v>
      </c>
      <c r="C1630" s="343">
        <v>-122.51</v>
      </c>
      <c r="D1630" s="342">
        <v>4672820</v>
      </c>
      <c r="E1630" s="342">
        <v>4804030</v>
      </c>
    </row>
    <row r="1631" spans="1:5" x14ac:dyDescent="0.25">
      <c r="A1631">
        <v>96023</v>
      </c>
      <c r="B1631" s="343">
        <v>41.9191</v>
      </c>
      <c r="C1631" s="343">
        <v>-122.066</v>
      </c>
      <c r="D1631" s="342">
        <v>5247880</v>
      </c>
      <c r="E1631" s="342">
        <v>4961050</v>
      </c>
    </row>
    <row r="1632" spans="1:5" x14ac:dyDescent="0.25">
      <c r="A1632">
        <v>96024</v>
      </c>
      <c r="B1632" s="343">
        <v>40.599299999999999</v>
      </c>
      <c r="C1632" s="343">
        <v>-122.869</v>
      </c>
      <c r="D1632" s="342">
        <v>4776360</v>
      </c>
      <c r="E1632" s="342">
        <v>4709720</v>
      </c>
    </row>
    <row r="1633" spans="1:5" x14ac:dyDescent="0.25">
      <c r="A1633">
        <v>96025</v>
      </c>
      <c r="B1633" s="343">
        <v>41.222999999999999</v>
      </c>
      <c r="C1633" s="343">
        <v>-122.33199999999999</v>
      </c>
      <c r="D1633" s="342">
        <v>4996130</v>
      </c>
      <c r="E1633" s="342">
        <v>4873220</v>
      </c>
    </row>
    <row r="1634" spans="1:5" x14ac:dyDescent="0.25">
      <c r="A1634">
        <v>96027</v>
      </c>
      <c r="B1634" s="343">
        <v>41.397599999999997</v>
      </c>
      <c r="C1634" s="343">
        <v>-122.95</v>
      </c>
      <c r="D1634" s="342">
        <v>5070730</v>
      </c>
      <c r="E1634" s="342">
        <v>4705880</v>
      </c>
    </row>
    <row r="1635" spans="1:5" x14ac:dyDescent="0.25">
      <c r="A1635">
        <v>96028</v>
      </c>
      <c r="B1635" s="343">
        <v>41.056600000000003</v>
      </c>
      <c r="C1635" s="343">
        <v>-121.518</v>
      </c>
      <c r="D1635" s="342">
        <v>4922680</v>
      </c>
      <c r="E1635" s="342">
        <v>5095710</v>
      </c>
    </row>
    <row r="1636" spans="1:5" x14ac:dyDescent="0.25">
      <c r="A1636">
        <v>96031</v>
      </c>
      <c r="B1636" s="343">
        <v>41.194099999999999</v>
      </c>
      <c r="C1636" s="343">
        <v>-123.167</v>
      </c>
      <c r="D1636" s="342">
        <v>4999950</v>
      </c>
      <c r="E1636" s="342">
        <v>4640940</v>
      </c>
    </row>
    <row r="1637" spans="1:5" x14ac:dyDescent="0.25">
      <c r="A1637">
        <v>96032</v>
      </c>
      <c r="B1637" s="343">
        <v>41.625100000000003</v>
      </c>
      <c r="C1637" s="343">
        <v>-122.902</v>
      </c>
      <c r="D1637" s="342">
        <v>5153520</v>
      </c>
      <c r="E1637" s="342">
        <v>4724360</v>
      </c>
    </row>
    <row r="1638" spans="1:5" x14ac:dyDescent="0.25">
      <c r="A1638">
        <v>96033</v>
      </c>
      <c r="B1638" s="343">
        <v>40.714300000000001</v>
      </c>
      <c r="C1638" s="343">
        <v>-122.593</v>
      </c>
      <c r="D1638" s="342">
        <v>4813740</v>
      </c>
      <c r="E1638" s="342">
        <v>4789310</v>
      </c>
    </row>
    <row r="1639" spans="1:5" x14ac:dyDescent="0.25">
      <c r="A1639">
        <v>96034</v>
      </c>
      <c r="B1639" s="343">
        <v>41.453099999999999</v>
      </c>
      <c r="C1639" s="343">
        <v>-122.66500000000001</v>
      </c>
      <c r="D1639" s="342">
        <v>5086160</v>
      </c>
      <c r="E1639" s="342">
        <v>4785950</v>
      </c>
    </row>
    <row r="1640" spans="1:5" x14ac:dyDescent="0.25">
      <c r="A1640">
        <v>96035</v>
      </c>
      <c r="B1640" s="343">
        <v>40.032499999999999</v>
      </c>
      <c r="C1640" s="343">
        <v>-122.19199999999999</v>
      </c>
      <c r="D1640" s="342">
        <v>4557250</v>
      </c>
      <c r="E1640" s="342">
        <v>4887060</v>
      </c>
    </row>
    <row r="1641" spans="1:5" x14ac:dyDescent="0.25">
      <c r="A1641">
        <v>96038</v>
      </c>
      <c r="B1641" s="343">
        <v>41.588799999999999</v>
      </c>
      <c r="C1641" s="343">
        <v>-122.53700000000001</v>
      </c>
      <c r="D1641" s="342">
        <v>5133890</v>
      </c>
      <c r="E1641" s="342">
        <v>4824310</v>
      </c>
    </row>
    <row r="1642" spans="1:5" x14ac:dyDescent="0.25">
      <c r="A1642">
        <v>96039</v>
      </c>
      <c r="B1642" s="343">
        <v>41.838700000000003</v>
      </c>
      <c r="C1642" s="343">
        <v>-123.41200000000001</v>
      </c>
      <c r="D1642" s="342">
        <v>5241350</v>
      </c>
      <c r="E1642" s="342">
        <v>4589210</v>
      </c>
    </row>
    <row r="1643" spans="1:5" x14ac:dyDescent="0.25">
      <c r="A1643">
        <v>96040</v>
      </c>
      <c r="B1643" s="343">
        <v>40.794199999999996</v>
      </c>
      <c r="C1643" s="343">
        <v>-121.42</v>
      </c>
      <c r="D1643" s="342">
        <v>4824970</v>
      </c>
      <c r="E1643" s="342">
        <v>5118370</v>
      </c>
    </row>
    <row r="1644" spans="1:5" x14ac:dyDescent="0.25">
      <c r="A1644">
        <v>96041</v>
      </c>
      <c r="B1644" s="343">
        <v>40.515500000000003</v>
      </c>
      <c r="C1644" s="343">
        <v>-123.13500000000001</v>
      </c>
      <c r="D1644" s="342">
        <v>4750440</v>
      </c>
      <c r="E1644" s="342">
        <v>4633410</v>
      </c>
    </row>
    <row r="1645" spans="1:5" x14ac:dyDescent="0.25">
      <c r="A1645">
        <v>96044</v>
      </c>
      <c r="B1645" s="343">
        <v>41.951900000000002</v>
      </c>
      <c r="C1645" s="343">
        <v>-122.53</v>
      </c>
      <c r="D1645" s="342">
        <v>5267330</v>
      </c>
      <c r="E1645" s="342">
        <v>4834420</v>
      </c>
    </row>
    <row r="1646" spans="1:5" x14ac:dyDescent="0.25">
      <c r="A1646">
        <v>96046</v>
      </c>
      <c r="B1646" s="343">
        <v>40.640599999999999</v>
      </c>
      <c r="C1646" s="343">
        <v>-123.495</v>
      </c>
      <c r="D1646" s="342">
        <v>4803140</v>
      </c>
      <c r="E1646" s="342">
        <v>4535930</v>
      </c>
    </row>
    <row r="1647" spans="1:5" x14ac:dyDescent="0.25">
      <c r="A1647">
        <v>96047</v>
      </c>
      <c r="B1647" s="343">
        <v>40.462899999999998</v>
      </c>
      <c r="C1647" s="343">
        <v>-122.712</v>
      </c>
      <c r="D1647" s="342">
        <v>4723620</v>
      </c>
      <c r="E1647" s="342">
        <v>4750280</v>
      </c>
    </row>
    <row r="1648" spans="1:5" x14ac:dyDescent="0.25">
      <c r="A1648">
        <v>96048</v>
      </c>
      <c r="B1648" s="343">
        <v>40.811500000000002</v>
      </c>
      <c r="C1648" s="343">
        <v>-123.045</v>
      </c>
      <c r="D1648" s="342">
        <v>4857310</v>
      </c>
      <c r="E1648" s="342">
        <v>4665540</v>
      </c>
    </row>
    <row r="1649" spans="1:5" x14ac:dyDescent="0.25">
      <c r="A1649">
        <v>96050</v>
      </c>
      <c r="B1649" s="343">
        <v>41.875500000000002</v>
      </c>
      <c r="C1649" s="343">
        <v>-122.908</v>
      </c>
      <c r="D1649" s="342">
        <v>5245690</v>
      </c>
      <c r="E1649" s="342">
        <v>4728800</v>
      </c>
    </row>
    <row r="1650" spans="1:5" x14ac:dyDescent="0.25">
      <c r="A1650">
        <v>96051</v>
      </c>
      <c r="B1650" s="343">
        <v>40.988199999999999</v>
      </c>
      <c r="C1650" s="343">
        <v>-122.361</v>
      </c>
      <c r="D1650" s="342">
        <v>4910340</v>
      </c>
      <c r="E1650" s="342">
        <v>4859900</v>
      </c>
    </row>
    <row r="1651" spans="1:5" x14ac:dyDescent="0.25">
      <c r="A1651">
        <v>96052</v>
      </c>
      <c r="B1651" s="343">
        <v>40.855800000000002</v>
      </c>
      <c r="C1651" s="343">
        <v>-122.83799999999999</v>
      </c>
      <c r="D1651" s="342">
        <v>4869840</v>
      </c>
      <c r="E1651" s="342">
        <v>4724220</v>
      </c>
    </row>
    <row r="1652" spans="1:5" x14ac:dyDescent="0.25">
      <c r="A1652">
        <v>96054</v>
      </c>
      <c r="B1652" s="343">
        <v>41.3093</v>
      </c>
      <c r="C1652" s="343">
        <v>-120.985</v>
      </c>
      <c r="D1652" s="342">
        <v>5008420</v>
      </c>
      <c r="E1652" s="342">
        <v>5248210</v>
      </c>
    </row>
    <row r="1653" spans="1:5" x14ac:dyDescent="0.25">
      <c r="A1653">
        <v>96055</v>
      </c>
      <c r="B1653" s="343">
        <v>40.064500000000002</v>
      </c>
      <c r="C1653" s="343">
        <v>-122.07899999999999</v>
      </c>
      <c r="D1653" s="342">
        <v>4567150</v>
      </c>
      <c r="E1653" s="342">
        <v>4919540</v>
      </c>
    </row>
    <row r="1654" spans="1:5" x14ac:dyDescent="0.25">
      <c r="A1654">
        <v>96056</v>
      </c>
      <c r="B1654" s="343">
        <v>40.980600000000003</v>
      </c>
      <c r="C1654" s="343">
        <v>-121.124</v>
      </c>
      <c r="D1654" s="342">
        <v>4889150</v>
      </c>
      <c r="E1654" s="342">
        <v>5204120</v>
      </c>
    </row>
    <row r="1655" spans="1:5" x14ac:dyDescent="0.25">
      <c r="A1655">
        <v>96057</v>
      </c>
      <c r="B1655" s="343">
        <v>41.25</v>
      </c>
      <c r="C1655" s="343">
        <v>-121.997</v>
      </c>
      <c r="D1655" s="342">
        <v>5000760</v>
      </c>
      <c r="E1655" s="342">
        <v>4966460</v>
      </c>
    </row>
    <row r="1656" spans="1:5" x14ac:dyDescent="0.25">
      <c r="A1656">
        <v>96058</v>
      </c>
      <c r="B1656" s="343">
        <v>41.798099999999998</v>
      </c>
      <c r="C1656" s="343">
        <v>-121.85</v>
      </c>
      <c r="D1656" s="342">
        <v>5200050</v>
      </c>
      <c r="E1656" s="342">
        <v>5018070</v>
      </c>
    </row>
    <row r="1657" spans="1:5" x14ac:dyDescent="0.25">
      <c r="A1657">
        <v>96059</v>
      </c>
      <c r="B1657" s="343">
        <v>40.414700000000003</v>
      </c>
      <c r="C1657" s="343">
        <v>-121.928</v>
      </c>
      <c r="D1657" s="342">
        <v>4693160</v>
      </c>
      <c r="E1657" s="342">
        <v>4969050</v>
      </c>
    </row>
    <row r="1658" spans="1:5" x14ac:dyDescent="0.25">
      <c r="A1658">
        <v>96061</v>
      </c>
      <c r="B1658" s="343">
        <v>40.354300000000002</v>
      </c>
      <c r="C1658" s="343">
        <v>-121.51900000000001</v>
      </c>
      <c r="D1658" s="342">
        <v>4664970</v>
      </c>
      <c r="E1658" s="342">
        <v>5082450</v>
      </c>
    </row>
    <row r="1659" spans="1:5" x14ac:dyDescent="0.25">
      <c r="A1659">
        <v>96062</v>
      </c>
      <c r="B1659" s="343">
        <v>40.572400000000002</v>
      </c>
      <c r="C1659" s="343">
        <v>-122.095</v>
      </c>
      <c r="D1659" s="342">
        <v>4753560</v>
      </c>
      <c r="E1659" s="342">
        <v>4925390</v>
      </c>
    </row>
    <row r="1660" spans="1:5" x14ac:dyDescent="0.25">
      <c r="A1660">
        <v>96063</v>
      </c>
      <c r="B1660" s="343">
        <v>40.330300000000001</v>
      </c>
      <c r="C1660" s="343">
        <v>-121.399</v>
      </c>
      <c r="D1660" s="342">
        <v>4654490</v>
      </c>
      <c r="E1660" s="342">
        <v>5115800</v>
      </c>
    </row>
    <row r="1661" spans="1:5" x14ac:dyDescent="0.25">
      <c r="A1661">
        <v>96064</v>
      </c>
      <c r="B1661" s="343">
        <v>41.743699999999997</v>
      </c>
      <c r="C1661" s="343">
        <v>-122.32899999999999</v>
      </c>
      <c r="D1661" s="342">
        <v>5187430</v>
      </c>
      <c r="E1661" s="342">
        <v>4885130</v>
      </c>
    </row>
    <row r="1662" spans="1:5" x14ac:dyDescent="0.25">
      <c r="A1662">
        <v>96065</v>
      </c>
      <c r="B1662" s="343">
        <v>40.9666</v>
      </c>
      <c r="C1662" s="343">
        <v>-122.00700000000001</v>
      </c>
      <c r="D1662" s="342">
        <v>4896820</v>
      </c>
      <c r="E1662" s="342">
        <v>4958100</v>
      </c>
    </row>
    <row r="1663" spans="1:5" x14ac:dyDescent="0.25">
      <c r="A1663">
        <v>96067</v>
      </c>
      <c r="B1663" s="343">
        <v>41.344700000000003</v>
      </c>
      <c r="C1663" s="343">
        <v>-122.32</v>
      </c>
      <c r="D1663" s="342">
        <v>5040630</v>
      </c>
      <c r="E1663" s="342">
        <v>4878910</v>
      </c>
    </row>
    <row r="1664" spans="1:5" x14ac:dyDescent="0.25">
      <c r="A1664">
        <v>96069</v>
      </c>
      <c r="B1664" s="343">
        <v>40.717599999999997</v>
      </c>
      <c r="C1664" s="343">
        <v>-121.955</v>
      </c>
      <c r="D1664" s="342">
        <v>4804670</v>
      </c>
      <c r="E1664" s="342">
        <v>4967530</v>
      </c>
    </row>
    <row r="1665" spans="1:5" x14ac:dyDescent="0.25">
      <c r="A1665">
        <v>96071</v>
      </c>
      <c r="B1665" s="343">
        <v>40.583399999999997</v>
      </c>
      <c r="C1665" s="343">
        <v>-121.46899999999999</v>
      </c>
      <c r="D1665" s="342">
        <v>4748280</v>
      </c>
      <c r="E1665" s="342">
        <v>5100780</v>
      </c>
    </row>
    <row r="1666" spans="1:5" x14ac:dyDescent="0.25">
      <c r="A1666">
        <v>96073</v>
      </c>
      <c r="B1666" s="343">
        <v>40.571199999999997</v>
      </c>
      <c r="C1666" s="343">
        <v>-122.23</v>
      </c>
      <c r="D1666" s="342">
        <v>4755270</v>
      </c>
      <c r="E1666" s="342">
        <v>4887590</v>
      </c>
    </row>
    <row r="1667" spans="1:5" x14ac:dyDescent="0.25">
      <c r="A1667">
        <v>96075</v>
      </c>
      <c r="B1667" s="343">
        <v>40.363900000000001</v>
      </c>
      <c r="C1667" s="343">
        <v>-121.8</v>
      </c>
      <c r="D1667" s="342">
        <v>4672600</v>
      </c>
      <c r="E1667" s="342">
        <v>5003810</v>
      </c>
    </row>
    <row r="1668" spans="1:5" x14ac:dyDescent="0.25">
      <c r="A1668">
        <v>96076</v>
      </c>
      <c r="B1668" s="343">
        <v>40.401899999999998</v>
      </c>
      <c r="C1668" s="343">
        <v>-122.964</v>
      </c>
      <c r="D1668" s="342">
        <v>4705700</v>
      </c>
      <c r="E1668" s="342">
        <v>4678500</v>
      </c>
    </row>
    <row r="1669" spans="1:5" x14ac:dyDescent="0.25">
      <c r="A1669">
        <v>96080</v>
      </c>
      <c r="B1669" s="343">
        <v>40.170900000000003</v>
      </c>
      <c r="C1669" s="343">
        <v>-122.395</v>
      </c>
      <c r="D1669" s="342">
        <v>4611330</v>
      </c>
      <c r="E1669" s="342">
        <v>4832930</v>
      </c>
    </row>
    <row r="1670" spans="1:5" x14ac:dyDescent="0.25">
      <c r="A1670">
        <v>96085</v>
      </c>
      <c r="B1670" s="343">
        <v>41.772599999999997</v>
      </c>
      <c r="C1670" s="343">
        <v>-122.98</v>
      </c>
      <c r="D1670" s="342">
        <v>5209130</v>
      </c>
      <c r="E1670" s="342">
        <v>4706390</v>
      </c>
    </row>
    <row r="1671" spans="1:5" x14ac:dyDescent="0.25">
      <c r="A1671">
        <v>96086</v>
      </c>
      <c r="B1671" s="343">
        <v>41.8461</v>
      </c>
      <c r="C1671" s="343">
        <v>-123.258</v>
      </c>
      <c r="D1671" s="342">
        <v>5241170</v>
      </c>
      <c r="E1671" s="342">
        <v>4631790</v>
      </c>
    </row>
    <row r="1672" spans="1:5" x14ac:dyDescent="0.25">
      <c r="A1672">
        <v>96087</v>
      </c>
      <c r="B1672" s="343">
        <v>40.607399999999998</v>
      </c>
      <c r="C1672" s="343">
        <v>-122.5</v>
      </c>
      <c r="D1672" s="342">
        <v>4772970</v>
      </c>
      <c r="E1672" s="342">
        <v>4812870</v>
      </c>
    </row>
    <row r="1673" spans="1:5" x14ac:dyDescent="0.25">
      <c r="A1673">
        <v>96088</v>
      </c>
      <c r="B1673" s="343">
        <v>40.5154</v>
      </c>
      <c r="C1673" s="343">
        <v>-121.827</v>
      </c>
      <c r="D1673" s="342">
        <v>4728570</v>
      </c>
      <c r="E1673" s="342">
        <v>4999230</v>
      </c>
    </row>
    <row r="1674" spans="1:5" x14ac:dyDescent="0.25">
      <c r="A1674">
        <v>96091</v>
      </c>
      <c r="B1674" s="343">
        <v>41.107300000000002</v>
      </c>
      <c r="C1674" s="343">
        <v>-122.688</v>
      </c>
      <c r="D1674" s="342">
        <v>4959530</v>
      </c>
      <c r="E1674" s="342">
        <v>4771840</v>
      </c>
    </row>
    <row r="1675" spans="1:5" x14ac:dyDescent="0.25">
      <c r="A1675">
        <v>96093</v>
      </c>
      <c r="B1675" s="343">
        <v>40.743099999999998</v>
      </c>
      <c r="C1675" s="343">
        <v>-122.95399999999999</v>
      </c>
      <c r="D1675" s="342">
        <v>4830590</v>
      </c>
      <c r="E1675" s="342">
        <v>4689380</v>
      </c>
    </row>
    <row r="1676" spans="1:5" x14ac:dyDescent="0.25">
      <c r="A1676">
        <v>96094</v>
      </c>
      <c r="B1676" s="343">
        <v>41.4482</v>
      </c>
      <c r="C1676" s="343">
        <v>-122.45399999999999</v>
      </c>
      <c r="D1676" s="342">
        <v>5080860</v>
      </c>
      <c r="E1676" s="342">
        <v>4844240</v>
      </c>
    </row>
    <row r="1677" spans="1:5" x14ac:dyDescent="0.25">
      <c r="A1677">
        <v>96096</v>
      </c>
      <c r="B1677" s="343">
        <v>40.643099999999997</v>
      </c>
      <c r="C1677" s="343">
        <v>-121.84699999999999</v>
      </c>
      <c r="D1677" s="342">
        <v>4775680</v>
      </c>
      <c r="E1677" s="342">
        <v>4996050</v>
      </c>
    </row>
    <row r="1678" spans="1:5" x14ac:dyDescent="0.25">
      <c r="A1678">
        <v>96097</v>
      </c>
      <c r="B1678" s="343">
        <v>41.758000000000003</v>
      </c>
      <c r="C1678" s="343">
        <v>-122.66200000000001</v>
      </c>
      <c r="D1678" s="342">
        <v>5198170</v>
      </c>
      <c r="E1678" s="342">
        <v>4793810</v>
      </c>
    </row>
    <row r="1679" spans="1:5" x14ac:dyDescent="0.25">
      <c r="A1679">
        <v>96101</v>
      </c>
      <c r="B1679" s="343">
        <v>41.495800000000003</v>
      </c>
      <c r="C1679" s="343">
        <v>-120.48399999999999</v>
      </c>
      <c r="D1679" s="342">
        <v>5071040</v>
      </c>
      <c r="E1679" s="342">
        <v>5389780</v>
      </c>
    </row>
    <row r="1680" spans="1:5" x14ac:dyDescent="0.25">
      <c r="A1680">
        <v>96103</v>
      </c>
      <c r="B1680" s="343">
        <v>39.800600000000003</v>
      </c>
      <c r="C1680" s="343">
        <v>-120.69</v>
      </c>
      <c r="D1680" s="342">
        <v>4451190</v>
      </c>
      <c r="E1680" s="342">
        <v>5306310</v>
      </c>
    </row>
    <row r="1681" spans="1:5" x14ac:dyDescent="0.25">
      <c r="A1681">
        <v>96104</v>
      </c>
      <c r="B1681" s="343">
        <v>41.396500000000003</v>
      </c>
      <c r="C1681" s="343">
        <v>-120.119</v>
      </c>
      <c r="D1681" s="342">
        <v>5030550</v>
      </c>
      <c r="E1681" s="342">
        <v>5489540</v>
      </c>
    </row>
    <row r="1682" spans="1:5" x14ac:dyDescent="0.25">
      <c r="A1682">
        <v>96105</v>
      </c>
      <c r="B1682" s="343">
        <v>39.808300000000003</v>
      </c>
      <c r="C1682" s="343">
        <v>-120.214</v>
      </c>
      <c r="D1682" s="342">
        <v>4448590</v>
      </c>
      <c r="E1682" s="342">
        <v>5441070</v>
      </c>
    </row>
    <row r="1683" spans="1:5" x14ac:dyDescent="0.25">
      <c r="A1683">
        <v>96106</v>
      </c>
      <c r="B1683" s="343">
        <v>39.735399999999998</v>
      </c>
      <c r="C1683" s="343">
        <v>-120.53100000000001</v>
      </c>
      <c r="D1683" s="342">
        <v>4425450</v>
      </c>
      <c r="E1683" s="342">
        <v>5350250</v>
      </c>
    </row>
    <row r="1684" spans="1:5" x14ac:dyDescent="0.25">
      <c r="A1684">
        <v>96107</v>
      </c>
      <c r="B1684" s="343">
        <v>38.323</v>
      </c>
      <c r="C1684" s="343">
        <v>-119.404</v>
      </c>
      <c r="D1684" s="342">
        <v>3897240</v>
      </c>
      <c r="E1684" s="342">
        <v>5653450</v>
      </c>
    </row>
    <row r="1685" spans="1:5" x14ac:dyDescent="0.25">
      <c r="A1685">
        <v>96108</v>
      </c>
      <c r="B1685" s="343">
        <v>41.816499999999998</v>
      </c>
      <c r="C1685" s="343">
        <v>-120.77200000000001</v>
      </c>
      <c r="D1685" s="342">
        <v>5192520</v>
      </c>
      <c r="E1685" s="342">
        <v>5315320</v>
      </c>
    </row>
    <row r="1686" spans="1:5" x14ac:dyDescent="0.25">
      <c r="A1686">
        <v>96109</v>
      </c>
      <c r="B1686" s="343">
        <v>39.952599999999997</v>
      </c>
      <c r="C1686" s="343">
        <v>-120.093</v>
      </c>
      <c r="D1686" s="342">
        <v>4500150</v>
      </c>
      <c r="E1686" s="342">
        <v>5477050</v>
      </c>
    </row>
    <row r="1687" spans="1:5" x14ac:dyDescent="0.25">
      <c r="A1687">
        <v>96111</v>
      </c>
      <c r="B1687" s="343">
        <v>39.4056</v>
      </c>
      <c r="C1687" s="343">
        <v>-120.044</v>
      </c>
      <c r="D1687" s="342">
        <v>4299290</v>
      </c>
      <c r="E1687" s="342">
        <v>5483810</v>
      </c>
    </row>
    <row r="1688" spans="1:5" x14ac:dyDescent="0.25">
      <c r="A1688">
        <v>96112</v>
      </c>
      <c r="B1688" s="343">
        <v>41.901899999999998</v>
      </c>
      <c r="C1688" s="343">
        <v>-120.105</v>
      </c>
      <c r="D1688" s="342">
        <v>5216490</v>
      </c>
      <c r="E1688" s="342">
        <v>5500210</v>
      </c>
    </row>
    <row r="1689" spans="1:5" x14ac:dyDescent="0.25">
      <c r="A1689">
        <v>96113</v>
      </c>
      <c r="B1689" s="343">
        <v>40.244900000000001</v>
      </c>
      <c r="C1689" s="343">
        <v>-120.169</v>
      </c>
      <c r="D1689" s="342">
        <v>4608160</v>
      </c>
      <c r="E1689" s="342">
        <v>5459720</v>
      </c>
    </row>
    <row r="1690" spans="1:5" x14ac:dyDescent="0.25">
      <c r="A1690">
        <v>96114</v>
      </c>
      <c r="B1690" s="343">
        <v>40.173200000000001</v>
      </c>
      <c r="C1690" s="343">
        <v>-120.577</v>
      </c>
      <c r="D1690" s="342">
        <v>4586360</v>
      </c>
      <c r="E1690" s="342">
        <v>5344120</v>
      </c>
    </row>
    <row r="1691" spans="1:5" x14ac:dyDescent="0.25">
      <c r="A1691">
        <v>96115</v>
      </c>
      <c r="B1691" s="343">
        <v>41.6952</v>
      </c>
      <c r="C1691" s="343">
        <v>-120.131</v>
      </c>
      <c r="D1691" s="342">
        <v>5140630</v>
      </c>
      <c r="E1691" s="342">
        <v>5490380</v>
      </c>
    </row>
    <row r="1692" spans="1:5" x14ac:dyDescent="0.25">
      <c r="A1692">
        <v>96116</v>
      </c>
      <c r="B1692" s="343">
        <v>41.262999999999998</v>
      </c>
      <c r="C1692" s="343">
        <v>-120.51300000000001</v>
      </c>
      <c r="D1692" s="342">
        <v>4985810</v>
      </c>
      <c r="E1692" s="342">
        <v>5378510</v>
      </c>
    </row>
    <row r="1693" spans="1:5" x14ac:dyDescent="0.25">
      <c r="A1693">
        <v>96117</v>
      </c>
      <c r="B1693" s="343">
        <v>40.435499999999998</v>
      </c>
      <c r="C1693" s="343">
        <v>-120.358</v>
      </c>
      <c r="D1693" s="342">
        <v>4680110</v>
      </c>
      <c r="E1693" s="342">
        <v>5409390</v>
      </c>
    </row>
    <row r="1694" spans="1:5" x14ac:dyDescent="0.25">
      <c r="A1694">
        <v>96118</v>
      </c>
      <c r="B1694" s="343">
        <v>39.676900000000003</v>
      </c>
      <c r="C1694" s="343">
        <v>-120.16800000000001</v>
      </c>
      <c r="D1694" s="342">
        <v>4399960</v>
      </c>
      <c r="E1694" s="342">
        <v>5452130</v>
      </c>
    </row>
    <row r="1695" spans="1:5" x14ac:dyDescent="0.25">
      <c r="A1695">
        <v>96119</v>
      </c>
      <c r="B1695" s="343">
        <v>41.097299999999997</v>
      </c>
      <c r="C1695" s="343">
        <v>-120.517</v>
      </c>
      <c r="D1695" s="342">
        <v>4924910</v>
      </c>
      <c r="E1695" s="342">
        <v>5374720</v>
      </c>
    </row>
    <row r="1696" spans="1:5" x14ac:dyDescent="0.25">
      <c r="A1696">
        <v>96120</v>
      </c>
      <c r="B1696" s="343">
        <v>38.692900000000002</v>
      </c>
      <c r="C1696" s="343">
        <v>-119.839</v>
      </c>
      <c r="D1696" s="342">
        <v>4036490</v>
      </c>
      <c r="E1696" s="342">
        <v>5533010</v>
      </c>
    </row>
    <row r="1697" spans="1:5" x14ac:dyDescent="0.25">
      <c r="A1697">
        <v>96121</v>
      </c>
      <c r="B1697" s="343">
        <v>40.170900000000003</v>
      </c>
      <c r="C1697" s="343">
        <v>-120.38200000000001</v>
      </c>
      <c r="D1697" s="342">
        <v>4583340</v>
      </c>
      <c r="E1697" s="342">
        <v>5398840</v>
      </c>
    </row>
    <row r="1698" spans="1:5" x14ac:dyDescent="0.25">
      <c r="A1698">
        <v>96122</v>
      </c>
      <c r="B1698" s="343">
        <v>39.907400000000003</v>
      </c>
      <c r="C1698" s="343">
        <v>-120.376</v>
      </c>
      <c r="D1698" s="342">
        <v>4486690</v>
      </c>
      <c r="E1698" s="342">
        <v>5396590</v>
      </c>
    </row>
    <row r="1699" spans="1:5" x14ac:dyDescent="0.25">
      <c r="A1699">
        <v>96123</v>
      </c>
      <c r="B1699" s="343">
        <v>40.960599999999999</v>
      </c>
      <c r="C1699" s="343">
        <v>-120.175</v>
      </c>
      <c r="D1699" s="342">
        <v>4870900</v>
      </c>
      <c r="E1699" s="342">
        <v>5467870</v>
      </c>
    </row>
    <row r="1700" spans="1:5" x14ac:dyDescent="0.25">
      <c r="A1700">
        <v>96124</v>
      </c>
      <c r="B1700" s="343">
        <v>39.594999999999999</v>
      </c>
      <c r="C1700" s="343">
        <v>-120.508</v>
      </c>
      <c r="D1700" s="342">
        <v>4373720</v>
      </c>
      <c r="E1700" s="342">
        <v>5354850</v>
      </c>
    </row>
    <row r="1701" spans="1:5" x14ac:dyDescent="0.25">
      <c r="A1701">
        <v>96125</v>
      </c>
      <c r="B1701" s="343">
        <v>39.561999999999998</v>
      </c>
      <c r="C1701" s="343">
        <v>-120.673</v>
      </c>
      <c r="D1701" s="342">
        <v>4363600</v>
      </c>
      <c r="E1701" s="342">
        <v>5307410</v>
      </c>
    </row>
    <row r="1702" spans="1:5" x14ac:dyDescent="0.25">
      <c r="A1702">
        <v>96126</v>
      </c>
      <c r="B1702" s="343">
        <v>39.566800000000001</v>
      </c>
      <c r="C1702" s="343">
        <v>-120.21599999999999</v>
      </c>
      <c r="D1702" s="342">
        <v>4360170</v>
      </c>
      <c r="E1702" s="342">
        <v>5437090</v>
      </c>
    </row>
    <row r="1703" spans="1:5" x14ac:dyDescent="0.25">
      <c r="A1703">
        <v>96128</v>
      </c>
      <c r="B1703" s="343">
        <v>40.351500000000001</v>
      </c>
      <c r="C1703" s="343">
        <v>-120.389</v>
      </c>
      <c r="D1703" s="342">
        <v>4649620</v>
      </c>
      <c r="E1703" s="342">
        <v>5399400</v>
      </c>
    </row>
    <row r="1704" spans="1:5" x14ac:dyDescent="0.25">
      <c r="A1704">
        <v>96129</v>
      </c>
      <c r="B1704" s="343">
        <v>39.780200000000001</v>
      </c>
      <c r="C1704" s="343">
        <v>-120.399</v>
      </c>
      <c r="D1704" s="342">
        <v>4440320</v>
      </c>
      <c r="E1704" s="342">
        <v>5388340</v>
      </c>
    </row>
    <row r="1705" spans="1:5" x14ac:dyDescent="0.25">
      <c r="A1705">
        <v>96130</v>
      </c>
      <c r="B1705" s="343">
        <v>40.536900000000003</v>
      </c>
      <c r="C1705" s="343">
        <v>-120.634</v>
      </c>
      <c r="D1705" s="342">
        <v>4720420</v>
      </c>
      <c r="E1705" s="342">
        <v>5333590</v>
      </c>
    </row>
    <row r="1706" spans="1:5" x14ac:dyDescent="0.25">
      <c r="A1706">
        <v>96132</v>
      </c>
      <c r="B1706" s="343">
        <v>40.891800000000003</v>
      </c>
      <c r="C1706" s="343">
        <v>-120.557</v>
      </c>
      <c r="D1706" s="342">
        <v>4849860</v>
      </c>
      <c r="E1706" s="342">
        <v>5360620</v>
      </c>
    </row>
    <row r="1707" spans="1:5" x14ac:dyDescent="0.25">
      <c r="A1707">
        <v>96133</v>
      </c>
      <c r="B1707" s="343">
        <v>38.6128</v>
      </c>
      <c r="C1707" s="343">
        <v>-119.548</v>
      </c>
      <c r="D1707" s="342">
        <v>4004450</v>
      </c>
      <c r="E1707" s="342">
        <v>5615290</v>
      </c>
    </row>
    <row r="1708" spans="1:5" x14ac:dyDescent="0.25">
      <c r="A1708">
        <v>96134</v>
      </c>
      <c r="B1708" s="343">
        <v>41.781399999999998</v>
      </c>
      <c r="C1708" s="343">
        <v>-121.495</v>
      </c>
      <c r="D1708" s="342">
        <v>5188770</v>
      </c>
      <c r="E1708" s="342">
        <v>5115670</v>
      </c>
    </row>
    <row r="1709" spans="1:5" x14ac:dyDescent="0.25">
      <c r="A1709">
        <v>96136</v>
      </c>
      <c r="B1709" s="343">
        <v>40.372900000000001</v>
      </c>
      <c r="C1709" s="343">
        <v>-120.27500000000001</v>
      </c>
      <c r="D1709" s="342">
        <v>4656230</v>
      </c>
      <c r="E1709" s="342">
        <v>5431750</v>
      </c>
    </row>
    <row r="1710" spans="1:5" x14ac:dyDescent="0.25">
      <c r="A1710">
        <v>96137</v>
      </c>
      <c r="B1710" s="343">
        <v>40.283499999999997</v>
      </c>
      <c r="C1710" s="343">
        <v>-121.084</v>
      </c>
      <c r="D1710" s="342">
        <v>4633080</v>
      </c>
      <c r="E1710" s="342">
        <v>5203390</v>
      </c>
    </row>
    <row r="1711" spans="1:5" x14ac:dyDescent="0.25">
      <c r="A1711">
        <v>96140</v>
      </c>
      <c r="B1711" s="343">
        <v>39.237099999999998</v>
      </c>
      <c r="C1711" s="343">
        <v>-120.10299999999999</v>
      </c>
      <c r="D1711" s="342">
        <v>4238240</v>
      </c>
      <c r="E1711" s="342">
        <v>5464680</v>
      </c>
    </row>
    <row r="1712" spans="1:5" x14ac:dyDescent="0.25">
      <c r="A1712">
        <v>96141</v>
      </c>
      <c r="B1712" s="343">
        <v>39.063299999999998</v>
      </c>
      <c r="C1712" s="343">
        <v>-120.22</v>
      </c>
      <c r="D1712" s="342">
        <v>4175910</v>
      </c>
      <c r="E1712" s="342">
        <v>5429040</v>
      </c>
    </row>
    <row r="1713" spans="1:5" x14ac:dyDescent="0.25">
      <c r="A1713">
        <v>96142</v>
      </c>
      <c r="B1713" s="343">
        <v>39.058100000000003</v>
      </c>
      <c r="C1713" s="343">
        <v>-120.16200000000001</v>
      </c>
      <c r="D1713" s="342">
        <v>4173370</v>
      </c>
      <c r="E1713" s="342">
        <v>5445450</v>
      </c>
    </row>
    <row r="1714" spans="1:5" x14ac:dyDescent="0.25">
      <c r="A1714">
        <v>96143</v>
      </c>
      <c r="B1714" s="343">
        <v>39.276899999999998</v>
      </c>
      <c r="C1714" s="343">
        <v>-120.036</v>
      </c>
      <c r="D1714" s="342">
        <v>4252130</v>
      </c>
      <c r="E1714" s="342">
        <v>5484180</v>
      </c>
    </row>
    <row r="1715" spans="1:5" x14ac:dyDescent="0.25">
      <c r="A1715">
        <v>96145</v>
      </c>
      <c r="B1715" s="343">
        <v>39.145899999999997</v>
      </c>
      <c r="C1715" s="343">
        <v>-120.14400000000001</v>
      </c>
      <c r="D1715" s="342">
        <v>4205300</v>
      </c>
      <c r="E1715" s="342">
        <v>5451770</v>
      </c>
    </row>
    <row r="1716" spans="1:5" x14ac:dyDescent="0.25">
      <c r="A1716">
        <v>96146</v>
      </c>
      <c r="B1716" s="343">
        <v>39.194200000000002</v>
      </c>
      <c r="C1716" s="343">
        <v>-120.221</v>
      </c>
      <c r="D1716" s="342">
        <v>4223820</v>
      </c>
      <c r="E1716" s="342">
        <v>5430380</v>
      </c>
    </row>
    <row r="1717" spans="1:5" x14ac:dyDescent="0.25">
      <c r="A1717">
        <v>96148</v>
      </c>
      <c r="B1717" s="343">
        <v>39.247199999999999</v>
      </c>
      <c r="C1717" s="343">
        <v>-120.057</v>
      </c>
      <c r="D1717" s="342">
        <v>4241480</v>
      </c>
      <c r="E1717" s="342">
        <v>5477760</v>
      </c>
    </row>
    <row r="1718" spans="1:5" x14ac:dyDescent="0.25">
      <c r="A1718">
        <v>96150</v>
      </c>
      <c r="B1718" s="343">
        <v>38.913699999999999</v>
      </c>
      <c r="C1718" s="343">
        <v>-120.03700000000001</v>
      </c>
      <c r="D1718" s="342">
        <v>4119250</v>
      </c>
      <c r="E1718" s="342">
        <v>5479040</v>
      </c>
    </row>
    <row r="1719" spans="1:5" x14ac:dyDescent="0.25">
      <c r="A1719">
        <v>96161</v>
      </c>
      <c r="B1719" s="343">
        <v>39.331200000000003</v>
      </c>
      <c r="C1719" s="343">
        <v>-120.194</v>
      </c>
      <c r="D1719" s="342">
        <v>4273680</v>
      </c>
      <c r="E1719" s="342">
        <v>5440010</v>
      </c>
    </row>
    <row r="1720" spans="1:5" x14ac:dyDescent="0.25">
      <c r="A1720">
        <v>96162</v>
      </c>
      <c r="B1720" s="343">
        <v>39.314100000000003</v>
      </c>
      <c r="C1720" s="343">
        <v>-120.342</v>
      </c>
      <c r="D1720" s="342">
        <v>4269010</v>
      </c>
      <c r="E1720" s="342">
        <v>5397860</v>
      </c>
    </row>
  </sheetData>
  <sortState ref="A2:E1716">
    <sortCondition ref="A2:A1716"/>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2:F10"/>
  <sheetViews>
    <sheetView workbookViewId="0">
      <selection activeCell="C7" sqref="C7:F8"/>
    </sheetView>
  </sheetViews>
  <sheetFormatPr defaultRowHeight="15" x14ac:dyDescent="0.25"/>
  <cols>
    <col min="3" max="3" width="22.7109375" customWidth="1"/>
    <col min="4" max="6" width="12.7109375" customWidth="1"/>
  </cols>
  <sheetData>
    <row r="2" spans="3:6" ht="18.75" x14ac:dyDescent="0.3">
      <c r="C2" s="29" t="s">
        <v>547</v>
      </c>
    </row>
    <row r="3" spans="3:6" ht="58.5" customHeight="1" x14ac:dyDescent="0.25">
      <c r="C3" s="391" t="s">
        <v>573</v>
      </c>
      <c r="D3" s="391"/>
      <c r="E3" s="391"/>
      <c r="F3" s="391"/>
    </row>
    <row r="5" spans="3:6" ht="30" x14ac:dyDescent="0.25">
      <c r="C5" s="348" t="s">
        <v>540</v>
      </c>
      <c r="D5" s="349" t="s">
        <v>541</v>
      </c>
      <c r="E5" s="349" t="s">
        <v>542</v>
      </c>
      <c r="F5" s="350" t="s">
        <v>543</v>
      </c>
    </row>
    <row r="6" spans="3:6" x14ac:dyDescent="0.25">
      <c r="C6" s="166" t="s">
        <v>431</v>
      </c>
      <c r="D6" s="344" t="s">
        <v>544</v>
      </c>
      <c r="E6" s="344">
        <v>1814524</v>
      </c>
      <c r="F6" s="345">
        <v>6606089</v>
      </c>
    </row>
    <row r="7" spans="3:6" x14ac:dyDescent="0.25">
      <c r="C7" s="166" t="s">
        <v>402</v>
      </c>
      <c r="D7" s="344" t="s">
        <v>545</v>
      </c>
      <c r="E7" s="344">
        <v>2102195</v>
      </c>
      <c r="F7" s="345">
        <v>6289147</v>
      </c>
    </row>
    <row r="8" spans="3:6" x14ac:dyDescent="0.25">
      <c r="C8" s="166" t="s">
        <v>484</v>
      </c>
      <c r="D8" s="344" t="s">
        <v>545</v>
      </c>
      <c r="E8" s="344">
        <v>2102195</v>
      </c>
      <c r="F8" s="345">
        <v>6289147</v>
      </c>
    </row>
    <row r="9" spans="3:6" x14ac:dyDescent="0.25">
      <c r="C9" s="166" t="s">
        <v>439</v>
      </c>
      <c r="D9" s="344" t="s">
        <v>546</v>
      </c>
      <c r="E9" s="344">
        <v>2090594</v>
      </c>
      <c r="F9" s="345">
        <v>6151524</v>
      </c>
    </row>
    <row r="10" spans="3:6" x14ac:dyDescent="0.25">
      <c r="C10" s="170" t="s">
        <v>528</v>
      </c>
      <c r="D10" s="346" t="s">
        <v>546</v>
      </c>
      <c r="E10" s="346">
        <v>2090594</v>
      </c>
      <c r="F10" s="347">
        <v>6151524</v>
      </c>
    </row>
  </sheetData>
  <mergeCells count="1">
    <mergeCell ref="C3:F3"/>
  </mergeCells>
  <pageMargins left="0.7" right="0.7" top="0.75" bottom="0.75" header="0.3" footer="0.3"/>
  <pageSetup orientation="portrait" verticalDpi="0" r:id="rId1"/>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43"/>
  <sheetViews>
    <sheetView workbookViewId="0">
      <selection activeCell="B7" sqref="B7:F7"/>
    </sheetView>
  </sheetViews>
  <sheetFormatPr defaultRowHeight="15" x14ac:dyDescent="0.25"/>
  <cols>
    <col min="1" max="1" width="50.7109375" customWidth="1"/>
    <col min="2" max="4" width="12.7109375" customWidth="1"/>
    <col min="5" max="5" width="13.5703125" customWidth="1"/>
    <col min="6" max="6" width="13.85546875" customWidth="1"/>
    <col min="7" max="7" width="12" bestFit="1" customWidth="1"/>
    <col min="8" max="8" width="12.7109375" customWidth="1"/>
    <col min="9" max="12" width="13.28515625" customWidth="1"/>
  </cols>
  <sheetData>
    <row r="2" spans="1:6" ht="18.75" x14ac:dyDescent="0.3">
      <c r="A2" s="29" t="s">
        <v>360</v>
      </c>
    </row>
    <row r="3" spans="1:6" x14ac:dyDescent="0.25">
      <c r="A3" s="248" t="s">
        <v>674</v>
      </c>
    </row>
    <row r="4" spans="1:6" x14ac:dyDescent="0.25">
      <c r="A4" s="248"/>
    </row>
    <row r="5" spans="1:6" x14ac:dyDescent="0.25">
      <c r="A5" s="249"/>
      <c r="B5" s="409" t="s">
        <v>361</v>
      </c>
      <c r="C5" s="409"/>
      <c r="D5" s="409"/>
      <c r="E5" s="409"/>
      <c r="F5" s="410"/>
    </row>
    <row r="6" spans="1:6" x14ac:dyDescent="0.25">
      <c r="A6" s="250" t="s">
        <v>84</v>
      </c>
      <c r="B6" s="253">
        <v>2016</v>
      </c>
      <c r="C6" s="253">
        <v>2020</v>
      </c>
      <c r="D6" s="253">
        <v>2025</v>
      </c>
      <c r="E6" s="253">
        <v>2035</v>
      </c>
      <c r="F6" s="254">
        <v>2050</v>
      </c>
    </row>
    <row r="7" spans="1:6" x14ac:dyDescent="0.25">
      <c r="A7" s="258" t="s">
        <v>362</v>
      </c>
      <c r="B7" s="259">
        <f>'Main Sheet'!B107</f>
        <v>3316192</v>
      </c>
      <c r="C7" s="259">
        <f>'Main Sheet'!C107</f>
        <v>3418965</v>
      </c>
      <c r="D7" s="259">
        <f>'Main Sheet'!D107</f>
        <v>3540407</v>
      </c>
      <c r="E7" s="259">
        <f>'Main Sheet'!E107</f>
        <v>3747159</v>
      </c>
      <c r="F7" s="259">
        <f>'Main Sheet'!F107</f>
        <v>4004674</v>
      </c>
    </row>
    <row r="8" spans="1:6" ht="30" x14ac:dyDescent="0.25">
      <c r="A8" s="251" t="s">
        <v>363</v>
      </c>
      <c r="B8" s="255">
        <f>SUM('Emission Factors'!B20,'Emission Factors'!B23)</f>
        <v>37488.92710117867</v>
      </c>
      <c r="C8" s="255">
        <f>SUM('Emission Factors'!C20,'Emission Factors'!C23)</f>
        <v>37703.974466</v>
      </c>
      <c r="D8" s="255">
        <f>SUM('Emission Factors'!D20,'Emission Factors'!D23)</f>
        <v>38721.814322999999</v>
      </c>
      <c r="E8" s="255">
        <f>SUM('Emission Factors'!E20,'Emission Factors'!E23)</f>
        <v>41765.347342658017</v>
      </c>
      <c r="F8" s="260">
        <f>SUM('Emission Factors'!F20,'Emission Factors'!F23)</f>
        <v>0</v>
      </c>
    </row>
    <row r="9" spans="1:6" ht="30" x14ac:dyDescent="0.25">
      <c r="A9" s="251" t="s">
        <v>364</v>
      </c>
      <c r="B9" s="256">
        <f>B8/B7</f>
        <v>1.1304811995559567E-2</v>
      </c>
      <c r="C9" s="256">
        <f>C8/C7</f>
        <v>1.1027891325591224E-2</v>
      </c>
      <c r="D9" s="256">
        <f>D8/D7</f>
        <v>1.0937108169484469E-2</v>
      </c>
      <c r="E9" s="256">
        <f>E8/E7</f>
        <v>1.1145870069206568E-2</v>
      </c>
      <c r="F9" s="261">
        <f>F8/F7</f>
        <v>0</v>
      </c>
    </row>
    <row r="10" spans="1:6" ht="30" x14ac:dyDescent="0.25">
      <c r="A10" s="251" t="s">
        <v>365</v>
      </c>
      <c r="B10" s="257">
        <f>B9*2000</f>
        <v>22.609623991119133</v>
      </c>
      <c r="C10" s="257">
        <f>C9*2000</f>
        <v>22.055782651182447</v>
      </c>
      <c r="D10" s="257">
        <f>D9*2000</f>
        <v>21.874216338968939</v>
      </c>
      <c r="E10" s="257">
        <f>E9*2000</f>
        <v>22.291740138413136</v>
      </c>
      <c r="F10" s="262">
        <f>F9*2000</f>
        <v>0</v>
      </c>
    </row>
    <row r="11" spans="1:6" ht="30" x14ac:dyDescent="0.25">
      <c r="A11" s="252" t="s">
        <v>366</v>
      </c>
      <c r="B11" s="263">
        <f>(B10-$B10)/$B10</f>
        <v>0</v>
      </c>
      <c r="C11" s="263">
        <f>(C10-$B10)/$B10</f>
        <v>-2.4495822670656947E-2</v>
      </c>
      <c r="D11" s="263">
        <f>(D10-$B10)/$B10</f>
        <v>-3.2526310585220507E-2</v>
      </c>
      <c r="E11" s="263">
        <f>(E10-$B10)/$B10</f>
        <v>-1.4059670025068027E-2</v>
      </c>
      <c r="F11" s="264">
        <f>(F10-$B10)/$B10</f>
        <v>-1</v>
      </c>
    </row>
    <row r="15" spans="1:6" ht="18.75" x14ac:dyDescent="0.3">
      <c r="A15" s="29" t="s">
        <v>355</v>
      </c>
    </row>
    <row r="16" spans="1:6" x14ac:dyDescent="0.25">
      <c r="A16" t="s">
        <v>660</v>
      </c>
      <c r="B16" s="408" t="s">
        <v>575</v>
      </c>
      <c r="C16" s="394"/>
      <c r="D16" s="394"/>
      <c r="E16" s="394"/>
      <c r="F16" s="395"/>
    </row>
    <row r="17" spans="1:10" x14ac:dyDescent="0.25">
      <c r="B17" s="408">
        <f>'Main Sheet'!B6</f>
        <v>2014</v>
      </c>
      <c r="C17" s="394"/>
      <c r="D17" s="394"/>
      <c r="E17" s="394"/>
      <c r="F17" s="395"/>
    </row>
    <row r="18" spans="1:10" x14ac:dyDescent="0.25">
      <c r="A18" s="56" t="s">
        <v>0</v>
      </c>
      <c r="B18" s="57">
        <v>2016</v>
      </c>
      <c r="C18" s="57">
        <v>2020</v>
      </c>
      <c r="D18" s="368" t="s">
        <v>580</v>
      </c>
      <c r="E18" s="368" t="str">
        <f>'Main Sheet'!B7</f>
        <v>2035nb</v>
      </c>
      <c r="F18" s="57">
        <v>2050</v>
      </c>
    </row>
    <row r="19" spans="1:10" x14ac:dyDescent="0.25">
      <c r="A19" s="58" t="s">
        <v>79</v>
      </c>
      <c r="B19" s="58">
        <f>HLOOKUP(B$18,$C$30:$J$31,2, FALSE)</f>
        <v>75</v>
      </c>
      <c r="C19" s="58">
        <f t="shared" ref="C19:F19" si="0">HLOOKUP(C$18,$C$30:$J$31,2, FALSE)</f>
        <v>82</v>
      </c>
      <c r="D19" s="58">
        <f t="shared" si="0"/>
        <v>81</v>
      </c>
      <c r="E19" s="58">
        <f t="shared" si="0"/>
        <v>76</v>
      </c>
      <c r="F19" s="58">
        <f t="shared" si="0"/>
        <v>0</v>
      </c>
    </row>
    <row r="20" spans="1:10" x14ac:dyDescent="0.25">
      <c r="A20" s="56" t="s">
        <v>356</v>
      </c>
      <c r="B20" s="367">
        <f>IF($B$17=2014,HLOOKUP(B$18,$C$30:$J$37,3,FALSE),HLOOKUP(B$18,$C$30:$J$43,9,FALSE))</f>
        <v>36182.995559782001</v>
      </c>
      <c r="C20" s="367">
        <f t="shared" ref="C20:F20" si="1">IF($B$17=2014,HLOOKUP(C$18,$C$30:$J$37,3,FALSE),HLOOKUP(C$18,$C$30:$J$43,9,FALSE))</f>
        <v>36382.736929999999</v>
      </c>
      <c r="D20" s="367">
        <f t="shared" si="1"/>
        <v>37296.81624</v>
      </c>
      <c r="E20" s="367">
        <f t="shared" si="1"/>
        <v>40091.506873345497</v>
      </c>
      <c r="F20" s="367">
        <f t="shared" si="1"/>
        <v>0</v>
      </c>
    </row>
    <row r="21" spans="1:10" x14ac:dyDescent="0.25">
      <c r="A21" s="56" t="s">
        <v>394</v>
      </c>
      <c r="B21" s="367">
        <f>IF($B$17=2014,HLOOKUP(B$18,$C$30:$J$37,4,FALSE),HLOOKUP(B$18,$C$30:$J$43,10,FALSE))</f>
        <v>76918574.477191597</v>
      </c>
      <c r="C21" s="367">
        <f t="shared" ref="C21:F21" si="2">IF($B$17=2014,HLOOKUP(C$18,$C$30:$J$37,4,FALSE),HLOOKUP(C$18,$C$30:$J$43,10,FALSE))</f>
        <v>77822865.239999995</v>
      </c>
      <c r="D21" s="367">
        <f t="shared" si="2"/>
        <v>80377022.120000005</v>
      </c>
      <c r="E21" s="367">
        <f t="shared" si="2"/>
        <v>86880798.983258501</v>
      </c>
      <c r="F21" s="367">
        <f t="shared" si="2"/>
        <v>0</v>
      </c>
    </row>
    <row r="22" spans="1:10" x14ac:dyDescent="0.25">
      <c r="A22" s="333" t="s">
        <v>357</v>
      </c>
      <c r="B22" s="340">
        <f>IF($B$17=2014,HLOOKUP(B$18,$C$30:$J$37,5,FALSE),HLOOKUP(B$18,$C$30:$J$43,11,FALSE))</f>
        <v>4.7040647601329663E-4</v>
      </c>
      <c r="C22" s="340">
        <f t="shared" ref="C22:F22" si="3">IF($B$17=2014,HLOOKUP(C$18,$C$30:$J$37,5,FALSE),HLOOKUP(C$18,$C$30:$J$43,11,FALSE))</f>
        <v>4.6750703431180945E-4</v>
      </c>
      <c r="D22" s="340">
        <f t="shared" si="3"/>
        <v>4.6402336459190033E-4</v>
      </c>
      <c r="E22" s="340">
        <f t="shared" si="3"/>
        <v>4.6145416872916804E-4</v>
      </c>
      <c r="F22" s="340">
        <f t="shared" si="3"/>
        <v>0</v>
      </c>
    </row>
    <row r="23" spans="1:10" x14ac:dyDescent="0.25">
      <c r="A23" s="56" t="s">
        <v>358</v>
      </c>
      <c r="B23" s="367">
        <f>IF($B$17=2014,HLOOKUP(B$18,$C$30:$J$37,6,FALSE),HLOOKUP(B$18,$C$30:$J$43,12,FALSE))</f>
        <v>1305.9315413966699</v>
      </c>
      <c r="C23" s="367">
        <f t="shared" ref="C23:F23" si="4">IF($B$17=2014,HLOOKUP(C$18,$C$30:$J$37,6,FALSE),HLOOKUP(C$18,$C$30:$J$43,12,FALSE))</f>
        <v>1321.2375360000001</v>
      </c>
      <c r="D23" s="367">
        <f t="shared" si="4"/>
        <v>1424.998083</v>
      </c>
      <c r="E23" s="367">
        <f t="shared" si="4"/>
        <v>1673.8404693125201</v>
      </c>
      <c r="F23" s="367">
        <f t="shared" si="4"/>
        <v>0</v>
      </c>
    </row>
    <row r="24" spans="1:10" x14ac:dyDescent="0.25">
      <c r="A24" s="56" t="s">
        <v>395</v>
      </c>
      <c r="B24" s="367">
        <f>IF($B$17=2014,HLOOKUP(B$18,$C$30:$J$37,7,FALSE),HLOOKUP(B$18,$C$30:$J$43,13,FALSE))</f>
        <v>13712199.844203601</v>
      </c>
      <c r="C24" s="367">
        <f t="shared" ref="C24:F24" si="5">IF($B$17=2014,HLOOKUP(C$18,$C$30:$J$37,7,FALSE),HLOOKUP(C$18,$C$30:$J$43,13,FALSE))</f>
        <v>14006178.640000001</v>
      </c>
      <c r="D24" s="367">
        <f t="shared" si="5"/>
        <v>15245816.220000001</v>
      </c>
      <c r="E24" s="367">
        <f t="shared" si="5"/>
        <v>18004507.748860002</v>
      </c>
      <c r="F24" s="367">
        <f t="shared" si="5"/>
        <v>0</v>
      </c>
    </row>
    <row r="25" spans="1:10" x14ac:dyDescent="0.25">
      <c r="A25" s="333" t="s">
        <v>359</v>
      </c>
      <c r="B25" s="340">
        <f>IF($B$17=2014,HLOOKUP(B$18,$C$30:$J$37,8,FALSE),HLOOKUP(B$18,$C$30:$J$43,14,FALSE))</f>
        <v>9.5238660188336682E-5</v>
      </c>
      <c r="C25" s="340">
        <f t="shared" ref="C25:F25" si="6">IF($B$17=2014,HLOOKUP(C$18,$C$30:$J$37,8,FALSE),HLOOKUP(C$18,$C$30:$J$43,14,FALSE))</f>
        <v>9.4332477827085601E-5</v>
      </c>
      <c r="D25" s="340">
        <f t="shared" si="6"/>
        <v>9.3468139877656218E-5</v>
      </c>
      <c r="E25" s="340">
        <f t="shared" si="6"/>
        <v>9.296785519829073E-5</v>
      </c>
      <c r="F25" s="340">
        <f t="shared" si="6"/>
        <v>0</v>
      </c>
    </row>
    <row r="29" spans="1:10" x14ac:dyDescent="0.25">
      <c r="A29" s="1" t="s">
        <v>579</v>
      </c>
      <c r="B29" s="110"/>
      <c r="C29" s="1"/>
      <c r="D29" s="1"/>
    </row>
    <row r="30" spans="1:10" x14ac:dyDescent="0.25">
      <c r="A30" s="56" t="s">
        <v>0</v>
      </c>
      <c r="B30" s="57" t="s">
        <v>576</v>
      </c>
      <c r="C30" s="376">
        <v>2016</v>
      </c>
      <c r="D30" s="57">
        <v>2020</v>
      </c>
      <c r="E30" s="57" t="s">
        <v>580</v>
      </c>
      <c r="F30" s="57" t="s">
        <v>578</v>
      </c>
      <c r="G30" s="57" t="s">
        <v>671</v>
      </c>
      <c r="H30" s="57" t="s">
        <v>672</v>
      </c>
      <c r="I30" s="57" t="s">
        <v>673</v>
      </c>
      <c r="J30" s="57">
        <v>2050</v>
      </c>
    </row>
    <row r="31" spans="1:10" x14ac:dyDescent="0.25">
      <c r="A31" s="58" t="s">
        <v>79</v>
      </c>
      <c r="B31" s="360"/>
      <c r="C31" s="58">
        <v>75</v>
      </c>
      <c r="D31" s="58">
        <v>82</v>
      </c>
      <c r="E31" s="58">
        <v>81</v>
      </c>
      <c r="F31" s="58">
        <v>76</v>
      </c>
      <c r="G31" s="58">
        <v>77</v>
      </c>
      <c r="H31" s="58">
        <v>83</v>
      </c>
      <c r="I31" s="58">
        <v>78</v>
      </c>
      <c r="J31" s="58"/>
    </row>
    <row r="32" spans="1:10" x14ac:dyDescent="0.25">
      <c r="A32" s="56" t="s">
        <v>581</v>
      </c>
      <c r="B32" s="361">
        <v>2014</v>
      </c>
      <c r="C32" s="362">
        <v>36182.995559782001</v>
      </c>
      <c r="D32" s="362">
        <v>36382.736929999999</v>
      </c>
      <c r="E32" s="362">
        <v>37296.81624</v>
      </c>
      <c r="F32" s="362">
        <v>40091.506873345497</v>
      </c>
      <c r="G32" s="362">
        <v>40274.183470780503</v>
      </c>
      <c r="H32" s="362">
        <v>37398.656410000003</v>
      </c>
      <c r="I32" s="362">
        <v>40053.637689939998</v>
      </c>
      <c r="J32" s="362"/>
    </row>
    <row r="33" spans="1:10" x14ac:dyDescent="0.25">
      <c r="A33" s="56" t="s">
        <v>582</v>
      </c>
      <c r="B33" s="361">
        <v>2014</v>
      </c>
      <c r="C33" s="362">
        <v>76918574.477191597</v>
      </c>
      <c r="D33" s="362">
        <v>77822865.239999995</v>
      </c>
      <c r="E33" s="362">
        <v>80377022.120000005</v>
      </c>
      <c r="F33" s="362">
        <v>86880798.983258501</v>
      </c>
      <c r="G33" s="362">
        <v>87076069.237126693</v>
      </c>
      <c r="H33" s="362">
        <v>81872464.950000003</v>
      </c>
      <c r="I33" s="362">
        <v>86586762.788520694</v>
      </c>
      <c r="J33" s="362"/>
    </row>
    <row r="34" spans="1:10" ht="30" x14ac:dyDescent="0.25">
      <c r="A34" s="333" t="s">
        <v>583</v>
      </c>
      <c r="B34" s="363">
        <v>2014</v>
      </c>
      <c r="C34" s="364">
        <f>C32/C33</f>
        <v>4.7040647601329663E-4</v>
      </c>
      <c r="D34" s="364">
        <f>D32/D33</f>
        <v>4.6750703431180945E-4</v>
      </c>
      <c r="E34" s="364">
        <f>E32/E33</f>
        <v>4.6402336459190033E-4</v>
      </c>
      <c r="F34" s="364">
        <f>F32/F33</f>
        <v>4.6145416872916804E-4</v>
      </c>
      <c r="G34" s="364">
        <f t="shared" ref="G34:I34" si="7">G32/G33</f>
        <v>4.6251724295346081E-4</v>
      </c>
      <c r="H34" s="364">
        <f t="shared" si="7"/>
        <v>4.5679162625480475E-4</v>
      </c>
      <c r="I34" s="364">
        <f t="shared" si="7"/>
        <v>4.6258384538254318E-4</v>
      </c>
      <c r="J34" s="364"/>
    </row>
    <row r="35" spans="1:10" x14ac:dyDescent="0.25">
      <c r="A35" s="56" t="s">
        <v>584</v>
      </c>
      <c r="B35" s="361">
        <v>2014</v>
      </c>
      <c r="C35" s="362">
        <v>1305.9315413966699</v>
      </c>
      <c r="D35" s="362">
        <v>1321.2375360000001</v>
      </c>
      <c r="E35" s="362">
        <v>1424.998083</v>
      </c>
      <c r="F35" s="362">
        <v>1673.8404693125201</v>
      </c>
      <c r="G35" s="362">
        <v>1677.6025347770101</v>
      </c>
      <c r="H35" s="362">
        <v>1577.3501940000001</v>
      </c>
      <c r="I35" s="362">
        <v>1668.17558491976</v>
      </c>
      <c r="J35" s="362"/>
    </row>
    <row r="36" spans="1:10" x14ac:dyDescent="0.25">
      <c r="A36" s="56" t="s">
        <v>585</v>
      </c>
      <c r="B36" s="361">
        <v>2014</v>
      </c>
      <c r="C36" s="362">
        <v>13712199.844203601</v>
      </c>
      <c r="D36" s="362">
        <v>14006178.640000001</v>
      </c>
      <c r="E36" s="362">
        <v>15245816.220000001</v>
      </c>
      <c r="F36" s="362">
        <v>18004507.748860002</v>
      </c>
      <c r="G36" s="362">
        <v>18044974.0525776</v>
      </c>
      <c r="H36">
        <v>16966619.170000002</v>
      </c>
      <c r="I36" s="362">
        <v>17943573.952111099</v>
      </c>
      <c r="J36" s="362"/>
    </row>
    <row r="37" spans="1:10" ht="30" x14ac:dyDescent="0.25">
      <c r="A37" s="333" t="s">
        <v>586</v>
      </c>
      <c r="B37" s="365">
        <v>2014</v>
      </c>
      <c r="C37" s="366">
        <f>C35/C36</f>
        <v>9.5238660188336682E-5</v>
      </c>
      <c r="D37" s="366">
        <f>D35/D36</f>
        <v>9.4332477827085601E-5</v>
      </c>
      <c r="E37" s="366">
        <f>E35/E36</f>
        <v>9.3468139877656218E-5</v>
      </c>
      <c r="F37" s="366">
        <f>F35/F36</f>
        <v>9.296785519829073E-5</v>
      </c>
      <c r="G37" s="366">
        <f t="shared" ref="G37:I37" si="8">G35/G36</f>
        <v>9.2967855198294186E-5</v>
      </c>
      <c r="H37" s="366">
        <f t="shared" si="8"/>
        <v>9.2967855186437825E-5</v>
      </c>
      <c r="I37" s="366">
        <f t="shared" si="8"/>
        <v>9.2967855198294863E-5</v>
      </c>
      <c r="J37" s="366"/>
    </row>
    <row r="38" spans="1:10" x14ac:dyDescent="0.25">
      <c r="A38" s="56" t="s">
        <v>581</v>
      </c>
      <c r="B38" s="361">
        <v>2017</v>
      </c>
      <c r="C38" s="362"/>
      <c r="D38" s="362"/>
      <c r="E38" s="362"/>
      <c r="F38" s="362"/>
      <c r="G38" s="362"/>
      <c r="H38" s="362"/>
      <c r="I38" s="362"/>
      <c r="J38" s="362"/>
    </row>
    <row r="39" spans="1:10" x14ac:dyDescent="0.25">
      <c r="A39" s="56" t="s">
        <v>582</v>
      </c>
      <c r="B39" s="361">
        <v>2017</v>
      </c>
      <c r="C39" s="362"/>
      <c r="D39" s="362"/>
      <c r="E39" s="362"/>
      <c r="F39" s="362"/>
      <c r="G39" s="362"/>
      <c r="H39" s="362"/>
      <c r="I39" s="362"/>
      <c r="J39" s="362"/>
    </row>
    <row r="40" spans="1:10" ht="30" x14ac:dyDescent="0.25">
      <c r="A40" s="333" t="s">
        <v>583</v>
      </c>
      <c r="B40" s="363">
        <v>2017</v>
      </c>
      <c r="C40" s="364"/>
      <c r="D40" s="364"/>
      <c r="E40" s="364"/>
      <c r="F40" s="364"/>
      <c r="G40" s="364"/>
      <c r="H40" s="364"/>
      <c r="I40" s="364"/>
      <c r="J40" s="364"/>
    </row>
    <row r="41" spans="1:10" x14ac:dyDescent="0.25">
      <c r="A41" s="56" t="s">
        <v>584</v>
      </c>
      <c r="B41" s="361">
        <v>2017</v>
      </c>
      <c r="C41" s="362"/>
      <c r="D41" s="362"/>
      <c r="E41" s="362"/>
      <c r="F41" s="362"/>
      <c r="G41" s="362"/>
      <c r="H41" s="362"/>
      <c r="I41" s="362"/>
      <c r="J41" s="362"/>
    </row>
    <row r="42" spans="1:10" x14ac:dyDescent="0.25">
      <c r="A42" s="56" t="s">
        <v>585</v>
      </c>
      <c r="B42" s="361">
        <v>2017</v>
      </c>
      <c r="C42" s="362"/>
      <c r="D42" s="362"/>
      <c r="E42" s="362"/>
      <c r="F42" s="362"/>
      <c r="G42" s="362"/>
      <c r="H42" s="362"/>
      <c r="I42" s="362"/>
      <c r="J42" s="362"/>
    </row>
    <row r="43" spans="1:10" ht="30" x14ac:dyDescent="0.25">
      <c r="A43" s="333" t="s">
        <v>586</v>
      </c>
      <c r="B43" s="365">
        <v>2017</v>
      </c>
      <c r="C43" s="366"/>
      <c r="D43" s="366"/>
      <c r="E43" s="366"/>
      <c r="F43" s="366"/>
      <c r="G43" s="366"/>
      <c r="H43" s="366"/>
      <c r="I43" s="366"/>
      <c r="J43" s="366"/>
    </row>
  </sheetData>
  <mergeCells count="3">
    <mergeCell ref="B17:F17"/>
    <mergeCell ref="B16:F16"/>
    <mergeCell ref="B5:F5"/>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6"/>
  <sheetViews>
    <sheetView zoomScale="85" zoomScaleNormal="85" workbookViewId="0">
      <selection activeCell="B6" sqref="B6:E6"/>
    </sheetView>
  </sheetViews>
  <sheetFormatPr defaultRowHeight="15" x14ac:dyDescent="0.25"/>
  <cols>
    <col min="2" max="2" width="15.7109375" style="208" customWidth="1"/>
    <col min="3" max="4" width="50.7109375" style="210" customWidth="1"/>
    <col min="5" max="5" width="100.7109375" style="210" customWidth="1"/>
  </cols>
  <sheetData>
    <row r="3" spans="2:5" ht="18.75" x14ac:dyDescent="0.3">
      <c r="B3" s="233" t="s">
        <v>336</v>
      </c>
      <c r="C3" s="232" t="s">
        <v>337</v>
      </c>
      <c r="D3" s="232" t="s">
        <v>86</v>
      </c>
      <c r="E3" s="232" t="s">
        <v>338</v>
      </c>
    </row>
    <row r="4" spans="2:5" ht="45" x14ac:dyDescent="0.25">
      <c r="B4" s="234">
        <v>1</v>
      </c>
      <c r="C4" s="209" t="s">
        <v>339</v>
      </c>
      <c r="D4" s="235"/>
      <c r="E4" s="209" t="s">
        <v>340</v>
      </c>
    </row>
    <row r="5" spans="2:5" ht="30" x14ac:dyDescent="0.25">
      <c r="B5" s="234">
        <v>2</v>
      </c>
      <c r="C5" s="210" t="s">
        <v>574</v>
      </c>
      <c r="E5" s="210" t="s">
        <v>563</v>
      </c>
    </row>
    <row r="6" spans="2:5" x14ac:dyDescent="0.25">
      <c r="D6" s="35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2:G125"/>
  <sheetViews>
    <sheetView tabSelected="1" zoomScale="85" zoomScaleNormal="85" workbookViewId="0">
      <selection activeCell="C86" sqref="C86"/>
    </sheetView>
  </sheetViews>
  <sheetFormatPr defaultColWidth="9.140625" defaultRowHeight="12.75" x14ac:dyDescent="0.2"/>
  <cols>
    <col min="1" max="1" width="47.7109375" style="4" customWidth="1"/>
    <col min="2" max="6" width="13.42578125" style="4" customWidth="1"/>
    <col min="7" max="7" width="72.28515625" style="4" customWidth="1"/>
    <col min="8" max="16384" width="9.140625" style="4"/>
  </cols>
  <sheetData>
    <row r="2" spans="1:7" ht="18.75" x14ac:dyDescent="0.3">
      <c r="A2" s="265" t="s">
        <v>367</v>
      </c>
    </row>
    <row r="4" spans="1:7" ht="15.75" x14ac:dyDescent="0.25">
      <c r="A4" s="20" t="s">
        <v>368</v>
      </c>
      <c r="E4" s="5"/>
      <c r="F4" s="5"/>
    </row>
    <row r="5" spans="1:7" x14ac:dyDescent="0.2">
      <c r="A5" s="373" t="s">
        <v>1</v>
      </c>
      <c r="B5" s="373" t="s">
        <v>668</v>
      </c>
      <c r="C5" s="373"/>
      <c r="D5" s="373"/>
      <c r="E5" s="373"/>
      <c r="F5" s="373"/>
      <c r="G5" s="374" t="s">
        <v>369</v>
      </c>
    </row>
    <row r="6" spans="1:7" ht="15.75" x14ac:dyDescent="0.25">
      <c r="A6" s="20" t="s">
        <v>576</v>
      </c>
      <c r="B6" s="4">
        <v>2014</v>
      </c>
      <c r="E6" s="5"/>
      <c r="F6" s="5"/>
      <c r="G6" s="4" t="s">
        <v>669</v>
      </c>
    </row>
    <row r="7" spans="1:7" ht="39" x14ac:dyDescent="0.25">
      <c r="A7" s="20" t="s">
        <v>577</v>
      </c>
      <c r="B7" s="359" t="s">
        <v>578</v>
      </c>
      <c r="E7" s="5"/>
      <c r="F7" s="5"/>
      <c r="G7" s="375" t="s">
        <v>670</v>
      </c>
    </row>
    <row r="8" spans="1:7" ht="15.75" x14ac:dyDescent="0.25">
      <c r="A8" s="20"/>
      <c r="E8" s="5"/>
      <c r="F8" s="5"/>
    </row>
    <row r="9" spans="1:7" x14ac:dyDescent="0.2">
      <c r="A9" s="291" t="s">
        <v>1</v>
      </c>
      <c r="B9" s="291"/>
      <c r="C9" s="291"/>
      <c r="D9" s="291"/>
      <c r="E9" s="291"/>
      <c r="F9" s="291"/>
      <c r="G9" s="291" t="s">
        <v>369</v>
      </c>
    </row>
    <row r="10" spans="1:7" x14ac:dyDescent="0.2">
      <c r="A10" s="21" t="s">
        <v>664</v>
      </c>
      <c r="B10" s="14"/>
      <c r="C10" s="14"/>
      <c r="D10" s="14"/>
      <c r="E10" s="7"/>
      <c r="F10" s="7"/>
      <c r="G10" s="379" t="s">
        <v>602</v>
      </c>
    </row>
    <row r="11" spans="1:7" ht="15" customHeight="1" x14ac:dyDescent="0.2">
      <c r="A11" s="11" t="s">
        <v>3</v>
      </c>
      <c r="B11" s="7">
        <f>COUNTIF('Vanpool ODs'!L:L,"Military")</f>
        <v>251</v>
      </c>
      <c r="C11" s="7"/>
      <c r="D11" s="7"/>
      <c r="E11" s="7"/>
      <c r="F11" s="7"/>
      <c r="G11" s="379"/>
    </row>
    <row r="12" spans="1:7" ht="15" customHeight="1" x14ac:dyDescent="0.2">
      <c r="A12" s="11" t="s">
        <v>4</v>
      </c>
      <c r="B12" s="7">
        <f>COUNTIF('Vanpool ODs'!L:L,"Federal")</f>
        <v>109</v>
      </c>
      <c r="C12" s="7"/>
      <c r="D12" s="7"/>
      <c r="E12" s="7"/>
      <c r="F12" s="7"/>
      <c r="G12" s="379"/>
    </row>
    <row r="13" spans="1:7" ht="15" customHeight="1" x14ac:dyDescent="0.2">
      <c r="A13" s="266" t="s">
        <v>5</v>
      </c>
      <c r="B13" s="267">
        <f>COUNTIF('Vanpool ODs'!L:L,"Non-Federal")</f>
        <v>339</v>
      </c>
      <c r="C13" s="267"/>
      <c r="D13" s="267"/>
      <c r="E13" s="267"/>
      <c r="F13" s="267"/>
      <c r="G13" s="380"/>
    </row>
    <row r="14" spans="1:7" x14ac:dyDescent="0.2">
      <c r="A14" s="22" t="s">
        <v>6</v>
      </c>
      <c r="B14" s="7"/>
      <c r="C14" s="7"/>
      <c r="D14" s="7"/>
      <c r="E14" s="7"/>
      <c r="F14" s="7"/>
      <c r="G14" s="384" t="s">
        <v>588</v>
      </c>
    </row>
    <row r="15" spans="1:7" ht="15" customHeight="1" x14ac:dyDescent="0.2">
      <c r="A15" s="11" t="s">
        <v>590</v>
      </c>
      <c r="B15" s="7"/>
      <c r="C15" s="7"/>
      <c r="D15" s="7"/>
      <c r="E15" s="7"/>
      <c r="F15" s="7"/>
      <c r="G15" s="379"/>
    </row>
    <row r="16" spans="1:7" ht="15" customHeight="1" x14ac:dyDescent="0.2">
      <c r="A16" s="13" t="s">
        <v>3</v>
      </c>
      <c r="B16" s="305">
        <f>AVERAGEIF('Vanpool ODs'!L:L,"Military",'Vanpool ODs'!H:H)</f>
        <v>125.29880478087649</v>
      </c>
      <c r="C16" s="7"/>
      <c r="D16" s="7"/>
      <c r="E16" s="7"/>
      <c r="F16" s="7"/>
      <c r="G16" s="379"/>
    </row>
    <row r="17" spans="1:7" ht="15" customHeight="1" x14ac:dyDescent="0.2">
      <c r="A17" s="13" t="s">
        <v>4</v>
      </c>
      <c r="B17" s="305">
        <f>AVERAGEIF('Vanpool ODs'!L:L,"Federal",'Vanpool ODs'!H:H)</f>
        <v>133.8440366972477</v>
      </c>
      <c r="C17" s="7"/>
      <c r="D17" s="7"/>
      <c r="E17" s="7"/>
      <c r="F17" s="7"/>
      <c r="G17" s="379"/>
    </row>
    <row r="18" spans="1:7" ht="15" customHeight="1" x14ac:dyDescent="0.2">
      <c r="A18" s="268" t="s">
        <v>5</v>
      </c>
      <c r="B18" s="306">
        <f>AVERAGEIF('Vanpool ODs'!L:L,"Non-Federal",'Vanpool ODs'!H:H)</f>
        <v>103.77286135693215</v>
      </c>
      <c r="C18" s="267"/>
      <c r="D18" s="267"/>
      <c r="E18" s="267"/>
      <c r="F18" s="267"/>
      <c r="G18" s="380"/>
    </row>
    <row r="19" spans="1:7" ht="25.5" x14ac:dyDescent="0.2">
      <c r="A19" s="11" t="s">
        <v>589</v>
      </c>
      <c r="B19" s="7"/>
      <c r="C19" s="7"/>
      <c r="D19" s="7"/>
      <c r="E19" s="7"/>
      <c r="F19" s="7"/>
      <c r="G19" s="384" t="s">
        <v>591</v>
      </c>
    </row>
    <row r="20" spans="1:7" ht="15" customHeight="1" x14ac:dyDescent="0.2">
      <c r="A20" s="13" t="s">
        <v>3</v>
      </c>
      <c r="B20" s="305">
        <f>AVERAGEIF('Vanpool ODs'!L:L,"Military",'Vanpool ODs'!W:W)</f>
        <v>107.77636639692423</v>
      </c>
      <c r="C20" s="7"/>
      <c r="D20" s="7"/>
      <c r="E20" s="7"/>
      <c r="F20" s="7"/>
      <c r="G20" s="385"/>
    </row>
    <row r="21" spans="1:7" ht="15" customHeight="1" x14ac:dyDescent="0.2">
      <c r="A21" s="13" t="s">
        <v>4</v>
      </c>
      <c r="B21" s="305">
        <f>AVERAGEIF('Vanpool ODs'!L:L,"Federal",'Vanpool ODs'!W:W)</f>
        <v>122.02303248345888</v>
      </c>
      <c r="C21" s="7"/>
      <c r="D21" s="7"/>
      <c r="E21" s="7"/>
      <c r="F21" s="7"/>
      <c r="G21" s="385"/>
    </row>
    <row r="22" spans="1:7" ht="15" customHeight="1" x14ac:dyDescent="0.2">
      <c r="A22" s="268" t="s">
        <v>5</v>
      </c>
      <c r="B22" s="306">
        <f>AVERAGEIF('Vanpool ODs'!L:L,"Non-Federal",'Vanpool ODs'!W:W)</f>
        <v>88.226204317803408</v>
      </c>
      <c r="C22" s="267"/>
      <c r="D22" s="267"/>
      <c r="E22" s="267"/>
      <c r="F22" s="267"/>
      <c r="G22" s="380"/>
    </row>
    <row r="23" spans="1:7" x14ac:dyDescent="0.2">
      <c r="A23" s="11" t="s">
        <v>371</v>
      </c>
      <c r="B23" s="7"/>
      <c r="C23" s="7"/>
      <c r="D23" s="7"/>
      <c r="E23" s="7"/>
      <c r="F23" s="7"/>
      <c r="G23" s="379" t="s">
        <v>587</v>
      </c>
    </row>
    <row r="24" spans="1:7" x14ac:dyDescent="0.2">
      <c r="A24" s="13" t="s">
        <v>3</v>
      </c>
      <c r="B24" s="15">
        <f>COUNTIFS('Vanpool ODs'!L:L,"Military",'Vanpool ODs'!J:J,"&lt;="&amp;9)/B11</f>
        <v>0.93625498007968122</v>
      </c>
      <c r="C24" s="15"/>
      <c r="D24" s="15"/>
      <c r="E24" s="7"/>
      <c r="F24" s="7"/>
      <c r="G24" s="379"/>
    </row>
    <row r="25" spans="1:7" x14ac:dyDescent="0.2">
      <c r="A25" s="13" t="s">
        <v>4</v>
      </c>
      <c r="B25" s="15">
        <f>COUNTIFS('Vanpool ODs'!L:L,"Federal",'Vanpool ODs'!J:J,"&lt;="&amp;9)/B12</f>
        <v>0.85321100917431192</v>
      </c>
      <c r="C25" s="15"/>
      <c r="D25" s="15"/>
      <c r="E25" s="7"/>
      <c r="F25" s="7"/>
      <c r="G25" s="379"/>
    </row>
    <row r="26" spans="1:7" x14ac:dyDescent="0.2">
      <c r="A26" s="268" t="s">
        <v>5</v>
      </c>
      <c r="B26" s="269">
        <f>COUNTIFS('Vanpool ODs'!L:L,"Non-Federal",'Vanpool ODs'!J:J,"&lt;="&amp;9)/B13</f>
        <v>0.80530973451327437</v>
      </c>
      <c r="C26" s="269"/>
      <c r="D26" s="269"/>
      <c r="E26" s="267"/>
      <c r="F26" s="267"/>
      <c r="G26" s="380"/>
    </row>
    <row r="27" spans="1:7" x14ac:dyDescent="0.2">
      <c r="A27" s="11" t="s">
        <v>592</v>
      </c>
      <c r="B27" s="15"/>
      <c r="C27" s="15"/>
      <c r="D27" s="15"/>
      <c r="E27" s="7"/>
      <c r="F27" s="7"/>
      <c r="G27" s="379" t="s">
        <v>587</v>
      </c>
    </row>
    <row r="28" spans="1:7" x14ac:dyDescent="0.2">
      <c r="A28" s="13" t="s">
        <v>3</v>
      </c>
      <c r="B28" s="79">
        <f>AVERAGEIF('Vanpool ODs'!L:L,"Military",'Vanpool ODs'!J:J)</f>
        <v>7.4661354581673303</v>
      </c>
      <c r="C28" s="15"/>
      <c r="D28" s="15"/>
      <c r="E28" s="7"/>
      <c r="F28" s="7"/>
      <c r="G28" s="379"/>
    </row>
    <row r="29" spans="1:7" x14ac:dyDescent="0.2">
      <c r="A29" s="13" t="s">
        <v>4</v>
      </c>
      <c r="B29" s="79">
        <f>AVERAGEIF('Vanpool ODs'!L:L,"Federal",'Vanpool ODs'!J:J)</f>
        <v>7.8623853211009171</v>
      </c>
      <c r="C29" s="15"/>
      <c r="D29" s="15"/>
      <c r="E29" s="7"/>
      <c r="F29" s="7"/>
      <c r="G29" s="379"/>
    </row>
    <row r="30" spans="1:7" x14ac:dyDescent="0.2">
      <c r="A30" s="268" t="s">
        <v>5</v>
      </c>
      <c r="B30" s="275">
        <f>AVERAGEIF('Vanpool ODs'!L:L,"Non-Federal",'Vanpool ODs'!J:J)</f>
        <v>8.0973451327433636</v>
      </c>
      <c r="C30" s="269"/>
      <c r="D30" s="269"/>
      <c r="E30" s="267"/>
      <c r="F30" s="267"/>
      <c r="G30" s="380"/>
    </row>
    <row r="31" spans="1:7" ht="12.75" customHeight="1" x14ac:dyDescent="0.2">
      <c r="A31" s="11" t="s">
        <v>593</v>
      </c>
      <c r="B31" s="7"/>
      <c r="C31" s="7"/>
      <c r="D31" s="7"/>
      <c r="E31" s="7"/>
      <c r="F31" s="7"/>
      <c r="G31" s="384" t="s">
        <v>594</v>
      </c>
    </row>
    <row r="32" spans="1:7" ht="15" customHeight="1" x14ac:dyDescent="0.2">
      <c r="A32" s="13" t="s">
        <v>3</v>
      </c>
      <c r="B32" s="15"/>
      <c r="C32" s="15"/>
      <c r="D32" s="15"/>
      <c r="E32" s="7"/>
      <c r="F32" s="7"/>
      <c r="G32" s="385"/>
    </row>
    <row r="33" spans="1:7" ht="15" customHeight="1" x14ac:dyDescent="0.2">
      <c r="A33" s="13" t="s">
        <v>4</v>
      </c>
      <c r="B33" s="15"/>
      <c r="C33" s="15"/>
      <c r="D33" s="15"/>
      <c r="E33" s="7"/>
      <c r="F33" s="7"/>
      <c r="G33" s="385"/>
    </row>
    <row r="34" spans="1:7" ht="15" customHeight="1" x14ac:dyDescent="0.2">
      <c r="A34" s="13" t="s">
        <v>5</v>
      </c>
      <c r="B34" s="15"/>
      <c r="C34" s="15"/>
      <c r="D34" s="15"/>
      <c r="E34" s="7"/>
      <c r="F34" s="7"/>
      <c r="G34" s="385"/>
    </row>
    <row r="35" spans="1:7" ht="15" customHeight="1" x14ac:dyDescent="0.2">
      <c r="A35" s="268" t="s">
        <v>78</v>
      </c>
      <c r="B35" s="270">
        <v>0.73</v>
      </c>
      <c r="C35" s="271"/>
      <c r="D35" s="271"/>
      <c r="E35" s="272"/>
      <c r="F35" s="272"/>
      <c r="G35" s="380"/>
    </row>
    <row r="36" spans="1:7" s="18" customFormat="1" ht="15" customHeight="1" x14ac:dyDescent="0.2">
      <c r="A36" s="294" t="s">
        <v>374</v>
      </c>
      <c r="B36" s="38"/>
      <c r="C36" s="16"/>
      <c r="D36" s="16"/>
      <c r="E36" s="17"/>
      <c r="F36" s="17"/>
      <c r="G36" s="357" t="s">
        <v>597</v>
      </c>
    </row>
    <row r="37" spans="1:7" s="18" customFormat="1" ht="12.75" customHeight="1" x14ac:dyDescent="0.2">
      <c r="A37" s="13" t="s">
        <v>3</v>
      </c>
      <c r="B37" s="55">
        <f>B28*B35</f>
        <v>5.4502788844621506</v>
      </c>
      <c r="C37" s="16"/>
      <c r="D37" s="16"/>
      <c r="E37" s="17"/>
      <c r="F37" s="17"/>
      <c r="G37" s="19"/>
    </row>
    <row r="38" spans="1:7" s="18" customFormat="1" ht="12.75" customHeight="1" x14ac:dyDescent="0.2">
      <c r="A38" s="13" t="s">
        <v>4</v>
      </c>
      <c r="B38" s="55">
        <f>B29*B35</f>
        <v>5.7395412844036695</v>
      </c>
      <c r="C38" s="16"/>
      <c r="D38" s="16"/>
      <c r="E38" s="17"/>
      <c r="F38" s="17"/>
      <c r="G38" s="19"/>
    </row>
    <row r="39" spans="1:7" s="18" customFormat="1" ht="12.75" customHeight="1" x14ac:dyDescent="0.2">
      <c r="A39" s="268" t="s">
        <v>5</v>
      </c>
      <c r="B39" s="273">
        <f>B30*B35</f>
        <v>5.9110619469026551</v>
      </c>
      <c r="C39" s="271"/>
      <c r="D39" s="271"/>
      <c r="E39" s="272"/>
      <c r="F39" s="272"/>
      <c r="G39" s="274"/>
    </row>
    <row r="40" spans="1:7" s="18" customFormat="1" ht="15" customHeight="1" x14ac:dyDescent="0.2">
      <c r="A40" s="294" t="s">
        <v>375</v>
      </c>
      <c r="B40" s="38"/>
      <c r="C40" s="16"/>
      <c r="D40" s="16"/>
      <c r="E40" s="17"/>
      <c r="F40" s="17"/>
      <c r="G40" s="357" t="s">
        <v>596</v>
      </c>
    </row>
    <row r="41" spans="1:7" s="18" customFormat="1" ht="12.75" customHeight="1" x14ac:dyDescent="0.2">
      <c r="A41" s="13" t="s">
        <v>3</v>
      </c>
      <c r="B41" s="55">
        <f>B37-1</f>
        <v>4.4502788844621506</v>
      </c>
      <c r="C41" s="16"/>
      <c r="D41" s="16"/>
      <c r="E41" s="17"/>
      <c r="F41" s="17"/>
      <c r="G41" s="19"/>
    </row>
    <row r="42" spans="1:7" s="18" customFormat="1" ht="12.75" customHeight="1" x14ac:dyDescent="0.2">
      <c r="A42" s="13" t="s">
        <v>4</v>
      </c>
      <c r="B42" s="55">
        <f t="shared" ref="B42:B43" si="0">B38-1</f>
        <v>4.7395412844036695</v>
      </c>
      <c r="C42" s="16"/>
      <c r="D42" s="16"/>
      <c r="E42" s="17"/>
      <c r="F42" s="17"/>
      <c r="G42" s="19"/>
    </row>
    <row r="43" spans="1:7" s="18" customFormat="1" ht="12.75" customHeight="1" x14ac:dyDescent="0.2">
      <c r="A43" s="268" t="s">
        <v>5</v>
      </c>
      <c r="B43" s="273">
        <f t="shared" si="0"/>
        <v>4.9110619469026551</v>
      </c>
      <c r="C43" s="271"/>
      <c r="D43" s="271"/>
      <c r="E43" s="272"/>
      <c r="F43" s="272"/>
      <c r="G43" s="274"/>
    </row>
    <row r="44" spans="1:7" s="18" customFormat="1" ht="27" customHeight="1" x14ac:dyDescent="0.2">
      <c r="A44" s="11" t="s">
        <v>598</v>
      </c>
      <c r="B44" s="39" t="s">
        <v>71</v>
      </c>
      <c r="C44" s="39" t="s">
        <v>72</v>
      </c>
      <c r="D44" s="16"/>
      <c r="E44" s="17"/>
      <c r="F44" s="17"/>
      <c r="G44" s="19"/>
    </row>
    <row r="45" spans="1:7" x14ac:dyDescent="0.2">
      <c r="A45" s="13">
        <v>2016</v>
      </c>
      <c r="B45" s="80">
        <v>400</v>
      </c>
      <c r="C45" s="80">
        <v>400</v>
      </c>
      <c r="D45" s="15"/>
      <c r="E45" s="7"/>
      <c r="F45" s="7"/>
      <c r="G45" s="4" t="s">
        <v>595</v>
      </c>
    </row>
    <row r="46" spans="1:7" ht="25.5" x14ac:dyDescent="0.2">
      <c r="A46" s="268" t="s">
        <v>75</v>
      </c>
      <c r="B46" s="276">
        <v>400</v>
      </c>
      <c r="C46" s="276">
        <v>400</v>
      </c>
      <c r="D46" s="269"/>
      <c r="E46" s="267"/>
      <c r="F46" s="267"/>
      <c r="G46" s="274" t="s">
        <v>599</v>
      </c>
    </row>
    <row r="47" spans="1:7" x14ac:dyDescent="0.2">
      <c r="A47" s="13"/>
      <c r="B47" s="37"/>
      <c r="C47" s="15"/>
      <c r="D47" s="15"/>
      <c r="E47" s="7"/>
      <c r="F47" s="7"/>
      <c r="G47" s="19"/>
    </row>
    <row r="48" spans="1:7" x14ac:dyDescent="0.2">
      <c r="A48" s="13"/>
      <c r="B48" s="37"/>
      <c r="C48" s="15"/>
      <c r="D48" s="15"/>
      <c r="E48" s="7"/>
      <c r="F48" s="7"/>
    </row>
    <row r="49" spans="1:7" ht="15.75" customHeight="1" x14ac:dyDescent="0.25">
      <c r="A49" s="386" t="s">
        <v>648</v>
      </c>
      <c r="B49" s="386"/>
      <c r="C49" s="386"/>
      <c r="D49" s="386"/>
      <c r="E49" s="386"/>
      <c r="F49" s="386"/>
      <c r="G49" s="386"/>
    </row>
    <row r="50" spans="1:7" x14ac:dyDescent="0.2">
      <c r="A50" s="6"/>
      <c r="B50" s="23"/>
      <c r="C50" s="23"/>
      <c r="D50" s="23"/>
      <c r="E50" s="23"/>
      <c r="F50" s="23"/>
      <c r="G50" s="3"/>
    </row>
    <row r="51" spans="1:7" x14ac:dyDescent="0.2">
      <c r="A51" s="6"/>
      <c r="B51" s="23"/>
      <c r="C51" s="23"/>
      <c r="D51" s="23"/>
      <c r="E51" s="23"/>
      <c r="F51" s="23"/>
      <c r="G51" s="3"/>
    </row>
    <row r="52" spans="1:7" ht="15" customHeight="1" x14ac:dyDescent="0.25">
      <c r="A52" s="280" t="s">
        <v>647</v>
      </c>
      <c r="B52" s="277"/>
      <c r="C52" s="278"/>
      <c r="D52" s="278"/>
      <c r="E52" s="278"/>
      <c r="F52" s="278"/>
      <c r="G52" s="279"/>
    </row>
    <row r="53" spans="1:7" ht="30" customHeight="1" x14ac:dyDescent="0.2">
      <c r="A53" s="12"/>
      <c r="B53" s="388" t="s">
        <v>651</v>
      </c>
      <c r="C53" s="389"/>
      <c r="D53" s="389"/>
      <c r="E53" s="389"/>
      <c r="F53" s="389"/>
      <c r="G53" s="387" t="s">
        <v>370</v>
      </c>
    </row>
    <row r="54" spans="1:7" ht="12.75" customHeight="1" x14ac:dyDescent="0.2">
      <c r="A54" s="81" t="s">
        <v>107</v>
      </c>
      <c r="B54" s="60">
        <v>2016</v>
      </c>
      <c r="C54" s="60">
        <v>2020</v>
      </c>
      <c r="D54" s="60">
        <v>2025</v>
      </c>
      <c r="E54" s="60">
        <v>2035</v>
      </c>
      <c r="F54" s="60">
        <v>2050</v>
      </c>
      <c r="G54" s="387"/>
    </row>
    <row r="55" spans="1:7" ht="12.75" customHeight="1" x14ac:dyDescent="0.2">
      <c r="A55" s="11" t="s">
        <v>3</v>
      </c>
      <c r="B55" s="45">
        <f>B11</f>
        <v>251</v>
      </c>
      <c r="C55" s="45">
        <f>'Vanpool Demand - Employment'!P55</f>
        <v>251</v>
      </c>
      <c r="D55" s="45">
        <f>'Vanpool Demand - Employment'!P75</f>
        <v>252</v>
      </c>
      <c r="E55" s="45">
        <f>'Vanpool Demand - Employment'!P95</f>
        <v>258</v>
      </c>
      <c r="F55" s="45">
        <f>'Vanpool Demand - Employment'!P115</f>
        <v>264.00000000000006</v>
      </c>
      <c r="G55" s="387"/>
    </row>
    <row r="56" spans="1:7" ht="12.75" customHeight="1" x14ac:dyDescent="0.2">
      <c r="A56" s="11" t="s">
        <v>4</v>
      </c>
      <c r="B56" s="45">
        <f>B12</f>
        <v>109</v>
      </c>
      <c r="C56" s="45">
        <f>'Vanpool Demand - Employment'!AF55</f>
        <v>109</v>
      </c>
      <c r="D56" s="4">
        <f>'Vanpool Demand - Employment'!AF75</f>
        <v>112</v>
      </c>
      <c r="E56" s="45">
        <f>'Vanpool Demand - Employment'!AF95</f>
        <v>125</v>
      </c>
      <c r="F56" s="45">
        <f>'Vanpool Demand - Employment'!AF115</f>
        <v>143</v>
      </c>
      <c r="G56" s="387"/>
    </row>
    <row r="57" spans="1:7" ht="12.75" customHeight="1" x14ac:dyDescent="0.2">
      <c r="A57" s="11" t="s">
        <v>5</v>
      </c>
      <c r="B57" s="45">
        <f>B13</f>
        <v>339</v>
      </c>
      <c r="C57" s="45">
        <f>'Vanpool Demand - Employment'!AV55</f>
        <v>339.99999999999994</v>
      </c>
      <c r="D57" s="4">
        <f>'Vanpool Demand - Employment'!AV75</f>
        <v>349.00000000000006</v>
      </c>
      <c r="E57" s="45">
        <f>'Vanpool Demand - Employment'!AV95</f>
        <v>380.00000000000006</v>
      </c>
      <c r="F57" s="45">
        <f>'Vanpool Demand - Employment'!AV115</f>
        <v>415.99999999999994</v>
      </c>
      <c r="G57" s="387"/>
    </row>
    <row r="58" spans="1:7" ht="12.75" customHeight="1" x14ac:dyDescent="0.2">
      <c r="A58" s="84" t="s">
        <v>66</v>
      </c>
      <c r="B58" s="45">
        <f>SUM(B55:B57)</f>
        <v>699</v>
      </c>
      <c r="C58" s="45">
        <f t="shared" ref="C58:F58" si="1">SUM(C55:C57)</f>
        <v>700</v>
      </c>
      <c r="D58" s="338">
        <f t="shared" si="1"/>
        <v>713</v>
      </c>
      <c r="E58" s="45">
        <f t="shared" si="1"/>
        <v>763</v>
      </c>
      <c r="F58" s="45">
        <f t="shared" si="1"/>
        <v>823</v>
      </c>
      <c r="G58" s="387"/>
    </row>
    <row r="59" spans="1:7" x14ac:dyDescent="0.2">
      <c r="A59" s="11"/>
      <c r="B59" s="45"/>
      <c r="C59" s="45"/>
      <c r="D59" s="45"/>
      <c r="E59" s="45"/>
      <c r="F59" s="45"/>
    </row>
    <row r="60" spans="1:7" ht="15" customHeight="1" x14ac:dyDescent="0.25">
      <c r="A60" s="280" t="s">
        <v>605</v>
      </c>
      <c r="B60" s="280"/>
      <c r="C60" s="278"/>
      <c r="D60" s="278"/>
      <c r="E60" s="278"/>
      <c r="F60" s="278"/>
      <c r="G60" s="281"/>
    </row>
    <row r="61" spans="1:7" ht="30" customHeight="1" x14ac:dyDescent="0.2">
      <c r="A61" s="11"/>
      <c r="B61" s="388" t="s">
        <v>652</v>
      </c>
      <c r="C61" s="389"/>
      <c r="D61" s="389"/>
      <c r="E61" s="389"/>
      <c r="F61" s="389"/>
      <c r="G61" s="387" t="s">
        <v>649</v>
      </c>
    </row>
    <row r="62" spans="1:7" ht="12.75" customHeight="1" x14ac:dyDescent="0.2">
      <c r="A62" s="81" t="s">
        <v>107</v>
      </c>
      <c r="B62" s="23">
        <v>2016</v>
      </c>
      <c r="C62" s="23">
        <v>2020</v>
      </c>
      <c r="D62" s="23">
        <v>2025</v>
      </c>
      <c r="E62" s="23">
        <v>2035</v>
      </c>
      <c r="F62" s="23">
        <v>2050</v>
      </c>
      <c r="G62" s="387"/>
    </row>
    <row r="63" spans="1:7" ht="12.75" customHeight="1" x14ac:dyDescent="0.2">
      <c r="A63" s="11" t="s">
        <v>3</v>
      </c>
      <c r="B63" s="45">
        <f>B55</f>
        <v>251</v>
      </c>
      <c r="C63" s="45">
        <f>SUMPRODUCT('Vanpool Demand - Employment'!C43:N54,'Vanpool Demand - ML (Mil)'!C99:N110)</f>
        <v>314.7470758567739</v>
      </c>
      <c r="D63" s="45">
        <f>SUMPRODUCT('Vanpool Demand - Employment'!C63:N74,'Vanpool Demand - ML (Mil)'!Q99:AB110)</f>
        <v>316.89175145324833</v>
      </c>
      <c r="E63" s="45">
        <f>SUMPRODUCT('Vanpool Demand - Employment'!C83:N94,'Vanpool Demand - ML (Mil)'!AE99:AP110)</f>
        <v>339.69214177172506</v>
      </c>
      <c r="F63" s="45">
        <f>SUMPRODUCT('Vanpool Demand - Employment'!C103:N114,'Vanpool Demand - ML (Mil)'!AS99:BD110)</f>
        <v>359.5128501665817</v>
      </c>
      <c r="G63" s="387"/>
    </row>
    <row r="64" spans="1:7" ht="12.75" customHeight="1" x14ac:dyDescent="0.2">
      <c r="A64" s="11" t="s">
        <v>4</v>
      </c>
      <c r="B64" s="45">
        <f>B56</f>
        <v>109</v>
      </c>
      <c r="C64" s="45">
        <f>SUMPRODUCT('Vanpool Demand - Employment'!S43:AD54,'Vanpool Demand - ML (Non-Mil)'!C101:N112)</f>
        <v>129.97860437080857</v>
      </c>
      <c r="D64" s="45">
        <f>SUMPRODUCT('Vanpool Demand - Employment'!S63:AD74,'Vanpool Demand - ML (Non-Mil)'!Q101:AB112)</f>
        <v>135.33476282715176</v>
      </c>
      <c r="E64" s="45">
        <f>SUMPRODUCT('Vanpool Demand - Employment'!S83:AD94,'Vanpool Demand - ML (Non-Mil)'!AE101:AP112)</f>
        <v>158.37862709397146</v>
      </c>
      <c r="F64" s="45">
        <f>SUMPRODUCT('Vanpool Demand - Employment'!S103:AD114,'Vanpool Demand - ML (Non-Mil)'!AS101:BD112)</f>
        <v>187.90895298961769</v>
      </c>
      <c r="G64" s="387"/>
    </row>
    <row r="65" spans="1:7" ht="12.75" customHeight="1" x14ac:dyDescent="0.2">
      <c r="A65" s="11" t="s">
        <v>5</v>
      </c>
      <c r="B65" s="45">
        <f>B57</f>
        <v>339</v>
      </c>
      <c r="C65" s="45">
        <f>SUMPRODUCT('Vanpool Demand - Employment'!AI43:AT54,'Vanpool Demand - ML (Non-Mil)'!C101:N112)</f>
        <v>398.2109622623048</v>
      </c>
      <c r="D65" s="45">
        <f>SUMPRODUCT('Vanpool Demand - Employment'!AI63:AT74,'Vanpool Demand - ML (Non-Mil)'!Q101:AB112)</f>
        <v>419.23063701581009</v>
      </c>
      <c r="E65" s="45">
        <f>SUMPRODUCT('Vanpool Demand - Employment'!AI83:AT94,'Vanpool Demand - ML (Non-Mil)'!AE101:AP112)</f>
        <v>475.12554349273353</v>
      </c>
      <c r="F65" s="45">
        <f>SUMPRODUCT('Vanpool Demand - Employment'!AI103:AT114,'Vanpool Demand - ML (Non-Mil)'!AS101:BD112)</f>
        <v>536.16772095233057</v>
      </c>
      <c r="G65" s="387"/>
    </row>
    <row r="66" spans="1:7" ht="12.75" customHeight="1" x14ac:dyDescent="0.2">
      <c r="A66" s="84" t="s">
        <v>66</v>
      </c>
      <c r="B66" s="45">
        <f>SUM(B63:B65)</f>
        <v>699</v>
      </c>
      <c r="C66" s="45">
        <f t="shared" ref="C66" si="2">SUM(C63:C65)</f>
        <v>842.93664248988728</v>
      </c>
      <c r="D66" s="45">
        <f t="shared" ref="D66" si="3">SUM(D63:D65)</f>
        <v>871.45715129621021</v>
      </c>
      <c r="E66" s="45">
        <f t="shared" ref="E66" si="4">SUM(E63:E65)</f>
        <v>973.19631235843008</v>
      </c>
      <c r="F66" s="45">
        <f t="shared" ref="F66" si="5">SUM(F63:F65)</f>
        <v>1083.58952410853</v>
      </c>
      <c r="G66" s="387"/>
    </row>
    <row r="67" spans="1:7" x14ac:dyDescent="0.2">
      <c r="A67" s="11"/>
      <c r="B67" s="45"/>
      <c r="C67" s="45"/>
      <c r="D67" s="45"/>
      <c r="E67" s="45"/>
      <c r="F67" s="45"/>
    </row>
    <row r="68" spans="1:7" ht="15" customHeight="1" x14ac:dyDescent="0.25">
      <c r="A68" s="280" t="s">
        <v>606</v>
      </c>
      <c r="B68" s="280"/>
      <c r="C68" s="278"/>
      <c r="D68" s="278"/>
      <c r="E68" s="278"/>
      <c r="F68" s="278"/>
      <c r="G68" s="281"/>
    </row>
    <row r="69" spans="1:7" ht="30" customHeight="1" x14ac:dyDescent="0.2">
      <c r="A69" s="11"/>
      <c r="B69" s="381" t="s">
        <v>653</v>
      </c>
      <c r="C69" s="382"/>
      <c r="D69" s="382"/>
      <c r="E69" s="382"/>
      <c r="F69" s="382"/>
      <c r="G69" s="383" t="s">
        <v>650</v>
      </c>
    </row>
    <row r="70" spans="1:7" ht="12.75" customHeight="1" x14ac:dyDescent="0.2">
      <c r="A70" s="81" t="s">
        <v>107</v>
      </c>
      <c r="B70" s="23">
        <v>2016</v>
      </c>
      <c r="C70" s="23">
        <v>2020</v>
      </c>
      <c r="D70" s="23">
        <v>2025</v>
      </c>
      <c r="E70" s="23">
        <v>2035</v>
      </c>
      <c r="F70" s="23">
        <v>2050</v>
      </c>
      <c r="G70" s="383"/>
    </row>
    <row r="71" spans="1:7" ht="12.75" customHeight="1" x14ac:dyDescent="0.2">
      <c r="A71" s="11" t="s">
        <v>3</v>
      </c>
      <c r="B71" s="70"/>
      <c r="C71" s="70"/>
      <c r="D71" s="70"/>
      <c r="E71" s="70"/>
      <c r="F71" s="70"/>
      <c r="G71" s="383"/>
    </row>
    <row r="72" spans="1:7" ht="12.75" customHeight="1" x14ac:dyDescent="0.2">
      <c r="A72" s="13" t="s">
        <v>372</v>
      </c>
      <c r="B72" s="287">
        <v>0</v>
      </c>
      <c r="C72" s="287">
        <v>0</v>
      </c>
      <c r="D72" s="287">
        <v>0</v>
      </c>
      <c r="E72" s="287">
        <v>0</v>
      </c>
      <c r="F72" s="287">
        <v>0</v>
      </c>
      <c r="G72" s="383"/>
    </row>
    <row r="73" spans="1:7" ht="12.75" customHeight="1" x14ac:dyDescent="0.2">
      <c r="A73" s="13" t="s">
        <v>373</v>
      </c>
      <c r="B73" s="287">
        <v>0</v>
      </c>
      <c r="C73" s="287">
        <v>0</v>
      </c>
      <c r="D73" s="287">
        <v>0</v>
      </c>
      <c r="E73" s="287">
        <v>0</v>
      </c>
      <c r="F73" s="287">
        <v>0</v>
      </c>
      <c r="G73" s="383"/>
    </row>
    <row r="74" spans="1:7" ht="12.75" customHeight="1" x14ac:dyDescent="0.2">
      <c r="A74" s="11" t="s">
        <v>4</v>
      </c>
      <c r="B74" s="70"/>
      <c r="C74" s="282"/>
      <c r="D74" s="51"/>
      <c r="E74" s="51"/>
      <c r="F74" s="51"/>
      <c r="G74" s="383"/>
    </row>
    <row r="75" spans="1:7" ht="12.75" customHeight="1" x14ac:dyDescent="0.2">
      <c r="A75" s="13" t="s">
        <v>372</v>
      </c>
      <c r="B75" s="287">
        <v>0</v>
      </c>
      <c r="C75" s="283">
        <f>IFERROR(AVERAGEIF('Vanpool Demand - Subsidy'!D80:D82,"&gt;0",'Vanpool Demand - Subsidy'!D80:D82),0)</f>
        <v>0</v>
      </c>
      <c r="D75" s="283">
        <f>IFERROR(AVERAGEIF('Vanpool Demand - Subsidy'!D80:D82,"&gt;0",'Vanpool Demand - Subsidy'!D80:D82),0)</f>
        <v>0</v>
      </c>
      <c r="E75" s="283">
        <f>IFERROR(AVERAGEIF('Vanpool Demand - Subsidy'!D80:D82,"&gt;0",'Vanpool Demand - Subsidy'!D80:D82),0)</f>
        <v>0</v>
      </c>
      <c r="F75" s="283">
        <f>IFERROR(AVERAGEIF('Vanpool Demand - Subsidy'!D80:D82,"&gt;0",'Vanpool Demand - Subsidy'!D80:D82),0)</f>
        <v>0</v>
      </c>
      <c r="G75" s="383"/>
    </row>
    <row r="76" spans="1:7" ht="12.75" customHeight="1" x14ac:dyDescent="0.2">
      <c r="A76" s="13" t="s">
        <v>373</v>
      </c>
      <c r="B76" s="287">
        <v>0</v>
      </c>
      <c r="C76" s="283">
        <f>IFERROR(AVERAGEIF('Vanpool Demand - Subsidy'!D83:D88,"&gt;0",'Vanpool Demand - Subsidy'!D83:D88),0)</f>
        <v>0</v>
      </c>
      <c r="D76" s="283">
        <f>IFERROR(AVERAGEIF('Vanpool Demand - Subsidy'!D83:D88,"&gt;0",'Vanpool Demand - Subsidy'!D83:D88),0)</f>
        <v>0</v>
      </c>
      <c r="E76" s="283">
        <f>IFERROR(AVERAGEIF('Vanpool Demand - Subsidy'!D83:D88,"&gt;0",'Vanpool Demand - Subsidy'!D83:D88),0)</f>
        <v>0</v>
      </c>
      <c r="F76" s="283">
        <f>IFERROR(AVERAGEIF('Vanpool Demand - Subsidy'!D83:D88,"&gt;0",'Vanpool Demand - Subsidy'!D83:D88),0)</f>
        <v>0</v>
      </c>
      <c r="G76" s="383"/>
    </row>
    <row r="77" spans="1:7" ht="12.75" customHeight="1" x14ac:dyDescent="0.2">
      <c r="A77" s="11" t="s">
        <v>5</v>
      </c>
      <c r="B77" s="70"/>
      <c r="C77" s="51"/>
      <c r="D77" s="51"/>
      <c r="E77" s="51"/>
      <c r="F77" s="51"/>
      <c r="G77" s="383"/>
    </row>
    <row r="78" spans="1:7" ht="12.75" customHeight="1" x14ac:dyDescent="0.2">
      <c r="A78" s="13" t="s">
        <v>372</v>
      </c>
      <c r="B78" s="287">
        <v>0</v>
      </c>
      <c r="C78" s="283">
        <f>IFERROR(AVERAGEIF('Vanpool Demand - Subsidy'!E80:E82,"&gt;0",'Vanpool Demand - Subsidy'!E80:E82),0)</f>
        <v>0</v>
      </c>
      <c r="D78" s="283">
        <f>IFERROR(AVERAGEIF('Vanpool Demand - Subsidy'!E80:E82,"&gt;0",'Vanpool Demand - Subsidy'!E80:E82),0)</f>
        <v>0</v>
      </c>
      <c r="E78" s="283">
        <f>IFERROR(AVERAGEIF('Vanpool Demand - Subsidy'!E80:E82,"&gt;0",'Vanpool Demand - Subsidy'!E80:E82),0)</f>
        <v>0</v>
      </c>
      <c r="F78" s="283">
        <f>IFERROR(AVERAGEIF('Vanpool Demand - Subsidy'!E80:E82,"&gt;0",'Vanpool Demand - Subsidy'!E80:E82),0)</f>
        <v>0</v>
      </c>
      <c r="G78" s="383"/>
    </row>
    <row r="79" spans="1:7" ht="12.75" customHeight="1" x14ac:dyDescent="0.2">
      <c r="A79" s="13" t="s">
        <v>373</v>
      </c>
      <c r="B79" s="287">
        <v>0</v>
      </c>
      <c r="C79" s="283">
        <f>IFERROR(AVERAGEIF('Vanpool Demand - Subsidy'!E83:E88,"&gt;0",'Vanpool Demand - Subsidy'!E83:E88),0)</f>
        <v>0</v>
      </c>
      <c r="D79" s="283">
        <f>IFERROR(AVERAGEIF('Vanpool Demand - Subsidy'!E83:E88,"&gt;0",'Vanpool Demand - Subsidy'!E83:E88),0)</f>
        <v>0</v>
      </c>
      <c r="E79" s="283">
        <f>IFERROR(AVERAGEIF('Vanpool Demand - Subsidy'!E83:E88,"&gt;0",'Vanpool Demand - Subsidy'!E83:E88),0)</f>
        <v>0</v>
      </c>
      <c r="F79" s="283">
        <f>IFERROR(AVERAGEIF('Vanpool Demand - Subsidy'!E83:E88,"&gt;0",'Vanpool Demand - Subsidy'!E83:E88),0)</f>
        <v>0</v>
      </c>
      <c r="G79" s="383"/>
    </row>
    <row r="80" spans="1:7" ht="30" customHeight="1" x14ac:dyDescent="0.2">
      <c r="A80" s="12"/>
      <c r="B80" s="381" t="s">
        <v>654</v>
      </c>
      <c r="C80" s="382"/>
      <c r="D80" s="382"/>
      <c r="E80" s="382"/>
      <c r="F80" s="382"/>
      <c r="G80" s="383"/>
    </row>
    <row r="81" spans="1:7" x14ac:dyDescent="0.2">
      <c r="A81" s="12"/>
      <c r="B81" s="60">
        <v>2016</v>
      </c>
      <c r="C81" s="60">
        <v>2020</v>
      </c>
      <c r="D81" s="60">
        <v>2025</v>
      </c>
      <c r="E81" s="60">
        <v>2035</v>
      </c>
      <c r="F81" s="60">
        <v>2050</v>
      </c>
      <c r="G81" s="383"/>
    </row>
    <row r="82" spans="1:7" x14ac:dyDescent="0.2">
      <c r="A82" s="11" t="s">
        <v>3</v>
      </c>
      <c r="B82" s="70"/>
      <c r="C82" s="70"/>
      <c r="D82" s="70"/>
      <c r="E82" s="70"/>
      <c r="F82" s="70"/>
      <c r="G82" s="383"/>
    </row>
    <row r="83" spans="1:7" x14ac:dyDescent="0.2">
      <c r="A83" s="13" t="s">
        <v>372</v>
      </c>
      <c r="B83" s="288">
        <f>B63*$B24*B72</f>
        <v>0</v>
      </c>
      <c r="C83" s="288">
        <f>C63*$B24*C72</f>
        <v>0</v>
      </c>
      <c r="D83" s="288">
        <f>D63*$B24*D72</f>
        <v>0</v>
      </c>
      <c r="E83" s="288">
        <f>E63*$B24*E72</f>
        <v>0</v>
      </c>
      <c r="F83" s="288">
        <f>F63*$B24*F72</f>
        <v>0</v>
      </c>
      <c r="G83" s="383"/>
    </row>
    <row r="84" spans="1:7" x14ac:dyDescent="0.2">
      <c r="A84" s="13" t="s">
        <v>373</v>
      </c>
      <c r="B84" s="288">
        <f>B63*(1-$B24)*B73</f>
        <v>0</v>
      </c>
      <c r="C84" s="288">
        <f>C63*(1-$B24)*C73</f>
        <v>0</v>
      </c>
      <c r="D84" s="288">
        <f>D63*(1-$B24)*D73</f>
        <v>0</v>
      </c>
      <c r="E84" s="288">
        <f>E63*(1-$B24)*E73</f>
        <v>0</v>
      </c>
      <c r="F84" s="288">
        <f>F63*(1-$B24)*F73</f>
        <v>0</v>
      </c>
      <c r="G84" s="383"/>
    </row>
    <row r="85" spans="1:7" x14ac:dyDescent="0.2">
      <c r="A85" s="11" t="s">
        <v>4</v>
      </c>
      <c r="B85" s="70"/>
      <c r="C85" s="54"/>
      <c r="D85" s="54"/>
      <c r="E85" s="54"/>
      <c r="F85" s="54"/>
      <c r="G85" s="383"/>
    </row>
    <row r="86" spans="1:7" x14ac:dyDescent="0.2">
      <c r="A86" s="13" t="s">
        <v>372</v>
      </c>
      <c r="B86" s="284">
        <f>B64*$B25*B75</f>
        <v>0</v>
      </c>
      <c r="C86" s="284">
        <f>C64*$B25*C75</f>
        <v>0</v>
      </c>
      <c r="D86" s="284">
        <f>D64*$B25*D75</f>
        <v>0</v>
      </c>
      <c r="E86" s="284">
        <f>E64*$B25*E75</f>
        <v>0</v>
      </c>
      <c r="F86" s="284">
        <f>F64*$B25*F75</f>
        <v>0</v>
      </c>
      <c r="G86" s="383"/>
    </row>
    <row r="87" spans="1:7" x14ac:dyDescent="0.2">
      <c r="A87" s="13" t="s">
        <v>373</v>
      </c>
      <c r="B87" s="284">
        <f>B64*(1-$B25)*B76</f>
        <v>0</v>
      </c>
      <c r="C87" s="284">
        <f>C64*(1-$B25)*C76</f>
        <v>0</v>
      </c>
      <c r="D87" s="284">
        <f>D64*(1-$B25)*D76</f>
        <v>0</v>
      </c>
      <c r="E87" s="284">
        <f>E64*(1-$B25)*E76</f>
        <v>0</v>
      </c>
      <c r="F87" s="284">
        <f>F64*(1-$B25)*F76</f>
        <v>0</v>
      </c>
      <c r="G87" s="383"/>
    </row>
    <row r="88" spans="1:7" x14ac:dyDescent="0.2">
      <c r="A88" s="11" t="s">
        <v>5</v>
      </c>
      <c r="B88" s="70"/>
      <c r="C88" s="284"/>
      <c r="D88" s="284"/>
      <c r="E88" s="284"/>
      <c r="F88" s="284"/>
      <c r="G88" s="383"/>
    </row>
    <row r="89" spans="1:7" x14ac:dyDescent="0.2">
      <c r="A89" s="13" t="s">
        <v>372</v>
      </c>
      <c r="B89" s="284">
        <f>B57*$B26*B78</f>
        <v>0</v>
      </c>
      <c r="C89" s="284">
        <f>C57*$B26*C78</f>
        <v>0</v>
      </c>
      <c r="D89" s="284">
        <f>D57*$B26*D78</f>
        <v>0</v>
      </c>
      <c r="E89" s="284">
        <f>E57*$B26*E78</f>
        <v>0</v>
      </c>
      <c r="F89" s="284">
        <f>F57*$B26*F78</f>
        <v>0</v>
      </c>
      <c r="G89" s="383"/>
    </row>
    <row r="90" spans="1:7" x14ac:dyDescent="0.2">
      <c r="A90" s="13" t="s">
        <v>373</v>
      </c>
      <c r="B90" s="284">
        <f>B57*(1-$B26)*B79</f>
        <v>0</v>
      </c>
      <c r="C90" s="284">
        <f>C57*(1-$B26)*C79</f>
        <v>0</v>
      </c>
      <c r="D90" s="284">
        <f>D57*(1-$B26)*D79</f>
        <v>0</v>
      </c>
      <c r="E90" s="284">
        <f>E57*(1-$B26)*E79</f>
        <v>0</v>
      </c>
      <c r="F90" s="284">
        <f>F57*(1-$B26)*F79</f>
        <v>0</v>
      </c>
      <c r="G90" s="383"/>
    </row>
    <row r="91" spans="1:7" x14ac:dyDescent="0.2">
      <c r="A91" s="11"/>
      <c r="B91" s="53"/>
      <c r="C91" s="54"/>
      <c r="D91" s="54"/>
      <c r="E91" s="54"/>
      <c r="F91" s="54"/>
      <c r="G91" s="52"/>
    </row>
    <row r="92" spans="1:7" ht="15" x14ac:dyDescent="0.25">
      <c r="A92" s="280" t="s">
        <v>655</v>
      </c>
      <c r="B92" s="280"/>
      <c r="C92" s="285"/>
      <c r="D92" s="285"/>
      <c r="E92" s="285"/>
      <c r="F92" s="285"/>
      <c r="G92" s="286"/>
    </row>
    <row r="93" spans="1:7" x14ac:dyDescent="0.2">
      <c r="A93" s="81" t="s">
        <v>107</v>
      </c>
      <c r="B93" s="23">
        <v>2016</v>
      </c>
      <c r="C93" s="23">
        <v>2020</v>
      </c>
      <c r="D93" s="23">
        <v>2025</v>
      </c>
      <c r="E93" s="23">
        <v>2035</v>
      </c>
      <c r="F93" s="23">
        <v>2050</v>
      </c>
      <c r="G93" s="369"/>
    </row>
    <row r="94" spans="1:7" ht="12.75" customHeight="1" x14ac:dyDescent="0.2">
      <c r="A94" s="11" t="s">
        <v>3</v>
      </c>
      <c r="B94" s="83">
        <f>B63+B83+B84</f>
        <v>251</v>
      </c>
      <c r="C94" s="83">
        <f t="shared" ref="C94:E94" si="6">C63+C83+C84</f>
        <v>314.7470758567739</v>
      </c>
      <c r="D94" s="83">
        <f t="shared" si="6"/>
        <v>316.89175145324833</v>
      </c>
      <c r="E94" s="83">
        <f t="shared" si="6"/>
        <v>339.69214177172506</v>
      </c>
      <c r="F94" s="83">
        <f>F63+F83+F84</f>
        <v>359.5128501665817</v>
      </c>
      <c r="G94" s="370"/>
    </row>
    <row r="95" spans="1:7" ht="12.75" customHeight="1" x14ac:dyDescent="0.2">
      <c r="A95" s="11" t="s">
        <v>4</v>
      </c>
      <c r="B95" s="83">
        <f>B64+B86+B87</f>
        <v>109</v>
      </c>
      <c r="C95" s="83">
        <f t="shared" ref="C95:F95" si="7">C64+C86+C87</f>
        <v>129.97860437080857</v>
      </c>
      <c r="D95" s="83">
        <f t="shared" si="7"/>
        <v>135.33476282715176</v>
      </c>
      <c r="E95" s="83">
        <f t="shared" si="7"/>
        <v>158.37862709397146</v>
      </c>
      <c r="F95" s="83">
        <f t="shared" si="7"/>
        <v>187.90895298961769</v>
      </c>
      <c r="G95" s="370"/>
    </row>
    <row r="96" spans="1:7" ht="12.75" customHeight="1" x14ac:dyDescent="0.2">
      <c r="A96" s="11" t="s">
        <v>5</v>
      </c>
      <c r="B96" s="83">
        <f>B65+B89+B90</f>
        <v>339</v>
      </c>
      <c r="C96" s="83">
        <f t="shared" ref="C96:F96" si="8">C65+C89+C90</f>
        <v>398.2109622623048</v>
      </c>
      <c r="D96" s="83">
        <f t="shared" si="8"/>
        <v>419.23063701581009</v>
      </c>
      <c r="E96" s="83">
        <f t="shared" si="8"/>
        <v>475.12554349273353</v>
      </c>
      <c r="F96" s="83">
        <f t="shared" si="8"/>
        <v>536.16772095233057</v>
      </c>
      <c r="G96" s="370"/>
    </row>
    <row r="97" spans="1:7" ht="15" x14ac:dyDescent="0.2">
      <c r="A97" s="84" t="s">
        <v>66</v>
      </c>
      <c r="B97" s="82">
        <f>SUM(B94:B96)</f>
        <v>699</v>
      </c>
      <c r="C97" s="82">
        <f>SUM(C94:C96)</f>
        <v>842.93664248988728</v>
      </c>
      <c r="D97" s="82">
        <f>SUM(D94:D96)</f>
        <v>871.45715129621021</v>
      </c>
      <c r="E97" s="82">
        <f>SUM(E94:E96)</f>
        <v>973.19631235843008</v>
      </c>
      <c r="F97" s="82">
        <f>SUM(F94:F96)</f>
        <v>1083.58952410853</v>
      </c>
      <c r="G97" s="59"/>
    </row>
    <row r="98" spans="1:7" s="9" customFormat="1" x14ac:dyDescent="0.2">
      <c r="A98" s="8"/>
      <c r="B98" s="7"/>
      <c r="C98" s="7"/>
      <c r="D98" s="7"/>
      <c r="E98" s="7"/>
      <c r="F98" s="7"/>
    </row>
    <row r="99" spans="1:7" s="9" customFormat="1" ht="21" customHeight="1" x14ac:dyDescent="0.25">
      <c r="A99" s="292" t="s">
        <v>656</v>
      </c>
      <c r="B99" s="85"/>
      <c r="C99" s="85"/>
      <c r="D99" s="85"/>
      <c r="E99" s="85"/>
      <c r="F99" s="85"/>
    </row>
    <row r="100" spans="1:7" ht="15" x14ac:dyDescent="0.25">
      <c r="A100" s="293" t="s">
        <v>1</v>
      </c>
      <c r="B100" s="289">
        <v>2016</v>
      </c>
      <c r="C100" s="289">
        <v>2020</v>
      </c>
      <c r="D100" s="289">
        <v>2025</v>
      </c>
      <c r="E100" s="289">
        <v>2035</v>
      </c>
      <c r="F100" s="289">
        <v>2050</v>
      </c>
      <c r="G100" s="290"/>
    </row>
    <row r="101" spans="1:7" ht="20.100000000000001" customHeight="1" x14ac:dyDescent="0.2">
      <c r="A101" s="2" t="s">
        <v>376</v>
      </c>
      <c r="B101" s="339">
        <f>SUMPRODUCT(B94:B96,$B$41:$B$43)*2</f>
        <v>6596.9599999999991</v>
      </c>
      <c r="C101" s="339">
        <f>SUMPRODUCT(C94:C96,$B$41:$B$43)*2</f>
        <v>7944.7798614842413</v>
      </c>
      <c r="D101" s="339">
        <f>SUMPRODUCT(D94:D96,$B$41:$B$43)*2</f>
        <v>8221.0979884219778</v>
      </c>
      <c r="E101" s="339">
        <f>SUMPRODUCT(E94:E96,$B$41:$B$43)*2</f>
        <v>9191.4755681441784</v>
      </c>
      <c r="F101" s="339">
        <f>SUMPRODUCT(F94:F96,$B$41:$B$43)*2</f>
        <v>10247.375155438034</v>
      </c>
      <c r="G101" s="295" t="s">
        <v>553</v>
      </c>
    </row>
    <row r="102" spans="1:7" ht="20.100000000000001" customHeight="1" x14ac:dyDescent="0.2">
      <c r="A102" s="2" t="s">
        <v>377</v>
      </c>
      <c r="B102" s="339">
        <f>SUMPRODUCT(B94:B96,$B$41:$B$43,$B$16:$B$18)</f>
        <v>381872.68694458826</v>
      </c>
      <c r="C102" s="339">
        <f>SUMPRODUCT(C94:C96,$B$41:$B$43,$B$16:$B$18)</f>
        <v>460902.93814965757</v>
      </c>
      <c r="D102" s="339">
        <f>SUMPRODUCT(D94:D96,$B$41:$B$43,$B$16:$B$18)</f>
        <v>476208.93066210573</v>
      </c>
      <c r="E102" s="339">
        <f>SUMPRODUCT(E94:E96,$B$41:$B$43,$B$16:$B$18)</f>
        <v>532026.85013246071</v>
      </c>
      <c r="F102" s="339">
        <f>SUMPRODUCT(F94:F96,$B$41:$B$43,$B$16:$B$18)</f>
        <v>592921.23207870848</v>
      </c>
      <c r="G102" s="298" t="s">
        <v>554</v>
      </c>
    </row>
    <row r="103" spans="1:7" ht="20.100000000000001" customHeight="1" x14ac:dyDescent="0.2">
      <c r="A103" s="2" t="s">
        <v>392</v>
      </c>
      <c r="B103" s="7">
        <f>SUMPRODUCT(B94:B96,$B$41:$B$43,$B$20:$B$22)</f>
        <v>330310.07186246698</v>
      </c>
      <c r="C103" s="7">
        <f>SUMPRODUCT(C94:C96,$B$41:$B$43,$B$20:$B$22)</f>
        <v>398673.20040427009</v>
      </c>
      <c r="D103" s="7">
        <f>SUMPRODUCT(D94:D96,$B$41:$B$43,$B$20:$B$22)</f>
        <v>411907.002115804</v>
      </c>
      <c r="E103" s="7">
        <f>SUMPRODUCT(E94:E96,$B$41:$B$43,$B$20:$B$22)</f>
        <v>460388.28501446143</v>
      </c>
      <c r="F103" s="7">
        <f>SUMPRODUCT(F94:F96,$B$41:$B$43,$B$20:$B$22)</f>
        <v>513421.97660611128</v>
      </c>
      <c r="G103" s="298" t="s">
        <v>555</v>
      </c>
    </row>
    <row r="104" spans="1:7" ht="20.100000000000001" customHeight="1" x14ac:dyDescent="0.2">
      <c r="A104" s="2" t="s">
        <v>378</v>
      </c>
      <c r="B104" s="299">
        <f>B101*'Emission Factors'!B25</f>
        <v>0.62828563171604945</v>
      </c>
      <c r="C104" s="299">
        <f>C101*'Emission Factors'!C25</f>
        <v>0.74945077012453842</v>
      </c>
      <c r="D104" s="299">
        <f>D101*'Emission Factors'!D25</f>
        <v>0.76841073672974358</v>
      </c>
      <c r="E104" s="299">
        <f>E101*'Emission Factors'!E25</f>
        <v>0.85451176967785503</v>
      </c>
      <c r="F104" s="299">
        <f>F101*'Emission Factors'!F25</f>
        <v>0</v>
      </c>
      <c r="G104" s="298" t="s">
        <v>379</v>
      </c>
    </row>
    <row r="105" spans="1:7" ht="20.100000000000001" customHeight="1" x14ac:dyDescent="0.2">
      <c r="A105" s="2" t="s">
        <v>380</v>
      </c>
      <c r="B105" s="300">
        <f>B103*'Emission Factors'!B$22</f>
        <v>155.37999689652187</v>
      </c>
      <c r="C105" s="300">
        <f>C103*'Emission Factors'!C$22</f>
        <v>186.38252558059799</v>
      </c>
      <c r="D105" s="300">
        <f>D103*'Emission Factors'!D$22</f>
        <v>191.13447302073837</v>
      </c>
      <c r="E105" s="300">
        <f>E103*'Emission Factors'!E$22</f>
        <v>212.4480933539956</v>
      </c>
      <c r="F105" s="300">
        <f>F103*'Emission Factors'!F$22</f>
        <v>0</v>
      </c>
      <c r="G105" s="298" t="s">
        <v>381</v>
      </c>
    </row>
    <row r="106" spans="1:7" ht="20.100000000000001" customHeight="1" x14ac:dyDescent="0.2">
      <c r="A106" s="2" t="s">
        <v>382</v>
      </c>
      <c r="B106" s="300">
        <f>B104+B105</f>
        <v>156.00828252823791</v>
      </c>
      <c r="C106" s="300">
        <f t="shared" ref="C106:E106" si="9">C104+C105</f>
        <v>187.13197635072251</v>
      </c>
      <c r="D106" s="300">
        <f t="shared" si="9"/>
        <v>191.90288375746812</v>
      </c>
      <c r="E106" s="300">
        <f t="shared" si="9"/>
        <v>213.30260512367346</v>
      </c>
      <c r="F106" s="300">
        <f>F104+F105</f>
        <v>0</v>
      </c>
      <c r="G106" s="298" t="s">
        <v>383</v>
      </c>
    </row>
    <row r="107" spans="1:7" ht="20.100000000000001" customHeight="1" x14ac:dyDescent="0.2">
      <c r="A107" s="2" t="s">
        <v>137</v>
      </c>
      <c r="B107" s="411">
        <v>3316192</v>
      </c>
      <c r="C107" s="411">
        <v>3418965</v>
      </c>
      <c r="D107" s="411">
        <v>3540407</v>
      </c>
      <c r="E107" s="411">
        <v>3747159</v>
      </c>
      <c r="F107" s="411">
        <v>4004674</v>
      </c>
      <c r="G107" s="297"/>
    </row>
    <row r="108" spans="1:7" ht="20.100000000000001" customHeight="1" x14ac:dyDescent="0.2">
      <c r="A108" s="2" t="s">
        <v>136</v>
      </c>
      <c r="B108" s="301">
        <f>-1*B106*2000/B107</f>
        <v>-9.4088811822860621E-2</v>
      </c>
      <c r="C108" s="301">
        <f>-1*C106*2000/C107</f>
        <v>-0.1094670324795501</v>
      </c>
      <c r="D108" s="301">
        <f>-1*D106*2000/D107</f>
        <v>-0.10840724456677897</v>
      </c>
      <c r="E108" s="301">
        <f>-1*E106*2000/E107</f>
        <v>-0.11384764037163805</v>
      </c>
      <c r="F108" s="301">
        <f>-1*F106*2000/F107</f>
        <v>0</v>
      </c>
      <c r="G108" s="296" t="s">
        <v>384</v>
      </c>
    </row>
    <row r="109" spans="1:7" ht="20.100000000000001" customHeight="1" x14ac:dyDescent="0.2">
      <c r="A109" s="92" t="s">
        <v>657</v>
      </c>
      <c r="B109" s="10">
        <f>(B108)/'Emission Factors'!B10</f>
        <v>-4.1614496490440488E-3</v>
      </c>
      <c r="C109" s="10">
        <f>(C108)/'Emission Factors'!C10</f>
        <v>-4.9631896637175738E-3</v>
      </c>
      <c r="D109" s="10">
        <f>(D108)/'Emission Factors'!D10</f>
        <v>-4.9559372956210256E-3</v>
      </c>
      <c r="E109" s="10">
        <f>(E108)/'Emission Factors'!E10</f>
        <v>-5.1071670342799193E-3</v>
      </c>
      <c r="F109" s="10" t="e">
        <f>(F108)/'Emission Factors'!F10</f>
        <v>#DIV/0!</v>
      </c>
      <c r="G109" s="298" t="s">
        <v>530</v>
      </c>
    </row>
    <row r="110" spans="1:7" customFormat="1" ht="15" x14ac:dyDescent="0.25"/>
    <row r="111" spans="1:7" customFormat="1" ht="15" x14ac:dyDescent="0.25"/>
    <row r="112" spans="1:7" customFormat="1" ht="15" x14ac:dyDescent="0.25"/>
    <row r="113" customFormat="1" ht="15" x14ac:dyDescent="0.25"/>
    <row r="114" customFormat="1" ht="15" x14ac:dyDescent="0.25"/>
    <row r="115" customFormat="1" ht="15" x14ac:dyDescent="0.25"/>
    <row r="116" customFormat="1" ht="15" x14ac:dyDescent="0.25"/>
    <row r="117" customFormat="1" ht="15" x14ac:dyDescent="0.25"/>
    <row r="118" customFormat="1" ht="15" x14ac:dyDescent="0.25"/>
    <row r="119" customFormat="1" ht="15" x14ac:dyDescent="0.25"/>
    <row r="120" customFormat="1" ht="15" x14ac:dyDescent="0.25"/>
    <row r="121" customFormat="1" ht="15" x14ac:dyDescent="0.25"/>
    <row r="122" customFormat="1" ht="15" x14ac:dyDescent="0.25"/>
    <row r="123" customFormat="1" ht="15" x14ac:dyDescent="0.25"/>
    <row r="124" customFormat="1" ht="15" x14ac:dyDescent="0.25"/>
    <row r="125" customFormat="1" ht="15" x14ac:dyDescent="0.25"/>
  </sheetData>
  <mergeCells count="14">
    <mergeCell ref="G10:G13"/>
    <mergeCell ref="G23:G26"/>
    <mergeCell ref="G27:G30"/>
    <mergeCell ref="B80:F80"/>
    <mergeCell ref="B69:F69"/>
    <mergeCell ref="G69:G90"/>
    <mergeCell ref="G19:G22"/>
    <mergeCell ref="G14:G18"/>
    <mergeCell ref="A49:G49"/>
    <mergeCell ref="G53:G58"/>
    <mergeCell ref="G61:G66"/>
    <mergeCell ref="G31:G35"/>
    <mergeCell ref="B53:F53"/>
    <mergeCell ref="B61:F6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AV116"/>
  <sheetViews>
    <sheetView zoomScale="85" zoomScaleNormal="85" workbookViewId="0">
      <selection activeCell="I40" sqref="I40"/>
    </sheetView>
  </sheetViews>
  <sheetFormatPr defaultRowHeight="15" x14ac:dyDescent="0.25"/>
  <cols>
    <col min="2" max="2" width="20.7109375" customWidth="1"/>
    <col min="3" max="3" width="13.140625" bestFit="1" customWidth="1"/>
    <col min="4" max="4" width="11.42578125" bestFit="1" customWidth="1"/>
    <col min="5" max="5" width="14.42578125" customWidth="1"/>
    <col min="6" max="6" width="11.7109375" customWidth="1"/>
    <col min="7" max="7" width="12.28515625" customWidth="1"/>
    <col min="8" max="8" width="15.85546875" customWidth="1"/>
    <col min="9" max="9" width="13.140625" bestFit="1" customWidth="1"/>
    <col min="10" max="10" width="13.140625" customWidth="1"/>
    <col min="11" max="11" width="13.42578125" customWidth="1"/>
    <col min="12" max="12" width="10.7109375" customWidth="1"/>
    <col min="13" max="13" width="12.140625" customWidth="1"/>
    <col min="14" max="14" width="13" customWidth="1"/>
    <col min="15" max="15" width="2.7109375" style="40" customWidth="1"/>
    <col min="18" max="18" width="20.7109375" customWidth="1"/>
    <col min="19" max="19" width="13.140625" bestFit="1" customWidth="1"/>
    <col min="20" max="20" width="11.42578125" bestFit="1" customWidth="1"/>
    <col min="21" max="21" width="12.5703125" customWidth="1"/>
    <col min="22" max="22" width="10.7109375" customWidth="1"/>
    <col min="23" max="23" width="9.42578125" customWidth="1"/>
    <col min="24" max="24" width="8.7109375" customWidth="1"/>
    <col min="25" max="25" width="13.140625" bestFit="1" customWidth="1"/>
    <col min="26" max="26" width="11.5703125" customWidth="1"/>
    <col min="27" max="27" width="12" customWidth="1"/>
    <col min="28" max="28" width="10.7109375" customWidth="1"/>
    <col min="29" max="29" width="12.28515625" customWidth="1"/>
    <col min="30" max="30" width="13.140625" customWidth="1"/>
    <col min="31" max="31" width="2.7109375" customWidth="1"/>
    <col min="32" max="32" width="9.140625" customWidth="1"/>
    <col min="34" max="34" width="20.7109375" customWidth="1"/>
    <col min="35" max="41" width="10.7109375" customWidth="1"/>
    <col min="42" max="42" width="12.7109375" customWidth="1"/>
    <col min="43" max="43" width="13" customWidth="1"/>
    <col min="44" max="44" width="15.140625" customWidth="1"/>
    <col min="45" max="45" width="13.42578125" customWidth="1"/>
    <col min="46" max="46" width="12.7109375" customWidth="1"/>
    <col min="47" max="47" width="2.7109375" customWidth="1"/>
    <col min="49" max="49" width="27.7109375" customWidth="1"/>
  </cols>
  <sheetData>
    <row r="3" spans="2:48" ht="21" x14ac:dyDescent="0.35">
      <c r="B3" s="28" t="s">
        <v>607</v>
      </c>
      <c r="R3" s="28"/>
      <c r="AH3" s="28"/>
    </row>
    <row r="5" spans="2:48" ht="61.5" customHeight="1" x14ac:dyDescent="0.25">
      <c r="B5" s="391" t="s">
        <v>600</v>
      </c>
      <c r="C5" s="392"/>
      <c r="D5" s="392"/>
      <c r="E5" s="392"/>
      <c r="F5" s="392"/>
      <c r="G5" s="392"/>
      <c r="H5" s="392"/>
      <c r="I5" s="392"/>
      <c r="J5" s="392"/>
      <c r="K5" s="392"/>
      <c r="L5" s="392"/>
      <c r="M5" s="392"/>
      <c r="N5" s="392"/>
    </row>
    <row r="7" spans="2:48" ht="18.75" x14ac:dyDescent="0.3">
      <c r="B7" s="29" t="s">
        <v>608</v>
      </c>
      <c r="R7" s="29" t="s">
        <v>609</v>
      </c>
      <c r="AH7" s="29" t="s">
        <v>610</v>
      </c>
    </row>
    <row r="9" spans="2:48" x14ac:dyDescent="0.25">
      <c r="B9" s="101"/>
      <c r="C9" s="390" t="s">
        <v>50</v>
      </c>
      <c r="D9" s="390"/>
      <c r="E9" s="390"/>
      <c r="F9" s="390"/>
      <c r="G9" s="390"/>
      <c r="H9" s="390"/>
      <c r="I9" s="390"/>
      <c r="J9" s="390"/>
      <c r="K9" s="390"/>
      <c r="L9" s="390"/>
      <c r="M9" s="390"/>
      <c r="N9" s="393"/>
      <c r="O9" s="159"/>
      <c r="P9" s="152"/>
      <c r="R9" s="101"/>
      <c r="S9" s="390" t="s">
        <v>50</v>
      </c>
      <c r="T9" s="390"/>
      <c r="U9" s="390"/>
      <c r="V9" s="390"/>
      <c r="W9" s="390"/>
      <c r="X9" s="390"/>
      <c r="Y9" s="390"/>
      <c r="Z9" s="390"/>
      <c r="AA9" s="390"/>
      <c r="AB9" s="390"/>
      <c r="AC9" s="390"/>
      <c r="AD9" s="393"/>
      <c r="AE9" s="152"/>
      <c r="AF9" s="186"/>
      <c r="AH9" s="101"/>
      <c r="AI9" s="390" t="s">
        <v>50</v>
      </c>
      <c r="AJ9" s="390"/>
      <c r="AK9" s="390"/>
      <c r="AL9" s="390"/>
      <c r="AM9" s="390"/>
      <c r="AN9" s="390"/>
      <c r="AO9" s="390"/>
      <c r="AP9" s="390"/>
      <c r="AQ9" s="390"/>
      <c r="AR9" s="390"/>
      <c r="AS9" s="390"/>
      <c r="AT9" s="390"/>
      <c r="AU9" s="102"/>
      <c r="AV9" s="104"/>
    </row>
    <row r="10" spans="2:48" x14ac:dyDescent="0.25">
      <c r="B10" s="105"/>
      <c r="C10" s="145" t="s">
        <v>42</v>
      </c>
      <c r="D10" s="145" t="s">
        <v>43</v>
      </c>
      <c r="E10" s="145" t="s">
        <v>44</v>
      </c>
      <c r="F10" s="145" t="s">
        <v>45</v>
      </c>
      <c r="G10" s="145" t="s">
        <v>46</v>
      </c>
      <c r="H10" s="145" t="s">
        <v>47</v>
      </c>
      <c r="I10" s="145" t="s">
        <v>48</v>
      </c>
      <c r="J10" s="145" t="s">
        <v>523</v>
      </c>
      <c r="K10" s="145" t="s">
        <v>524</v>
      </c>
      <c r="L10" s="145" t="s">
        <v>525</v>
      </c>
      <c r="M10" s="145" t="s">
        <v>526</v>
      </c>
      <c r="N10" s="146" t="s">
        <v>527</v>
      </c>
      <c r="O10" s="160"/>
      <c r="P10" s="153"/>
      <c r="R10" s="105"/>
      <c r="S10" s="145" t="s">
        <v>42</v>
      </c>
      <c r="T10" s="145" t="s">
        <v>43</v>
      </c>
      <c r="U10" s="145" t="s">
        <v>44</v>
      </c>
      <c r="V10" s="145" t="s">
        <v>45</v>
      </c>
      <c r="W10" s="145" t="s">
        <v>46</v>
      </c>
      <c r="X10" s="145" t="s">
        <v>47</v>
      </c>
      <c r="Y10" s="145" t="s">
        <v>48</v>
      </c>
      <c r="Z10" s="145" t="s">
        <v>523</v>
      </c>
      <c r="AA10" s="145" t="s">
        <v>524</v>
      </c>
      <c r="AB10" s="145" t="s">
        <v>525</v>
      </c>
      <c r="AC10" s="145" t="s">
        <v>526</v>
      </c>
      <c r="AD10" s="146" t="s">
        <v>527</v>
      </c>
      <c r="AE10" s="153"/>
      <c r="AF10" s="158"/>
      <c r="AH10" s="105"/>
      <c r="AI10" s="145" t="s">
        <v>42</v>
      </c>
      <c r="AJ10" s="145" t="s">
        <v>43</v>
      </c>
      <c r="AK10" s="145" t="s">
        <v>44</v>
      </c>
      <c r="AL10" s="145" t="s">
        <v>45</v>
      </c>
      <c r="AM10" s="145" t="s">
        <v>46</v>
      </c>
      <c r="AN10" s="145" t="s">
        <v>47</v>
      </c>
      <c r="AO10" s="145" t="s">
        <v>48</v>
      </c>
      <c r="AP10" s="145" t="s">
        <v>523</v>
      </c>
      <c r="AQ10" s="145" t="s">
        <v>524</v>
      </c>
      <c r="AR10" s="145" t="s">
        <v>525</v>
      </c>
      <c r="AS10" s="145" t="s">
        <v>526</v>
      </c>
      <c r="AT10" s="146" t="s">
        <v>527</v>
      </c>
      <c r="AU10" s="68"/>
      <c r="AV10" s="108"/>
    </row>
    <row r="11" spans="2:48" x14ac:dyDescent="0.25">
      <c r="B11" s="147" t="s">
        <v>49</v>
      </c>
      <c r="C11" s="25" t="s">
        <v>42</v>
      </c>
      <c r="D11" s="26" t="s">
        <v>51</v>
      </c>
      <c r="E11" s="26" t="s">
        <v>52</v>
      </c>
      <c r="F11" s="26" t="s">
        <v>53</v>
      </c>
      <c r="G11" s="26" t="s">
        <v>54</v>
      </c>
      <c r="H11" s="26" t="s">
        <v>55</v>
      </c>
      <c r="I11" s="26" t="s">
        <v>56</v>
      </c>
      <c r="J11" s="26" t="s">
        <v>60</v>
      </c>
      <c r="K11" s="26" t="s">
        <v>59</v>
      </c>
      <c r="L11" s="26" t="s">
        <v>61</v>
      </c>
      <c r="M11" s="26" t="s">
        <v>58</v>
      </c>
      <c r="N11" s="148" t="s">
        <v>57</v>
      </c>
      <c r="O11" s="161"/>
      <c r="P11" s="158" t="s">
        <v>66</v>
      </c>
      <c r="R11" s="147" t="s">
        <v>49</v>
      </c>
      <c r="S11" s="25" t="s">
        <v>42</v>
      </c>
      <c r="T11" s="26" t="s">
        <v>51</v>
      </c>
      <c r="U11" s="26" t="s">
        <v>52</v>
      </c>
      <c r="V11" s="26" t="s">
        <v>53</v>
      </c>
      <c r="W11" s="26" t="s">
        <v>54</v>
      </c>
      <c r="X11" s="26" t="s">
        <v>55</v>
      </c>
      <c r="Y11" s="26" t="s">
        <v>56</v>
      </c>
      <c r="Z11" s="26" t="s">
        <v>60</v>
      </c>
      <c r="AA11" s="26" t="s">
        <v>59</v>
      </c>
      <c r="AB11" s="26" t="s">
        <v>61</v>
      </c>
      <c r="AC11" s="26" t="s">
        <v>58</v>
      </c>
      <c r="AD11" s="148" t="s">
        <v>57</v>
      </c>
      <c r="AE11" s="153"/>
      <c r="AF11" s="158" t="s">
        <v>66</v>
      </c>
      <c r="AH11" s="147" t="s">
        <v>49</v>
      </c>
      <c r="AI11" s="25" t="s">
        <v>42</v>
      </c>
      <c r="AJ11" s="26" t="s">
        <v>51</v>
      </c>
      <c r="AK11" s="26" t="s">
        <v>52</v>
      </c>
      <c r="AL11" s="26" t="s">
        <v>53</v>
      </c>
      <c r="AM11" s="26" t="s">
        <v>54</v>
      </c>
      <c r="AN11" s="26" t="s">
        <v>55</v>
      </c>
      <c r="AO11" s="26" t="s">
        <v>56</v>
      </c>
      <c r="AP11" s="26" t="s">
        <v>60</v>
      </c>
      <c r="AQ11" s="26" t="s">
        <v>59</v>
      </c>
      <c r="AR11" s="26" t="s">
        <v>61</v>
      </c>
      <c r="AS11" s="26" t="s">
        <v>58</v>
      </c>
      <c r="AT11" s="26" t="s">
        <v>57</v>
      </c>
      <c r="AU11" s="68"/>
      <c r="AV11" s="181" t="s">
        <v>66</v>
      </c>
    </row>
    <row r="12" spans="2:48" x14ac:dyDescent="0.25">
      <c r="B12" s="152" t="s">
        <v>42</v>
      </c>
      <c r="C12" s="134">
        <f>COUNTIFS('Vanpool ODs'!$L:$L,"Military",'Vanpool ODs'!$M:$M,$B12,'Vanpool ODs'!$N:$N,C$10)</f>
        <v>1</v>
      </c>
      <c r="D12" s="135">
        <f>COUNTIFS('Vanpool ODs'!$L:$L,"Military",'Vanpool ODs'!$M:$M,$B12,'Vanpool ODs'!$N:$N,D$10)</f>
        <v>0</v>
      </c>
      <c r="E12" s="135">
        <f>COUNTIFS('Vanpool ODs'!$L:$L,"Military",'Vanpool ODs'!$M:$M,$B12,'Vanpool ODs'!$N:$N,E$10)</f>
        <v>0</v>
      </c>
      <c r="F12" s="135">
        <f>COUNTIFS('Vanpool ODs'!$L:$L,"Military",'Vanpool ODs'!$M:$M,$B12,'Vanpool ODs'!$N:$N,F$10)</f>
        <v>0</v>
      </c>
      <c r="G12" s="135">
        <f>COUNTIFS('Vanpool ODs'!$L:$L,"Military",'Vanpool ODs'!$M:$M,$B12,'Vanpool ODs'!$N:$N,G$10)</f>
        <v>3</v>
      </c>
      <c r="H12" s="135">
        <f>COUNTIFS('Vanpool ODs'!$L:$L,"Military",'Vanpool ODs'!$M:$M,$B12,'Vanpool ODs'!$N:$N,H$10)</f>
        <v>0</v>
      </c>
      <c r="I12" s="191">
        <f>COUNTIFS('Vanpool ODs'!$L:$L,"Military",'Vanpool ODs'!$M:$M,$B12,'Vanpool ODs'!$N:$N,I$10)</f>
        <v>0</v>
      </c>
      <c r="J12" s="135">
        <f>COUNTIFS('Vanpool ODs'!$L:$L,"Military",'Vanpool ODs'!$M:$M,$B12,'Vanpool ODs'!$N:$N,J$10)</f>
        <v>1</v>
      </c>
      <c r="K12" s="135">
        <f>COUNTIFS('Vanpool ODs'!$L:$L,"Military",'Vanpool ODs'!$M:$M,$B12,'Vanpool ODs'!$N:$N,K$10)</f>
        <v>0</v>
      </c>
      <c r="L12" s="135">
        <f>COUNTIFS('Vanpool ODs'!$L:$L,"Military",'Vanpool ODs'!$M:$M,$B12,'Vanpool ODs'!$N:$N,L$10)</f>
        <v>0</v>
      </c>
      <c r="M12" s="135">
        <f>COUNTIFS('Vanpool ODs'!$L:$L,"Military",'Vanpool ODs'!$M:$M,$B12,'Vanpool ODs'!$N:$N,M$10)</f>
        <v>0</v>
      </c>
      <c r="N12" s="136">
        <f>COUNTIFS('Vanpool ODs'!$L:$L,"Military",'Vanpool ODs'!$M:$M,$B12,'Vanpool ODs'!$N:$N,N$10)</f>
        <v>0</v>
      </c>
      <c r="O12" s="162"/>
      <c r="P12" s="157">
        <f t="shared" ref="P12:P23" si="0">SUM(C12:N12)</f>
        <v>5</v>
      </c>
      <c r="R12" s="152" t="s">
        <v>42</v>
      </c>
      <c r="S12" s="134">
        <f>COUNTIFS('Vanpool ODs'!$L:$L,"Federal",'Vanpool ODs'!$M:$M,$R12,'Vanpool ODs'!$N:$N,S$10)</f>
        <v>0</v>
      </c>
      <c r="T12" s="135">
        <f>COUNTIFS('Vanpool ODs'!$L:$L,"Federal",'Vanpool ODs'!$M:$M,$R12,'Vanpool ODs'!$N:$N,T$10)</f>
        <v>1</v>
      </c>
      <c r="U12" s="135">
        <f>COUNTIFS('Vanpool ODs'!$L:$L,"Federal",'Vanpool ODs'!$M:$M,$R12,'Vanpool ODs'!$N:$N,U$10)</f>
        <v>0</v>
      </c>
      <c r="V12" s="135">
        <f>COUNTIFS('Vanpool ODs'!$L:$L,"Federal",'Vanpool ODs'!$M:$M,$R12,'Vanpool ODs'!$N:$N,V$10)</f>
        <v>0</v>
      </c>
      <c r="W12" s="135">
        <f>COUNTIFS('Vanpool ODs'!$L:$L,"Federal",'Vanpool ODs'!$M:$M,$R12,'Vanpool ODs'!$N:$N,W$10)</f>
        <v>0</v>
      </c>
      <c r="X12" s="135">
        <f>COUNTIFS('Vanpool ODs'!$L:$L,"Federal",'Vanpool ODs'!$M:$M,$R12,'Vanpool ODs'!$N:$N,X$10)</f>
        <v>0</v>
      </c>
      <c r="Y12" s="191">
        <f>COUNTIFS('Vanpool ODs'!$L:$L,"Federal",'Vanpool ODs'!$M:$M,$R12,'Vanpool ODs'!$N:$N,Y$10)</f>
        <v>1</v>
      </c>
      <c r="Z12" s="135">
        <f>COUNTIFS('Vanpool ODs'!$L:$L,"Federal",'Vanpool ODs'!$M:$M,$R12,'Vanpool ODs'!$N:$N,Z$10)</f>
        <v>0</v>
      </c>
      <c r="AA12" s="135">
        <f>COUNTIFS('Vanpool ODs'!$L:$L,"Federal",'Vanpool ODs'!$M:$M,$R12,'Vanpool ODs'!$N:$N,AA$10)</f>
        <v>1</v>
      </c>
      <c r="AB12" s="135">
        <f>COUNTIFS('Vanpool ODs'!$L:$L,"Federal",'Vanpool ODs'!$M:$M,$R12,'Vanpool ODs'!$N:$N,AB$10)</f>
        <v>0</v>
      </c>
      <c r="AC12" s="135">
        <f>COUNTIFS('Vanpool ODs'!$L:$L,"Federal",'Vanpool ODs'!$M:$M,$R12,'Vanpool ODs'!$N:$N,AC$10)</f>
        <v>0</v>
      </c>
      <c r="AD12" s="136">
        <f>COUNTIFS('Vanpool ODs'!$L:$L,"Federal",'Vanpool ODs'!$M:$M,$R12,'Vanpool ODs'!$N:$N,AD$10)</f>
        <v>0</v>
      </c>
      <c r="AE12" s="152"/>
      <c r="AF12" s="186">
        <f t="shared" ref="AF12:AF23" si="1">SUM(S12:AD12)</f>
        <v>3</v>
      </c>
      <c r="AH12" s="152" t="s">
        <v>42</v>
      </c>
      <c r="AI12" s="134">
        <f>COUNTIFS('Vanpool ODs'!$L:$L,"Non-Federal",'Vanpool ODs'!$M:$M,$AH12,'Vanpool ODs'!$N:$N,AI$10)</f>
        <v>1</v>
      </c>
      <c r="AJ12" s="135">
        <f>COUNTIFS('Vanpool ODs'!$L:$L,"Non-Federal",'Vanpool ODs'!$M:$M,$AH12,'Vanpool ODs'!$N:$N,AJ$10)</f>
        <v>22</v>
      </c>
      <c r="AK12" s="135">
        <f>COUNTIFS('Vanpool ODs'!$L:$L,"Non-Federal",'Vanpool ODs'!$M:$M,$AH12,'Vanpool ODs'!$N:$N,AK$10)</f>
        <v>1</v>
      </c>
      <c r="AL12" s="135">
        <f>COUNTIFS('Vanpool ODs'!$L:$L,"Non-Federal",'Vanpool ODs'!$M:$M,$AH12,'Vanpool ODs'!$N:$N,AL$10)</f>
        <v>0</v>
      </c>
      <c r="AM12" s="135">
        <f>COUNTIFS('Vanpool ODs'!$L:$L,"Non-Federal",'Vanpool ODs'!$M:$M,$AH12,'Vanpool ODs'!$N:$N,AM$10)</f>
        <v>6</v>
      </c>
      <c r="AN12" s="135">
        <f>COUNTIFS('Vanpool ODs'!$L:$L,"Non-Federal",'Vanpool ODs'!$M:$M,$AH12,'Vanpool ODs'!$N:$N,AN$10)</f>
        <v>3</v>
      </c>
      <c r="AO12" s="191">
        <f>COUNTIFS('Vanpool ODs'!$L:$L,"Non-Federal",'Vanpool ODs'!$M:$M,$AH12,'Vanpool ODs'!$N:$N,AO$10)</f>
        <v>0</v>
      </c>
      <c r="AP12" s="135">
        <f>COUNTIFS('Vanpool ODs'!$L:$L,"Non-Federal",'Vanpool ODs'!$M:$M,$AH12,'Vanpool ODs'!$N:$N,AP$10)</f>
        <v>0</v>
      </c>
      <c r="AQ12" s="135">
        <f>COUNTIFS('Vanpool ODs'!$L:$L,"Non-Federal",'Vanpool ODs'!$M:$M,$AH12,'Vanpool ODs'!$N:$N,AQ$10)</f>
        <v>0</v>
      </c>
      <c r="AR12" s="135">
        <f>COUNTIFS('Vanpool ODs'!$L:$L,"Non-Federal",'Vanpool ODs'!$M:$M,$AH12,'Vanpool ODs'!$N:$N,AR$10)</f>
        <v>0</v>
      </c>
      <c r="AS12" s="135">
        <f>COUNTIFS('Vanpool ODs'!$L:$L,"Non-Federal",'Vanpool ODs'!$M:$M,$AH12,'Vanpool ODs'!$N:$N,AS$10)</f>
        <v>0</v>
      </c>
      <c r="AT12" s="136">
        <f>COUNTIFS('Vanpool ODs'!$L:$L,"Non-Federal",'Vanpool ODs'!$M:$M,$AH12,'Vanpool ODs'!$N:$N,AT$10)</f>
        <v>0</v>
      </c>
      <c r="AU12" s="152"/>
      <c r="AV12" s="186">
        <f t="shared" ref="AV12:AV23" si="2">SUM(AI12:AT12)</f>
        <v>33</v>
      </c>
    </row>
    <row r="13" spans="2:48" x14ac:dyDescent="0.25">
      <c r="B13" s="153" t="s">
        <v>43</v>
      </c>
      <c r="C13" s="137">
        <f>COUNTIFS('Vanpool ODs'!$L:$L,"Military",'Vanpool ODs'!$M:$M,$B13,'Vanpool ODs'!$N:$N,C$10)</f>
        <v>12</v>
      </c>
      <c r="D13" s="138">
        <f>COUNTIFS('Vanpool ODs'!$L:$L,"Military",'Vanpool ODs'!$M:$M,$B13,'Vanpool ODs'!$N:$N,D$10)</f>
        <v>2</v>
      </c>
      <c r="E13" s="138">
        <f>COUNTIFS('Vanpool ODs'!$L:$L,"Military",'Vanpool ODs'!$M:$M,$B13,'Vanpool ODs'!$N:$N,E$10)</f>
        <v>0</v>
      </c>
      <c r="F13" s="138">
        <f>COUNTIFS('Vanpool ODs'!$L:$L,"Military",'Vanpool ODs'!$M:$M,$B13,'Vanpool ODs'!$N:$N,F$10)</f>
        <v>0</v>
      </c>
      <c r="G13" s="138">
        <f>COUNTIFS('Vanpool ODs'!$L:$L,"Military",'Vanpool ODs'!$M:$M,$B13,'Vanpool ODs'!$N:$N,G$10)</f>
        <v>5</v>
      </c>
      <c r="H13" s="138">
        <f>COUNTIFS('Vanpool ODs'!$L:$L,"Military",'Vanpool ODs'!$M:$M,$B13,'Vanpool ODs'!$N:$N,H$10)</f>
        <v>0</v>
      </c>
      <c r="I13" s="192">
        <f>COUNTIFS('Vanpool ODs'!$L:$L,"Military",'Vanpool ODs'!$M:$M,$B13,'Vanpool ODs'!$N:$N,I$10)</f>
        <v>0</v>
      </c>
      <c r="J13" s="138">
        <f>COUNTIFS('Vanpool ODs'!$L:$L,"Military",'Vanpool ODs'!$M:$M,$B13,'Vanpool ODs'!$N:$N,J$10)</f>
        <v>1</v>
      </c>
      <c r="K13" s="138">
        <f>COUNTIFS('Vanpool ODs'!$L:$L,"Military",'Vanpool ODs'!$M:$M,$B13,'Vanpool ODs'!$N:$N,K$10)</f>
        <v>0</v>
      </c>
      <c r="L13" s="138">
        <f>COUNTIFS('Vanpool ODs'!$L:$L,"Military",'Vanpool ODs'!$M:$M,$B13,'Vanpool ODs'!$N:$N,L$10)</f>
        <v>2</v>
      </c>
      <c r="M13" s="138">
        <f>COUNTIFS('Vanpool ODs'!$L:$L,"Military",'Vanpool ODs'!$M:$M,$B13,'Vanpool ODs'!$N:$N,M$10)</f>
        <v>0</v>
      </c>
      <c r="N13" s="139">
        <f>COUNTIFS('Vanpool ODs'!$L:$L,"Military",'Vanpool ODs'!$M:$M,$B13,'Vanpool ODs'!$N:$N,N$10)</f>
        <v>0</v>
      </c>
      <c r="O13" s="141"/>
      <c r="P13" s="155">
        <f t="shared" si="0"/>
        <v>22</v>
      </c>
      <c r="R13" s="153" t="s">
        <v>43</v>
      </c>
      <c r="S13" s="137">
        <f>COUNTIFS('Vanpool ODs'!$L:$L,"Federal",'Vanpool ODs'!$M:$M,$R13,'Vanpool ODs'!$N:$N,S$10)</f>
        <v>0</v>
      </c>
      <c r="T13" s="138">
        <f>COUNTIFS('Vanpool ODs'!$L:$L,"Federal",'Vanpool ODs'!$M:$M,$R13,'Vanpool ODs'!$N:$N,T$10)</f>
        <v>2</v>
      </c>
      <c r="U13" s="138">
        <f>COUNTIFS('Vanpool ODs'!$L:$L,"Federal",'Vanpool ODs'!$M:$M,$R13,'Vanpool ODs'!$N:$N,U$10)</f>
        <v>0</v>
      </c>
      <c r="V13" s="138">
        <f>COUNTIFS('Vanpool ODs'!$L:$L,"Federal",'Vanpool ODs'!$M:$M,$R13,'Vanpool ODs'!$N:$N,V$10)</f>
        <v>0</v>
      </c>
      <c r="W13" s="138">
        <f>COUNTIFS('Vanpool ODs'!$L:$L,"Federal",'Vanpool ODs'!$M:$M,$R13,'Vanpool ODs'!$N:$N,W$10)</f>
        <v>0</v>
      </c>
      <c r="X13" s="138">
        <f>COUNTIFS('Vanpool ODs'!$L:$L,"Federal",'Vanpool ODs'!$M:$M,$R13,'Vanpool ODs'!$N:$N,X$10)</f>
        <v>1</v>
      </c>
      <c r="Y13" s="192">
        <f>COUNTIFS('Vanpool ODs'!$L:$L,"Federal",'Vanpool ODs'!$M:$M,$R13,'Vanpool ODs'!$N:$N,Y$10)</f>
        <v>3</v>
      </c>
      <c r="Z13" s="138">
        <f>COUNTIFS('Vanpool ODs'!$L:$L,"Federal",'Vanpool ODs'!$M:$M,$R13,'Vanpool ODs'!$N:$N,Z$10)</f>
        <v>0</v>
      </c>
      <c r="AA13" s="138">
        <f>COUNTIFS('Vanpool ODs'!$L:$L,"Federal",'Vanpool ODs'!$M:$M,$R13,'Vanpool ODs'!$N:$N,AA$10)</f>
        <v>0</v>
      </c>
      <c r="AB13" s="138">
        <f>COUNTIFS('Vanpool ODs'!$L:$L,"Federal",'Vanpool ODs'!$M:$M,$R13,'Vanpool ODs'!$N:$N,AB$10)</f>
        <v>0</v>
      </c>
      <c r="AC13" s="138">
        <f>COUNTIFS('Vanpool ODs'!$L:$L,"Federal",'Vanpool ODs'!$M:$M,$R13,'Vanpool ODs'!$N:$N,AC$10)</f>
        <v>0</v>
      </c>
      <c r="AD13" s="139">
        <f>COUNTIFS('Vanpool ODs'!$L:$L,"Federal",'Vanpool ODs'!$M:$M,$R13,'Vanpool ODs'!$N:$N,AD$10)</f>
        <v>0</v>
      </c>
      <c r="AE13" s="153"/>
      <c r="AF13" s="158">
        <f t="shared" si="1"/>
        <v>6</v>
      </c>
      <c r="AH13" s="153" t="s">
        <v>43</v>
      </c>
      <c r="AI13" s="137">
        <f>COUNTIFS('Vanpool ODs'!$L:$L,"Non-Federal",'Vanpool ODs'!$M:$M,$AH13,'Vanpool ODs'!$N:$N,AI$10)</f>
        <v>3</v>
      </c>
      <c r="AJ13" s="138">
        <f>COUNTIFS('Vanpool ODs'!$L:$L,"Non-Federal",'Vanpool ODs'!$M:$M,$AH13,'Vanpool ODs'!$N:$N,AJ$10)</f>
        <v>18</v>
      </c>
      <c r="AK13" s="138">
        <f>COUNTIFS('Vanpool ODs'!$L:$L,"Non-Federal",'Vanpool ODs'!$M:$M,$AH13,'Vanpool ODs'!$N:$N,AK$10)</f>
        <v>2</v>
      </c>
      <c r="AL13" s="138">
        <f>COUNTIFS('Vanpool ODs'!$L:$L,"Non-Federal",'Vanpool ODs'!$M:$M,$AH13,'Vanpool ODs'!$N:$N,AL$10)</f>
        <v>0</v>
      </c>
      <c r="AM13" s="138">
        <f>COUNTIFS('Vanpool ODs'!$L:$L,"Non-Federal",'Vanpool ODs'!$M:$M,$AH13,'Vanpool ODs'!$N:$N,AM$10)</f>
        <v>10</v>
      </c>
      <c r="AN13" s="138">
        <f>COUNTIFS('Vanpool ODs'!$L:$L,"Non-Federal",'Vanpool ODs'!$M:$M,$AH13,'Vanpool ODs'!$N:$N,AN$10)</f>
        <v>0</v>
      </c>
      <c r="AO13" s="192">
        <f>COUNTIFS('Vanpool ODs'!$L:$L,"Non-Federal",'Vanpool ODs'!$M:$M,$AH13,'Vanpool ODs'!$N:$N,AO$10)</f>
        <v>0</v>
      </c>
      <c r="AP13" s="138">
        <f>COUNTIFS('Vanpool ODs'!$L:$L,"Non-Federal",'Vanpool ODs'!$M:$M,$AH13,'Vanpool ODs'!$N:$N,AP$10)</f>
        <v>0</v>
      </c>
      <c r="AQ13" s="138">
        <f>COUNTIFS('Vanpool ODs'!$L:$L,"Non-Federal",'Vanpool ODs'!$M:$M,$AH13,'Vanpool ODs'!$N:$N,AQ$10)</f>
        <v>0</v>
      </c>
      <c r="AR13" s="138">
        <f>COUNTIFS('Vanpool ODs'!$L:$L,"Non-Federal",'Vanpool ODs'!$M:$M,$AH13,'Vanpool ODs'!$N:$N,AR$10)</f>
        <v>0</v>
      </c>
      <c r="AS13" s="138">
        <f>COUNTIFS('Vanpool ODs'!$L:$L,"Non-Federal",'Vanpool ODs'!$M:$M,$AH13,'Vanpool ODs'!$N:$N,AS$10)</f>
        <v>0</v>
      </c>
      <c r="AT13" s="139">
        <f>COUNTIFS('Vanpool ODs'!$L:$L,"Non-Federal",'Vanpool ODs'!$M:$M,$AH13,'Vanpool ODs'!$N:$N,AT$10)</f>
        <v>0</v>
      </c>
      <c r="AU13" s="153"/>
      <c r="AV13" s="158">
        <f t="shared" si="2"/>
        <v>33</v>
      </c>
    </row>
    <row r="14" spans="2:48" x14ac:dyDescent="0.25">
      <c r="B14" s="153" t="s">
        <v>44</v>
      </c>
      <c r="C14" s="137">
        <f>COUNTIFS('Vanpool ODs'!$L:$L,"Military",'Vanpool ODs'!$M:$M,$B14,'Vanpool ODs'!$N:$N,C$10)</f>
        <v>1</v>
      </c>
      <c r="D14" s="138">
        <f>COUNTIFS('Vanpool ODs'!$L:$L,"Military",'Vanpool ODs'!$M:$M,$B14,'Vanpool ODs'!$N:$N,D$10)</f>
        <v>4</v>
      </c>
      <c r="E14" s="138">
        <f>COUNTIFS('Vanpool ODs'!$L:$L,"Military",'Vanpool ODs'!$M:$M,$B14,'Vanpool ODs'!$N:$N,E$10)</f>
        <v>0</v>
      </c>
      <c r="F14" s="138">
        <f>COUNTIFS('Vanpool ODs'!$L:$L,"Military",'Vanpool ODs'!$M:$M,$B14,'Vanpool ODs'!$N:$N,F$10)</f>
        <v>0</v>
      </c>
      <c r="G14" s="138">
        <f>COUNTIFS('Vanpool ODs'!$L:$L,"Military",'Vanpool ODs'!$M:$M,$B14,'Vanpool ODs'!$N:$N,G$10)</f>
        <v>2</v>
      </c>
      <c r="H14" s="138">
        <f>COUNTIFS('Vanpool ODs'!$L:$L,"Military",'Vanpool ODs'!$M:$M,$B14,'Vanpool ODs'!$N:$N,H$10)</f>
        <v>0</v>
      </c>
      <c r="I14" s="192">
        <f>COUNTIFS('Vanpool ODs'!$L:$L,"Military",'Vanpool ODs'!$M:$M,$B14,'Vanpool ODs'!$N:$N,I$10)</f>
        <v>0</v>
      </c>
      <c r="J14" s="138">
        <f>COUNTIFS('Vanpool ODs'!$L:$L,"Military",'Vanpool ODs'!$M:$M,$B14,'Vanpool ODs'!$N:$N,J$10)</f>
        <v>0</v>
      </c>
      <c r="K14" s="138">
        <f>COUNTIFS('Vanpool ODs'!$L:$L,"Military",'Vanpool ODs'!$M:$M,$B14,'Vanpool ODs'!$N:$N,K$10)</f>
        <v>0</v>
      </c>
      <c r="L14" s="138">
        <f>COUNTIFS('Vanpool ODs'!$L:$L,"Military",'Vanpool ODs'!$M:$M,$B14,'Vanpool ODs'!$N:$N,L$10)</f>
        <v>1</v>
      </c>
      <c r="M14" s="138">
        <f>COUNTIFS('Vanpool ODs'!$L:$L,"Military",'Vanpool ODs'!$M:$M,$B14,'Vanpool ODs'!$N:$N,M$10)</f>
        <v>0</v>
      </c>
      <c r="N14" s="139">
        <f>COUNTIFS('Vanpool ODs'!$L:$L,"Military",'Vanpool ODs'!$M:$M,$B14,'Vanpool ODs'!$N:$N,N$10)</f>
        <v>0</v>
      </c>
      <c r="O14" s="141"/>
      <c r="P14" s="155">
        <f t="shared" si="0"/>
        <v>8</v>
      </c>
      <c r="R14" s="153" t="s">
        <v>44</v>
      </c>
      <c r="S14" s="137">
        <f>COUNTIFS('Vanpool ODs'!$L:$L,"Federal",'Vanpool ODs'!$M:$M,$R14,'Vanpool ODs'!$N:$N,S$10)</f>
        <v>0</v>
      </c>
      <c r="T14" s="138">
        <f>COUNTIFS('Vanpool ODs'!$L:$L,"Federal",'Vanpool ODs'!$M:$M,$R14,'Vanpool ODs'!$N:$N,T$10)</f>
        <v>7</v>
      </c>
      <c r="U14" s="138">
        <f>COUNTIFS('Vanpool ODs'!$L:$L,"Federal",'Vanpool ODs'!$M:$M,$R14,'Vanpool ODs'!$N:$N,U$10)</f>
        <v>0</v>
      </c>
      <c r="V14" s="138">
        <f>COUNTIFS('Vanpool ODs'!$L:$L,"Federal",'Vanpool ODs'!$M:$M,$R14,'Vanpool ODs'!$N:$N,V$10)</f>
        <v>0</v>
      </c>
      <c r="W14" s="138">
        <f>COUNTIFS('Vanpool ODs'!$L:$L,"Federal",'Vanpool ODs'!$M:$M,$R14,'Vanpool ODs'!$N:$N,W$10)</f>
        <v>0</v>
      </c>
      <c r="X14" s="138">
        <f>COUNTIFS('Vanpool ODs'!$L:$L,"Federal",'Vanpool ODs'!$M:$M,$R14,'Vanpool ODs'!$N:$N,X$10)</f>
        <v>0</v>
      </c>
      <c r="Y14" s="192">
        <f>COUNTIFS('Vanpool ODs'!$L:$L,"Federal",'Vanpool ODs'!$M:$M,$R14,'Vanpool ODs'!$N:$N,Y$10)</f>
        <v>5</v>
      </c>
      <c r="Z14" s="138">
        <f>COUNTIFS('Vanpool ODs'!$L:$L,"Federal",'Vanpool ODs'!$M:$M,$R14,'Vanpool ODs'!$N:$N,Z$10)</f>
        <v>0</v>
      </c>
      <c r="AA14" s="138">
        <f>COUNTIFS('Vanpool ODs'!$L:$L,"Federal",'Vanpool ODs'!$M:$M,$R14,'Vanpool ODs'!$N:$N,AA$10)</f>
        <v>0</v>
      </c>
      <c r="AB14" s="138">
        <f>COUNTIFS('Vanpool ODs'!$L:$L,"Federal",'Vanpool ODs'!$M:$M,$R14,'Vanpool ODs'!$N:$N,AB$10)</f>
        <v>0</v>
      </c>
      <c r="AC14" s="138">
        <f>COUNTIFS('Vanpool ODs'!$L:$L,"Federal",'Vanpool ODs'!$M:$M,$R14,'Vanpool ODs'!$N:$N,AC$10)</f>
        <v>0</v>
      </c>
      <c r="AD14" s="139">
        <f>COUNTIFS('Vanpool ODs'!$L:$L,"Federal",'Vanpool ODs'!$M:$M,$R14,'Vanpool ODs'!$N:$N,AD$10)</f>
        <v>0</v>
      </c>
      <c r="AE14" s="153"/>
      <c r="AF14" s="158">
        <f t="shared" si="1"/>
        <v>12</v>
      </c>
      <c r="AH14" s="153" t="s">
        <v>44</v>
      </c>
      <c r="AI14" s="137">
        <f>COUNTIFS('Vanpool ODs'!$L:$L,"Non-Federal",'Vanpool ODs'!$M:$M,$AH14,'Vanpool ODs'!$N:$N,AI$10)</f>
        <v>11</v>
      </c>
      <c r="AJ14" s="138">
        <f>COUNTIFS('Vanpool ODs'!$L:$L,"Non-Federal",'Vanpool ODs'!$M:$M,$AH14,'Vanpool ODs'!$N:$N,AJ$10)</f>
        <v>35</v>
      </c>
      <c r="AK14" s="138">
        <f>COUNTIFS('Vanpool ODs'!$L:$L,"Non-Federal",'Vanpool ODs'!$M:$M,$AH14,'Vanpool ODs'!$N:$N,AK$10)</f>
        <v>0</v>
      </c>
      <c r="AL14" s="138">
        <f>COUNTIFS('Vanpool ODs'!$L:$L,"Non-Federal",'Vanpool ODs'!$M:$M,$AH14,'Vanpool ODs'!$N:$N,AL$10)</f>
        <v>2</v>
      </c>
      <c r="AM14" s="138">
        <f>COUNTIFS('Vanpool ODs'!$L:$L,"Non-Federal",'Vanpool ODs'!$M:$M,$AH14,'Vanpool ODs'!$N:$N,AM$10)</f>
        <v>6</v>
      </c>
      <c r="AN14" s="138">
        <f>COUNTIFS('Vanpool ODs'!$L:$L,"Non-Federal",'Vanpool ODs'!$M:$M,$AH14,'Vanpool ODs'!$N:$N,AN$10)</f>
        <v>2</v>
      </c>
      <c r="AO14" s="192">
        <f>COUNTIFS('Vanpool ODs'!$L:$L,"Non-Federal",'Vanpool ODs'!$M:$M,$AH14,'Vanpool ODs'!$N:$N,AO$10)</f>
        <v>0</v>
      </c>
      <c r="AP14" s="138">
        <f>COUNTIFS('Vanpool ODs'!$L:$L,"Non-Federal",'Vanpool ODs'!$M:$M,$AH14,'Vanpool ODs'!$N:$N,AP$10)</f>
        <v>0</v>
      </c>
      <c r="AQ14" s="138">
        <f>COUNTIFS('Vanpool ODs'!$L:$L,"Non-Federal",'Vanpool ODs'!$M:$M,$AH14,'Vanpool ODs'!$N:$N,AQ$10)</f>
        <v>0</v>
      </c>
      <c r="AR14" s="138">
        <f>COUNTIFS('Vanpool ODs'!$L:$L,"Non-Federal",'Vanpool ODs'!$M:$M,$AH14,'Vanpool ODs'!$N:$N,AR$10)</f>
        <v>0</v>
      </c>
      <c r="AS14" s="138">
        <f>COUNTIFS('Vanpool ODs'!$L:$L,"Non-Federal",'Vanpool ODs'!$M:$M,$AH14,'Vanpool ODs'!$N:$N,AS$10)</f>
        <v>0</v>
      </c>
      <c r="AT14" s="139">
        <f>COUNTIFS('Vanpool ODs'!$L:$L,"Non-Federal",'Vanpool ODs'!$M:$M,$AH14,'Vanpool ODs'!$N:$N,AT$10)</f>
        <v>0</v>
      </c>
      <c r="AU14" s="153"/>
      <c r="AV14" s="158">
        <f t="shared" si="2"/>
        <v>56</v>
      </c>
    </row>
    <row r="15" spans="2:48" x14ac:dyDescent="0.25">
      <c r="B15" s="153" t="s">
        <v>45</v>
      </c>
      <c r="C15" s="137">
        <f>COUNTIFS('Vanpool ODs'!$L:$L,"Military",'Vanpool ODs'!$M:$M,$B15,'Vanpool ODs'!$N:$N,C$10)</f>
        <v>16</v>
      </c>
      <c r="D15" s="138">
        <f>COUNTIFS('Vanpool ODs'!$L:$L,"Military",'Vanpool ODs'!$M:$M,$B15,'Vanpool ODs'!$N:$N,D$10)</f>
        <v>3</v>
      </c>
      <c r="E15" s="138">
        <f>COUNTIFS('Vanpool ODs'!$L:$L,"Military",'Vanpool ODs'!$M:$M,$B15,'Vanpool ODs'!$N:$N,E$10)</f>
        <v>0</v>
      </c>
      <c r="F15" s="138">
        <f>COUNTIFS('Vanpool ODs'!$L:$L,"Military",'Vanpool ODs'!$M:$M,$B15,'Vanpool ODs'!$N:$N,F$10)</f>
        <v>0</v>
      </c>
      <c r="G15" s="138">
        <f>COUNTIFS('Vanpool ODs'!$L:$L,"Military",'Vanpool ODs'!$M:$M,$B15,'Vanpool ODs'!$N:$N,G$10)</f>
        <v>2</v>
      </c>
      <c r="H15" s="138">
        <f>COUNTIFS('Vanpool ODs'!$L:$L,"Military",'Vanpool ODs'!$M:$M,$B15,'Vanpool ODs'!$N:$N,H$10)</f>
        <v>0</v>
      </c>
      <c r="I15" s="192">
        <f>COUNTIFS('Vanpool ODs'!$L:$L,"Military",'Vanpool ODs'!$M:$M,$B15,'Vanpool ODs'!$N:$N,I$10)</f>
        <v>0</v>
      </c>
      <c r="J15" s="138">
        <f>COUNTIFS('Vanpool ODs'!$L:$L,"Military",'Vanpool ODs'!$M:$M,$B15,'Vanpool ODs'!$N:$N,J$10)</f>
        <v>0</v>
      </c>
      <c r="K15" s="138">
        <f>COUNTIFS('Vanpool ODs'!$L:$L,"Military",'Vanpool ODs'!$M:$M,$B15,'Vanpool ODs'!$N:$N,K$10)</f>
        <v>0</v>
      </c>
      <c r="L15" s="138">
        <f>COUNTIFS('Vanpool ODs'!$L:$L,"Military",'Vanpool ODs'!$M:$M,$B15,'Vanpool ODs'!$N:$N,L$10)</f>
        <v>1</v>
      </c>
      <c r="M15" s="138">
        <f>COUNTIFS('Vanpool ODs'!$L:$L,"Military",'Vanpool ODs'!$M:$M,$B15,'Vanpool ODs'!$N:$N,M$10)</f>
        <v>0</v>
      </c>
      <c r="N15" s="139">
        <f>COUNTIFS('Vanpool ODs'!$L:$L,"Military",'Vanpool ODs'!$M:$M,$B15,'Vanpool ODs'!$N:$N,N$10)</f>
        <v>0</v>
      </c>
      <c r="O15" s="141"/>
      <c r="P15" s="155">
        <f t="shared" si="0"/>
        <v>22</v>
      </c>
      <c r="R15" s="153" t="s">
        <v>45</v>
      </c>
      <c r="S15" s="137">
        <f>COUNTIFS('Vanpool ODs'!$L:$L,"Federal",'Vanpool ODs'!$M:$M,$R15,'Vanpool ODs'!$N:$N,S$10)</f>
        <v>0</v>
      </c>
      <c r="T15" s="138">
        <f>COUNTIFS('Vanpool ODs'!$L:$L,"Federal",'Vanpool ODs'!$M:$M,$R15,'Vanpool ODs'!$N:$N,T$10)</f>
        <v>8</v>
      </c>
      <c r="U15" s="138">
        <f>COUNTIFS('Vanpool ODs'!$L:$L,"Federal",'Vanpool ODs'!$M:$M,$R15,'Vanpool ODs'!$N:$N,U$10)</f>
        <v>0</v>
      </c>
      <c r="V15" s="138">
        <f>COUNTIFS('Vanpool ODs'!$L:$L,"Federal",'Vanpool ODs'!$M:$M,$R15,'Vanpool ODs'!$N:$N,V$10)</f>
        <v>0</v>
      </c>
      <c r="W15" s="138">
        <f>COUNTIFS('Vanpool ODs'!$L:$L,"Federal",'Vanpool ODs'!$M:$M,$R15,'Vanpool ODs'!$N:$N,W$10)</f>
        <v>0</v>
      </c>
      <c r="X15" s="138">
        <f>COUNTIFS('Vanpool ODs'!$L:$L,"Federal",'Vanpool ODs'!$M:$M,$R15,'Vanpool ODs'!$N:$N,X$10)</f>
        <v>0</v>
      </c>
      <c r="Y15" s="192">
        <f>COUNTIFS('Vanpool ODs'!$L:$L,"Federal",'Vanpool ODs'!$M:$M,$R15,'Vanpool ODs'!$N:$N,Y$10)</f>
        <v>16</v>
      </c>
      <c r="Z15" s="138">
        <f>COUNTIFS('Vanpool ODs'!$L:$L,"Federal",'Vanpool ODs'!$M:$M,$R15,'Vanpool ODs'!$N:$N,Z$10)</f>
        <v>0</v>
      </c>
      <c r="AA15" s="138">
        <f>COUNTIFS('Vanpool ODs'!$L:$L,"Federal",'Vanpool ODs'!$M:$M,$R15,'Vanpool ODs'!$N:$N,AA$10)</f>
        <v>1</v>
      </c>
      <c r="AB15" s="138">
        <f>COUNTIFS('Vanpool ODs'!$L:$L,"Federal",'Vanpool ODs'!$M:$M,$R15,'Vanpool ODs'!$N:$N,AB$10)</f>
        <v>2</v>
      </c>
      <c r="AC15" s="138">
        <f>COUNTIFS('Vanpool ODs'!$L:$L,"Federal",'Vanpool ODs'!$M:$M,$R15,'Vanpool ODs'!$N:$N,AC$10)</f>
        <v>0</v>
      </c>
      <c r="AD15" s="139">
        <f>COUNTIFS('Vanpool ODs'!$L:$L,"Federal",'Vanpool ODs'!$M:$M,$R15,'Vanpool ODs'!$N:$N,AD$10)</f>
        <v>0</v>
      </c>
      <c r="AE15" s="153"/>
      <c r="AF15" s="158">
        <f t="shared" si="1"/>
        <v>27</v>
      </c>
      <c r="AH15" s="153" t="s">
        <v>45</v>
      </c>
      <c r="AI15" s="137">
        <f>COUNTIFS('Vanpool ODs'!$L:$L,"Non-Federal",'Vanpool ODs'!$M:$M,$AH15,'Vanpool ODs'!$N:$N,AI$10)</f>
        <v>8</v>
      </c>
      <c r="AJ15" s="138">
        <f>COUNTIFS('Vanpool ODs'!$L:$L,"Non-Federal",'Vanpool ODs'!$M:$M,$AH15,'Vanpool ODs'!$N:$N,AJ$10)</f>
        <v>20</v>
      </c>
      <c r="AK15" s="138">
        <f>COUNTIFS('Vanpool ODs'!$L:$L,"Non-Federal",'Vanpool ODs'!$M:$M,$AH15,'Vanpool ODs'!$N:$N,AK$10)</f>
        <v>1</v>
      </c>
      <c r="AL15" s="138">
        <f>COUNTIFS('Vanpool ODs'!$L:$L,"Non-Federal",'Vanpool ODs'!$M:$M,$AH15,'Vanpool ODs'!$N:$N,AL$10)</f>
        <v>0</v>
      </c>
      <c r="AM15" s="138">
        <f>COUNTIFS('Vanpool ODs'!$L:$L,"Non-Federal",'Vanpool ODs'!$M:$M,$AH15,'Vanpool ODs'!$N:$N,AM$10)</f>
        <v>3</v>
      </c>
      <c r="AN15" s="138">
        <f>COUNTIFS('Vanpool ODs'!$L:$L,"Non-Federal",'Vanpool ODs'!$M:$M,$AH15,'Vanpool ODs'!$N:$N,AN$10)</f>
        <v>1</v>
      </c>
      <c r="AO15" s="192">
        <f>COUNTIFS('Vanpool ODs'!$L:$L,"Non-Federal",'Vanpool ODs'!$M:$M,$AH15,'Vanpool ODs'!$N:$N,AO$10)</f>
        <v>0</v>
      </c>
      <c r="AP15" s="138">
        <f>COUNTIFS('Vanpool ODs'!$L:$L,"Non-Federal",'Vanpool ODs'!$M:$M,$AH15,'Vanpool ODs'!$N:$N,AP$10)</f>
        <v>0</v>
      </c>
      <c r="AQ15" s="138">
        <f>COUNTIFS('Vanpool ODs'!$L:$L,"Non-Federal",'Vanpool ODs'!$M:$M,$AH15,'Vanpool ODs'!$N:$N,AQ$10)</f>
        <v>0</v>
      </c>
      <c r="AR15" s="138">
        <f>COUNTIFS('Vanpool ODs'!$L:$L,"Non-Federal",'Vanpool ODs'!$M:$M,$AH15,'Vanpool ODs'!$N:$N,AR$10)</f>
        <v>0</v>
      </c>
      <c r="AS15" s="138">
        <f>COUNTIFS('Vanpool ODs'!$L:$L,"Non-Federal",'Vanpool ODs'!$M:$M,$AH15,'Vanpool ODs'!$N:$N,AS$10)</f>
        <v>0</v>
      </c>
      <c r="AT15" s="139">
        <f>COUNTIFS('Vanpool ODs'!$L:$L,"Non-Federal",'Vanpool ODs'!$M:$M,$AH15,'Vanpool ODs'!$N:$N,AT$10)</f>
        <v>0</v>
      </c>
      <c r="AU15" s="153"/>
      <c r="AV15" s="158">
        <f t="shared" si="2"/>
        <v>33</v>
      </c>
    </row>
    <row r="16" spans="2:48" x14ac:dyDescent="0.25">
      <c r="B16" s="153" t="s">
        <v>46</v>
      </c>
      <c r="C16" s="137">
        <f>COUNTIFS('Vanpool ODs'!$L:$L,"Military",'Vanpool ODs'!$M:$M,$B16,'Vanpool ODs'!$N:$N,C$10)</f>
        <v>4</v>
      </c>
      <c r="D16" s="138">
        <f>COUNTIFS('Vanpool ODs'!$L:$L,"Military",'Vanpool ODs'!$M:$M,$B16,'Vanpool ODs'!$N:$N,D$10)</f>
        <v>0</v>
      </c>
      <c r="E16" s="138">
        <f>COUNTIFS('Vanpool ODs'!$L:$L,"Military",'Vanpool ODs'!$M:$M,$B16,'Vanpool ODs'!$N:$N,E$10)</f>
        <v>0</v>
      </c>
      <c r="F16" s="138">
        <f>COUNTIFS('Vanpool ODs'!$L:$L,"Military",'Vanpool ODs'!$M:$M,$B16,'Vanpool ODs'!$N:$N,F$10)</f>
        <v>0</v>
      </c>
      <c r="G16" s="138">
        <f>COUNTIFS('Vanpool ODs'!$L:$L,"Military",'Vanpool ODs'!$M:$M,$B16,'Vanpool ODs'!$N:$N,G$10)</f>
        <v>1</v>
      </c>
      <c r="H16" s="138">
        <f>COUNTIFS('Vanpool ODs'!$L:$L,"Military",'Vanpool ODs'!$M:$M,$B16,'Vanpool ODs'!$N:$N,H$10)</f>
        <v>0</v>
      </c>
      <c r="I16" s="192">
        <f>COUNTIFS('Vanpool ODs'!$L:$L,"Military",'Vanpool ODs'!$M:$M,$B16,'Vanpool ODs'!$N:$N,I$10)</f>
        <v>0</v>
      </c>
      <c r="J16" s="138">
        <f>COUNTIFS('Vanpool ODs'!$L:$L,"Military",'Vanpool ODs'!$M:$M,$B16,'Vanpool ODs'!$N:$N,J$10)</f>
        <v>0</v>
      </c>
      <c r="K16" s="138">
        <f>COUNTIFS('Vanpool ODs'!$L:$L,"Military",'Vanpool ODs'!$M:$M,$B16,'Vanpool ODs'!$N:$N,K$10)</f>
        <v>0</v>
      </c>
      <c r="L16" s="138">
        <f>COUNTIFS('Vanpool ODs'!$L:$L,"Military",'Vanpool ODs'!$M:$M,$B16,'Vanpool ODs'!$N:$N,L$10)</f>
        <v>0</v>
      </c>
      <c r="M16" s="138">
        <f>COUNTIFS('Vanpool ODs'!$L:$L,"Military",'Vanpool ODs'!$M:$M,$B16,'Vanpool ODs'!$N:$N,M$10)</f>
        <v>0</v>
      </c>
      <c r="N16" s="139">
        <f>COUNTIFS('Vanpool ODs'!$L:$L,"Military",'Vanpool ODs'!$M:$M,$B16,'Vanpool ODs'!$N:$N,N$10)</f>
        <v>0</v>
      </c>
      <c r="O16" s="141"/>
      <c r="P16" s="155">
        <f t="shared" si="0"/>
        <v>5</v>
      </c>
      <c r="R16" s="153" t="s">
        <v>46</v>
      </c>
      <c r="S16" s="137">
        <f>COUNTIFS('Vanpool ODs'!$L:$L,"Federal",'Vanpool ODs'!$M:$M,$R16,'Vanpool ODs'!$N:$N,S$10)</f>
        <v>0</v>
      </c>
      <c r="T16" s="138">
        <f>COUNTIFS('Vanpool ODs'!$L:$L,"Federal",'Vanpool ODs'!$M:$M,$R16,'Vanpool ODs'!$N:$N,T$10)</f>
        <v>2</v>
      </c>
      <c r="U16" s="138">
        <f>COUNTIFS('Vanpool ODs'!$L:$L,"Federal",'Vanpool ODs'!$M:$M,$R16,'Vanpool ODs'!$N:$N,U$10)</f>
        <v>0</v>
      </c>
      <c r="V16" s="138">
        <f>COUNTIFS('Vanpool ODs'!$L:$L,"Federal",'Vanpool ODs'!$M:$M,$R16,'Vanpool ODs'!$N:$N,V$10)</f>
        <v>0</v>
      </c>
      <c r="W16" s="138">
        <f>COUNTIFS('Vanpool ODs'!$L:$L,"Federal",'Vanpool ODs'!$M:$M,$R16,'Vanpool ODs'!$N:$N,W$10)</f>
        <v>0</v>
      </c>
      <c r="X16" s="138">
        <f>COUNTIFS('Vanpool ODs'!$L:$L,"Federal",'Vanpool ODs'!$M:$M,$R16,'Vanpool ODs'!$N:$N,X$10)</f>
        <v>0</v>
      </c>
      <c r="Y16" s="192">
        <f>COUNTIFS('Vanpool ODs'!$L:$L,"Federal",'Vanpool ODs'!$M:$M,$R16,'Vanpool ODs'!$N:$N,Y$10)</f>
        <v>0</v>
      </c>
      <c r="Z16" s="138">
        <f>COUNTIFS('Vanpool ODs'!$L:$L,"Federal",'Vanpool ODs'!$M:$M,$R16,'Vanpool ODs'!$N:$N,Z$10)</f>
        <v>0</v>
      </c>
      <c r="AA16" s="138">
        <f>COUNTIFS('Vanpool ODs'!$L:$L,"Federal",'Vanpool ODs'!$M:$M,$R16,'Vanpool ODs'!$N:$N,AA$10)</f>
        <v>2</v>
      </c>
      <c r="AB16" s="138">
        <f>COUNTIFS('Vanpool ODs'!$L:$L,"Federal",'Vanpool ODs'!$M:$M,$R16,'Vanpool ODs'!$N:$N,AB$10)</f>
        <v>0</v>
      </c>
      <c r="AC16" s="138">
        <f>COUNTIFS('Vanpool ODs'!$L:$L,"Federal",'Vanpool ODs'!$M:$M,$R16,'Vanpool ODs'!$N:$N,AC$10)</f>
        <v>0</v>
      </c>
      <c r="AD16" s="139">
        <f>COUNTIFS('Vanpool ODs'!$L:$L,"Federal",'Vanpool ODs'!$M:$M,$R16,'Vanpool ODs'!$N:$N,AD$10)</f>
        <v>0</v>
      </c>
      <c r="AE16" s="153"/>
      <c r="AF16" s="158">
        <f t="shared" si="1"/>
        <v>4</v>
      </c>
      <c r="AH16" s="153" t="s">
        <v>46</v>
      </c>
      <c r="AI16" s="137">
        <f>COUNTIFS('Vanpool ODs'!$L:$L,"Non-Federal",'Vanpool ODs'!$M:$M,$AH16,'Vanpool ODs'!$N:$N,AI$10)</f>
        <v>1</v>
      </c>
      <c r="AJ16" s="138">
        <f>COUNTIFS('Vanpool ODs'!$L:$L,"Non-Federal",'Vanpool ODs'!$M:$M,$AH16,'Vanpool ODs'!$N:$N,AJ$10)</f>
        <v>5</v>
      </c>
      <c r="AK16" s="138">
        <f>COUNTIFS('Vanpool ODs'!$L:$L,"Non-Federal",'Vanpool ODs'!$M:$M,$AH16,'Vanpool ODs'!$N:$N,AK$10)</f>
        <v>0</v>
      </c>
      <c r="AL16" s="138">
        <f>COUNTIFS('Vanpool ODs'!$L:$L,"Non-Federal",'Vanpool ODs'!$M:$M,$AH16,'Vanpool ODs'!$N:$N,AL$10)</f>
        <v>0</v>
      </c>
      <c r="AM16" s="138">
        <f>COUNTIFS('Vanpool ODs'!$L:$L,"Non-Federal",'Vanpool ODs'!$M:$M,$AH16,'Vanpool ODs'!$N:$N,AM$10)</f>
        <v>1</v>
      </c>
      <c r="AN16" s="138">
        <f>COUNTIFS('Vanpool ODs'!$L:$L,"Non-Federal",'Vanpool ODs'!$M:$M,$AH16,'Vanpool ODs'!$N:$N,AN$10)</f>
        <v>0</v>
      </c>
      <c r="AO16" s="192">
        <f>COUNTIFS('Vanpool ODs'!$L:$L,"Non-Federal",'Vanpool ODs'!$M:$M,$AH16,'Vanpool ODs'!$N:$N,AO$10)</f>
        <v>0</v>
      </c>
      <c r="AP16" s="138">
        <f>COUNTIFS('Vanpool ODs'!$L:$L,"Non-Federal",'Vanpool ODs'!$M:$M,$AH16,'Vanpool ODs'!$N:$N,AP$10)</f>
        <v>0</v>
      </c>
      <c r="AQ16" s="138">
        <f>COUNTIFS('Vanpool ODs'!$L:$L,"Non-Federal",'Vanpool ODs'!$M:$M,$AH16,'Vanpool ODs'!$N:$N,AQ$10)</f>
        <v>1</v>
      </c>
      <c r="AR16" s="138">
        <f>COUNTIFS('Vanpool ODs'!$L:$L,"Non-Federal",'Vanpool ODs'!$M:$M,$AH16,'Vanpool ODs'!$N:$N,AR$10)</f>
        <v>0</v>
      </c>
      <c r="AS16" s="138">
        <f>COUNTIFS('Vanpool ODs'!$L:$L,"Non-Federal",'Vanpool ODs'!$M:$M,$AH16,'Vanpool ODs'!$N:$N,AS$10)</f>
        <v>0</v>
      </c>
      <c r="AT16" s="139">
        <f>COUNTIFS('Vanpool ODs'!$L:$L,"Non-Federal",'Vanpool ODs'!$M:$M,$AH16,'Vanpool ODs'!$N:$N,AT$10)</f>
        <v>0</v>
      </c>
      <c r="AU16" s="153"/>
      <c r="AV16" s="158">
        <f t="shared" si="2"/>
        <v>8</v>
      </c>
    </row>
    <row r="17" spans="2:48" x14ac:dyDescent="0.25">
      <c r="B17" s="153" t="s">
        <v>47</v>
      </c>
      <c r="C17" s="137">
        <f>COUNTIFS('Vanpool ODs'!$L:$L,"Military",'Vanpool ODs'!$M:$M,$B17,'Vanpool ODs'!$N:$N,C$10)</f>
        <v>8</v>
      </c>
      <c r="D17" s="138">
        <f>COUNTIFS('Vanpool ODs'!$L:$L,"Military",'Vanpool ODs'!$M:$M,$B17,'Vanpool ODs'!$N:$N,D$10)</f>
        <v>1</v>
      </c>
      <c r="E17" s="138">
        <f>COUNTIFS('Vanpool ODs'!$L:$L,"Military",'Vanpool ODs'!$M:$M,$B17,'Vanpool ODs'!$N:$N,E$10)</f>
        <v>0</v>
      </c>
      <c r="F17" s="138">
        <f>COUNTIFS('Vanpool ODs'!$L:$L,"Military",'Vanpool ODs'!$M:$M,$B17,'Vanpool ODs'!$N:$N,F$10)</f>
        <v>0</v>
      </c>
      <c r="G17" s="138">
        <f>COUNTIFS('Vanpool ODs'!$L:$L,"Military",'Vanpool ODs'!$M:$M,$B17,'Vanpool ODs'!$N:$N,G$10)</f>
        <v>1</v>
      </c>
      <c r="H17" s="138">
        <f>COUNTIFS('Vanpool ODs'!$L:$L,"Military",'Vanpool ODs'!$M:$M,$B17,'Vanpool ODs'!$N:$N,H$10)</f>
        <v>0</v>
      </c>
      <c r="I17" s="192">
        <f>COUNTIFS('Vanpool ODs'!$L:$L,"Military",'Vanpool ODs'!$M:$M,$B17,'Vanpool ODs'!$N:$N,I$10)</f>
        <v>0</v>
      </c>
      <c r="J17" s="138">
        <f>COUNTIFS('Vanpool ODs'!$L:$L,"Military",'Vanpool ODs'!$M:$M,$B17,'Vanpool ODs'!$N:$N,J$10)</f>
        <v>0</v>
      </c>
      <c r="K17" s="138">
        <f>COUNTIFS('Vanpool ODs'!$L:$L,"Military",'Vanpool ODs'!$M:$M,$B17,'Vanpool ODs'!$N:$N,K$10)</f>
        <v>0</v>
      </c>
      <c r="L17" s="138">
        <f>COUNTIFS('Vanpool ODs'!$L:$L,"Military",'Vanpool ODs'!$M:$M,$B17,'Vanpool ODs'!$N:$N,L$10)</f>
        <v>0</v>
      </c>
      <c r="M17" s="138">
        <f>COUNTIFS('Vanpool ODs'!$L:$L,"Military",'Vanpool ODs'!$M:$M,$B17,'Vanpool ODs'!$N:$N,M$10)</f>
        <v>0</v>
      </c>
      <c r="N17" s="139">
        <f>COUNTIFS('Vanpool ODs'!$L:$L,"Military",'Vanpool ODs'!$M:$M,$B17,'Vanpool ODs'!$N:$N,N$10)</f>
        <v>0</v>
      </c>
      <c r="O17" s="141"/>
      <c r="P17" s="155">
        <f t="shared" si="0"/>
        <v>10</v>
      </c>
      <c r="R17" s="153" t="s">
        <v>47</v>
      </c>
      <c r="S17" s="137">
        <f>COUNTIFS('Vanpool ODs'!$L:$L,"Federal",'Vanpool ODs'!$M:$M,$R17,'Vanpool ODs'!$N:$N,S$10)</f>
        <v>1</v>
      </c>
      <c r="T17" s="138">
        <f>COUNTIFS('Vanpool ODs'!$L:$L,"Federal",'Vanpool ODs'!$M:$M,$R17,'Vanpool ODs'!$N:$N,T$10)</f>
        <v>4</v>
      </c>
      <c r="U17" s="138">
        <f>COUNTIFS('Vanpool ODs'!$L:$L,"Federal",'Vanpool ODs'!$M:$M,$R17,'Vanpool ODs'!$N:$N,U$10)</f>
        <v>1</v>
      </c>
      <c r="V17" s="138">
        <f>COUNTIFS('Vanpool ODs'!$L:$L,"Federal",'Vanpool ODs'!$M:$M,$R17,'Vanpool ODs'!$N:$N,V$10)</f>
        <v>1</v>
      </c>
      <c r="W17" s="138">
        <f>COUNTIFS('Vanpool ODs'!$L:$L,"Federal",'Vanpool ODs'!$M:$M,$R17,'Vanpool ODs'!$N:$N,W$10)</f>
        <v>0</v>
      </c>
      <c r="X17" s="138">
        <f>COUNTIFS('Vanpool ODs'!$L:$L,"Federal",'Vanpool ODs'!$M:$M,$R17,'Vanpool ODs'!$N:$N,X$10)</f>
        <v>0</v>
      </c>
      <c r="Y17" s="192">
        <f>COUNTIFS('Vanpool ODs'!$L:$L,"Federal",'Vanpool ODs'!$M:$M,$R17,'Vanpool ODs'!$N:$N,Y$10)</f>
        <v>2</v>
      </c>
      <c r="Z17" s="138">
        <f>COUNTIFS('Vanpool ODs'!$L:$L,"Federal",'Vanpool ODs'!$M:$M,$R17,'Vanpool ODs'!$N:$N,Z$10)</f>
        <v>0</v>
      </c>
      <c r="AA17" s="138">
        <f>COUNTIFS('Vanpool ODs'!$L:$L,"Federal",'Vanpool ODs'!$M:$M,$R17,'Vanpool ODs'!$N:$N,AA$10)</f>
        <v>0</v>
      </c>
      <c r="AB17" s="138">
        <f>COUNTIFS('Vanpool ODs'!$L:$L,"Federal",'Vanpool ODs'!$M:$M,$R17,'Vanpool ODs'!$N:$N,AB$10)</f>
        <v>0</v>
      </c>
      <c r="AC17" s="138">
        <f>COUNTIFS('Vanpool ODs'!$L:$L,"Federal",'Vanpool ODs'!$M:$M,$R17,'Vanpool ODs'!$N:$N,AC$10)</f>
        <v>0</v>
      </c>
      <c r="AD17" s="139">
        <f>COUNTIFS('Vanpool ODs'!$L:$L,"Federal",'Vanpool ODs'!$M:$M,$R17,'Vanpool ODs'!$N:$N,AD$10)</f>
        <v>0</v>
      </c>
      <c r="AE17" s="153"/>
      <c r="AF17" s="158">
        <f t="shared" si="1"/>
        <v>9</v>
      </c>
      <c r="AH17" s="153" t="s">
        <v>47</v>
      </c>
      <c r="AI17" s="137">
        <f>COUNTIFS('Vanpool ODs'!$L:$L,"Non-Federal",'Vanpool ODs'!$M:$M,$AH17,'Vanpool ODs'!$N:$N,AI$10)</f>
        <v>4</v>
      </c>
      <c r="AJ17" s="138">
        <f>COUNTIFS('Vanpool ODs'!$L:$L,"Non-Federal",'Vanpool ODs'!$M:$M,$AH17,'Vanpool ODs'!$N:$N,AJ$10)</f>
        <v>14</v>
      </c>
      <c r="AK17" s="138">
        <f>COUNTIFS('Vanpool ODs'!$L:$L,"Non-Federal",'Vanpool ODs'!$M:$M,$AH17,'Vanpool ODs'!$N:$N,AK$10)</f>
        <v>0</v>
      </c>
      <c r="AL17" s="138">
        <f>COUNTIFS('Vanpool ODs'!$L:$L,"Non-Federal",'Vanpool ODs'!$M:$M,$AH17,'Vanpool ODs'!$N:$N,AL$10)</f>
        <v>0</v>
      </c>
      <c r="AM17" s="138">
        <f>COUNTIFS('Vanpool ODs'!$L:$L,"Non-Federal",'Vanpool ODs'!$M:$M,$AH17,'Vanpool ODs'!$N:$N,AM$10)</f>
        <v>3</v>
      </c>
      <c r="AN17" s="138">
        <f>COUNTIFS('Vanpool ODs'!$L:$L,"Non-Federal",'Vanpool ODs'!$M:$M,$AH17,'Vanpool ODs'!$N:$N,AN$10)</f>
        <v>2</v>
      </c>
      <c r="AO17" s="192">
        <f>COUNTIFS('Vanpool ODs'!$L:$L,"Non-Federal",'Vanpool ODs'!$M:$M,$AH17,'Vanpool ODs'!$N:$N,AO$10)</f>
        <v>0</v>
      </c>
      <c r="AP17" s="138">
        <f>COUNTIFS('Vanpool ODs'!$L:$L,"Non-Federal",'Vanpool ODs'!$M:$M,$AH17,'Vanpool ODs'!$N:$N,AP$10)</f>
        <v>0</v>
      </c>
      <c r="AQ17" s="138">
        <f>COUNTIFS('Vanpool ODs'!$L:$L,"Non-Federal",'Vanpool ODs'!$M:$M,$AH17,'Vanpool ODs'!$N:$N,AQ$10)</f>
        <v>1</v>
      </c>
      <c r="AR17" s="138">
        <f>COUNTIFS('Vanpool ODs'!$L:$L,"Non-Federal",'Vanpool ODs'!$M:$M,$AH17,'Vanpool ODs'!$N:$N,AR$10)</f>
        <v>0</v>
      </c>
      <c r="AS17" s="138">
        <f>COUNTIFS('Vanpool ODs'!$L:$L,"Non-Federal",'Vanpool ODs'!$M:$M,$AH17,'Vanpool ODs'!$N:$N,AS$10)</f>
        <v>0</v>
      </c>
      <c r="AT17" s="139">
        <f>COUNTIFS('Vanpool ODs'!$L:$L,"Non-Federal",'Vanpool ODs'!$M:$M,$AH17,'Vanpool ODs'!$N:$N,AT$10)</f>
        <v>0</v>
      </c>
      <c r="AU17" s="153"/>
      <c r="AV17" s="158">
        <f t="shared" si="2"/>
        <v>24</v>
      </c>
    </row>
    <row r="18" spans="2:48" x14ac:dyDescent="0.25">
      <c r="B18" s="207" t="s">
        <v>48</v>
      </c>
      <c r="C18" s="188">
        <f>COUNTIFS('Vanpool ODs'!$L:$L,"Military",'Vanpool ODs'!$M:$M,$B18,'Vanpool ODs'!$N:$N,C$10)</f>
        <v>0</v>
      </c>
      <c r="D18" s="189">
        <f>COUNTIFS('Vanpool ODs'!$L:$L,"Military",'Vanpool ODs'!$M:$M,$B18,'Vanpool ODs'!$N:$N,D$10)</f>
        <v>0</v>
      </c>
      <c r="E18" s="189">
        <f>COUNTIFS('Vanpool ODs'!$L:$L,"Military",'Vanpool ODs'!$M:$M,$B18,'Vanpool ODs'!$N:$N,E$10)</f>
        <v>0</v>
      </c>
      <c r="F18" s="189">
        <f>COUNTIFS('Vanpool ODs'!$L:$L,"Military",'Vanpool ODs'!$M:$M,$B18,'Vanpool ODs'!$N:$N,F$10)</f>
        <v>0</v>
      </c>
      <c r="G18" s="189">
        <f>COUNTIFS('Vanpool ODs'!$L:$L,"Military",'Vanpool ODs'!$M:$M,$B18,'Vanpool ODs'!$N:$N,G$10)</f>
        <v>0</v>
      </c>
      <c r="H18" s="189">
        <f>COUNTIFS('Vanpool ODs'!$L:$L,"Military",'Vanpool ODs'!$M:$M,$B18,'Vanpool ODs'!$N:$N,H$10)</f>
        <v>0</v>
      </c>
      <c r="I18" s="193">
        <f>COUNTIFS('Vanpool ODs'!$L:$L,"Military",'Vanpool ODs'!$M:$M,$B18,'Vanpool ODs'!$N:$N,I$10)</f>
        <v>0</v>
      </c>
      <c r="J18" s="189">
        <f>COUNTIFS('Vanpool ODs'!$L:$L,"Military",'Vanpool ODs'!$M:$M,$B18,'Vanpool ODs'!$N:$N,J$10)</f>
        <v>0</v>
      </c>
      <c r="K18" s="189">
        <f>COUNTIFS('Vanpool ODs'!$L:$L,"Military",'Vanpool ODs'!$M:$M,$B18,'Vanpool ODs'!$N:$N,K$10)</f>
        <v>0</v>
      </c>
      <c r="L18" s="189">
        <f>COUNTIFS('Vanpool ODs'!$L:$L,"Military",'Vanpool ODs'!$M:$M,$B18,'Vanpool ODs'!$N:$N,L$10)</f>
        <v>0</v>
      </c>
      <c r="M18" s="189">
        <f>COUNTIFS('Vanpool ODs'!$L:$L,"Military",'Vanpool ODs'!$M:$M,$B18,'Vanpool ODs'!$N:$N,M$10)</f>
        <v>0</v>
      </c>
      <c r="N18" s="190">
        <f>COUNTIFS('Vanpool ODs'!$L:$L,"Military",'Vanpool ODs'!$M:$M,$B18,'Vanpool ODs'!$N:$N,N$10)</f>
        <v>0</v>
      </c>
      <c r="O18" s="141"/>
      <c r="P18" s="155">
        <f t="shared" si="0"/>
        <v>0</v>
      </c>
      <c r="R18" s="207" t="s">
        <v>48</v>
      </c>
      <c r="S18" s="188">
        <f>COUNTIFS('Vanpool ODs'!$L:$L,"Federal",'Vanpool ODs'!$M:$M,$R18,'Vanpool ODs'!$N:$N,S$10)</f>
        <v>0</v>
      </c>
      <c r="T18" s="189">
        <f>COUNTIFS('Vanpool ODs'!$L:$L,"Federal",'Vanpool ODs'!$M:$M,$R18,'Vanpool ODs'!$N:$N,T$10)</f>
        <v>0</v>
      </c>
      <c r="U18" s="189">
        <f>COUNTIFS('Vanpool ODs'!$L:$L,"Federal",'Vanpool ODs'!$M:$M,$R18,'Vanpool ODs'!$N:$N,U$10)</f>
        <v>0</v>
      </c>
      <c r="V18" s="189">
        <f>COUNTIFS('Vanpool ODs'!$L:$L,"Federal",'Vanpool ODs'!$M:$M,$R18,'Vanpool ODs'!$N:$N,V$10)</f>
        <v>0</v>
      </c>
      <c r="W18" s="189">
        <f>COUNTIFS('Vanpool ODs'!$L:$L,"Federal",'Vanpool ODs'!$M:$M,$R18,'Vanpool ODs'!$N:$N,W$10)</f>
        <v>0</v>
      </c>
      <c r="X18" s="189">
        <f>COUNTIFS('Vanpool ODs'!$L:$L,"Federal",'Vanpool ODs'!$M:$M,$R18,'Vanpool ODs'!$N:$N,X$10)</f>
        <v>0</v>
      </c>
      <c r="Y18" s="193">
        <f>COUNTIFS('Vanpool ODs'!$L:$L,"Federal",'Vanpool ODs'!$M:$M,$R18,'Vanpool ODs'!$N:$N,Y$10)</f>
        <v>2</v>
      </c>
      <c r="Z18" s="189">
        <f>COUNTIFS('Vanpool ODs'!$L:$L,"Federal",'Vanpool ODs'!$M:$M,$R18,'Vanpool ODs'!$N:$N,Z$10)</f>
        <v>0</v>
      </c>
      <c r="AA18" s="189">
        <f>COUNTIFS('Vanpool ODs'!$L:$L,"Federal",'Vanpool ODs'!$M:$M,$R18,'Vanpool ODs'!$N:$N,AA$10)</f>
        <v>0</v>
      </c>
      <c r="AB18" s="189">
        <f>COUNTIFS('Vanpool ODs'!$L:$L,"Federal",'Vanpool ODs'!$M:$M,$R18,'Vanpool ODs'!$N:$N,AB$10)</f>
        <v>0</v>
      </c>
      <c r="AC18" s="189">
        <f>COUNTIFS('Vanpool ODs'!$L:$L,"Federal",'Vanpool ODs'!$M:$M,$R18,'Vanpool ODs'!$N:$N,AC$10)</f>
        <v>0</v>
      </c>
      <c r="AD18" s="190">
        <f>COUNTIFS('Vanpool ODs'!$L:$L,"Federal",'Vanpool ODs'!$M:$M,$R18,'Vanpool ODs'!$N:$N,AD$10)</f>
        <v>0</v>
      </c>
      <c r="AE18" s="153"/>
      <c r="AF18" s="158">
        <f t="shared" si="1"/>
        <v>2</v>
      </c>
      <c r="AH18" s="207" t="s">
        <v>48</v>
      </c>
      <c r="AI18" s="188">
        <f>COUNTIFS('Vanpool ODs'!$L:$L,"Non-Federal",'Vanpool ODs'!$M:$M,$AH18,'Vanpool ODs'!$N:$N,AI$10)</f>
        <v>2</v>
      </c>
      <c r="AJ18" s="189">
        <f>COUNTIFS('Vanpool ODs'!$L:$L,"Non-Federal",'Vanpool ODs'!$M:$M,$AH18,'Vanpool ODs'!$N:$N,AJ$10)</f>
        <v>1</v>
      </c>
      <c r="AK18" s="189">
        <f>COUNTIFS('Vanpool ODs'!$L:$L,"Non-Federal",'Vanpool ODs'!$M:$M,$AH18,'Vanpool ODs'!$N:$N,AK$10)</f>
        <v>0</v>
      </c>
      <c r="AL18" s="189">
        <f>COUNTIFS('Vanpool ODs'!$L:$L,"Non-Federal",'Vanpool ODs'!$M:$M,$AH18,'Vanpool ODs'!$N:$N,AL$10)</f>
        <v>0</v>
      </c>
      <c r="AM18" s="189">
        <f>COUNTIFS('Vanpool ODs'!$L:$L,"Non-Federal",'Vanpool ODs'!$M:$M,$AH18,'Vanpool ODs'!$N:$N,AM$10)</f>
        <v>0</v>
      </c>
      <c r="AN18" s="189">
        <f>COUNTIFS('Vanpool ODs'!$L:$L,"Non-Federal",'Vanpool ODs'!$M:$M,$AH18,'Vanpool ODs'!$N:$N,AN$10)</f>
        <v>0</v>
      </c>
      <c r="AO18" s="193">
        <f>COUNTIFS('Vanpool ODs'!$L:$L,"Non-Federal",'Vanpool ODs'!$M:$M,$AH18,'Vanpool ODs'!$N:$N,AO$10)</f>
        <v>2</v>
      </c>
      <c r="AP18" s="189">
        <f>COUNTIFS('Vanpool ODs'!$L:$L,"Non-Federal",'Vanpool ODs'!$M:$M,$AH18,'Vanpool ODs'!$N:$N,AP$10)</f>
        <v>0</v>
      </c>
      <c r="AQ18" s="189">
        <f>COUNTIFS('Vanpool ODs'!$L:$L,"Non-Federal",'Vanpool ODs'!$M:$M,$AH18,'Vanpool ODs'!$N:$N,AQ$10)</f>
        <v>0</v>
      </c>
      <c r="AR18" s="189">
        <f>COUNTIFS('Vanpool ODs'!$L:$L,"Non-Federal",'Vanpool ODs'!$M:$M,$AH18,'Vanpool ODs'!$N:$N,AR$10)</f>
        <v>0</v>
      </c>
      <c r="AS18" s="189">
        <f>COUNTIFS('Vanpool ODs'!$L:$L,"Non-Federal",'Vanpool ODs'!$M:$M,$AH18,'Vanpool ODs'!$N:$N,AS$10)</f>
        <v>0</v>
      </c>
      <c r="AT18" s="190">
        <f>COUNTIFS('Vanpool ODs'!$L:$L,"Non-Federal",'Vanpool ODs'!$M:$M,$AH18,'Vanpool ODs'!$N:$N,AT$10)</f>
        <v>0</v>
      </c>
      <c r="AU18" s="153"/>
      <c r="AV18" s="158">
        <f t="shared" si="2"/>
        <v>5</v>
      </c>
    </row>
    <row r="19" spans="2:48" x14ac:dyDescent="0.25">
      <c r="B19" s="153" t="s">
        <v>523</v>
      </c>
      <c r="C19" s="137">
        <f>COUNTIFS('Vanpool ODs'!$L:$L,"Military",'Vanpool ODs'!$M:$M,$B19,'Vanpool ODs'!$N:$N,C$10)</f>
        <v>102</v>
      </c>
      <c r="D19" s="138">
        <f>COUNTIFS('Vanpool ODs'!$L:$L,"Military",'Vanpool ODs'!$M:$M,$B19,'Vanpool ODs'!$N:$N,D$10)</f>
        <v>28</v>
      </c>
      <c r="E19" s="138">
        <f>COUNTIFS('Vanpool ODs'!$L:$L,"Military",'Vanpool ODs'!$M:$M,$B19,'Vanpool ODs'!$N:$N,E$10)</f>
        <v>0</v>
      </c>
      <c r="F19" s="138">
        <f>COUNTIFS('Vanpool ODs'!$L:$L,"Military",'Vanpool ODs'!$M:$M,$B19,'Vanpool ODs'!$N:$N,F$10)</f>
        <v>0</v>
      </c>
      <c r="G19" s="138">
        <f>COUNTIFS('Vanpool ODs'!$L:$L,"Military",'Vanpool ODs'!$M:$M,$B19,'Vanpool ODs'!$N:$N,G$10)</f>
        <v>44</v>
      </c>
      <c r="H19" s="138">
        <f>COUNTIFS('Vanpool ODs'!$L:$L,"Military",'Vanpool ODs'!$M:$M,$B19,'Vanpool ODs'!$N:$N,H$10)</f>
        <v>0</v>
      </c>
      <c r="I19" s="192">
        <f>COUNTIFS('Vanpool ODs'!$L:$L,"Military",'Vanpool ODs'!$M:$M,$B19,'Vanpool ODs'!$N:$N,I$10)</f>
        <v>0</v>
      </c>
      <c r="J19" s="195"/>
      <c r="K19" s="196"/>
      <c r="L19" s="196"/>
      <c r="M19" s="196"/>
      <c r="N19" s="197"/>
      <c r="O19" s="141"/>
      <c r="P19" s="155">
        <f t="shared" si="0"/>
        <v>174</v>
      </c>
      <c r="R19" s="153" t="s">
        <v>523</v>
      </c>
      <c r="S19" s="137">
        <f>COUNTIFS('Vanpool ODs'!$L:$L,"Federal",'Vanpool ODs'!$M:$M,$R19,'Vanpool ODs'!$N:$N,S$10)</f>
        <v>9</v>
      </c>
      <c r="T19" s="138">
        <f>COUNTIFS('Vanpool ODs'!$L:$L,"Federal",'Vanpool ODs'!$M:$M,$R19,'Vanpool ODs'!$N:$N,T$10)</f>
        <v>16</v>
      </c>
      <c r="U19" s="138">
        <f>COUNTIFS('Vanpool ODs'!$L:$L,"Federal",'Vanpool ODs'!$M:$M,$R19,'Vanpool ODs'!$N:$N,U$10)</f>
        <v>9</v>
      </c>
      <c r="V19" s="138">
        <f>COUNTIFS('Vanpool ODs'!$L:$L,"Federal",'Vanpool ODs'!$M:$M,$R19,'Vanpool ODs'!$N:$N,V$10)</f>
        <v>4</v>
      </c>
      <c r="W19" s="138">
        <f>COUNTIFS('Vanpool ODs'!$L:$L,"Federal",'Vanpool ODs'!$M:$M,$R19,'Vanpool ODs'!$N:$N,W$10)</f>
        <v>0</v>
      </c>
      <c r="X19" s="138">
        <f>COUNTIFS('Vanpool ODs'!$L:$L,"Federal",'Vanpool ODs'!$M:$M,$R19,'Vanpool ODs'!$N:$N,X$10)</f>
        <v>2</v>
      </c>
      <c r="Y19" s="192">
        <f>COUNTIFS('Vanpool ODs'!$L:$L,"Federal",'Vanpool ODs'!$M:$M,$R19,'Vanpool ODs'!$N:$N,Y$10)</f>
        <v>0</v>
      </c>
      <c r="Z19" s="195"/>
      <c r="AA19" s="196"/>
      <c r="AB19" s="196"/>
      <c r="AC19" s="196"/>
      <c r="AD19" s="197"/>
      <c r="AE19" s="153"/>
      <c r="AF19" s="158">
        <f t="shared" si="1"/>
        <v>40</v>
      </c>
      <c r="AH19" s="153" t="s">
        <v>523</v>
      </c>
      <c r="AI19" s="137">
        <f>COUNTIFS('Vanpool ODs'!$L:$L,"Non-Federal",'Vanpool ODs'!$M:$M,$AH19,'Vanpool ODs'!$N:$N,AI$10)</f>
        <v>19</v>
      </c>
      <c r="AJ19" s="138">
        <f>COUNTIFS('Vanpool ODs'!$L:$L,"Non-Federal",'Vanpool ODs'!$M:$M,$AH19,'Vanpool ODs'!$N:$N,AJ$10)</f>
        <v>63</v>
      </c>
      <c r="AK19" s="138">
        <f>COUNTIFS('Vanpool ODs'!$L:$L,"Non-Federal",'Vanpool ODs'!$M:$M,$AH19,'Vanpool ODs'!$N:$N,AK$10)</f>
        <v>1</v>
      </c>
      <c r="AL19" s="138">
        <f>COUNTIFS('Vanpool ODs'!$L:$L,"Non-Federal",'Vanpool ODs'!$M:$M,$AH19,'Vanpool ODs'!$N:$N,AL$10)</f>
        <v>0</v>
      </c>
      <c r="AM19" s="138">
        <f>COUNTIFS('Vanpool ODs'!$L:$L,"Non-Federal",'Vanpool ODs'!$M:$M,$AH19,'Vanpool ODs'!$N:$N,AM$10)</f>
        <v>17</v>
      </c>
      <c r="AN19" s="138">
        <f>COUNTIFS('Vanpool ODs'!$L:$L,"Non-Federal",'Vanpool ODs'!$M:$M,$AH19,'Vanpool ODs'!$N:$N,AN$10)</f>
        <v>10</v>
      </c>
      <c r="AO19" s="192">
        <f>COUNTIFS('Vanpool ODs'!$L:$L,"Non-Federal",'Vanpool ODs'!$M:$M,$AH19,'Vanpool ODs'!$N:$N,AO$10)</f>
        <v>0</v>
      </c>
      <c r="AP19" s="195"/>
      <c r="AQ19" s="196"/>
      <c r="AR19" s="196"/>
      <c r="AS19" s="196"/>
      <c r="AT19" s="197"/>
      <c r="AU19" s="153"/>
      <c r="AV19" s="158">
        <f t="shared" si="2"/>
        <v>110</v>
      </c>
    </row>
    <row r="20" spans="2:48" x14ac:dyDescent="0.25">
      <c r="B20" s="153" t="s">
        <v>524</v>
      </c>
      <c r="C20" s="137">
        <f>COUNTIFS('Vanpool ODs'!$L:$L,"Military",'Vanpool ODs'!$M:$M,$B20,'Vanpool ODs'!$N:$N,C$10)</f>
        <v>2</v>
      </c>
      <c r="D20" s="138">
        <f>COUNTIFS('Vanpool ODs'!$L:$L,"Military",'Vanpool ODs'!$M:$M,$B20,'Vanpool ODs'!$N:$N,D$10)</f>
        <v>1</v>
      </c>
      <c r="E20" s="138">
        <f>COUNTIFS('Vanpool ODs'!$L:$L,"Military",'Vanpool ODs'!$M:$M,$B20,'Vanpool ODs'!$N:$N,E$10)</f>
        <v>0</v>
      </c>
      <c r="F20" s="138">
        <f>COUNTIFS('Vanpool ODs'!$L:$L,"Military",'Vanpool ODs'!$M:$M,$B20,'Vanpool ODs'!$N:$N,F$10)</f>
        <v>0</v>
      </c>
      <c r="G20" s="138">
        <f>COUNTIFS('Vanpool ODs'!$L:$L,"Military",'Vanpool ODs'!$M:$M,$B20,'Vanpool ODs'!$N:$N,G$10)</f>
        <v>1</v>
      </c>
      <c r="H20" s="138">
        <f>COUNTIFS('Vanpool ODs'!$L:$L,"Military",'Vanpool ODs'!$M:$M,$B20,'Vanpool ODs'!$N:$N,H$10)</f>
        <v>0</v>
      </c>
      <c r="I20" s="192">
        <f>COUNTIFS('Vanpool ODs'!$L:$L,"Military",'Vanpool ODs'!$M:$M,$B20,'Vanpool ODs'!$N:$N,I$10)</f>
        <v>0</v>
      </c>
      <c r="J20" s="198"/>
      <c r="K20" s="199"/>
      <c r="L20" s="199"/>
      <c r="M20" s="199"/>
      <c r="N20" s="200"/>
      <c r="O20" s="141"/>
      <c r="P20" s="155">
        <f t="shared" si="0"/>
        <v>4</v>
      </c>
      <c r="R20" s="153" t="s">
        <v>524</v>
      </c>
      <c r="S20" s="137">
        <f>COUNTIFS('Vanpool ODs'!$L:$L,"Federal",'Vanpool ODs'!$M:$M,$R20,'Vanpool ODs'!$N:$N,S$10)</f>
        <v>0</v>
      </c>
      <c r="T20" s="138">
        <f>COUNTIFS('Vanpool ODs'!$L:$L,"Federal",'Vanpool ODs'!$M:$M,$R20,'Vanpool ODs'!$N:$N,T$10)</f>
        <v>0</v>
      </c>
      <c r="U20" s="138">
        <f>COUNTIFS('Vanpool ODs'!$L:$L,"Federal",'Vanpool ODs'!$M:$M,$R20,'Vanpool ODs'!$N:$N,U$10)</f>
        <v>0</v>
      </c>
      <c r="V20" s="138">
        <f>COUNTIFS('Vanpool ODs'!$L:$L,"Federal",'Vanpool ODs'!$M:$M,$R20,'Vanpool ODs'!$N:$N,V$10)</f>
        <v>0</v>
      </c>
      <c r="W20" s="138">
        <f>COUNTIFS('Vanpool ODs'!$L:$L,"Federal",'Vanpool ODs'!$M:$M,$R20,'Vanpool ODs'!$N:$N,W$10)</f>
        <v>1</v>
      </c>
      <c r="X20" s="138">
        <f>COUNTIFS('Vanpool ODs'!$L:$L,"Federal",'Vanpool ODs'!$M:$M,$R20,'Vanpool ODs'!$N:$N,X$10)</f>
        <v>0</v>
      </c>
      <c r="Y20" s="192">
        <f>COUNTIFS('Vanpool ODs'!$L:$L,"Federal",'Vanpool ODs'!$M:$M,$R20,'Vanpool ODs'!$N:$N,Y$10)</f>
        <v>0</v>
      </c>
      <c r="Z20" s="198"/>
      <c r="AA20" s="199"/>
      <c r="AB20" s="199"/>
      <c r="AC20" s="199"/>
      <c r="AD20" s="200"/>
      <c r="AE20" s="153"/>
      <c r="AF20" s="158">
        <f t="shared" si="1"/>
        <v>1</v>
      </c>
      <c r="AH20" s="153" t="s">
        <v>524</v>
      </c>
      <c r="AI20" s="137">
        <f>COUNTIFS('Vanpool ODs'!$L:$L,"Non-Federal",'Vanpool ODs'!$M:$M,$AH20,'Vanpool ODs'!$N:$N,AI$10)</f>
        <v>0</v>
      </c>
      <c r="AJ20" s="138">
        <f>COUNTIFS('Vanpool ODs'!$L:$L,"Non-Federal",'Vanpool ODs'!$M:$M,$AH20,'Vanpool ODs'!$N:$N,AJ$10)</f>
        <v>5</v>
      </c>
      <c r="AK20" s="138">
        <f>COUNTIFS('Vanpool ODs'!$L:$L,"Non-Federal",'Vanpool ODs'!$M:$M,$AH20,'Vanpool ODs'!$N:$N,AK$10)</f>
        <v>0</v>
      </c>
      <c r="AL20" s="138">
        <f>COUNTIFS('Vanpool ODs'!$L:$L,"Non-Federal",'Vanpool ODs'!$M:$M,$AH20,'Vanpool ODs'!$N:$N,AL$10)</f>
        <v>0</v>
      </c>
      <c r="AM20" s="138">
        <f>COUNTIFS('Vanpool ODs'!$L:$L,"Non-Federal",'Vanpool ODs'!$M:$M,$AH20,'Vanpool ODs'!$N:$N,AM$10)</f>
        <v>7</v>
      </c>
      <c r="AN20" s="138">
        <f>COUNTIFS('Vanpool ODs'!$L:$L,"Non-Federal",'Vanpool ODs'!$M:$M,$AH20,'Vanpool ODs'!$N:$N,AN$10)</f>
        <v>0</v>
      </c>
      <c r="AO20" s="192">
        <f>COUNTIFS('Vanpool ODs'!$L:$L,"Non-Federal",'Vanpool ODs'!$M:$M,$AH20,'Vanpool ODs'!$N:$N,AO$10)</f>
        <v>0</v>
      </c>
      <c r="AP20" s="198"/>
      <c r="AQ20" s="199"/>
      <c r="AR20" s="199"/>
      <c r="AS20" s="199"/>
      <c r="AT20" s="200"/>
      <c r="AU20" s="153"/>
      <c r="AV20" s="158">
        <f t="shared" si="2"/>
        <v>12</v>
      </c>
    </row>
    <row r="21" spans="2:48" x14ac:dyDescent="0.25">
      <c r="B21" s="153" t="s">
        <v>525</v>
      </c>
      <c r="C21" s="137">
        <f>COUNTIFS('Vanpool ODs'!$L:$L,"Military",'Vanpool ODs'!$M:$M,$B21,'Vanpool ODs'!$N:$N,C$10)</f>
        <v>0</v>
      </c>
      <c r="D21" s="138">
        <f>COUNTIFS('Vanpool ODs'!$L:$L,"Military",'Vanpool ODs'!$M:$M,$B21,'Vanpool ODs'!$N:$N,D$10)</f>
        <v>0</v>
      </c>
      <c r="E21" s="138">
        <f>COUNTIFS('Vanpool ODs'!$L:$L,"Military",'Vanpool ODs'!$M:$M,$B21,'Vanpool ODs'!$N:$N,E$10)</f>
        <v>0</v>
      </c>
      <c r="F21" s="138">
        <f>COUNTIFS('Vanpool ODs'!$L:$L,"Military",'Vanpool ODs'!$M:$M,$B21,'Vanpool ODs'!$N:$N,F$10)</f>
        <v>0</v>
      </c>
      <c r="G21" s="138">
        <f>COUNTIFS('Vanpool ODs'!$L:$L,"Military",'Vanpool ODs'!$M:$M,$B21,'Vanpool ODs'!$N:$N,G$10)</f>
        <v>0</v>
      </c>
      <c r="H21" s="138">
        <f>COUNTIFS('Vanpool ODs'!$L:$L,"Military",'Vanpool ODs'!$M:$M,$B21,'Vanpool ODs'!$N:$N,H$10)</f>
        <v>0</v>
      </c>
      <c r="I21" s="192">
        <f>COUNTIFS('Vanpool ODs'!$L:$L,"Military",'Vanpool ODs'!$M:$M,$B21,'Vanpool ODs'!$N:$N,I$10)</f>
        <v>0</v>
      </c>
      <c r="J21" s="198"/>
      <c r="K21" s="199"/>
      <c r="L21" s="201" t="s">
        <v>69</v>
      </c>
      <c r="M21" s="199"/>
      <c r="N21" s="200"/>
      <c r="O21" s="141"/>
      <c r="P21" s="155">
        <f t="shared" si="0"/>
        <v>0</v>
      </c>
      <c r="R21" s="153" t="s">
        <v>525</v>
      </c>
      <c r="S21" s="137">
        <f>COUNTIFS('Vanpool ODs'!$L:$L,"Federal",'Vanpool ODs'!$M:$M,$R21,'Vanpool ODs'!$N:$N,S$10)</f>
        <v>0</v>
      </c>
      <c r="T21" s="138">
        <f>COUNTIFS('Vanpool ODs'!$L:$L,"Federal",'Vanpool ODs'!$M:$M,$R21,'Vanpool ODs'!$N:$N,T$10)</f>
        <v>0</v>
      </c>
      <c r="U21" s="138">
        <f>COUNTIFS('Vanpool ODs'!$L:$L,"Federal",'Vanpool ODs'!$M:$M,$R21,'Vanpool ODs'!$N:$N,U$10)</f>
        <v>0</v>
      </c>
      <c r="V21" s="138">
        <f>COUNTIFS('Vanpool ODs'!$L:$L,"Federal",'Vanpool ODs'!$M:$M,$R21,'Vanpool ODs'!$N:$N,V$10)</f>
        <v>0</v>
      </c>
      <c r="W21" s="138">
        <f>COUNTIFS('Vanpool ODs'!$L:$L,"Federal",'Vanpool ODs'!$M:$M,$R21,'Vanpool ODs'!$N:$N,W$10)</f>
        <v>0</v>
      </c>
      <c r="X21" s="138">
        <f>COUNTIFS('Vanpool ODs'!$L:$L,"Federal",'Vanpool ODs'!$M:$M,$R21,'Vanpool ODs'!$N:$N,X$10)</f>
        <v>0</v>
      </c>
      <c r="Y21" s="192">
        <f>COUNTIFS('Vanpool ODs'!$L:$L,"Federal",'Vanpool ODs'!$M:$M,$R21,'Vanpool ODs'!$N:$N,Y$10)</f>
        <v>5</v>
      </c>
      <c r="Z21" s="198"/>
      <c r="AA21" s="199"/>
      <c r="AB21" s="201" t="s">
        <v>69</v>
      </c>
      <c r="AC21" s="199"/>
      <c r="AD21" s="200"/>
      <c r="AE21" s="153"/>
      <c r="AF21" s="158">
        <f t="shared" si="1"/>
        <v>5</v>
      </c>
      <c r="AH21" s="153" t="s">
        <v>525</v>
      </c>
      <c r="AI21" s="137">
        <f>COUNTIFS('Vanpool ODs'!$L:$L,"Non-Federal",'Vanpool ODs'!$M:$M,$AH21,'Vanpool ODs'!$N:$N,AI$10)</f>
        <v>17</v>
      </c>
      <c r="AJ21" s="138">
        <f>COUNTIFS('Vanpool ODs'!$L:$L,"Non-Federal",'Vanpool ODs'!$M:$M,$AH21,'Vanpool ODs'!$N:$N,AJ$10)</f>
        <v>1</v>
      </c>
      <c r="AK21" s="138">
        <f>COUNTIFS('Vanpool ODs'!$L:$L,"Non-Federal",'Vanpool ODs'!$M:$M,$AH21,'Vanpool ODs'!$N:$N,AK$10)</f>
        <v>0</v>
      </c>
      <c r="AL21" s="138">
        <f>COUNTIFS('Vanpool ODs'!$L:$L,"Non-Federal",'Vanpool ODs'!$M:$M,$AH21,'Vanpool ODs'!$N:$N,AL$10)</f>
        <v>0</v>
      </c>
      <c r="AM21" s="138">
        <f>COUNTIFS('Vanpool ODs'!$L:$L,"Non-Federal",'Vanpool ODs'!$M:$M,$AH21,'Vanpool ODs'!$N:$N,AM$10)</f>
        <v>0</v>
      </c>
      <c r="AN21" s="138">
        <f>COUNTIFS('Vanpool ODs'!$L:$L,"Non-Federal",'Vanpool ODs'!$M:$M,$AH21,'Vanpool ODs'!$N:$N,AN$10)</f>
        <v>0</v>
      </c>
      <c r="AO21" s="192">
        <f>COUNTIFS('Vanpool ODs'!$L:$L,"Non-Federal",'Vanpool ODs'!$M:$M,$AH21,'Vanpool ODs'!$N:$N,AO$10)</f>
        <v>5</v>
      </c>
      <c r="AP21" s="198"/>
      <c r="AQ21" s="199"/>
      <c r="AR21" s="201" t="s">
        <v>69</v>
      </c>
      <c r="AS21" s="199"/>
      <c r="AT21" s="200"/>
      <c r="AU21" s="153"/>
      <c r="AV21" s="158">
        <f t="shared" si="2"/>
        <v>23</v>
      </c>
    </row>
    <row r="22" spans="2:48" x14ac:dyDescent="0.25">
      <c r="B22" s="153" t="s">
        <v>526</v>
      </c>
      <c r="C22" s="137">
        <f>COUNTIFS('Vanpool ODs'!$L:$L,"Military",'Vanpool ODs'!$M:$M,$B22,'Vanpool ODs'!$N:$N,C$10)</f>
        <v>1</v>
      </c>
      <c r="D22" s="138">
        <f>COUNTIFS('Vanpool ODs'!$L:$L,"Military",'Vanpool ODs'!$M:$M,$B22,'Vanpool ODs'!$N:$N,D$10)</f>
        <v>0</v>
      </c>
      <c r="E22" s="138">
        <f>COUNTIFS('Vanpool ODs'!$L:$L,"Military",'Vanpool ODs'!$M:$M,$B22,'Vanpool ODs'!$N:$N,E$10)</f>
        <v>0</v>
      </c>
      <c r="F22" s="138">
        <f>COUNTIFS('Vanpool ODs'!$L:$L,"Military",'Vanpool ODs'!$M:$M,$B22,'Vanpool ODs'!$N:$N,F$10)</f>
        <v>0</v>
      </c>
      <c r="G22" s="138">
        <f>COUNTIFS('Vanpool ODs'!$L:$L,"Military",'Vanpool ODs'!$M:$M,$B22,'Vanpool ODs'!$N:$N,G$10)</f>
        <v>0</v>
      </c>
      <c r="H22" s="138">
        <f>COUNTIFS('Vanpool ODs'!$L:$L,"Military",'Vanpool ODs'!$M:$M,$B22,'Vanpool ODs'!$N:$N,H$10)</f>
        <v>0</v>
      </c>
      <c r="I22" s="192">
        <f>COUNTIFS('Vanpool ODs'!$L:$L,"Military",'Vanpool ODs'!$M:$M,$B22,'Vanpool ODs'!$N:$N,I$10)</f>
        <v>0</v>
      </c>
      <c r="J22" s="198"/>
      <c r="K22" s="199"/>
      <c r="L22" s="199"/>
      <c r="M22" s="199"/>
      <c r="N22" s="200"/>
      <c r="O22" s="141"/>
      <c r="P22" s="155">
        <f t="shared" si="0"/>
        <v>1</v>
      </c>
      <c r="R22" s="153" t="s">
        <v>526</v>
      </c>
      <c r="S22" s="137">
        <f>COUNTIFS('Vanpool ODs'!$L:$L,"Federal",'Vanpool ODs'!$M:$M,$R22,'Vanpool ODs'!$N:$N,S$10)</f>
        <v>0</v>
      </c>
      <c r="T22" s="138">
        <f>COUNTIFS('Vanpool ODs'!$L:$L,"Federal",'Vanpool ODs'!$M:$M,$R22,'Vanpool ODs'!$N:$N,T$10)</f>
        <v>0</v>
      </c>
      <c r="U22" s="138">
        <f>COUNTIFS('Vanpool ODs'!$L:$L,"Federal",'Vanpool ODs'!$M:$M,$R22,'Vanpool ODs'!$N:$N,U$10)</f>
        <v>0</v>
      </c>
      <c r="V22" s="138">
        <f>COUNTIFS('Vanpool ODs'!$L:$L,"Federal",'Vanpool ODs'!$M:$M,$R22,'Vanpool ODs'!$N:$N,V$10)</f>
        <v>0</v>
      </c>
      <c r="W22" s="138">
        <f>COUNTIFS('Vanpool ODs'!$L:$L,"Federal",'Vanpool ODs'!$M:$M,$R22,'Vanpool ODs'!$N:$N,W$10)</f>
        <v>0</v>
      </c>
      <c r="X22" s="138">
        <f>COUNTIFS('Vanpool ODs'!$L:$L,"Federal",'Vanpool ODs'!$M:$M,$R22,'Vanpool ODs'!$N:$N,X$10)</f>
        <v>0</v>
      </c>
      <c r="Y22" s="192">
        <f>COUNTIFS('Vanpool ODs'!$L:$L,"Federal",'Vanpool ODs'!$M:$M,$R22,'Vanpool ODs'!$N:$N,Y$10)</f>
        <v>0</v>
      </c>
      <c r="Z22" s="198"/>
      <c r="AA22" s="199"/>
      <c r="AB22" s="199"/>
      <c r="AC22" s="199"/>
      <c r="AD22" s="200"/>
      <c r="AE22" s="153"/>
      <c r="AF22" s="158">
        <f t="shared" si="1"/>
        <v>0</v>
      </c>
      <c r="AH22" s="153" t="s">
        <v>526</v>
      </c>
      <c r="AI22" s="137">
        <f>COUNTIFS('Vanpool ODs'!$L:$L,"Non-Federal",'Vanpool ODs'!$M:$M,$AH22,'Vanpool ODs'!$N:$N,AI$10)</f>
        <v>0</v>
      </c>
      <c r="AJ22" s="138">
        <f>COUNTIFS('Vanpool ODs'!$L:$L,"Non-Federal",'Vanpool ODs'!$M:$M,$AH22,'Vanpool ODs'!$N:$N,AJ$10)</f>
        <v>1</v>
      </c>
      <c r="AK22" s="138">
        <f>COUNTIFS('Vanpool ODs'!$L:$L,"Non-Federal",'Vanpool ODs'!$M:$M,$AH22,'Vanpool ODs'!$N:$N,AK$10)</f>
        <v>0</v>
      </c>
      <c r="AL22" s="138">
        <f>COUNTIFS('Vanpool ODs'!$L:$L,"Non-Federal",'Vanpool ODs'!$M:$M,$AH22,'Vanpool ODs'!$N:$N,AL$10)</f>
        <v>0</v>
      </c>
      <c r="AM22" s="138">
        <f>COUNTIFS('Vanpool ODs'!$L:$L,"Non-Federal",'Vanpool ODs'!$M:$M,$AH22,'Vanpool ODs'!$N:$N,AM$10)</f>
        <v>0</v>
      </c>
      <c r="AN22" s="138">
        <f>COUNTIFS('Vanpool ODs'!$L:$L,"Non-Federal",'Vanpool ODs'!$M:$M,$AH22,'Vanpool ODs'!$N:$N,AN$10)</f>
        <v>0</v>
      </c>
      <c r="AO22" s="192">
        <f>COUNTIFS('Vanpool ODs'!$L:$L,"Non-Federal",'Vanpool ODs'!$M:$M,$AH22,'Vanpool ODs'!$N:$N,AO$10)</f>
        <v>0</v>
      </c>
      <c r="AP22" s="198"/>
      <c r="AQ22" s="199"/>
      <c r="AR22" s="199"/>
      <c r="AS22" s="199"/>
      <c r="AT22" s="200"/>
      <c r="AU22" s="153"/>
      <c r="AV22" s="158">
        <f t="shared" si="2"/>
        <v>1</v>
      </c>
    </row>
    <row r="23" spans="2:48" x14ac:dyDescent="0.25">
      <c r="B23" s="154" t="s">
        <v>527</v>
      </c>
      <c r="C23" s="142">
        <f>COUNTIFS('Vanpool ODs'!$L:$L,"Military",'Vanpool ODs'!$M:$M,$B23,'Vanpool ODs'!$N:$N,C$10)</f>
        <v>0</v>
      </c>
      <c r="D23" s="143">
        <f>COUNTIFS('Vanpool ODs'!$L:$L,"Military",'Vanpool ODs'!$M:$M,$B23,'Vanpool ODs'!$N:$N,D$10)</f>
        <v>0</v>
      </c>
      <c r="E23" s="143">
        <f>COUNTIFS('Vanpool ODs'!$L:$L,"Military",'Vanpool ODs'!$M:$M,$B23,'Vanpool ODs'!$N:$N,E$10)</f>
        <v>0</v>
      </c>
      <c r="F23" s="143">
        <f>COUNTIFS('Vanpool ODs'!$L:$L,"Military",'Vanpool ODs'!$M:$M,$B23,'Vanpool ODs'!$N:$N,F$10)</f>
        <v>0</v>
      </c>
      <c r="G23" s="143">
        <f>COUNTIFS('Vanpool ODs'!$L:$L,"Military",'Vanpool ODs'!$M:$M,$B23,'Vanpool ODs'!$N:$N,G$10)</f>
        <v>0</v>
      </c>
      <c r="H23" s="143">
        <f>COUNTIFS('Vanpool ODs'!$L:$L,"Military",'Vanpool ODs'!$M:$M,$B23,'Vanpool ODs'!$N:$N,H$10)</f>
        <v>0</v>
      </c>
      <c r="I23" s="194">
        <f>COUNTIFS('Vanpool ODs'!$L:$L,"Military",'Vanpool ODs'!$M:$M,$B23,'Vanpool ODs'!$N:$N,I$10)</f>
        <v>0</v>
      </c>
      <c r="J23" s="202"/>
      <c r="K23" s="203"/>
      <c r="L23" s="203"/>
      <c r="M23" s="203"/>
      <c r="N23" s="204"/>
      <c r="O23" s="144"/>
      <c r="P23" s="156">
        <f t="shared" si="0"/>
        <v>0</v>
      </c>
      <c r="R23" s="154" t="s">
        <v>527</v>
      </c>
      <c r="S23" s="142">
        <f>COUNTIFS('Vanpool ODs'!$L:$L,"Federal",'Vanpool ODs'!$M:$M,$R23,'Vanpool ODs'!$N:$N,S$10)</f>
        <v>0</v>
      </c>
      <c r="T23" s="143">
        <f>COUNTIFS('Vanpool ODs'!$L:$L,"Federal",'Vanpool ODs'!$M:$M,$R23,'Vanpool ODs'!$N:$N,T$10)</f>
        <v>0</v>
      </c>
      <c r="U23" s="143">
        <f>COUNTIFS('Vanpool ODs'!$L:$L,"Federal",'Vanpool ODs'!$M:$M,$R23,'Vanpool ODs'!$N:$N,U$10)</f>
        <v>0</v>
      </c>
      <c r="V23" s="143">
        <f>COUNTIFS('Vanpool ODs'!$L:$L,"Federal",'Vanpool ODs'!$M:$M,$R23,'Vanpool ODs'!$N:$N,V$10)</f>
        <v>0</v>
      </c>
      <c r="W23" s="143">
        <f>COUNTIFS('Vanpool ODs'!$L:$L,"Federal",'Vanpool ODs'!$M:$M,$R23,'Vanpool ODs'!$N:$N,W$10)</f>
        <v>0</v>
      </c>
      <c r="X23" s="143">
        <f>COUNTIFS('Vanpool ODs'!$L:$L,"Federal",'Vanpool ODs'!$M:$M,$R23,'Vanpool ODs'!$N:$N,X$10)</f>
        <v>0</v>
      </c>
      <c r="Y23" s="194">
        <f>COUNTIFS('Vanpool ODs'!$L:$L,"Federal",'Vanpool ODs'!$M:$M,$R23,'Vanpool ODs'!$N:$N,Y$10)</f>
        <v>0</v>
      </c>
      <c r="Z23" s="202"/>
      <c r="AA23" s="203"/>
      <c r="AB23" s="203"/>
      <c r="AC23" s="203"/>
      <c r="AD23" s="204"/>
      <c r="AE23" s="154"/>
      <c r="AF23" s="187">
        <f t="shared" si="1"/>
        <v>0</v>
      </c>
      <c r="AH23" s="154" t="s">
        <v>527</v>
      </c>
      <c r="AI23" s="142">
        <f>COUNTIFS('Vanpool ODs'!$L:$L,"Non-Federal",'Vanpool ODs'!$M:$M,$AH23,'Vanpool ODs'!$N:$N,AI$10)</f>
        <v>0</v>
      </c>
      <c r="AJ23" s="143">
        <f>COUNTIFS('Vanpool ODs'!$L:$L,"Non-Federal",'Vanpool ODs'!$M:$M,$AH23,'Vanpool ODs'!$N:$N,AJ$10)</f>
        <v>1</v>
      </c>
      <c r="AK23" s="143">
        <f>COUNTIFS('Vanpool ODs'!$L:$L,"Non-Federal",'Vanpool ODs'!$M:$M,$AH23,'Vanpool ODs'!$N:$N,AK$10)</f>
        <v>0</v>
      </c>
      <c r="AL23" s="143">
        <f>COUNTIFS('Vanpool ODs'!$L:$L,"Non-Federal",'Vanpool ODs'!$M:$M,$AH23,'Vanpool ODs'!$N:$N,AL$10)</f>
        <v>0</v>
      </c>
      <c r="AM23" s="143">
        <f>COUNTIFS('Vanpool ODs'!$L:$L,"Non-Federal",'Vanpool ODs'!$M:$M,$AH23,'Vanpool ODs'!$N:$N,AM$10)</f>
        <v>0</v>
      </c>
      <c r="AN23" s="143">
        <f>COUNTIFS('Vanpool ODs'!$L:$L,"Non-Federal",'Vanpool ODs'!$M:$M,$AH23,'Vanpool ODs'!$N:$N,AN$10)</f>
        <v>0</v>
      </c>
      <c r="AO23" s="194">
        <f>COUNTIFS('Vanpool ODs'!$L:$L,"Non-Federal",'Vanpool ODs'!$M:$M,$AH23,'Vanpool ODs'!$N:$N,AO$10)</f>
        <v>0</v>
      </c>
      <c r="AP23" s="202"/>
      <c r="AQ23" s="203"/>
      <c r="AR23" s="203"/>
      <c r="AS23" s="203"/>
      <c r="AT23" s="204"/>
      <c r="AU23" s="154"/>
      <c r="AV23" s="187">
        <f t="shared" si="2"/>
        <v>1</v>
      </c>
    </row>
    <row r="24" spans="2:48" x14ac:dyDescent="0.25">
      <c r="B24" s="149" t="s">
        <v>66</v>
      </c>
      <c r="C24" s="150">
        <f t="shared" ref="C24:N24" si="3">SUM(C12:C23)</f>
        <v>147</v>
      </c>
      <c r="D24" s="150">
        <f t="shared" si="3"/>
        <v>39</v>
      </c>
      <c r="E24" s="150">
        <f t="shared" si="3"/>
        <v>0</v>
      </c>
      <c r="F24" s="150">
        <f t="shared" si="3"/>
        <v>0</v>
      </c>
      <c r="G24" s="150">
        <f t="shared" si="3"/>
        <v>59</v>
      </c>
      <c r="H24" s="150">
        <f t="shared" si="3"/>
        <v>0</v>
      </c>
      <c r="I24" s="150">
        <f t="shared" si="3"/>
        <v>0</v>
      </c>
      <c r="J24" s="150">
        <f t="shared" si="3"/>
        <v>2</v>
      </c>
      <c r="K24" s="150">
        <f t="shared" si="3"/>
        <v>0</v>
      </c>
      <c r="L24" s="150">
        <f t="shared" si="3"/>
        <v>4</v>
      </c>
      <c r="M24" s="150">
        <f t="shared" si="3"/>
        <v>0</v>
      </c>
      <c r="N24" s="151">
        <f t="shared" si="3"/>
        <v>0</v>
      </c>
      <c r="O24" s="163"/>
      <c r="P24" s="156">
        <f>SUM(P12:P23)</f>
        <v>251</v>
      </c>
      <c r="R24" s="149" t="s">
        <v>66</v>
      </c>
      <c r="S24" s="150">
        <f t="shared" ref="S24:AD24" si="4">SUM(S12:S23)</f>
        <v>10</v>
      </c>
      <c r="T24" s="150">
        <f t="shared" si="4"/>
        <v>40</v>
      </c>
      <c r="U24" s="150">
        <f t="shared" si="4"/>
        <v>10</v>
      </c>
      <c r="V24" s="150">
        <f t="shared" si="4"/>
        <v>5</v>
      </c>
      <c r="W24" s="150">
        <f t="shared" si="4"/>
        <v>1</v>
      </c>
      <c r="X24" s="150">
        <f t="shared" si="4"/>
        <v>3</v>
      </c>
      <c r="Y24" s="150">
        <f t="shared" si="4"/>
        <v>34</v>
      </c>
      <c r="Z24" s="150">
        <f t="shared" si="4"/>
        <v>0</v>
      </c>
      <c r="AA24" s="150">
        <f t="shared" si="4"/>
        <v>4</v>
      </c>
      <c r="AB24" s="150">
        <f t="shared" si="4"/>
        <v>2</v>
      </c>
      <c r="AC24" s="150">
        <f t="shared" si="4"/>
        <v>0</v>
      </c>
      <c r="AD24" s="151">
        <f t="shared" si="4"/>
        <v>0</v>
      </c>
      <c r="AE24" s="154"/>
      <c r="AF24" s="187">
        <f>SUM(AF12:AF23)</f>
        <v>109</v>
      </c>
      <c r="AH24" s="149" t="s">
        <v>66</v>
      </c>
      <c r="AI24" s="150">
        <f t="shared" ref="AI24:AT24" si="5">SUM(AI12:AI23)</f>
        <v>66</v>
      </c>
      <c r="AJ24" s="150">
        <f t="shared" si="5"/>
        <v>186</v>
      </c>
      <c r="AK24" s="150">
        <f t="shared" si="5"/>
        <v>5</v>
      </c>
      <c r="AL24" s="150">
        <f t="shared" si="5"/>
        <v>2</v>
      </c>
      <c r="AM24" s="150">
        <f t="shared" si="5"/>
        <v>53</v>
      </c>
      <c r="AN24" s="150">
        <f t="shared" si="5"/>
        <v>18</v>
      </c>
      <c r="AO24" s="150">
        <f t="shared" si="5"/>
        <v>7</v>
      </c>
      <c r="AP24" s="150">
        <f t="shared" si="5"/>
        <v>0</v>
      </c>
      <c r="AQ24" s="150">
        <f t="shared" si="5"/>
        <v>2</v>
      </c>
      <c r="AR24" s="150">
        <f t="shared" si="5"/>
        <v>0</v>
      </c>
      <c r="AS24" s="150">
        <f t="shared" si="5"/>
        <v>0</v>
      </c>
      <c r="AT24" s="150">
        <f t="shared" si="5"/>
        <v>0</v>
      </c>
      <c r="AU24" s="150"/>
      <c r="AV24" s="211">
        <f>SUM(AV12:AV23)</f>
        <v>339</v>
      </c>
    </row>
    <row r="25" spans="2:48" x14ac:dyDescent="0.25">
      <c r="B25" s="133" t="s">
        <v>601</v>
      </c>
      <c r="R25" s="133" t="s">
        <v>601</v>
      </c>
      <c r="AH25" s="133" t="s">
        <v>601</v>
      </c>
    </row>
    <row r="27" spans="2:48" x14ac:dyDescent="0.25">
      <c r="B27" s="34" t="s">
        <v>95</v>
      </c>
      <c r="R27" s="34" t="s">
        <v>615</v>
      </c>
      <c r="AH27" s="34" t="s">
        <v>96</v>
      </c>
    </row>
    <row r="28" spans="2:48" x14ac:dyDescent="0.25">
      <c r="B28" s="248" t="s">
        <v>331</v>
      </c>
      <c r="R28" s="248" t="s">
        <v>332</v>
      </c>
      <c r="AH28" s="248" t="s">
        <v>333</v>
      </c>
    </row>
    <row r="29" spans="2:48" x14ac:dyDescent="0.25">
      <c r="B29" s="101"/>
      <c r="C29" s="390" t="s">
        <v>50</v>
      </c>
      <c r="D29" s="390"/>
      <c r="E29" s="390"/>
      <c r="F29" s="390"/>
      <c r="G29" s="390"/>
      <c r="H29" s="390"/>
      <c r="I29" s="390"/>
      <c r="J29" s="390"/>
      <c r="K29" s="390"/>
      <c r="L29" s="390"/>
      <c r="M29" s="390"/>
      <c r="N29" s="393"/>
      <c r="R29" s="176"/>
      <c r="S29" s="394" t="s">
        <v>50</v>
      </c>
      <c r="T29" s="394"/>
      <c r="U29" s="394"/>
      <c r="V29" s="394"/>
      <c r="W29" s="394"/>
      <c r="X29" s="394"/>
      <c r="Y29" s="394"/>
      <c r="Z29" s="394"/>
      <c r="AA29" s="394"/>
      <c r="AB29" s="394"/>
      <c r="AC29" s="394"/>
      <c r="AD29" s="395"/>
      <c r="AH29" s="178"/>
      <c r="AI29" s="396" t="s">
        <v>50</v>
      </c>
      <c r="AJ29" s="396"/>
      <c r="AK29" s="396"/>
      <c r="AL29" s="396"/>
      <c r="AM29" s="396"/>
      <c r="AN29" s="396"/>
      <c r="AO29" s="396"/>
      <c r="AP29" s="396"/>
      <c r="AQ29" s="396"/>
      <c r="AR29" s="396"/>
      <c r="AS29" s="396"/>
      <c r="AT29" s="397"/>
    </row>
    <row r="30" spans="2:48" x14ac:dyDescent="0.25">
      <c r="B30" s="101" t="s">
        <v>67</v>
      </c>
      <c r="C30" s="102" t="s">
        <v>42</v>
      </c>
      <c r="D30" s="102" t="s">
        <v>43</v>
      </c>
      <c r="E30" s="102" t="s">
        <v>44</v>
      </c>
      <c r="F30" s="102" t="s">
        <v>45</v>
      </c>
      <c r="G30" s="102" t="s">
        <v>46</v>
      </c>
      <c r="H30" s="102" t="s">
        <v>47</v>
      </c>
      <c r="I30" s="102" t="s">
        <v>48</v>
      </c>
      <c r="J30" s="174" t="s">
        <v>60</v>
      </c>
      <c r="K30" s="174" t="s">
        <v>59</v>
      </c>
      <c r="L30" s="174" t="s">
        <v>61</v>
      </c>
      <c r="M30" s="174" t="s">
        <v>58</v>
      </c>
      <c r="N30" s="175" t="s">
        <v>57</v>
      </c>
      <c r="O30" s="164"/>
      <c r="R30" s="105" t="s">
        <v>67</v>
      </c>
      <c r="S30" s="68" t="s">
        <v>42</v>
      </c>
      <c r="T30" s="68" t="s">
        <v>43</v>
      </c>
      <c r="U30" s="68" t="s">
        <v>44</v>
      </c>
      <c r="V30" s="68" t="s">
        <v>45</v>
      </c>
      <c r="W30" s="68" t="s">
        <v>46</v>
      </c>
      <c r="X30" s="68" t="s">
        <v>47</v>
      </c>
      <c r="Y30" s="68" t="s">
        <v>48</v>
      </c>
      <c r="Z30" s="26" t="s">
        <v>60</v>
      </c>
      <c r="AA30" s="26" t="s">
        <v>59</v>
      </c>
      <c r="AB30" s="26" t="s">
        <v>61</v>
      </c>
      <c r="AC30" s="26" t="s">
        <v>58</v>
      </c>
      <c r="AD30" s="148" t="s">
        <v>57</v>
      </c>
      <c r="AH30" s="105" t="s">
        <v>67</v>
      </c>
      <c r="AI30" s="68" t="s">
        <v>42</v>
      </c>
      <c r="AJ30" s="68" t="s">
        <v>43</v>
      </c>
      <c r="AK30" s="68" t="s">
        <v>44</v>
      </c>
      <c r="AL30" s="68" t="s">
        <v>45</v>
      </c>
      <c r="AM30" s="68" t="s">
        <v>46</v>
      </c>
      <c r="AN30" s="68" t="s">
        <v>47</v>
      </c>
      <c r="AO30" s="68" t="s">
        <v>48</v>
      </c>
      <c r="AP30" s="69" t="s">
        <v>60</v>
      </c>
      <c r="AQ30" s="69" t="s">
        <v>59</v>
      </c>
      <c r="AR30" s="69" t="s">
        <v>61</v>
      </c>
      <c r="AS30" s="69" t="s">
        <v>58</v>
      </c>
      <c r="AT30" s="177" t="s">
        <v>57</v>
      </c>
    </row>
    <row r="31" spans="2:48" x14ac:dyDescent="0.25">
      <c r="B31" s="166">
        <v>2016</v>
      </c>
      <c r="C31" s="167">
        <f>SUMIFS('Employment Forecast SANDAG'!$AE:$AE,'Employment Forecast SANDAG'!$A:$A,$B31,'Employment Forecast SANDAG'!$D:$D,C$30)</f>
        <v>72633</v>
      </c>
      <c r="D31" s="167">
        <f>SUMIFS('Employment Forecast SANDAG'!$AE:$AE,'Employment Forecast SANDAG'!$A:$A,$B31,'Employment Forecast SANDAG'!$D:$D,D$30)</f>
        <v>8604</v>
      </c>
      <c r="E31" s="167">
        <f>SUMIFS('Employment Forecast SANDAG'!$AE:$AE,'Employment Forecast SANDAG'!$A:$A,$B31,'Employment Forecast SANDAG'!$D:$D,E$30)</f>
        <v>1369</v>
      </c>
      <c r="F31" s="167">
        <f>SUMIFS('Employment Forecast SANDAG'!$AE:$AE,'Employment Forecast SANDAG'!$A:$A,$B31,'Employment Forecast SANDAG'!$D:$D,F$30)</f>
        <v>0</v>
      </c>
      <c r="G31" s="167">
        <f>SUMIFS('Employment Forecast SANDAG'!$AE:$AE,'Employment Forecast SANDAG'!$A:$A,$B31,'Employment Forecast SANDAG'!$D:$D,G$30)</f>
        <v>42704</v>
      </c>
      <c r="H31" s="167">
        <f>SUMIFS('Employment Forecast SANDAG'!$AE:$AE,'Employment Forecast SANDAG'!$A:$A,$B31,'Employment Forecast SANDAG'!$D:$D,H$30)</f>
        <v>0</v>
      </c>
      <c r="I31" s="167">
        <f>SUMIFS('Employment Forecast SANDAG'!$AE:$AE,'Employment Forecast SANDAG'!$A:$A,$B31,'Employment Forecast SANDAG'!$D:$D,I$30)</f>
        <v>0</v>
      </c>
      <c r="J31" s="168">
        <f>SUMIFS('Employment Forecast SCAG'!$C$2:$C$31,'Employment Forecast SCAG'!$A$2:$A$31,$B31,'Employment Forecast SCAG'!$B$2:$B$31,J$30)</f>
        <v>732617</v>
      </c>
      <c r="K31" s="168">
        <f>SUMIFS('Employment Forecast SCAG'!$C$2:$C$31,'Employment Forecast SCAG'!$A$2:$A$31,$B31,'Employment Forecast SCAG'!$B$2:$B$31,K$30)</f>
        <v>1644967</v>
      </c>
      <c r="L31" s="168">
        <f>SUMIFS('Employment Forecast SCAG'!$C$2:$C$31,'Employment Forecast SCAG'!$A$2:$A$31,$B31,'Employment Forecast SCAG'!$B$2:$B$31,L$30)</f>
        <v>65203</v>
      </c>
      <c r="M31" s="168">
        <f>SUMIFS('Employment Forecast SCAG'!$C$2:$C$31,'Employment Forecast SCAG'!$A$2:$A$31,$B31,'Employment Forecast SCAG'!$B$2:$B$31,M$30)</f>
        <v>724450</v>
      </c>
      <c r="N31" s="169">
        <f>SUMIFS('Employment Forecast SCAG'!$C$2:$C$31,'Employment Forecast SCAG'!$A$2:$A$31,$B31,'Employment Forecast SCAG'!$B$2:$B$31,N$30)</f>
        <v>4450704</v>
      </c>
      <c r="O31" s="165"/>
      <c r="R31" s="166">
        <v>2016</v>
      </c>
      <c r="S31" s="167">
        <f>SUMIFS('Employment Forecast SANDAG'!$AD:$AD,'Employment Forecast SANDAG'!$A:$A,$R31,'Employment Forecast SANDAG'!$D:$D,S$30)</f>
        <v>3838</v>
      </c>
      <c r="T31" s="167">
        <f>SUMIFS('Employment Forecast SANDAG'!$AD:$AD,'Employment Forecast SANDAG'!$A:$A,$R31,'Employment Forecast SANDAG'!$D:$D,T$30)</f>
        <v>1675</v>
      </c>
      <c r="U31" s="167">
        <f>SUMIFS('Employment Forecast SANDAG'!$AD:$AD,'Employment Forecast SANDAG'!$A:$A,$R31,'Employment Forecast SANDAG'!$D:$D,U$30)</f>
        <v>3577</v>
      </c>
      <c r="V31" s="167">
        <f>SUMIFS('Employment Forecast SANDAG'!$AD:$AD,'Employment Forecast SANDAG'!$A:$A,$R31,'Employment Forecast SANDAG'!$D:$D,V$30)</f>
        <v>270</v>
      </c>
      <c r="W31" s="167">
        <f>SUMIFS('Employment Forecast SANDAG'!$AD:$AD,'Employment Forecast SANDAG'!$A:$A,$R31,'Employment Forecast SANDAG'!$D:$D,W$30)</f>
        <v>1852</v>
      </c>
      <c r="X31" s="167">
        <f>SUMIFS('Employment Forecast SANDAG'!$AD:$AD,'Employment Forecast SANDAG'!$A:$A,$R31,'Employment Forecast SANDAG'!$D:$D,X$30)</f>
        <v>235</v>
      </c>
      <c r="Y31" s="167">
        <f>SUMIFS('Employment Forecast SANDAG'!$AD:$AD,'Employment Forecast SANDAG'!$A:$A,$R31,'Employment Forecast SANDAG'!$D:$D,Y$30)</f>
        <v>7</v>
      </c>
      <c r="Z31" s="168">
        <f>SUMIFS('Employment Forecast SCAG'!$C$2:$C$31,'Employment Forecast SCAG'!$A$2:$A$31,$R31,'Employment Forecast SCAG'!$B$2:$B$31,Z$30)</f>
        <v>732617</v>
      </c>
      <c r="AA31" s="168">
        <f>SUMIFS('Employment Forecast SCAG'!$C$2:$C$31,'Employment Forecast SCAG'!$A$2:$A$31,$R31,'Employment Forecast SCAG'!$B$2:$B$31,AA$30)</f>
        <v>1644967</v>
      </c>
      <c r="AB31" s="168">
        <f>SUMIFS('Employment Forecast SCAG'!$C$2:$C$31,'Employment Forecast SCAG'!$A$2:$A$31,$R31,'Employment Forecast SCAG'!$B$2:$B$31,AB$30)</f>
        <v>65203</v>
      </c>
      <c r="AC31" s="168">
        <f>SUMIFS('Employment Forecast SCAG'!$C$2:$C$31,'Employment Forecast SCAG'!$A$2:$A$31,$R31,'Employment Forecast SCAG'!$B$2:$B$31,AC$30)</f>
        <v>724450</v>
      </c>
      <c r="AD31" s="169">
        <f>SUMIFS('Employment Forecast SCAG'!$C$2:$C$31,'Employment Forecast SCAG'!$A$2:$A$31,$R31,'Employment Forecast SCAG'!$B$2:$B$31,AD$30)</f>
        <v>4450704</v>
      </c>
      <c r="AH31" s="166">
        <v>2016</v>
      </c>
      <c r="AI31" s="167">
        <f>SUMIFS('Employment Forecast SANDAG'!$AJ:$AJ,'Employment Forecast SANDAG'!$A:$A,$AH31,'Employment Forecast SANDAG'!$D:$D,AI$30)-C31-S31</f>
        <v>283254</v>
      </c>
      <c r="AJ31" s="167">
        <f>SUMIFS('Employment Forecast SANDAG'!$AJ:$AJ,'Employment Forecast SANDAG'!$A:$A,$AH31,'Employment Forecast SANDAG'!$D:$D,AJ$30)-D31-T31</f>
        <v>624861</v>
      </c>
      <c r="AK31" s="167">
        <f>SUMIFS('Employment Forecast SANDAG'!$AJ:$AJ,'Employment Forecast SANDAG'!$A:$A,$AH31,'Employment Forecast SANDAG'!$D:$D,AK$30)-E31-U31</f>
        <v>110240</v>
      </c>
      <c r="AL31" s="167">
        <f>SUMIFS('Employment Forecast SANDAG'!$AJ:$AJ,'Employment Forecast SANDAG'!$A:$A,$AH31,'Employment Forecast SANDAG'!$D:$D,AL$30)-F31-V31</f>
        <v>151997</v>
      </c>
      <c r="AM31" s="167">
        <f>SUMIFS('Employment Forecast SANDAG'!$AJ:$AJ,'Employment Forecast SANDAG'!$A:$A,$AH31,'Employment Forecast SANDAG'!$D:$D,AM$30)-G31-W31</f>
        <v>167896</v>
      </c>
      <c r="AN31" s="167">
        <f>SUMIFS('Employment Forecast SANDAG'!$AJ:$AJ,'Employment Forecast SANDAG'!$A:$A,$AH31,'Employment Forecast SANDAG'!$D:$D,AN$30)-H31-X31</f>
        <v>164620</v>
      </c>
      <c r="AO31" s="167">
        <f>SUMIFS('Employment Forecast SANDAG'!$AJ:$AJ,'Employment Forecast SANDAG'!$A:$A,$AH31,'Employment Forecast SANDAG'!$D:$D,AO$30)-I31-Y31</f>
        <v>4655</v>
      </c>
      <c r="AP31" s="168">
        <f>SUMIFS('Employment Forecast SCAG'!$C$2:$C$31,'Employment Forecast SCAG'!$A$2:$A$31,$AH31,'Employment Forecast SCAG'!$B$2:$B$31,AP$30)</f>
        <v>732617</v>
      </c>
      <c r="AQ31" s="168">
        <f>SUMIFS('Employment Forecast SCAG'!$C$2:$C$31,'Employment Forecast SCAG'!$A$2:$A$31,$AH31,'Employment Forecast SCAG'!$B$2:$B$31,AQ$30)</f>
        <v>1644967</v>
      </c>
      <c r="AR31" s="168">
        <f>SUMIFS('Employment Forecast SCAG'!$C$2:$C$31,'Employment Forecast SCAG'!$A$2:$A$31,$AH31,'Employment Forecast SCAG'!$B$2:$B$31,AR$30)</f>
        <v>65203</v>
      </c>
      <c r="AS31" s="168">
        <f>SUMIFS('Employment Forecast SCAG'!$C$2:$C$31,'Employment Forecast SCAG'!$A$2:$A$31,$AH31,'Employment Forecast SCAG'!$B$2:$B$31,AS$30)</f>
        <v>724450</v>
      </c>
      <c r="AT31" s="169">
        <f>SUMIFS('Employment Forecast SCAG'!$C$2:$C$31,'Employment Forecast SCAG'!$A$2:$A$31,$AH31,'Employment Forecast SCAG'!$B$2:$B$31,AT$30)</f>
        <v>4450704</v>
      </c>
    </row>
    <row r="32" spans="2:48" x14ac:dyDescent="0.25">
      <c r="B32" s="166">
        <v>2020</v>
      </c>
      <c r="C32" s="167">
        <f>SUMIFS('Employment Forecast SANDAG'!$AE:$AE,'Employment Forecast SANDAG'!$A:$A,$B32,'Employment Forecast SANDAG'!$D:$D,C$30)</f>
        <v>72920</v>
      </c>
      <c r="D32" s="167">
        <f>SUMIFS('Employment Forecast SANDAG'!$AE:$AE,'Employment Forecast SANDAG'!$A:$A,$B32,'Employment Forecast SANDAG'!$D:$D,D$30)</f>
        <v>8605</v>
      </c>
      <c r="E32" s="167">
        <f>SUMIFS('Employment Forecast SANDAG'!$AE:$AE,'Employment Forecast SANDAG'!$A:$A,$B32,'Employment Forecast SANDAG'!$D:$D,E$30)</f>
        <v>1369</v>
      </c>
      <c r="F32" s="167">
        <f>SUMIFS('Employment Forecast SANDAG'!$AE:$AE,'Employment Forecast SANDAG'!$A:$A,$B32,'Employment Forecast SANDAG'!$D:$D,F$30)</f>
        <v>0</v>
      </c>
      <c r="G32" s="167">
        <f>SUMIFS('Employment Forecast SANDAG'!$AE:$AE,'Employment Forecast SANDAG'!$A:$A,$B32,'Employment Forecast SANDAG'!$D:$D,G$30)</f>
        <v>42727</v>
      </c>
      <c r="H32" s="167">
        <f>SUMIFS('Employment Forecast SANDAG'!$AE:$AE,'Employment Forecast SANDAG'!$A:$A,$B32,'Employment Forecast SANDAG'!$D:$D,H$30)</f>
        <v>0</v>
      </c>
      <c r="I32" s="167">
        <f>SUMIFS('Employment Forecast SANDAG'!$AE:$AE,'Employment Forecast SANDAG'!$A:$A,$B32,'Employment Forecast SANDAG'!$D:$D,I$30)</f>
        <v>0</v>
      </c>
      <c r="J32" s="168">
        <f>SUMIFS('Employment Forecast SCAG'!$C$2:$C$31,'Employment Forecast SCAG'!$A$2:$A$31,$B32,'Employment Forecast SCAG'!$B$2:$B$31,J$30)</f>
        <v>848515</v>
      </c>
      <c r="K32" s="168">
        <f>SUMIFS('Employment Forecast SCAG'!$C$2:$C$31,'Employment Forecast SCAG'!$A$2:$A$31,$B32,'Employment Forecast SCAG'!$B$2:$B$31,K$30)</f>
        <v>1730352</v>
      </c>
      <c r="L32" s="168">
        <f>SUMIFS('Employment Forecast SCAG'!$C$2:$C$31,'Employment Forecast SCAG'!$A$2:$A$31,$B32,'Employment Forecast SCAG'!$B$2:$B$31,L$30)</f>
        <v>82483</v>
      </c>
      <c r="M32" s="168">
        <f>SUMIFS('Employment Forecast SCAG'!$C$2:$C$31,'Employment Forecast SCAG'!$A$2:$A$31,$B32,'Employment Forecast SCAG'!$B$2:$B$31,M$30)</f>
        <v>789371</v>
      </c>
      <c r="N32" s="169">
        <f>SUMIFS('Employment Forecast SCAG'!$C$2:$C$31,'Employment Forecast SCAG'!$A$2:$A$31,$B32,'Employment Forecast SCAG'!$B$2:$B$31,N$30)</f>
        <v>4658672</v>
      </c>
      <c r="O32" s="165"/>
      <c r="R32" s="166">
        <v>2020</v>
      </c>
      <c r="S32" s="167">
        <f>SUMIFS('Employment Forecast SANDAG'!$AD:$AD,'Employment Forecast SANDAG'!$A:$A,$R32,'Employment Forecast SANDAG'!$D:$D,S$30)</f>
        <v>3938</v>
      </c>
      <c r="T32" s="167">
        <f>SUMIFS('Employment Forecast SANDAG'!$AD:$AD,'Employment Forecast SANDAG'!$A:$A,$R32,'Employment Forecast SANDAG'!$D:$D,T$30)</f>
        <v>1708</v>
      </c>
      <c r="U32" s="167">
        <f>SUMIFS('Employment Forecast SANDAG'!$AD:$AD,'Employment Forecast SANDAG'!$A:$A,$R32,'Employment Forecast SANDAG'!$D:$D,U$30)</f>
        <v>3664</v>
      </c>
      <c r="V32" s="167">
        <f>SUMIFS('Employment Forecast SANDAG'!$AD:$AD,'Employment Forecast SANDAG'!$A:$A,$R32,'Employment Forecast SANDAG'!$D:$D,V$30)</f>
        <v>279</v>
      </c>
      <c r="W32" s="167">
        <f>SUMIFS('Employment Forecast SANDAG'!$AD:$AD,'Employment Forecast SANDAG'!$A:$A,$R32,'Employment Forecast SANDAG'!$D:$D,W$30)</f>
        <v>1899</v>
      </c>
      <c r="X32" s="167">
        <f>SUMIFS('Employment Forecast SANDAG'!$AD:$AD,'Employment Forecast SANDAG'!$A:$A,$R32,'Employment Forecast SANDAG'!$D:$D,X$30)</f>
        <v>239</v>
      </c>
      <c r="Y32" s="167">
        <f>SUMIFS('Employment Forecast SANDAG'!$AD:$AD,'Employment Forecast SANDAG'!$A:$A,$R32,'Employment Forecast SANDAG'!$D:$D,Y$30)</f>
        <v>7</v>
      </c>
      <c r="Z32" s="168">
        <f>SUMIFS('Employment Forecast SCAG'!$C$2:$C$31,'Employment Forecast SCAG'!$A$2:$A$31,$R32,'Employment Forecast SCAG'!$B$2:$B$31,Z$30)</f>
        <v>848515</v>
      </c>
      <c r="AA32" s="168">
        <f>SUMIFS('Employment Forecast SCAG'!$C$2:$C$31,'Employment Forecast SCAG'!$A$2:$A$31,$R32,'Employment Forecast SCAG'!$B$2:$B$31,AA$30)</f>
        <v>1730352</v>
      </c>
      <c r="AB32" s="168">
        <f>SUMIFS('Employment Forecast SCAG'!$C$2:$C$31,'Employment Forecast SCAG'!$A$2:$A$31,$R32,'Employment Forecast SCAG'!$B$2:$B$31,AB$30)</f>
        <v>82483</v>
      </c>
      <c r="AC32" s="168">
        <f>SUMIFS('Employment Forecast SCAG'!$C$2:$C$31,'Employment Forecast SCAG'!$A$2:$A$31,$R32,'Employment Forecast SCAG'!$B$2:$B$31,AC$30)</f>
        <v>789371</v>
      </c>
      <c r="AD32" s="169">
        <f>SUMIFS('Employment Forecast SCAG'!$C$2:$C$31,'Employment Forecast SCAG'!$A$2:$A$31,$R32,'Employment Forecast SCAG'!$B$2:$B$31,AD$30)</f>
        <v>4658672</v>
      </c>
      <c r="AH32" s="166">
        <v>2020</v>
      </c>
      <c r="AI32" s="167">
        <f>SUMIFS('Employment Forecast SANDAG'!$AJ:$AJ,'Employment Forecast SANDAG'!$A:$A,$AH32,'Employment Forecast SANDAG'!$D:$D,AI$30)-C32-S32</f>
        <v>289880</v>
      </c>
      <c r="AJ32" s="167">
        <f>SUMIFS('Employment Forecast SANDAG'!$AJ:$AJ,'Employment Forecast SANDAG'!$A:$A,$AH32,'Employment Forecast SANDAG'!$D:$D,AJ$30)-D32-T32</f>
        <v>629985</v>
      </c>
      <c r="AK32" s="167">
        <f>SUMIFS('Employment Forecast SANDAG'!$AJ:$AJ,'Employment Forecast SANDAG'!$A:$A,$AH32,'Employment Forecast SANDAG'!$D:$D,AK$30)-E32-U32</f>
        <v>119435</v>
      </c>
      <c r="AL32" s="167">
        <f>SUMIFS('Employment Forecast SANDAG'!$AJ:$AJ,'Employment Forecast SANDAG'!$A:$A,$AH32,'Employment Forecast SANDAG'!$D:$D,AL$30)-F32-V32</f>
        <v>155330</v>
      </c>
      <c r="AM32" s="167">
        <f>SUMIFS('Employment Forecast SANDAG'!$AJ:$AJ,'Employment Forecast SANDAG'!$A:$A,$AH32,'Employment Forecast SANDAG'!$D:$D,AM$30)-G32-W32</f>
        <v>166509</v>
      </c>
      <c r="AN32" s="167">
        <f>SUMIFS('Employment Forecast SANDAG'!$AJ:$AJ,'Employment Forecast SANDAG'!$A:$A,$AH32,'Employment Forecast SANDAG'!$D:$D,AN$30)-H32-X32</f>
        <v>166800</v>
      </c>
      <c r="AO32" s="167">
        <f>SUMIFS('Employment Forecast SANDAG'!$AJ:$AJ,'Employment Forecast SANDAG'!$A:$A,$AH32,'Employment Forecast SANDAG'!$D:$D,AO$30)-I32-Y32</f>
        <v>5175</v>
      </c>
      <c r="AP32" s="168">
        <f>SUMIFS('Employment Forecast SCAG'!$C$2:$C$31,'Employment Forecast SCAG'!$A$2:$A$31,$AH32,'Employment Forecast SCAG'!$B$2:$B$31,AP$30)</f>
        <v>848515</v>
      </c>
      <c r="AQ32" s="168">
        <f>SUMIFS('Employment Forecast SCAG'!$C$2:$C$31,'Employment Forecast SCAG'!$A$2:$A$31,$AH32,'Employment Forecast SCAG'!$B$2:$B$31,AQ$30)</f>
        <v>1730352</v>
      </c>
      <c r="AR32" s="168">
        <f>SUMIFS('Employment Forecast SCAG'!$C$2:$C$31,'Employment Forecast SCAG'!$A$2:$A$31,$AH32,'Employment Forecast SCAG'!$B$2:$B$31,AR$30)</f>
        <v>82483</v>
      </c>
      <c r="AS32" s="168">
        <f>SUMIFS('Employment Forecast SCAG'!$C$2:$C$31,'Employment Forecast SCAG'!$A$2:$A$31,$AH32,'Employment Forecast SCAG'!$B$2:$B$31,AS$30)</f>
        <v>789371</v>
      </c>
      <c r="AT32" s="169">
        <f>SUMIFS('Employment Forecast SCAG'!$C$2:$C$31,'Employment Forecast SCAG'!$A$2:$A$31,$AH32,'Employment Forecast SCAG'!$B$2:$B$31,AT$30)</f>
        <v>4658672</v>
      </c>
    </row>
    <row r="33" spans="2:48" x14ac:dyDescent="0.25">
      <c r="B33" s="166">
        <v>2025</v>
      </c>
      <c r="C33" s="167">
        <f>SUMIFS('Employment Forecast SANDAG'!$AE:$AE,'Employment Forecast SANDAG'!$A:$A,$B33,'Employment Forecast SANDAG'!$D:$D,C$30)</f>
        <v>73542</v>
      </c>
      <c r="D33" s="167">
        <f>SUMIFS('Employment Forecast SANDAG'!$AE:$AE,'Employment Forecast SANDAG'!$A:$A,$B33,'Employment Forecast SANDAG'!$D:$D,D$30)</f>
        <v>8620</v>
      </c>
      <c r="E33" s="167">
        <f>SUMIFS('Employment Forecast SANDAG'!$AE:$AE,'Employment Forecast SANDAG'!$A:$A,$B33,'Employment Forecast SANDAG'!$D:$D,E$30)</f>
        <v>1369</v>
      </c>
      <c r="F33" s="167">
        <f>SUMIFS('Employment Forecast SANDAG'!$AE:$AE,'Employment Forecast SANDAG'!$A:$A,$B33,'Employment Forecast SANDAG'!$D:$D,F$30)</f>
        <v>0</v>
      </c>
      <c r="G33" s="167">
        <f>SUMIFS('Employment Forecast SANDAG'!$AE:$AE,'Employment Forecast SANDAG'!$A:$A,$B33,'Employment Forecast SANDAG'!$D:$D,G$30)</f>
        <v>42762</v>
      </c>
      <c r="H33" s="167">
        <f>SUMIFS('Employment Forecast SANDAG'!$AE:$AE,'Employment Forecast SANDAG'!$A:$A,$B33,'Employment Forecast SANDAG'!$D:$D,H$30)</f>
        <v>0</v>
      </c>
      <c r="I33" s="167">
        <f>SUMIFS('Employment Forecast SANDAG'!$AE:$AE,'Employment Forecast SANDAG'!$A:$A,$B33,'Employment Forecast SANDAG'!$D:$D,I$30)</f>
        <v>0</v>
      </c>
      <c r="J33" s="168">
        <f>SUMIFS('Employment Forecast SCAG'!$C$2:$C$31,'Employment Forecast SCAG'!$A$2:$A$31,$B33,'Employment Forecast SCAG'!$B$2:$B$31,J$30)</f>
        <v>936285</v>
      </c>
      <c r="K33" s="168">
        <f>SUMIFS('Employment Forecast SCAG'!$C$2:$C$31,'Employment Forecast SCAG'!$A$2:$A$31,$B33,'Employment Forecast SCAG'!$B$2:$B$31,K$30)</f>
        <v>1791984</v>
      </c>
      <c r="L33" s="168">
        <f>SUMIFS('Employment Forecast SCAG'!$C$2:$C$31,'Employment Forecast SCAG'!$A$2:$A$31,$B33,'Employment Forecast SCAG'!$B$2:$B$31,L$30)</f>
        <v>87579</v>
      </c>
      <c r="M33" s="168">
        <f>SUMIFS('Employment Forecast SCAG'!$C$2:$C$31,'Employment Forecast SCAG'!$A$2:$A$31,$B33,'Employment Forecast SCAG'!$B$2:$B$31,M$30)</f>
        <v>859011</v>
      </c>
      <c r="N33" s="169">
        <f>SUMIFS('Employment Forecast SCAG'!$C$2:$C$31,'Employment Forecast SCAG'!$A$2:$A$31,$B33,'Employment Forecast SCAG'!$B$2:$B$31,N$30)</f>
        <v>4792076</v>
      </c>
      <c r="O33" s="165"/>
      <c r="R33" s="166">
        <v>2025</v>
      </c>
      <c r="S33" s="167">
        <f>SUMIFS('Employment Forecast SANDAG'!$AD:$AD,'Employment Forecast SANDAG'!$A:$A,$R33,'Employment Forecast SANDAG'!$D:$D,S$30)</f>
        <v>4181</v>
      </c>
      <c r="T33" s="167">
        <f>SUMIFS('Employment Forecast SANDAG'!$AD:$AD,'Employment Forecast SANDAG'!$A:$A,$R33,'Employment Forecast SANDAG'!$D:$D,T$30)</f>
        <v>1836</v>
      </c>
      <c r="U33" s="167">
        <f>SUMIFS('Employment Forecast SANDAG'!$AD:$AD,'Employment Forecast SANDAG'!$A:$A,$R33,'Employment Forecast SANDAG'!$D:$D,U$30)</f>
        <v>3867</v>
      </c>
      <c r="V33" s="167">
        <f>SUMIFS('Employment Forecast SANDAG'!$AD:$AD,'Employment Forecast SANDAG'!$A:$A,$R33,'Employment Forecast SANDAG'!$D:$D,V$30)</f>
        <v>294</v>
      </c>
      <c r="W33" s="167">
        <f>SUMIFS('Employment Forecast SANDAG'!$AD:$AD,'Employment Forecast SANDAG'!$A:$A,$R33,'Employment Forecast SANDAG'!$D:$D,W$30)</f>
        <v>2006</v>
      </c>
      <c r="X33" s="167">
        <f>SUMIFS('Employment Forecast SANDAG'!$AD:$AD,'Employment Forecast SANDAG'!$A:$A,$R33,'Employment Forecast SANDAG'!$D:$D,X$30)</f>
        <v>259</v>
      </c>
      <c r="Y33" s="167">
        <f>SUMIFS('Employment Forecast SANDAG'!$AD:$AD,'Employment Forecast SANDAG'!$A:$A,$R33,'Employment Forecast SANDAG'!$D:$D,Y$30)</f>
        <v>7</v>
      </c>
      <c r="Z33" s="168">
        <f>SUMIFS('Employment Forecast SCAG'!$C$2:$C$31,'Employment Forecast SCAG'!$A$2:$A$31,$R33,'Employment Forecast SCAG'!$B$2:$B$31,Z$30)</f>
        <v>936285</v>
      </c>
      <c r="AA33" s="168">
        <f>SUMIFS('Employment Forecast SCAG'!$C$2:$C$31,'Employment Forecast SCAG'!$A$2:$A$31,$R33,'Employment Forecast SCAG'!$B$2:$B$31,AA$30)</f>
        <v>1791984</v>
      </c>
      <c r="AB33" s="168">
        <f>SUMIFS('Employment Forecast SCAG'!$C$2:$C$31,'Employment Forecast SCAG'!$A$2:$A$31,$R33,'Employment Forecast SCAG'!$B$2:$B$31,AB$30)</f>
        <v>87579</v>
      </c>
      <c r="AC33" s="168">
        <f>SUMIFS('Employment Forecast SCAG'!$C$2:$C$31,'Employment Forecast SCAG'!$A$2:$A$31,$R33,'Employment Forecast SCAG'!$B$2:$B$31,AC$30)</f>
        <v>859011</v>
      </c>
      <c r="AD33" s="169">
        <f>SUMIFS('Employment Forecast SCAG'!$C$2:$C$31,'Employment Forecast SCAG'!$A$2:$A$31,$R33,'Employment Forecast SCAG'!$B$2:$B$31,AD$30)</f>
        <v>4792076</v>
      </c>
      <c r="AH33" s="166">
        <v>2025</v>
      </c>
      <c r="AI33" s="167">
        <f>SUMIFS('Employment Forecast SANDAG'!$AJ:$AJ,'Employment Forecast SANDAG'!$A:$A,$AH33,'Employment Forecast SANDAG'!$D:$D,AI$30)-C33-S33</f>
        <v>298300</v>
      </c>
      <c r="AJ33" s="167">
        <f>SUMIFS('Employment Forecast SANDAG'!$AJ:$AJ,'Employment Forecast SANDAG'!$A:$A,$AH33,'Employment Forecast SANDAG'!$D:$D,AJ$30)-D33-T33</f>
        <v>645461</v>
      </c>
      <c r="AK33" s="167">
        <f>SUMIFS('Employment Forecast SANDAG'!$AJ:$AJ,'Employment Forecast SANDAG'!$A:$A,$AH33,'Employment Forecast SANDAG'!$D:$D,AK$30)-E33-U33</f>
        <v>128340</v>
      </c>
      <c r="AL33" s="167">
        <f>SUMIFS('Employment Forecast SANDAG'!$AJ:$AJ,'Employment Forecast SANDAG'!$A:$A,$AH33,'Employment Forecast SANDAG'!$D:$D,AL$30)-F33-V33</f>
        <v>159970</v>
      </c>
      <c r="AM33" s="167">
        <f>SUMIFS('Employment Forecast SANDAG'!$AJ:$AJ,'Employment Forecast SANDAG'!$A:$A,$AH33,'Employment Forecast SANDAG'!$D:$D,AM$30)-G33-W33</f>
        <v>170199</v>
      </c>
      <c r="AN33" s="167">
        <f>SUMIFS('Employment Forecast SANDAG'!$AJ:$AJ,'Employment Forecast SANDAG'!$A:$A,$AH33,'Employment Forecast SANDAG'!$D:$D,AN$30)-H33-X33</f>
        <v>171744</v>
      </c>
      <c r="AO33" s="167">
        <f>SUMIFS('Employment Forecast SANDAG'!$AJ:$AJ,'Employment Forecast SANDAG'!$A:$A,$AH33,'Employment Forecast SANDAG'!$D:$D,AO$30)-I33-Y33</f>
        <v>5771</v>
      </c>
      <c r="AP33" s="168">
        <f>SUMIFS('Employment Forecast SCAG'!$C$2:$C$31,'Employment Forecast SCAG'!$A$2:$A$31,$AH33,'Employment Forecast SCAG'!$B$2:$B$31,AP$30)</f>
        <v>936285</v>
      </c>
      <c r="AQ33" s="168">
        <f>SUMIFS('Employment Forecast SCAG'!$C$2:$C$31,'Employment Forecast SCAG'!$A$2:$A$31,$AH33,'Employment Forecast SCAG'!$B$2:$B$31,AQ$30)</f>
        <v>1791984</v>
      </c>
      <c r="AR33" s="168">
        <f>SUMIFS('Employment Forecast SCAG'!$C$2:$C$31,'Employment Forecast SCAG'!$A$2:$A$31,$AH33,'Employment Forecast SCAG'!$B$2:$B$31,AR$30)</f>
        <v>87579</v>
      </c>
      <c r="AS33" s="168">
        <f>SUMIFS('Employment Forecast SCAG'!$C$2:$C$31,'Employment Forecast SCAG'!$A$2:$A$31,$AH33,'Employment Forecast SCAG'!$B$2:$B$31,AS$30)</f>
        <v>859011</v>
      </c>
      <c r="AT33" s="169">
        <f>SUMIFS('Employment Forecast SCAG'!$C$2:$C$31,'Employment Forecast SCAG'!$A$2:$A$31,$AH33,'Employment Forecast SCAG'!$B$2:$B$31,AT$30)</f>
        <v>4792076</v>
      </c>
    </row>
    <row r="34" spans="2:48" x14ac:dyDescent="0.25">
      <c r="B34" s="166">
        <v>2035</v>
      </c>
      <c r="C34" s="167">
        <f>SUMIFS('Employment Forecast SANDAG'!$AE:$AE,'Employment Forecast SANDAG'!$A:$A,$B34,'Employment Forecast SANDAG'!$D:$D,C$30)</f>
        <v>75420</v>
      </c>
      <c r="D34" s="167">
        <f>SUMIFS('Employment Forecast SANDAG'!$AE:$AE,'Employment Forecast SANDAG'!$A:$A,$B34,'Employment Forecast SANDAG'!$D:$D,D$30)</f>
        <v>8647</v>
      </c>
      <c r="E34" s="167">
        <f>SUMIFS('Employment Forecast SANDAG'!$AE:$AE,'Employment Forecast SANDAG'!$A:$A,$B34,'Employment Forecast SANDAG'!$D:$D,E$30)</f>
        <v>1369</v>
      </c>
      <c r="F34" s="167">
        <f>SUMIFS('Employment Forecast SANDAG'!$AE:$AE,'Employment Forecast SANDAG'!$A:$A,$B34,'Employment Forecast SANDAG'!$D:$D,F$30)</f>
        <v>0</v>
      </c>
      <c r="G34" s="167">
        <f>SUMIFS('Employment Forecast SANDAG'!$AE:$AE,'Employment Forecast SANDAG'!$A:$A,$B34,'Employment Forecast SANDAG'!$D:$D,G$30)</f>
        <v>42916</v>
      </c>
      <c r="H34" s="167">
        <f>SUMIFS('Employment Forecast SANDAG'!$AE:$AE,'Employment Forecast SANDAG'!$A:$A,$B34,'Employment Forecast SANDAG'!$D:$D,H$30)</f>
        <v>0</v>
      </c>
      <c r="I34" s="167">
        <f>SUMIFS('Employment Forecast SANDAG'!$AE:$AE,'Employment Forecast SANDAG'!$A:$A,$B34,'Employment Forecast SANDAG'!$D:$D,I$30)</f>
        <v>0</v>
      </c>
      <c r="J34" s="168">
        <f>SUMIFS('Employment Forecast SCAG'!$C$2:$C$31,'Employment Forecast SCAG'!$A$2:$A$31,$B34,'Employment Forecast SCAG'!$B$2:$B$31,J$30)</f>
        <v>1111697</v>
      </c>
      <c r="K34" s="168">
        <f>SUMIFS('Employment Forecast SCAG'!$C$2:$C$31,'Employment Forecast SCAG'!$A$2:$A$31,$B34,'Employment Forecast SCAG'!$B$2:$B$31,K$30)</f>
        <v>1870292</v>
      </c>
      <c r="L34" s="168">
        <f>SUMIFS('Employment Forecast SCAG'!$C$2:$C$31,'Employment Forecast SCAG'!$A$2:$A$31,$B34,'Employment Forecast SCAG'!$B$2:$B$31,L$30)</f>
        <v>97835</v>
      </c>
      <c r="M34" s="168">
        <f>SUMIFS('Employment Forecast SCAG'!$C$2:$C$31,'Employment Forecast SCAG'!$A$2:$A$31,$B34,'Employment Forecast SCAG'!$B$2:$B$31,M$30)</f>
        <v>997994</v>
      </c>
      <c r="N34" s="169">
        <f>SUMIFS('Employment Forecast SCAG'!$C$2:$C$31,'Employment Forecast SCAG'!$A$2:$A$31,$B34,'Employment Forecast SCAG'!$B$2:$B$31,N$30)</f>
        <v>5057829</v>
      </c>
      <c r="O34" s="165"/>
      <c r="R34" s="166">
        <v>2035</v>
      </c>
      <c r="S34" s="167">
        <f>SUMIFS('Employment Forecast SANDAG'!$AD:$AD,'Employment Forecast SANDAG'!$A:$A,$R34,'Employment Forecast SANDAG'!$D:$D,S$30)</f>
        <v>4923</v>
      </c>
      <c r="T34" s="167">
        <f>SUMIFS('Employment Forecast SANDAG'!$AD:$AD,'Employment Forecast SANDAG'!$A:$A,$R34,'Employment Forecast SANDAG'!$D:$D,T$30)</f>
        <v>2131</v>
      </c>
      <c r="U34" s="167">
        <f>SUMIFS('Employment Forecast SANDAG'!$AD:$AD,'Employment Forecast SANDAG'!$A:$A,$R34,'Employment Forecast SANDAG'!$D:$D,U$30)</f>
        <v>4596</v>
      </c>
      <c r="V34" s="167">
        <f>SUMIFS('Employment Forecast SANDAG'!$AD:$AD,'Employment Forecast SANDAG'!$A:$A,$R34,'Employment Forecast SANDAG'!$D:$D,V$30)</f>
        <v>347</v>
      </c>
      <c r="W34" s="167">
        <f>SUMIFS('Employment Forecast SANDAG'!$AD:$AD,'Employment Forecast SANDAG'!$A:$A,$R34,'Employment Forecast SANDAG'!$D:$D,W$30)</f>
        <v>2346</v>
      </c>
      <c r="X34" s="167">
        <f>SUMIFS('Employment Forecast SANDAG'!$AD:$AD,'Employment Forecast SANDAG'!$A:$A,$R34,'Employment Forecast SANDAG'!$D:$D,X$30)</f>
        <v>297</v>
      </c>
      <c r="Y34" s="167">
        <f>SUMIFS('Employment Forecast SANDAG'!$AD:$AD,'Employment Forecast SANDAG'!$A:$A,$R34,'Employment Forecast SANDAG'!$D:$D,Y$30)</f>
        <v>7</v>
      </c>
      <c r="Z34" s="168">
        <f>SUMIFS('Employment Forecast SCAG'!$C$2:$C$31,'Employment Forecast SCAG'!$A$2:$A$31,$R34,'Employment Forecast SCAG'!$B$2:$B$31,Z$30)</f>
        <v>1111697</v>
      </c>
      <c r="AA34" s="168">
        <f>SUMIFS('Employment Forecast SCAG'!$C$2:$C$31,'Employment Forecast SCAG'!$A$2:$A$31,$R34,'Employment Forecast SCAG'!$B$2:$B$31,AA$30)</f>
        <v>1870292</v>
      </c>
      <c r="AB34" s="168">
        <f>SUMIFS('Employment Forecast SCAG'!$C$2:$C$31,'Employment Forecast SCAG'!$A$2:$A$31,$R34,'Employment Forecast SCAG'!$B$2:$B$31,AB$30)</f>
        <v>97835</v>
      </c>
      <c r="AC34" s="168">
        <f>SUMIFS('Employment Forecast SCAG'!$C$2:$C$31,'Employment Forecast SCAG'!$A$2:$A$31,$R34,'Employment Forecast SCAG'!$B$2:$B$31,AC$30)</f>
        <v>997994</v>
      </c>
      <c r="AD34" s="169">
        <f>SUMIFS('Employment Forecast SCAG'!$C$2:$C$31,'Employment Forecast SCAG'!$A$2:$A$31,$R34,'Employment Forecast SCAG'!$B$2:$B$31,AD$30)</f>
        <v>5057829</v>
      </c>
      <c r="AH34" s="166">
        <v>2035</v>
      </c>
      <c r="AI34" s="167">
        <f>SUMIFS('Employment Forecast SANDAG'!$AJ:$AJ,'Employment Forecast SANDAG'!$A:$A,$AH34,'Employment Forecast SANDAG'!$D:$D,AI$30)-C34-S34</f>
        <v>324633</v>
      </c>
      <c r="AJ34" s="167">
        <f>SUMIFS('Employment Forecast SANDAG'!$AJ:$AJ,'Employment Forecast SANDAG'!$A:$A,$AH34,'Employment Forecast SANDAG'!$D:$D,AJ$30)-D34-T34</f>
        <v>692322</v>
      </c>
      <c r="AK34" s="167">
        <f>SUMIFS('Employment Forecast SANDAG'!$AJ:$AJ,'Employment Forecast SANDAG'!$A:$A,$AH34,'Employment Forecast SANDAG'!$D:$D,AK$30)-E34-U34</f>
        <v>154778</v>
      </c>
      <c r="AL34" s="167">
        <f>SUMIFS('Employment Forecast SANDAG'!$AJ:$AJ,'Employment Forecast SANDAG'!$A:$A,$AH34,'Employment Forecast SANDAG'!$D:$D,AL$30)-F34-V34</f>
        <v>174249</v>
      </c>
      <c r="AM34" s="167">
        <f>SUMIFS('Employment Forecast SANDAG'!$AJ:$AJ,'Employment Forecast SANDAG'!$A:$A,$AH34,'Employment Forecast SANDAG'!$D:$D,AM$30)-G34-W34</f>
        <v>181415</v>
      </c>
      <c r="AN34" s="167">
        <f>SUMIFS('Employment Forecast SANDAG'!$AJ:$AJ,'Employment Forecast SANDAG'!$A:$A,$AH34,'Employment Forecast SANDAG'!$D:$D,AN$30)-H34-X34</f>
        <v>186485</v>
      </c>
      <c r="AO34" s="167">
        <f>SUMIFS('Employment Forecast SANDAG'!$AJ:$AJ,'Employment Forecast SANDAG'!$A:$A,$AH34,'Employment Forecast SANDAG'!$D:$D,AO$30)-I34-Y34</f>
        <v>7547</v>
      </c>
      <c r="AP34" s="168">
        <f>SUMIFS('Employment Forecast SCAG'!$C$2:$C$31,'Employment Forecast SCAG'!$A$2:$A$31,$AH34,'Employment Forecast SCAG'!$B$2:$B$31,AP$30)</f>
        <v>1111697</v>
      </c>
      <c r="AQ34" s="168">
        <f>SUMIFS('Employment Forecast SCAG'!$C$2:$C$31,'Employment Forecast SCAG'!$A$2:$A$31,$AH34,'Employment Forecast SCAG'!$B$2:$B$31,AQ$30)</f>
        <v>1870292</v>
      </c>
      <c r="AR34" s="168">
        <f>SUMIFS('Employment Forecast SCAG'!$C$2:$C$31,'Employment Forecast SCAG'!$A$2:$A$31,$AH34,'Employment Forecast SCAG'!$B$2:$B$31,AR$30)</f>
        <v>97835</v>
      </c>
      <c r="AS34" s="168">
        <f>SUMIFS('Employment Forecast SCAG'!$C$2:$C$31,'Employment Forecast SCAG'!$A$2:$A$31,$AH34,'Employment Forecast SCAG'!$B$2:$B$31,AS$30)</f>
        <v>997994</v>
      </c>
      <c r="AT34" s="169">
        <f>SUMIFS('Employment Forecast SCAG'!$C$2:$C$31,'Employment Forecast SCAG'!$A$2:$A$31,$AH34,'Employment Forecast SCAG'!$B$2:$B$31,AT$30)</f>
        <v>5057829</v>
      </c>
    </row>
    <row r="35" spans="2:48" x14ac:dyDescent="0.25">
      <c r="B35" s="170">
        <v>2050</v>
      </c>
      <c r="C35" s="171">
        <f>SUMIFS('Employment Forecast SANDAG'!$AE:$AE,'Employment Forecast SANDAG'!$A:$A,$B35,'Employment Forecast SANDAG'!$D:$D,C$30)</f>
        <v>77810</v>
      </c>
      <c r="D35" s="171">
        <f>SUMIFS('Employment Forecast SANDAG'!$AE:$AE,'Employment Forecast SANDAG'!$A:$A,$B35,'Employment Forecast SANDAG'!$D:$D,D$30)</f>
        <v>8695</v>
      </c>
      <c r="E35" s="171">
        <f>SUMIFS('Employment Forecast SANDAG'!$AE:$AE,'Employment Forecast SANDAG'!$A:$A,$B35,'Employment Forecast SANDAG'!$D:$D,E$30)</f>
        <v>1369</v>
      </c>
      <c r="F35" s="171">
        <f>SUMIFS('Employment Forecast SANDAG'!$AE:$AE,'Employment Forecast SANDAG'!$A:$A,$B35,'Employment Forecast SANDAG'!$D:$D,F$30)</f>
        <v>0</v>
      </c>
      <c r="G35" s="171">
        <f>SUMIFS('Employment Forecast SANDAG'!$AE:$AE,'Employment Forecast SANDAG'!$A:$A,$B35,'Employment Forecast SANDAG'!$D:$D,G$30)</f>
        <v>43094</v>
      </c>
      <c r="H35" s="171">
        <f>SUMIFS('Employment Forecast SANDAG'!$AE:$AE,'Employment Forecast SANDAG'!$A:$A,$B35,'Employment Forecast SANDAG'!$D:$D,H$30)</f>
        <v>0</v>
      </c>
      <c r="I35" s="171">
        <f>SUMIFS('Employment Forecast SANDAG'!$AE:$AE,'Employment Forecast SANDAG'!$A:$A,$B35,'Employment Forecast SANDAG'!$D:$D,I$30)</f>
        <v>0</v>
      </c>
      <c r="J35" s="172">
        <f>SUMIFS('Employment Forecast SCAG'!$C$2:$C$31,'Employment Forecast SCAG'!$A$2:$A$31,$B35,'Employment Forecast SCAG'!$B$2:$B$31,J$30)</f>
        <v>1174500</v>
      </c>
      <c r="K35" s="172">
        <f>SUMIFS('Employment Forecast SCAG'!$C$2:$C$31,'Employment Forecast SCAG'!$A$2:$A$31,$B35,'Employment Forecast SCAG'!$B$2:$B$31,K$30)</f>
        <v>1898952</v>
      </c>
      <c r="L35" s="172">
        <f>SUMIFS('Employment Forecast SCAG'!$C$2:$C$31,'Employment Forecast SCAG'!$A$2:$A$31,$B35,'Employment Forecast SCAG'!$B$2:$B$31,L$30)</f>
        <v>101053</v>
      </c>
      <c r="M35" s="172">
        <f>SUMIFS('Employment Forecast SCAG'!$C$2:$C$31,'Employment Forecast SCAG'!$A$2:$A$31,$B35,'Employment Forecast SCAG'!$B$2:$B$31,M$30)</f>
        <v>1028132</v>
      </c>
      <c r="N35" s="173">
        <f>SUMIFS('Employment Forecast SCAG'!$C$2:$C$31,'Employment Forecast SCAG'!$A$2:$A$31,$B35,'Employment Forecast SCAG'!$B$2:$B$31,N$30)</f>
        <v>5221748</v>
      </c>
      <c r="O35" s="165"/>
      <c r="R35" s="170">
        <v>2050</v>
      </c>
      <c r="S35" s="171">
        <f>SUMIFS('Employment Forecast SANDAG'!$AD:$AD,'Employment Forecast SANDAG'!$A:$A,$R35,'Employment Forecast SANDAG'!$D:$D,S$30)</f>
        <v>5848</v>
      </c>
      <c r="T35" s="171">
        <f>SUMIFS('Employment Forecast SANDAG'!$AD:$AD,'Employment Forecast SANDAG'!$A:$A,$R35,'Employment Forecast SANDAG'!$D:$D,T$30)</f>
        <v>2539</v>
      </c>
      <c r="U35" s="171">
        <f>SUMIFS('Employment Forecast SANDAG'!$AD:$AD,'Employment Forecast SANDAG'!$A:$A,$R35,'Employment Forecast SANDAG'!$D:$D,U$30)</f>
        <v>5457</v>
      </c>
      <c r="V35" s="171">
        <f>SUMIFS('Employment Forecast SANDAG'!$AD:$AD,'Employment Forecast SANDAG'!$A:$A,$R35,'Employment Forecast SANDAG'!$D:$D,V$30)</f>
        <v>413</v>
      </c>
      <c r="W35" s="171">
        <f>SUMIFS('Employment Forecast SANDAG'!$AD:$AD,'Employment Forecast SANDAG'!$A:$A,$R35,'Employment Forecast SANDAG'!$D:$D,W$30)</f>
        <v>2820</v>
      </c>
      <c r="X35" s="171">
        <f>SUMIFS('Employment Forecast SANDAG'!$AD:$AD,'Employment Forecast SANDAG'!$A:$A,$R35,'Employment Forecast SANDAG'!$D:$D,X$30)</f>
        <v>353</v>
      </c>
      <c r="Y35" s="171">
        <f>SUMIFS('Employment Forecast SANDAG'!$AD:$AD,'Employment Forecast SANDAG'!$A:$A,$R35,'Employment Forecast SANDAG'!$D:$D,Y$30)</f>
        <v>7</v>
      </c>
      <c r="Z35" s="172">
        <f>SUMIFS('Employment Forecast SCAG'!$C$2:$C$31,'Employment Forecast SCAG'!$A$2:$A$31,$R35,'Employment Forecast SCAG'!$B$2:$B$31,Z$30)</f>
        <v>1174500</v>
      </c>
      <c r="AA35" s="172">
        <f>SUMIFS('Employment Forecast SCAG'!$C$2:$C$31,'Employment Forecast SCAG'!$A$2:$A$31,$R35,'Employment Forecast SCAG'!$B$2:$B$31,AA$30)</f>
        <v>1898952</v>
      </c>
      <c r="AB35" s="172">
        <f>SUMIFS('Employment Forecast SCAG'!$C$2:$C$31,'Employment Forecast SCAG'!$A$2:$A$31,$R35,'Employment Forecast SCAG'!$B$2:$B$31,AB$30)</f>
        <v>101053</v>
      </c>
      <c r="AC35" s="172">
        <f>SUMIFS('Employment Forecast SCAG'!$C$2:$C$31,'Employment Forecast SCAG'!$A$2:$A$31,$R35,'Employment Forecast SCAG'!$B$2:$B$31,AC$30)</f>
        <v>1028132</v>
      </c>
      <c r="AD35" s="173">
        <f>SUMIFS('Employment Forecast SCAG'!$C$2:$C$31,'Employment Forecast SCAG'!$A$2:$A$31,$R35,'Employment Forecast SCAG'!$B$2:$B$31,AD$30)</f>
        <v>5221748</v>
      </c>
      <c r="AH35" s="170">
        <v>2050</v>
      </c>
      <c r="AI35" s="171">
        <f>SUMIFS('Employment Forecast SANDAG'!$AJ:$AJ,'Employment Forecast SANDAG'!$A:$A,$AH35,'Employment Forecast SANDAG'!$D:$D,AI$30)-C35-S35</f>
        <v>357726</v>
      </c>
      <c r="AJ35" s="171">
        <f>SUMIFS('Employment Forecast SANDAG'!$AJ:$AJ,'Employment Forecast SANDAG'!$A:$A,$AH35,'Employment Forecast SANDAG'!$D:$D,AJ$30)-D35-T35</f>
        <v>752545</v>
      </c>
      <c r="AK35" s="171">
        <f>SUMIFS('Employment Forecast SANDAG'!$AJ:$AJ,'Employment Forecast SANDAG'!$A:$A,$AH35,'Employment Forecast SANDAG'!$D:$D,AK$30)-E35-U35</f>
        <v>188413</v>
      </c>
      <c r="AL35" s="171">
        <f>SUMIFS('Employment Forecast SANDAG'!$AJ:$AJ,'Employment Forecast SANDAG'!$A:$A,$AH35,'Employment Forecast SANDAG'!$D:$D,AL$30)-F35-V35</f>
        <v>192342</v>
      </c>
      <c r="AM35" s="171">
        <f>SUMIFS('Employment Forecast SANDAG'!$AJ:$AJ,'Employment Forecast SANDAG'!$A:$A,$AH35,'Employment Forecast SANDAG'!$D:$D,AM$30)-G35-W35</f>
        <v>195911</v>
      </c>
      <c r="AN35" s="171">
        <f>SUMIFS('Employment Forecast SANDAG'!$AJ:$AJ,'Employment Forecast SANDAG'!$A:$A,$AH35,'Employment Forecast SANDAG'!$D:$D,AN$30)-H35-X35</f>
        <v>205391</v>
      </c>
      <c r="AO35" s="171">
        <f>SUMIFS('Employment Forecast SANDAG'!$AJ:$AJ,'Employment Forecast SANDAG'!$A:$A,$AH35,'Employment Forecast SANDAG'!$D:$D,AO$30)-I35-Y35</f>
        <v>9772</v>
      </c>
      <c r="AP35" s="172">
        <f>SUMIFS('Employment Forecast SCAG'!$C$2:$C$31,'Employment Forecast SCAG'!$A$2:$A$31,$AH35,'Employment Forecast SCAG'!$B$2:$B$31,AP$30)</f>
        <v>1174500</v>
      </c>
      <c r="AQ35" s="172">
        <f>SUMIFS('Employment Forecast SCAG'!$C$2:$C$31,'Employment Forecast SCAG'!$A$2:$A$31,$AH35,'Employment Forecast SCAG'!$B$2:$B$31,AQ$30)</f>
        <v>1898952</v>
      </c>
      <c r="AR35" s="172">
        <f>SUMIFS('Employment Forecast SCAG'!$C$2:$C$31,'Employment Forecast SCAG'!$A$2:$A$31,$AH35,'Employment Forecast SCAG'!$B$2:$B$31,AR$30)</f>
        <v>101053</v>
      </c>
      <c r="AS35" s="172">
        <f>SUMIFS('Employment Forecast SCAG'!$C$2:$C$31,'Employment Forecast SCAG'!$A$2:$A$31,$AH35,'Employment Forecast SCAG'!$B$2:$B$31,AS$30)</f>
        <v>1028132</v>
      </c>
      <c r="AT35" s="173">
        <f>SUMIFS('Employment Forecast SCAG'!$C$2:$C$31,'Employment Forecast SCAG'!$A$2:$A$31,$AH35,'Employment Forecast SCAG'!$B$2:$B$31,AT$30)</f>
        <v>5221748</v>
      </c>
    </row>
    <row r="36" spans="2:48" x14ac:dyDescent="0.25">
      <c r="B36" s="133" t="s">
        <v>603</v>
      </c>
      <c r="R36" s="133" t="s">
        <v>603</v>
      </c>
      <c r="AH36" s="133" t="s">
        <v>603</v>
      </c>
    </row>
    <row r="38" spans="2:48" ht="18.75" x14ac:dyDescent="0.3">
      <c r="B38" s="29" t="s">
        <v>611</v>
      </c>
      <c r="R38" s="29" t="s">
        <v>616</v>
      </c>
      <c r="AH38" s="29" t="s">
        <v>620</v>
      </c>
    </row>
    <row r="39" spans="2:48" x14ac:dyDescent="0.25">
      <c r="B39" s="179" t="s">
        <v>604</v>
      </c>
      <c r="R39" s="179" t="s">
        <v>604</v>
      </c>
      <c r="AH39" s="179" t="s">
        <v>604</v>
      </c>
    </row>
    <row r="40" spans="2:48" x14ac:dyDescent="0.25">
      <c r="B40" s="179"/>
    </row>
    <row r="41" spans="2:48" x14ac:dyDescent="0.25">
      <c r="B41" s="101"/>
      <c r="C41" s="390" t="s">
        <v>50</v>
      </c>
      <c r="D41" s="390"/>
      <c r="E41" s="390"/>
      <c r="F41" s="390"/>
      <c r="G41" s="390"/>
      <c r="H41" s="390"/>
      <c r="I41" s="390"/>
      <c r="J41" s="390"/>
      <c r="K41" s="390"/>
      <c r="L41" s="390"/>
      <c r="M41" s="390"/>
      <c r="N41" s="390"/>
      <c r="O41" s="180"/>
      <c r="P41" s="104"/>
      <c r="R41" s="101"/>
      <c r="S41" s="390" t="s">
        <v>50</v>
      </c>
      <c r="T41" s="390"/>
      <c r="U41" s="390"/>
      <c r="V41" s="390"/>
      <c r="W41" s="390"/>
      <c r="X41" s="390"/>
      <c r="Y41" s="390"/>
      <c r="Z41" s="390"/>
      <c r="AA41" s="390"/>
      <c r="AB41" s="390"/>
      <c r="AC41" s="390"/>
      <c r="AD41" s="390"/>
      <c r="AE41" s="102"/>
      <c r="AF41" s="104"/>
      <c r="AH41" s="101"/>
      <c r="AI41" s="390" t="s">
        <v>50</v>
      </c>
      <c r="AJ41" s="390"/>
      <c r="AK41" s="390"/>
      <c r="AL41" s="390"/>
      <c r="AM41" s="390"/>
      <c r="AN41" s="390"/>
      <c r="AO41" s="390"/>
      <c r="AP41" s="390"/>
      <c r="AQ41" s="390"/>
      <c r="AR41" s="390"/>
      <c r="AS41" s="390"/>
      <c r="AT41" s="390"/>
      <c r="AU41" s="180"/>
      <c r="AV41" s="104"/>
    </row>
    <row r="42" spans="2:48" x14ac:dyDescent="0.25">
      <c r="B42" s="147" t="s">
        <v>49</v>
      </c>
      <c r="C42" s="25" t="s">
        <v>42</v>
      </c>
      <c r="D42" s="26" t="s">
        <v>51</v>
      </c>
      <c r="E42" s="26" t="s">
        <v>52</v>
      </c>
      <c r="F42" s="26" t="s">
        <v>53</v>
      </c>
      <c r="G42" s="26" t="s">
        <v>54</v>
      </c>
      <c r="H42" s="26" t="s">
        <v>55</v>
      </c>
      <c r="I42" s="26" t="s">
        <v>56</v>
      </c>
      <c r="J42" s="26" t="s">
        <v>60</v>
      </c>
      <c r="K42" s="26" t="s">
        <v>59</v>
      </c>
      <c r="L42" s="26" t="s">
        <v>61</v>
      </c>
      <c r="M42" s="26" t="s">
        <v>58</v>
      </c>
      <c r="N42" s="26" t="s">
        <v>57</v>
      </c>
      <c r="O42" s="164"/>
      <c r="P42" s="181" t="s">
        <v>66</v>
      </c>
      <c r="R42" s="149" t="s">
        <v>49</v>
      </c>
      <c r="S42" s="330" t="s">
        <v>42</v>
      </c>
      <c r="T42" s="331" t="s">
        <v>51</v>
      </c>
      <c r="U42" s="331" t="s">
        <v>52</v>
      </c>
      <c r="V42" s="331" t="s">
        <v>53</v>
      </c>
      <c r="W42" s="331" t="s">
        <v>54</v>
      </c>
      <c r="X42" s="331" t="s">
        <v>55</v>
      </c>
      <c r="Y42" s="331" t="s">
        <v>56</v>
      </c>
      <c r="Z42" s="331" t="s">
        <v>60</v>
      </c>
      <c r="AA42" s="331" t="s">
        <v>59</v>
      </c>
      <c r="AB42" s="331" t="s">
        <v>61</v>
      </c>
      <c r="AC42" s="331" t="s">
        <v>58</v>
      </c>
      <c r="AD42" s="331" t="s">
        <v>57</v>
      </c>
      <c r="AE42" s="110"/>
      <c r="AF42" s="211" t="s">
        <v>66</v>
      </c>
      <c r="AH42" s="147" t="s">
        <v>49</v>
      </c>
      <c r="AI42" s="25" t="s">
        <v>42</v>
      </c>
      <c r="AJ42" s="26" t="s">
        <v>51</v>
      </c>
      <c r="AK42" s="26" t="s">
        <v>52</v>
      </c>
      <c r="AL42" s="26" t="s">
        <v>53</v>
      </c>
      <c r="AM42" s="26" t="s">
        <v>54</v>
      </c>
      <c r="AN42" s="26" t="s">
        <v>55</v>
      </c>
      <c r="AO42" s="26" t="s">
        <v>56</v>
      </c>
      <c r="AP42" s="26" t="s">
        <v>60</v>
      </c>
      <c r="AQ42" s="26" t="s">
        <v>59</v>
      </c>
      <c r="AR42" s="26" t="s">
        <v>61</v>
      </c>
      <c r="AS42" s="26" t="s">
        <v>58</v>
      </c>
      <c r="AT42" s="26" t="s">
        <v>57</v>
      </c>
      <c r="AU42" s="164"/>
      <c r="AV42" s="181" t="s">
        <v>66</v>
      </c>
    </row>
    <row r="43" spans="2:48" x14ac:dyDescent="0.25">
      <c r="B43" s="152" t="s">
        <v>42</v>
      </c>
      <c r="C43" s="308">
        <f t="shared" ref="C43:J49" si="6">IF(C$24&gt;0,C12*C$55/C$24,0)</f>
        <v>1</v>
      </c>
      <c r="D43" s="312">
        <f t="shared" si="6"/>
        <v>0</v>
      </c>
      <c r="E43" s="312">
        <f t="shared" si="6"/>
        <v>0</v>
      </c>
      <c r="F43" s="312">
        <f t="shared" si="6"/>
        <v>0</v>
      </c>
      <c r="G43" s="312">
        <f t="shared" si="6"/>
        <v>3</v>
      </c>
      <c r="H43" s="312">
        <f t="shared" si="6"/>
        <v>0</v>
      </c>
      <c r="I43" s="313">
        <f t="shared" si="6"/>
        <v>0</v>
      </c>
      <c r="J43" s="312">
        <f t="shared" si="6"/>
        <v>1</v>
      </c>
      <c r="K43" s="180">
        <f t="shared" ref="K43:N49" si="7">IF(K$31&gt;0,INT(MAX(K12,0.1)*(K$32/K$31)),0)</f>
        <v>0</v>
      </c>
      <c r="L43" s="180">
        <f t="shared" si="7"/>
        <v>0</v>
      </c>
      <c r="M43" s="180">
        <f t="shared" si="7"/>
        <v>0</v>
      </c>
      <c r="N43" s="162">
        <f t="shared" si="7"/>
        <v>0</v>
      </c>
      <c r="O43" s="183"/>
      <c r="P43" s="323">
        <f t="shared" ref="P43:P54" si="8">SUM(C43:N43)</f>
        <v>5</v>
      </c>
      <c r="R43" s="153" t="s">
        <v>42</v>
      </c>
      <c r="S43" s="308">
        <f t="shared" ref="S43:AD43" si="9">IF(S$24&gt;0,S12*S$55/S$24,0)</f>
        <v>0</v>
      </c>
      <c r="T43" s="314">
        <f t="shared" si="9"/>
        <v>1</v>
      </c>
      <c r="U43" s="314">
        <f t="shared" si="9"/>
        <v>0</v>
      </c>
      <c r="V43" s="314">
        <f t="shared" si="9"/>
        <v>0</v>
      </c>
      <c r="W43" s="314">
        <f t="shared" si="9"/>
        <v>0</v>
      </c>
      <c r="X43" s="314">
        <f t="shared" si="9"/>
        <v>0</v>
      </c>
      <c r="Y43" s="315">
        <f t="shared" si="9"/>
        <v>1</v>
      </c>
      <c r="Z43" s="314">
        <f t="shared" si="9"/>
        <v>0</v>
      </c>
      <c r="AA43" s="314">
        <f t="shared" si="9"/>
        <v>1</v>
      </c>
      <c r="AB43" s="314">
        <f t="shared" si="9"/>
        <v>0</v>
      </c>
      <c r="AC43" s="314">
        <f t="shared" si="9"/>
        <v>0</v>
      </c>
      <c r="AD43" s="321">
        <f t="shared" si="9"/>
        <v>0</v>
      </c>
      <c r="AE43" s="101"/>
      <c r="AF43" s="332">
        <f>SUM(S43:AD43)</f>
        <v>3</v>
      </c>
      <c r="AH43" s="152" t="s">
        <v>42</v>
      </c>
      <c r="AI43" s="308">
        <f t="shared" ref="AI43:AT43" si="10">IF(AI$24&gt;0,AI12*AI$55/AI$24,0)</f>
        <v>1.0151515151515151</v>
      </c>
      <c r="AJ43" s="312">
        <f t="shared" si="10"/>
        <v>22.118279569892472</v>
      </c>
      <c r="AK43" s="312">
        <f t="shared" si="10"/>
        <v>1</v>
      </c>
      <c r="AL43" s="312">
        <f t="shared" si="10"/>
        <v>0</v>
      </c>
      <c r="AM43" s="312">
        <f t="shared" si="10"/>
        <v>5.8867924528301883</v>
      </c>
      <c r="AN43" s="312">
        <f t="shared" si="10"/>
        <v>3</v>
      </c>
      <c r="AO43" s="313">
        <f t="shared" si="10"/>
        <v>0</v>
      </c>
      <c r="AP43" s="312">
        <f t="shared" si="10"/>
        <v>0</v>
      </c>
      <c r="AQ43" s="312">
        <f t="shared" si="10"/>
        <v>0</v>
      </c>
      <c r="AR43" s="312">
        <f t="shared" si="10"/>
        <v>0</v>
      </c>
      <c r="AS43" s="312">
        <f t="shared" si="10"/>
        <v>0</v>
      </c>
      <c r="AT43" s="320">
        <f t="shared" si="10"/>
        <v>0</v>
      </c>
      <c r="AU43" s="183"/>
      <c r="AV43" s="323">
        <f t="shared" ref="AV43:AV54" si="11">SUM(AI43:AT43)</f>
        <v>33.020223537874173</v>
      </c>
    </row>
    <row r="44" spans="2:48" x14ac:dyDescent="0.25">
      <c r="B44" s="153" t="s">
        <v>43</v>
      </c>
      <c r="C44" s="309">
        <f t="shared" si="6"/>
        <v>12</v>
      </c>
      <c r="D44" s="314">
        <f t="shared" si="6"/>
        <v>2</v>
      </c>
      <c r="E44" s="314">
        <f t="shared" si="6"/>
        <v>0</v>
      </c>
      <c r="F44" s="314">
        <f t="shared" si="6"/>
        <v>0</v>
      </c>
      <c r="G44" s="314">
        <f t="shared" si="6"/>
        <v>5</v>
      </c>
      <c r="H44" s="314">
        <f t="shared" si="6"/>
        <v>0</v>
      </c>
      <c r="I44" s="315">
        <f t="shared" si="6"/>
        <v>0</v>
      </c>
      <c r="J44" s="314">
        <f t="shared" si="6"/>
        <v>1</v>
      </c>
      <c r="K44" s="140">
        <f t="shared" si="7"/>
        <v>0</v>
      </c>
      <c r="L44" s="140">
        <f t="shared" si="7"/>
        <v>2</v>
      </c>
      <c r="M44" s="140">
        <f t="shared" si="7"/>
        <v>0</v>
      </c>
      <c r="N44" s="141">
        <f t="shared" si="7"/>
        <v>0</v>
      </c>
      <c r="O44" s="184"/>
      <c r="P44" s="324">
        <f>SUM(C44:N44)</f>
        <v>22</v>
      </c>
      <c r="R44" s="153" t="s">
        <v>43</v>
      </c>
      <c r="S44" s="309">
        <f t="shared" ref="S44:AD44" si="12">IF(S$24&gt;0,S13*S$55/S$24,0)</f>
        <v>0</v>
      </c>
      <c r="T44" s="314">
        <f t="shared" si="12"/>
        <v>2</v>
      </c>
      <c r="U44" s="314">
        <f t="shared" si="12"/>
        <v>0</v>
      </c>
      <c r="V44" s="314">
        <f t="shared" si="12"/>
        <v>0</v>
      </c>
      <c r="W44" s="314">
        <f t="shared" si="12"/>
        <v>0</v>
      </c>
      <c r="X44" s="314">
        <f t="shared" si="12"/>
        <v>1</v>
      </c>
      <c r="Y44" s="315">
        <f t="shared" si="12"/>
        <v>3</v>
      </c>
      <c r="Z44" s="314">
        <f t="shared" si="12"/>
        <v>0</v>
      </c>
      <c r="AA44" s="314">
        <f t="shared" si="12"/>
        <v>0</v>
      </c>
      <c r="AB44" s="314">
        <f t="shared" si="12"/>
        <v>0</v>
      </c>
      <c r="AC44" s="314">
        <f t="shared" si="12"/>
        <v>0</v>
      </c>
      <c r="AD44" s="321">
        <f t="shared" si="12"/>
        <v>0</v>
      </c>
      <c r="AE44" s="105"/>
      <c r="AF44" s="181">
        <f t="shared" ref="AF44:AF54" si="13">SUM(S44:AD44)</f>
        <v>6</v>
      </c>
      <c r="AH44" s="153" t="s">
        <v>43</v>
      </c>
      <c r="AI44" s="309">
        <f t="shared" ref="AI44:AT44" si="14">IF(AI$24&gt;0,AI13*AI$55/AI$24,0)</f>
        <v>3.0454545454545454</v>
      </c>
      <c r="AJ44" s="314">
        <f t="shared" si="14"/>
        <v>18.096774193548388</v>
      </c>
      <c r="AK44" s="314">
        <f t="shared" si="14"/>
        <v>2</v>
      </c>
      <c r="AL44" s="314">
        <f t="shared" si="14"/>
        <v>0</v>
      </c>
      <c r="AM44" s="314">
        <f t="shared" si="14"/>
        <v>9.8113207547169807</v>
      </c>
      <c r="AN44" s="314">
        <f t="shared" si="14"/>
        <v>0</v>
      </c>
      <c r="AO44" s="315">
        <f t="shared" si="14"/>
        <v>0</v>
      </c>
      <c r="AP44" s="314">
        <f t="shared" si="14"/>
        <v>0</v>
      </c>
      <c r="AQ44" s="314">
        <f t="shared" si="14"/>
        <v>0</v>
      </c>
      <c r="AR44" s="314">
        <f t="shared" si="14"/>
        <v>0</v>
      </c>
      <c r="AS44" s="314">
        <f t="shared" si="14"/>
        <v>0</v>
      </c>
      <c r="AT44" s="321">
        <f t="shared" si="14"/>
        <v>0</v>
      </c>
      <c r="AU44" s="184"/>
      <c r="AV44" s="324">
        <f t="shared" si="11"/>
        <v>32.953549493719919</v>
      </c>
    </row>
    <row r="45" spans="2:48" x14ac:dyDescent="0.25">
      <c r="B45" s="153" t="s">
        <v>44</v>
      </c>
      <c r="C45" s="309">
        <f t="shared" si="6"/>
        <v>1</v>
      </c>
      <c r="D45" s="314">
        <f t="shared" si="6"/>
        <v>4</v>
      </c>
      <c r="E45" s="314">
        <f t="shared" si="6"/>
        <v>0</v>
      </c>
      <c r="F45" s="314">
        <f t="shared" si="6"/>
        <v>0</v>
      </c>
      <c r="G45" s="314">
        <f t="shared" si="6"/>
        <v>2</v>
      </c>
      <c r="H45" s="314">
        <f t="shared" si="6"/>
        <v>0</v>
      </c>
      <c r="I45" s="315">
        <f t="shared" si="6"/>
        <v>0</v>
      </c>
      <c r="J45" s="314">
        <f t="shared" si="6"/>
        <v>0</v>
      </c>
      <c r="K45" s="140">
        <f t="shared" si="7"/>
        <v>0</v>
      </c>
      <c r="L45" s="140">
        <f t="shared" si="7"/>
        <v>1</v>
      </c>
      <c r="M45" s="140">
        <f t="shared" si="7"/>
        <v>0</v>
      </c>
      <c r="N45" s="141">
        <f t="shared" si="7"/>
        <v>0</v>
      </c>
      <c r="O45" s="184"/>
      <c r="P45" s="324">
        <f t="shared" si="8"/>
        <v>8</v>
      </c>
      <c r="R45" s="153" t="s">
        <v>44</v>
      </c>
      <c r="S45" s="309">
        <f t="shared" ref="S45:AD45" si="15">IF(S$24&gt;0,S14*S$55/S$24,0)</f>
        <v>0</v>
      </c>
      <c r="T45" s="314">
        <f t="shared" si="15"/>
        <v>7</v>
      </c>
      <c r="U45" s="314">
        <f t="shared" si="15"/>
        <v>0</v>
      </c>
      <c r="V45" s="314">
        <f t="shared" si="15"/>
        <v>0</v>
      </c>
      <c r="W45" s="314">
        <f t="shared" si="15"/>
        <v>0</v>
      </c>
      <c r="X45" s="314">
        <f t="shared" si="15"/>
        <v>0</v>
      </c>
      <c r="Y45" s="315">
        <f t="shared" si="15"/>
        <v>5</v>
      </c>
      <c r="Z45" s="314">
        <f t="shared" si="15"/>
        <v>0</v>
      </c>
      <c r="AA45" s="314">
        <f t="shared" si="15"/>
        <v>0</v>
      </c>
      <c r="AB45" s="314">
        <f t="shared" si="15"/>
        <v>0</v>
      </c>
      <c r="AC45" s="314">
        <f t="shared" si="15"/>
        <v>0</v>
      </c>
      <c r="AD45" s="321">
        <f t="shared" si="15"/>
        <v>0</v>
      </c>
      <c r="AE45" s="105"/>
      <c r="AF45" s="181">
        <f t="shared" si="13"/>
        <v>12</v>
      </c>
      <c r="AH45" s="153" t="s">
        <v>44</v>
      </c>
      <c r="AI45" s="309">
        <f t="shared" ref="AI45:AT45" si="16">IF(AI$24&gt;0,AI14*AI$55/AI$24,0)</f>
        <v>11.166666666666666</v>
      </c>
      <c r="AJ45" s="314">
        <f t="shared" si="16"/>
        <v>35.188172043010752</v>
      </c>
      <c r="AK45" s="314">
        <f t="shared" si="16"/>
        <v>0</v>
      </c>
      <c r="AL45" s="314">
        <f t="shared" si="16"/>
        <v>2</v>
      </c>
      <c r="AM45" s="314">
        <f t="shared" si="16"/>
        <v>5.8867924528301883</v>
      </c>
      <c r="AN45" s="314">
        <f t="shared" si="16"/>
        <v>2</v>
      </c>
      <c r="AO45" s="315">
        <f t="shared" si="16"/>
        <v>0</v>
      </c>
      <c r="AP45" s="314">
        <f t="shared" si="16"/>
        <v>0</v>
      </c>
      <c r="AQ45" s="314">
        <f t="shared" si="16"/>
        <v>0</v>
      </c>
      <c r="AR45" s="314">
        <f t="shared" si="16"/>
        <v>0</v>
      </c>
      <c r="AS45" s="314">
        <f t="shared" si="16"/>
        <v>0</v>
      </c>
      <c r="AT45" s="321">
        <f t="shared" si="16"/>
        <v>0</v>
      </c>
      <c r="AU45" s="184"/>
      <c r="AV45" s="324">
        <f t="shared" si="11"/>
        <v>56.241631162507602</v>
      </c>
    </row>
    <row r="46" spans="2:48" x14ac:dyDescent="0.25">
      <c r="B46" s="153" t="s">
        <v>45</v>
      </c>
      <c r="C46" s="309">
        <f t="shared" si="6"/>
        <v>16</v>
      </c>
      <c r="D46" s="314">
        <f t="shared" si="6"/>
        <v>3</v>
      </c>
      <c r="E46" s="314">
        <f t="shared" si="6"/>
        <v>0</v>
      </c>
      <c r="F46" s="314">
        <f t="shared" si="6"/>
        <v>0</v>
      </c>
      <c r="G46" s="314">
        <f t="shared" si="6"/>
        <v>2</v>
      </c>
      <c r="H46" s="314">
        <f t="shared" si="6"/>
        <v>0</v>
      </c>
      <c r="I46" s="315">
        <f t="shared" si="6"/>
        <v>0</v>
      </c>
      <c r="J46" s="314">
        <f t="shared" si="6"/>
        <v>0</v>
      </c>
      <c r="K46" s="140">
        <f t="shared" si="7"/>
        <v>0</v>
      </c>
      <c r="L46" s="140">
        <f t="shared" si="7"/>
        <v>1</v>
      </c>
      <c r="M46" s="140">
        <f t="shared" si="7"/>
        <v>0</v>
      </c>
      <c r="N46" s="141">
        <f t="shared" si="7"/>
        <v>0</v>
      </c>
      <c r="O46" s="184"/>
      <c r="P46" s="324">
        <f t="shared" si="8"/>
        <v>22</v>
      </c>
      <c r="R46" s="153" t="s">
        <v>45</v>
      </c>
      <c r="S46" s="309">
        <f t="shared" ref="S46:AD46" si="17">IF(S$24&gt;0,S15*S$55/S$24,0)</f>
        <v>0</v>
      </c>
      <c r="T46" s="314">
        <f t="shared" si="17"/>
        <v>8</v>
      </c>
      <c r="U46" s="314">
        <f t="shared" si="17"/>
        <v>0</v>
      </c>
      <c r="V46" s="314">
        <f t="shared" si="17"/>
        <v>0</v>
      </c>
      <c r="W46" s="314">
        <f t="shared" si="17"/>
        <v>0</v>
      </c>
      <c r="X46" s="314">
        <f t="shared" si="17"/>
        <v>0</v>
      </c>
      <c r="Y46" s="315">
        <f t="shared" si="17"/>
        <v>16</v>
      </c>
      <c r="Z46" s="314">
        <f t="shared" si="17"/>
        <v>0</v>
      </c>
      <c r="AA46" s="314">
        <f t="shared" si="17"/>
        <v>1</v>
      </c>
      <c r="AB46" s="314">
        <f t="shared" si="17"/>
        <v>2</v>
      </c>
      <c r="AC46" s="314">
        <f t="shared" si="17"/>
        <v>0</v>
      </c>
      <c r="AD46" s="321">
        <f t="shared" si="17"/>
        <v>0</v>
      </c>
      <c r="AE46" s="105"/>
      <c r="AF46" s="181">
        <f t="shared" si="13"/>
        <v>27</v>
      </c>
      <c r="AH46" s="153" t="s">
        <v>45</v>
      </c>
      <c r="AI46" s="309">
        <f t="shared" ref="AI46:AT46" si="18">IF(AI$24&gt;0,AI15*AI$55/AI$24,0)</f>
        <v>8.1212121212121211</v>
      </c>
      <c r="AJ46" s="314">
        <f t="shared" si="18"/>
        <v>20.107526881720432</v>
      </c>
      <c r="AK46" s="314">
        <f t="shared" si="18"/>
        <v>1</v>
      </c>
      <c r="AL46" s="314">
        <f t="shared" si="18"/>
        <v>0</v>
      </c>
      <c r="AM46" s="314">
        <f t="shared" si="18"/>
        <v>2.9433962264150941</v>
      </c>
      <c r="AN46" s="314">
        <f t="shared" si="18"/>
        <v>1</v>
      </c>
      <c r="AO46" s="315">
        <f t="shared" si="18"/>
        <v>0</v>
      </c>
      <c r="AP46" s="314">
        <f t="shared" si="18"/>
        <v>0</v>
      </c>
      <c r="AQ46" s="314">
        <f t="shared" si="18"/>
        <v>0</v>
      </c>
      <c r="AR46" s="314">
        <f t="shared" si="18"/>
        <v>0</v>
      </c>
      <c r="AS46" s="314">
        <f t="shared" si="18"/>
        <v>0</v>
      </c>
      <c r="AT46" s="321">
        <f t="shared" si="18"/>
        <v>0</v>
      </c>
      <c r="AU46" s="184"/>
      <c r="AV46" s="324">
        <f t="shared" si="11"/>
        <v>33.172135229347646</v>
      </c>
    </row>
    <row r="47" spans="2:48" x14ac:dyDescent="0.25">
      <c r="B47" s="153" t="s">
        <v>46</v>
      </c>
      <c r="C47" s="309">
        <f t="shared" si="6"/>
        <v>4</v>
      </c>
      <c r="D47" s="314">
        <f t="shared" si="6"/>
        <v>0</v>
      </c>
      <c r="E47" s="314">
        <f t="shared" si="6"/>
        <v>0</v>
      </c>
      <c r="F47" s="314">
        <f t="shared" si="6"/>
        <v>0</v>
      </c>
      <c r="G47" s="314">
        <f t="shared" si="6"/>
        <v>1</v>
      </c>
      <c r="H47" s="314">
        <f t="shared" si="6"/>
        <v>0</v>
      </c>
      <c r="I47" s="315">
        <f t="shared" si="6"/>
        <v>0</v>
      </c>
      <c r="J47" s="314">
        <f t="shared" si="6"/>
        <v>0</v>
      </c>
      <c r="K47" s="140">
        <f t="shared" si="7"/>
        <v>0</v>
      </c>
      <c r="L47" s="140">
        <f t="shared" si="7"/>
        <v>0</v>
      </c>
      <c r="M47" s="140">
        <f t="shared" si="7"/>
        <v>0</v>
      </c>
      <c r="N47" s="141">
        <f t="shared" si="7"/>
        <v>0</v>
      </c>
      <c r="O47" s="184"/>
      <c r="P47" s="324">
        <f t="shared" si="8"/>
        <v>5</v>
      </c>
      <c r="R47" s="153" t="s">
        <v>46</v>
      </c>
      <c r="S47" s="309">
        <f t="shared" ref="S47:AD47" si="19">IF(S$24&gt;0,S16*S$55/S$24,0)</f>
        <v>0</v>
      </c>
      <c r="T47" s="314">
        <f t="shared" si="19"/>
        <v>2</v>
      </c>
      <c r="U47" s="314">
        <f t="shared" si="19"/>
        <v>0</v>
      </c>
      <c r="V47" s="314">
        <f t="shared" si="19"/>
        <v>0</v>
      </c>
      <c r="W47" s="314">
        <f t="shared" si="19"/>
        <v>0</v>
      </c>
      <c r="X47" s="314">
        <f t="shared" si="19"/>
        <v>0</v>
      </c>
      <c r="Y47" s="315">
        <f t="shared" si="19"/>
        <v>0</v>
      </c>
      <c r="Z47" s="314">
        <f t="shared" si="19"/>
        <v>0</v>
      </c>
      <c r="AA47" s="314">
        <f t="shared" si="19"/>
        <v>2</v>
      </c>
      <c r="AB47" s="314">
        <f t="shared" si="19"/>
        <v>0</v>
      </c>
      <c r="AC47" s="314">
        <f t="shared" si="19"/>
        <v>0</v>
      </c>
      <c r="AD47" s="321">
        <f t="shared" si="19"/>
        <v>0</v>
      </c>
      <c r="AE47" s="105"/>
      <c r="AF47" s="181">
        <f t="shared" si="13"/>
        <v>4</v>
      </c>
      <c r="AH47" s="153" t="s">
        <v>46</v>
      </c>
      <c r="AI47" s="309">
        <f t="shared" ref="AI47:AT47" si="20">IF(AI$24&gt;0,AI16*AI$55/AI$24,0)</f>
        <v>1.0151515151515151</v>
      </c>
      <c r="AJ47" s="314">
        <f t="shared" si="20"/>
        <v>5.0268817204301079</v>
      </c>
      <c r="AK47" s="314">
        <f t="shared" si="20"/>
        <v>0</v>
      </c>
      <c r="AL47" s="314">
        <f t="shared" si="20"/>
        <v>0</v>
      </c>
      <c r="AM47" s="314">
        <f t="shared" si="20"/>
        <v>0.98113207547169812</v>
      </c>
      <c r="AN47" s="314">
        <f t="shared" si="20"/>
        <v>0</v>
      </c>
      <c r="AO47" s="315">
        <f t="shared" si="20"/>
        <v>0</v>
      </c>
      <c r="AP47" s="314">
        <f t="shared" si="20"/>
        <v>0</v>
      </c>
      <c r="AQ47" s="314">
        <f t="shared" si="20"/>
        <v>1</v>
      </c>
      <c r="AR47" s="314">
        <f t="shared" si="20"/>
        <v>0</v>
      </c>
      <c r="AS47" s="314">
        <f t="shared" si="20"/>
        <v>0</v>
      </c>
      <c r="AT47" s="321">
        <f t="shared" si="20"/>
        <v>0</v>
      </c>
      <c r="AU47" s="184"/>
      <c r="AV47" s="324">
        <f t="shared" si="11"/>
        <v>8.0231653110533223</v>
      </c>
    </row>
    <row r="48" spans="2:48" x14ac:dyDescent="0.25">
      <c r="B48" s="153" t="s">
        <v>47</v>
      </c>
      <c r="C48" s="309">
        <f t="shared" si="6"/>
        <v>8</v>
      </c>
      <c r="D48" s="314">
        <f t="shared" si="6"/>
        <v>1</v>
      </c>
      <c r="E48" s="314">
        <f t="shared" si="6"/>
        <v>0</v>
      </c>
      <c r="F48" s="314">
        <f t="shared" si="6"/>
        <v>0</v>
      </c>
      <c r="G48" s="314">
        <f t="shared" si="6"/>
        <v>1</v>
      </c>
      <c r="H48" s="314">
        <f t="shared" si="6"/>
        <v>0</v>
      </c>
      <c r="I48" s="315">
        <f t="shared" si="6"/>
        <v>0</v>
      </c>
      <c r="J48" s="314">
        <f t="shared" si="6"/>
        <v>0</v>
      </c>
      <c r="K48" s="140">
        <f t="shared" si="7"/>
        <v>0</v>
      </c>
      <c r="L48" s="140">
        <f t="shared" si="7"/>
        <v>0</v>
      </c>
      <c r="M48" s="140">
        <f t="shared" si="7"/>
        <v>0</v>
      </c>
      <c r="N48" s="141">
        <f t="shared" si="7"/>
        <v>0</v>
      </c>
      <c r="O48" s="184"/>
      <c r="P48" s="324">
        <f t="shared" si="8"/>
        <v>10</v>
      </c>
      <c r="R48" s="153" t="s">
        <v>47</v>
      </c>
      <c r="S48" s="309">
        <f t="shared" ref="S48:AD48" si="21">IF(S$24&gt;0,S17*S$55/S$24,0)</f>
        <v>1</v>
      </c>
      <c r="T48" s="314">
        <f t="shared" si="21"/>
        <v>4</v>
      </c>
      <c r="U48" s="314">
        <f t="shared" si="21"/>
        <v>1</v>
      </c>
      <c r="V48" s="314">
        <f t="shared" si="21"/>
        <v>1</v>
      </c>
      <c r="W48" s="314">
        <f t="shared" si="21"/>
        <v>0</v>
      </c>
      <c r="X48" s="314">
        <f t="shared" si="21"/>
        <v>0</v>
      </c>
      <c r="Y48" s="315">
        <f t="shared" si="21"/>
        <v>2</v>
      </c>
      <c r="Z48" s="314">
        <f t="shared" si="21"/>
        <v>0</v>
      </c>
      <c r="AA48" s="314">
        <f t="shared" si="21"/>
        <v>0</v>
      </c>
      <c r="AB48" s="314">
        <f t="shared" si="21"/>
        <v>0</v>
      </c>
      <c r="AC48" s="314">
        <f t="shared" si="21"/>
        <v>0</v>
      </c>
      <c r="AD48" s="321">
        <f t="shared" si="21"/>
        <v>0</v>
      </c>
      <c r="AE48" s="105"/>
      <c r="AF48" s="181">
        <f t="shared" si="13"/>
        <v>9</v>
      </c>
      <c r="AH48" s="153" t="s">
        <v>47</v>
      </c>
      <c r="AI48" s="309">
        <f t="shared" ref="AI48:AT48" si="22">IF(AI$24&gt;0,AI17*AI$55/AI$24,0)</f>
        <v>4.0606060606060606</v>
      </c>
      <c r="AJ48" s="314">
        <f t="shared" si="22"/>
        <v>14.075268817204302</v>
      </c>
      <c r="AK48" s="314">
        <f t="shared" si="22"/>
        <v>0</v>
      </c>
      <c r="AL48" s="314">
        <f t="shared" si="22"/>
        <v>0</v>
      </c>
      <c r="AM48" s="314">
        <f t="shared" si="22"/>
        <v>2.9433962264150941</v>
      </c>
      <c r="AN48" s="314">
        <f t="shared" si="22"/>
        <v>2</v>
      </c>
      <c r="AO48" s="315">
        <f t="shared" si="22"/>
        <v>0</v>
      </c>
      <c r="AP48" s="314">
        <f t="shared" si="22"/>
        <v>0</v>
      </c>
      <c r="AQ48" s="314">
        <f t="shared" si="22"/>
        <v>1</v>
      </c>
      <c r="AR48" s="314">
        <f t="shared" si="22"/>
        <v>0</v>
      </c>
      <c r="AS48" s="314">
        <f t="shared" si="22"/>
        <v>0</v>
      </c>
      <c r="AT48" s="321">
        <f t="shared" si="22"/>
        <v>0</v>
      </c>
      <c r="AU48" s="184"/>
      <c r="AV48" s="324">
        <f t="shared" si="11"/>
        <v>24.079271104225455</v>
      </c>
    </row>
    <row r="49" spans="2:48" x14ac:dyDescent="0.25">
      <c r="B49" s="207" t="s">
        <v>48</v>
      </c>
      <c r="C49" s="310">
        <f t="shared" si="6"/>
        <v>0</v>
      </c>
      <c r="D49" s="316">
        <f t="shared" si="6"/>
        <v>0</v>
      </c>
      <c r="E49" s="316">
        <f t="shared" si="6"/>
        <v>0</v>
      </c>
      <c r="F49" s="316">
        <f t="shared" si="6"/>
        <v>0</v>
      </c>
      <c r="G49" s="316">
        <f t="shared" si="6"/>
        <v>0</v>
      </c>
      <c r="H49" s="316">
        <f t="shared" si="6"/>
        <v>0</v>
      </c>
      <c r="I49" s="317">
        <f t="shared" si="6"/>
        <v>0</v>
      </c>
      <c r="J49" s="316">
        <f t="shared" si="6"/>
        <v>0</v>
      </c>
      <c r="K49" s="205">
        <f t="shared" si="7"/>
        <v>0</v>
      </c>
      <c r="L49" s="205">
        <f t="shared" si="7"/>
        <v>0</v>
      </c>
      <c r="M49" s="205">
        <f t="shared" si="7"/>
        <v>0</v>
      </c>
      <c r="N49" s="206">
        <f t="shared" si="7"/>
        <v>0</v>
      </c>
      <c r="O49" s="184"/>
      <c r="P49" s="324">
        <f t="shared" si="8"/>
        <v>0</v>
      </c>
      <c r="R49" s="207" t="s">
        <v>48</v>
      </c>
      <c r="S49" s="310">
        <f t="shared" ref="S49:AD49" si="23">IF(S$24&gt;0,S18*S$55/S$24,0)</f>
        <v>0</v>
      </c>
      <c r="T49" s="316">
        <f t="shared" si="23"/>
        <v>0</v>
      </c>
      <c r="U49" s="316">
        <f t="shared" si="23"/>
        <v>0</v>
      </c>
      <c r="V49" s="316">
        <f t="shared" si="23"/>
        <v>0</v>
      </c>
      <c r="W49" s="316">
        <f t="shared" si="23"/>
        <v>0</v>
      </c>
      <c r="X49" s="316">
        <f t="shared" si="23"/>
        <v>0</v>
      </c>
      <c r="Y49" s="317">
        <f t="shared" si="23"/>
        <v>2</v>
      </c>
      <c r="Z49" s="316">
        <f t="shared" si="23"/>
        <v>0</v>
      </c>
      <c r="AA49" s="316">
        <f t="shared" si="23"/>
        <v>0</v>
      </c>
      <c r="AB49" s="316">
        <f t="shared" si="23"/>
        <v>0</v>
      </c>
      <c r="AC49" s="316">
        <f t="shared" si="23"/>
        <v>0</v>
      </c>
      <c r="AD49" s="322">
        <f t="shared" si="23"/>
        <v>0</v>
      </c>
      <c r="AE49" s="105"/>
      <c r="AF49" s="181">
        <f t="shared" si="13"/>
        <v>2</v>
      </c>
      <c r="AH49" s="207" t="s">
        <v>48</v>
      </c>
      <c r="AI49" s="310">
        <f t="shared" ref="AI49:AT49" si="24">IF(AI$24&gt;0,AI18*AI$55/AI$24,0)</f>
        <v>2.0303030303030303</v>
      </c>
      <c r="AJ49" s="316">
        <f t="shared" si="24"/>
        <v>1.0053763440860215</v>
      </c>
      <c r="AK49" s="316">
        <f t="shared" si="24"/>
        <v>0</v>
      </c>
      <c r="AL49" s="316">
        <f t="shared" si="24"/>
        <v>0</v>
      </c>
      <c r="AM49" s="316">
        <f t="shared" si="24"/>
        <v>0</v>
      </c>
      <c r="AN49" s="316">
        <f t="shared" si="24"/>
        <v>0</v>
      </c>
      <c r="AO49" s="317">
        <f t="shared" si="24"/>
        <v>2</v>
      </c>
      <c r="AP49" s="316">
        <f t="shared" si="24"/>
        <v>0</v>
      </c>
      <c r="AQ49" s="316">
        <f t="shared" si="24"/>
        <v>0</v>
      </c>
      <c r="AR49" s="316">
        <f t="shared" si="24"/>
        <v>0</v>
      </c>
      <c r="AS49" s="316">
        <f t="shared" si="24"/>
        <v>0</v>
      </c>
      <c r="AT49" s="322">
        <f t="shared" si="24"/>
        <v>0</v>
      </c>
      <c r="AU49" s="184"/>
      <c r="AV49" s="324">
        <f t="shared" si="11"/>
        <v>5.0356793743890513</v>
      </c>
    </row>
    <row r="50" spans="2:48" x14ac:dyDescent="0.25">
      <c r="B50" s="153" t="s">
        <v>523</v>
      </c>
      <c r="C50" s="309">
        <f t="shared" ref="C50:I54" si="25">IF(C$24&gt;0,C19*C$55/C$24,0)</f>
        <v>102</v>
      </c>
      <c r="D50" s="314">
        <f t="shared" si="25"/>
        <v>28</v>
      </c>
      <c r="E50" s="314">
        <f t="shared" si="25"/>
        <v>0</v>
      </c>
      <c r="F50" s="314">
        <f t="shared" si="25"/>
        <v>0</v>
      </c>
      <c r="G50" s="314">
        <f t="shared" si="25"/>
        <v>44</v>
      </c>
      <c r="H50" s="314">
        <f t="shared" si="25"/>
        <v>0</v>
      </c>
      <c r="I50" s="315">
        <f t="shared" si="25"/>
        <v>0</v>
      </c>
      <c r="J50" s="327"/>
      <c r="K50" s="196"/>
      <c r="L50" s="196"/>
      <c r="M50" s="196"/>
      <c r="N50" s="197"/>
      <c r="O50" s="184"/>
      <c r="P50" s="324">
        <f t="shared" si="8"/>
        <v>174</v>
      </c>
      <c r="R50" s="153" t="s">
        <v>523</v>
      </c>
      <c r="S50" s="309">
        <f t="shared" ref="S50:Y54" si="26">IF(S$24&gt;0,S19*S$55/S$24,0)</f>
        <v>9</v>
      </c>
      <c r="T50" s="314">
        <f t="shared" si="26"/>
        <v>16</v>
      </c>
      <c r="U50" s="314">
        <f t="shared" si="26"/>
        <v>9</v>
      </c>
      <c r="V50" s="314">
        <f t="shared" si="26"/>
        <v>4</v>
      </c>
      <c r="W50" s="314">
        <f t="shared" si="26"/>
        <v>0</v>
      </c>
      <c r="X50" s="314">
        <f t="shared" si="26"/>
        <v>2</v>
      </c>
      <c r="Y50" s="315">
        <f t="shared" si="26"/>
        <v>0</v>
      </c>
      <c r="Z50" s="195"/>
      <c r="AA50" s="196"/>
      <c r="AB50" s="196"/>
      <c r="AC50" s="196"/>
      <c r="AD50" s="197"/>
      <c r="AE50" s="105"/>
      <c r="AF50" s="181">
        <f t="shared" si="13"/>
        <v>40</v>
      </c>
      <c r="AH50" s="153" t="s">
        <v>523</v>
      </c>
      <c r="AI50" s="309">
        <f t="shared" ref="AI50:AO54" si="27">IF(AI$24&gt;0,AI19*AI$55/AI$24,0)</f>
        <v>19.287878787878789</v>
      </c>
      <c r="AJ50" s="314">
        <f t="shared" si="27"/>
        <v>63.338709677419352</v>
      </c>
      <c r="AK50" s="314">
        <f t="shared" si="27"/>
        <v>1</v>
      </c>
      <c r="AL50" s="314">
        <f t="shared" si="27"/>
        <v>0</v>
      </c>
      <c r="AM50" s="314">
        <f t="shared" si="27"/>
        <v>16.679245283018869</v>
      </c>
      <c r="AN50" s="314">
        <f t="shared" si="27"/>
        <v>10</v>
      </c>
      <c r="AO50" s="315">
        <f t="shared" si="27"/>
        <v>0</v>
      </c>
      <c r="AP50" s="195"/>
      <c r="AQ50" s="196"/>
      <c r="AR50" s="196"/>
      <c r="AS50" s="196"/>
      <c r="AT50" s="197"/>
      <c r="AU50" s="184"/>
      <c r="AV50" s="324">
        <f t="shared" si="11"/>
        <v>110.30583374831701</v>
      </c>
    </row>
    <row r="51" spans="2:48" x14ac:dyDescent="0.25">
      <c r="B51" s="153" t="s">
        <v>524</v>
      </c>
      <c r="C51" s="309">
        <f t="shared" si="25"/>
        <v>2</v>
      </c>
      <c r="D51" s="314">
        <f t="shared" si="25"/>
        <v>1</v>
      </c>
      <c r="E51" s="314">
        <f t="shared" si="25"/>
        <v>0</v>
      </c>
      <c r="F51" s="314">
        <f t="shared" si="25"/>
        <v>0</v>
      </c>
      <c r="G51" s="314">
        <f t="shared" si="25"/>
        <v>1</v>
      </c>
      <c r="H51" s="314">
        <f t="shared" si="25"/>
        <v>0</v>
      </c>
      <c r="I51" s="315">
        <f t="shared" si="25"/>
        <v>0</v>
      </c>
      <c r="J51" s="328"/>
      <c r="K51" s="199"/>
      <c r="L51" s="199"/>
      <c r="M51" s="199"/>
      <c r="N51" s="200"/>
      <c r="O51" s="184"/>
      <c r="P51" s="324">
        <f t="shared" si="8"/>
        <v>4</v>
      </c>
      <c r="R51" s="153" t="s">
        <v>524</v>
      </c>
      <c r="S51" s="309">
        <f t="shared" si="26"/>
        <v>0</v>
      </c>
      <c r="T51" s="314">
        <f t="shared" si="26"/>
        <v>0</v>
      </c>
      <c r="U51" s="314">
        <f t="shared" si="26"/>
        <v>0</v>
      </c>
      <c r="V51" s="314">
        <f t="shared" si="26"/>
        <v>0</v>
      </c>
      <c r="W51" s="314">
        <f t="shared" si="26"/>
        <v>1</v>
      </c>
      <c r="X51" s="314">
        <f t="shared" si="26"/>
        <v>0</v>
      </c>
      <c r="Y51" s="315">
        <f t="shared" si="26"/>
        <v>0</v>
      </c>
      <c r="Z51" s="198"/>
      <c r="AA51" s="199"/>
      <c r="AB51" s="199"/>
      <c r="AC51" s="199"/>
      <c r="AD51" s="200"/>
      <c r="AE51" s="105"/>
      <c r="AF51" s="181">
        <f t="shared" si="13"/>
        <v>1</v>
      </c>
      <c r="AH51" s="153" t="s">
        <v>524</v>
      </c>
      <c r="AI51" s="309">
        <f t="shared" si="27"/>
        <v>0</v>
      </c>
      <c r="AJ51" s="314">
        <f t="shared" si="27"/>
        <v>5.0268817204301079</v>
      </c>
      <c r="AK51" s="314">
        <f t="shared" si="27"/>
        <v>0</v>
      </c>
      <c r="AL51" s="314">
        <f t="shared" si="27"/>
        <v>0</v>
      </c>
      <c r="AM51" s="314">
        <f t="shared" si="27"/>
        <v>6.867924528301887</v>
      </c>
      <c r="AN51" s="314">
        <f t="shared" si="27"/>
        <v>0</v>
      </c>
      <c r="AO51" s="315">
        <f t="shared" si="27"/>
        <v>0</v>
      </c>
      <c r="AP51" s="198"/>
      <c r="AQ51" s="199"/>
      <c r="AR51" s="199"/>
      <c r="AS51" s="199"/>
      <c r="AT51" s="200"/>
      <c r="AU51" s="184"/>
      <c r="AV51" s="324">
        <f t="shared" si="11"/>
        <v>11.894806248731996</v>
      </c>
    </row>
    <row r="52" spans="2:48" x14ac:dyDescent="0.25">
      <c r="B52" s="153" t="s">
        <v>525</v>
      </c>
      <c r="C52" s="309">
        <f t="shared" si="25"/>
        <v>0</v>
      </c>
      <c r="D52" s="314">
        <f t="shared" si="25"/>
        <v>0</v>
      </c>
      <c r="E52" s="314">
        <f t="shared" si="25"/>
        <v>0</v>
      </c>
      <c r="F52" s="314">
        <f t="shared" si="25"/>
        <v>0</v>
      </c>
      <c r="G52" s="314">
        <f t="shared" si="25"/>
        <v>0</v>
      </c>
      <c r="H52" s="314">
        <f t="shared" si="25"/>
        <v>0</v>
      </c>
      <c r="I52" s="315">
        <f t="shared" si="25"/>
        <v>0</v>
      </c>
      <c r="J52" s="328"/>
      <c r="K52" s="199"/>
      <c r="L52" s="201" t="s">
        <v>69</v>
      </c>
      <c r="M52" s="199"/>
      <c r="N52" s="200"/>
      <c r="O52" s="184"/>
      <c r="P52" s="324">
        <f t="shared" si="8"/>
        <v>0</v>
      </c>
      <c r="R52" s="153" t="s">
        <v>525</v>
      </c>
      <c r="S52" s="309">
        <f t="shared" si="26"/>
        <v>0</v>
      </c>
      <c r="T52" s="314">
        <f t="shared" si="26"/>
        <v>0</v>
      </c>
      <c r="U52" s="314">
        <f t="shared" si="26"/>
        <v>0</v>
      </c>
      <c r="V52" s="314">
        <f t="shared" si="26"/>
        <v>0</v>
      </c>
      <c r="W52" s="314">
        <f t="shared" si="26"/>
        <v>0</v>
      </c>
      <c r="X52" s="314">
        <f t="shared" si="26"/>
        <v>0</v>
      </c>
      <c r="Y52" s="315">
        <f t="shared" si="26"/>
        <v>5</v>
      </c>
      <c r="Z52" s="198"/>
      <c r="AA52" s="199"/>
      <c r="AB52" s="201" t="s">
        <v>69</v>
      </c>
      <c r="AC52" s="199"/>
      <c r="AD52" s="200"/>
      <c r="AE52" s="105"/>
      <c r="AF52" s="181">
        <f t="shared" si="13"/>
        <v>5</v>
      </c>
      <c r="AH52" s="153" t="s">
        <v>525</v>
      </c>
      <c r="AI52" s="309">
        <f t="shared" si="27"/>
        <v>17.257575757575758</v>
      </c>
      <c r="AJ52" s="314">
        <f t="shared" si="27"/>
        <v>1.0053763440860215</v>
      </c>
      <c r="AK52" s="314">
        <f t="shared" si="27"/>
        <v>0</v>
      </c>
      <c r="AL52" s="314">
        <f t="shared" si="27"/>
        <v>0</v>
      </c>
      <c r="AM52" s="314">
        <f t="shared" si="27"/>
        <v>0</v>
      </c>
      <c r="AN52" s="314">
        <f t="shared" si="27"/>
        <v>0</v>
      </c>
      <c r="AO52" s="315">
        <f t="shared" si="27"/>
        <v>5</v>
      </c>
      <c r="AP52" s="198"/>
      <c r="AQ52" s="199"/>
      <c r="AR52" s="201" t="s">
        <v>69</v>
      </c>
      <c r="AS52" s="199"/>
      <c r="AT52" s="200"/>
      <c r="AU52" s="184"/>
      <c r="AV52" s="324">
        <f t="shared" si="11"/>
        <v>23.262952101661778</v>
      </c>
    </row>
    <row r="53" spans="2:48" x14ac:dyDescent="0.25">
      <c r="B53" s="153" t="s">
        <v>526</v>
      </c>
      <c r="C53" s="309">
        <f t="shared" si="25"/>
        <v>1</v>
      </c>
      <c r="D53" s="314">
        <f t="shared" si="25"/>
        <v>0</v>
      </c>
      <c r="E53" s="314">
        <f t="shared" si="25"/>
        <v>0</v>
      </c>
      <c r="F53" s="314">
        <f t="shared" si="25"/>
        <v>0</v>
      </c>
      <c r="G53" s="314">
        <f t="shared" si="25"/>
        <v>0</v>
      </c>
      <c r="H53" s="314">
        <f t="shared" si="25"/>
        <v>0</v>
      </c>
      <c r="I53" s="315">
        <f t="shared" si="25"/>
        <v>0</v>
      </c>
      <c r="J53" s="328"/>
      <c r="K53" s="199"/>
      <c r="L53" s="199"/>
      <c r="M53" s="199"/>
      <c r="N53" s="200"/>
      <c r="O53" s="184"/>
      <c r="P53" s="324">
        <f t="shared" si="8"/>
        <v>1</v>
      </c>
      <c r="R53" s="153" t="s">
        <v>526</v>
      </c>
      <c r="S53" s="309">
        <f t="shared" si="26"/>
        <v>0</v>
      </c>
      <c r="T53" s="314">
        <f t="shared" si="26"/>
        <v>0</v>
      </c>
      <c r="U53" s="314">
        <f t="shared" si="26"/>
        <v>0</v>
      </c>
      <c r="V53" s="314">
        <f t="shared" si="26"/>
        <v>0</v>
      </c>
      <c r="W53" s="314">
        <f t="shared" si="26"/>
        <v>0</v>
      </c>
      <c r="X53" s="314">
        <f t="shared" si="26"/>
        <v>0</v>
      </c>
      <c r="Y53" s="315">
        <f t="shared" si="26"/>
        <v>0</v>
      </c>
      <c r="Z53" s="198"/>
      <c r="AA53" s="199"/>
      <c r="AB53" s="199"/>
      <c r="AC53" s="199"/>
      <c r="AD53" s="200"/>
      <c r="AE53" s="105"/>
      <c r="AF53" s="181">
        <f t="shared" si="13"/>
        <v>0</v>
      </c>
      <c r="AH53" s="153" t="s">
        <v>526</v>
      </c>
      <c r="AI53" s="309">
        <f t="shared" si="27"/>
        <v>0</v>
      </c>
      <c r="AJ53" s="314">
        <f t="shared" si="27"/>
        <v>1.0053763440860215</v>
      </c>
      <c r="AK53" s="314">
        <f t="shared" si="27"/>
        <v>0</v>
      </c>
      <c r="AL53" s="314">
        <f t="shared" si="27"/>
        <v>0</v>
      </c>
      <c r="AM53" s="314">
        <f t="shared" si="27"/>
        <v>0</v>
      </c>
      <c r="AN53" s="314">
        <f t="shared" si="27"/>
        <v>0</v>
      </c>
      <c r="AO53" s="315">
        <f t="shared" si="27"/>
        <v>0</v>
      </c>
      <c r="AP53" s="198"/>
      <c r="AQ53" s="199"/>
      <c r="AR53" s="199"/>
      <c r="AS53" s="199"/>
      <c r="AT53" s="200"/>
      <c r="AU53" s="184"/>
      <c r="AV53" s="324">
        <f t="shared" si="11"/>
        <v>1.0053763440860215</v>
      </c>
    </row>
    <row r="54" spans="2:48" x14ac:dyDescent="0.25">
      <c r="B54" s="154" t="s">
        <v>527</v>
      </c>
      <c r="C54" s="311">
        <f t="shared" si="25"/>
        <v>0</v>
      </c>
      <c r="D54" s="318">
        <f t="shared" si="25"/>
        <v>0</v>
      </c>
      <c r="E54" s="318">
        <f t="shared" si="25"/>
        <v>0</v>
      </c>
      <c r="F54" s="318">
        <f t="shared" si="25"/>
        <v>0</v>
      </c>
      <c r="G54" s="318">
        <f t="shared" si="25"/>
        <v>0</v>
      </c>
      <c r="H54" s="318">
        <f t="shared" si="25"/>
        <v>0</v>
      </c>
      <c r="I54" s="319">
        <f t="shared" si="25"/>
        <v>0</v>
      </c>
      <c r="J54" s="329"/>
      <c r="K54" s="203"/>
      <c r="L54" s="203"/>
      <c r="M54" s="203"/>
      <c r="N54" s="204"/>
      <c r="O54" s="185"/>
      <c r="P54" s="325">
        <f t="shared" si="8"/>
        <v>0</v>
      </c>
      <c r="R54" s="154" t="s">
        <v>527</v>
      </c>
      <c r="S54" s="311">
        <f t="shared" si="26"/>
        <v>0</v>
      </c>
      <c r="T54" s="318">
        <f t="shared" si="26"/>
        <v>0</v>
      </c>
      <c r="U54" s="318">
        <f t="shared" si="26"/>
        <v>0</v>
      </c>
      <c r="V54" s="318">
        <f t="shared" si="26"/>
        <v>0</v>
      </c>
      <c r="W54" s="318">
        <f t="shared" si="26"/>
        <v>0</v>
      </c>
      <c r="X54" s="318">
        <f t="shared" si="26"/>
        <v>0</v>
      </c>
      <c r="Y54" s="319">
        <f t="shared" si="26"/>
        <v>0</v>
      </c>
      <c r="Z54" s="202"/>
      <c r="AA54" s="203"/>
      <c r="AB54" s="203"/>
      <c r="AC54" s="203"/>
      <c r="AD54" s="204"/>
      <c r="AE54" s="109"/>
      <c r="AF54" s="211">
        <f t="shared" si="13"/>
        <v>0</v>
      </c>
      <c r="AH54" s="154" t="s">
        <v>527</v>
      </c>
      <c r="AI54" s="311">
        <f t="shared" si="27"/>
        <v>0</v>
      </c>
      <c r="AJ54" s="318">
        <f t="shared" si="27"/>
        <v>1.0053763440860215</v>
      </c>
      <c r="AK54" s="318">
        <f t="shared" si="27"/>
        <v>0</v>
      </c>
      <c r="AL54" s="318">
        <f t="shared" si="27"/>
        <v>0</v>
      </c>
      <c r="AM54" s="318">
        <f t="shared" si="27"/>
        <v>0</v>
      </c>
      <c r="AN54" s="318">
        <f t="shared" si="27"/>
        <v>0</v>
      </c>
      <c r="AO54" s="319">
        <f t="shared" si="27"/>
        <v>0</v>
      </c>
      <c r="AP54" s="202"/>
      <c r="AQ54" s="203"/>
      <c r="AR54" s="203"/>
      <c r="AS54" s="203"/>
      <c r="AT54" s="204"/>
      <c r="AU54" s="185"/>
      <c r="AV54" s="325">
        <f t="shared" si="11"/>
        <v>1.0053763440860215</v>
      </c>
    </row>
    <row r="55" spans="2:48" s="1" customFormat="1" x14ac:dyDescent="0.25">
      <c r="B55" s="149" t="s">
        <v>66</v>
      </c>
      <c r="C55" s="307">
        <f t="shared" ref="C55:N55" si="28">IF(C$31&gt;0,INT(C$24*C32/C$31),0)</f>
        <v>147</v>
      </c>
      <c r="D55" s="307">
        <f t="shared" si="28"/>
        <v>39</v>
      </c>
      <c r="E55" s="307">
        <f t="shared" si="28"/>
        <v>0</v>
      </c>
      <c r="F55" s="307">
        <f t="shared" si="28"/>
        <v>0</v>
      </c>
      <c r="G55" s="307">
        <f t="shared" si="28"/>
        <v>59</v>
      </c>
      <c r="H55" s="307">
        <f t="shared" si="28"/>
        <v>0</v>
      </c>
      <c r="I55" s="307">
        <f t="shared" si="28"/>
        <v>0</v>
      </c>
      <c r="J55" s="307">
        <f t="shared" si="28"/>
        <v>2</v>
      </c>
      <c r="K55" s="307">
        <f t="shared" si="28"/>
        <v>0</v>
      </c>
      <c r="L55" s="307">
        <f t="shared" si="28"/>
        <v>5</v>
      </c>
      <c r="M55" s="307">
        <f t="shared" si="28"/>
        <v>0</v>
      </c>
      <c r="N55" s="307">
        <f t="shared" si="28"/>
        <v>0</v>
      </c>
      <c r="O55" s="182"/>
      <c r="P55" s="151">
        <f>SUM(P43:P54)</f>
        <v>251</v>
      </c>
      <c r="R55" s="149" t="s">
        <v>66</v>
      </c>
      <c r="S55" s="307">
        <f t="shared" ref="S55:AD55" si="29">IF(S$31&gt;0,INT(S$24*S32/S$31),0)</f>
        <v>10</v>
      </c>
      <c r="T55" s="307">
        <f t="shared" si="29"/>
        <v>40</v>
      </c>
      <c r="U55" s="307">
        <f t="shared" si="29"/>
        <v>10</v>
      </c>
      <c r="V55" s="307">
        <f t="shared" si="29"/>
        <v>5</v>
      </c>
      <c r="W55" s="307">
        <f t="shared" si="29"/>
        <v>1</v>
      </c>
      <c r="X55" s="307">
        <f t="shared" si="29"/>
        <v>3</v>
      </c>
      <c r="Y55" s="307">
        <f t="shared" si="29"/>
        <v>34</v>
      </c>
      <c r="Z55" s="307">
        <f t="shared" si="29"/>
        <v>0</v>
      </c>
      <c r="AA55" s="307">
        <f t="shared" si="29"/>
        <v>4</v>
      </c>
      <c r="AB55" s="307">
        <f t="shared" si="29"/>
        <v>2</v>
      </c>
      <c r="AC55" s="307">
        <f t="shared" si="29"/>
        <v>0</v>
      </c>
      <c r="AD55" s="307">
        <f t="shared" si="29"/>
        <v>0</v>
      </c>
      <c r="AE55" s="150"/>
      <c r="AF55" s="151">
        <f>SUM(AF43:AF54)</f>
        <v>109</v>
      </c>
      <c r="AH55" s="149" t="s">
        <v>66</v>
      </c>
      <c r="AI55" s="307">
        <f t="shared" ref="AI55:AT55" si="30">IF(AI$31&gt;0,INT(AI$24*AI32/AI$31),0)</f>
        <v>67</v>
      </c>
      <c r="AJ55" s="307">
        <f t="shared" si="30"/>
        <v>187</v>
      </c>
      <c r="AK55" s="307">
        <f t="shared" si="30"/>
        <v>5</v>
      </c>
      <c r="AL55" s="307">
        <f t="shared" si="30"/>
        <v>2</v>
      </c>
      <c r="AM55" s="307">
        <f t="shared" si="30"/>
        <v>52</v>
      </c>
      <c r="AN55" s="307">
        <f t="shared" si="30"/>
        <v>18</v>
      </c>
      <c r="AO55" s="307">
        <f t="shared" si="30"/>
        <v>7</v>
      </c>
      <c r="AP55" s="307">
        <f t="shared" si="30"/>
        <v>0</v>
      </c>
      <c r="AQ55" s="307">
        <f t="shared" si="30"/>
        <v>2</v>
      </c>
      <c r="AR55" s="307">
        <f t="shared" si="30"/>
        <v>0</v>
      </c>
      <c r="AS55" s="307">
        <f t="shared" si="30"/>
        <v>0</v>
      </c>
      <c r="AT55" s="307">
        <f t="shared" si="30"/>
        <v>0</v>
      </c>
      <c r="AU55" s="182"/>
      <c r="AV55" s="151">
        <f>SUM(AV43:AV54)</f>
        <v>339.99999999999994</v>
      </c>
    </row>
    <row r="58" spans="2:48" ht="18.75" x14ac:dyDescent="0.3">
      <c r="B58" s="29" t="s">
        <v>612</v>
      </c>
      <c r="R58" s="29" t="s">
        <v>617</v>
      </c>
      <c r="AH58" s="29" t="s">
        <v>621</v>
      </c>
    </row>
    <row r="59" spans="2:48" x14ac:dyDescent="0.25">
      <c r="B59" s="179" t="s">
        <v>604</v>
      </c>
      <c r="R59" s="179" t="s">
        <v>604</v>
      </c>
      <c r="AH59" s="179" t="s">
        <v>604</v>
      </c>
    </row>
    <row r="61" spans="2:48" x14ac:dyDescent="0.25">
      <c r="B61" s="101"/>
      <c r="C61" s="390" t="s">
        <v>50</v>
      </c>
      <c r="D61" s="390"/>
      <c r="E61" s="390"/>
      <c r="F61" s="390"/>
      <c r="G61" s="390"/>
      <c r="H61" s="390"/>
      <c r="I61" s="390"/>
      <c r="J61" s="390"/>
      <c r="K61" s="390"/>
      <c r="L61" s="390"/>
      <c r="M61" s="390"/>
      <c r="N61" s="390"/>
      <c r="O61" s="180"/>
      <c r="P61" s="104"/>
      <c r="R61" s="101"/>
      <c r="S61" s="390" t="s">
        <v>50</v>
      </c>
      <c r="T61" s="390"/>
      <c r="U61" s="390"/>
      <c r="V61" s="390"/>
      <c r="W61" s="390"/>
      <c r="X61" s="390"/>
      <c r="Y61" s="390"/>
      <c r="Z61" s="390"/>
      <c r="AA61" s="390"/>
      <c r="AB61" s="390"/>
      <c r="AC61" s="390"/>
      <c r="AD61" s="390"/>
      <c r="AE61" s="180"/>
      <c r="AF61" s="104"/>
      <c r="AH61" s="101"/>
      <c r="AI61" s="390" t="s">
        <v>50</v>
      </c>
      <c r="AJ61" s="390"/>
      <c r="AK61" s="390"/>
      <c r="AL61" s="390"/>
      <c r="AM61" s="390"/>
      <c r="AN61" s="390"/>
      <c r="AO61" s="390"/>
      <c r="AP61" s="390"/>
      <c r="AQ61" s="390"/>
      <c r="AR61" s="390"/>
      <c r="AS61" s="390"/>
      <c r="AT61" s="390"/>
      <c r="AU61" s="180"/>
      <c r="AV61" s="104"/>
    </row>
    <row r="62" spans="2:48" x14ac:dyDescent="0.25">
      <c r="B62" s="147" t="s">
        <v>49</v>
      </c>
      <c r="C62" s="25" t="s">
        <v>42</v>
      </c>
      <c r="D62" s="26" t="s">
        <v>51</v>
      </c>
      <c r="E62" s="26" t="s">
        <v>52</v>
      </c>
      <c r="F62" s="26" t="s">
        <v>53</v>
      </c>
      <c r="G62" s="26" t="s">
        <v>54</v>
      </c>
      <c r="H62" s="26" t="s">
        <v>55</v>
      </c>
      <c r="I62" s="26" t="s">
        <v>56</v>
      </c>
      <c r="J62" s="26" t="s">
        <v>60</v>
      </c>
      <c r="K62" s="26" t="s">
        <v>59</v>
      </c>
      <c r="L62" s="26" t="s">
        <v>61</v>
      </c>
      <c r="M62" s="26" t="s">
        <v>58</v>
      </c>
      <c r="N62" s="26" t="s">
        <v>57</v>
      </c>
      <c r="O62" s="164"/>
      <c r="P62" s="181" t="s">
        <v>66</v>
      </c>
      <c r="R62" s="147" t="s">
        <v>49</v>
      </c>
      <c r="S62" s="25" t="s">
        <v>42</v>
      </c>
      <c r="T62" s="26" t="s">
        <v>51</v>
      </c>
      <c r="U62" s="26" t="s">
        <v>52</v>
      </c>
      <c r="V62" s="26" t="s">
        <v>53</v>
      </c>
      <c r="W62" s="26" t="s">
        <v>54</v>
      </c>
      <c r="X62" s="26" t="s">
        <v>55</v>
      </c>
      <c r="Y62" s="26" t="s">
        <v>56</v>
      </c>
      <c r="Z62" s="26" t="s">
        <v>60</v>
      </c>
      <c r="AA62" s="26" t="s">
        <v>59</v>
      </c>
      <c r="AB62" s="26" t="s">
        <v>61</v>
      </c>
      <c r="AC62" s="26" t="s">
        <v>58</v>
      </c>
      <c r="AD62" s="26" t="s">
        <v>57</v>
      </c>
      <c r="AE62" s="164"/>
      <c r="AF62" s="181" t="s">
        <v>66</v>
      </c>
      <c r="AH62" s="147" t="s">
        <v>49</v>
      </c>
      <c r="AI62" s="25" t="s">
        <v>42</v>
      </c>
      <c r="AJ62" s="26" t="s">
        <v>51</v>
      </c>
      <c r="AK62" s="26" t="s">
        <v>52</v>
      </c>
      <c r="AL62" s="26" t="s">
        <v>53</v>
      </c>
      <c r="AM62" s="26" t="s">
        <v>54</v>
      </c>
      <c r="AN62" s="26" t="s">
        <v>55</v>
      </c>
      <c r="AO62" s="26" t="s">
        <v>56</v>
      </c>
      <c r="AP62" s="26" t="s">
        <v>60</v>
      </c>
      <c r="AQ62" s="26" t="s">
        <v>59</v>
      </c>
      <c r="AR62" s="26" t="s">
        <v>61</v>
      </c>
      <c r="AS62" s="26" t="s">
        <v>58</v>
      </c>
      <c r="AT62" s="26" t="s">
        <v>57</v>
      </c>
      <c r="AU62" s="164"/>
      <c r="AV62" s="181" t="s">
        <v>66</v>
      </c>
    </row>
    <row r="63" spans="2:48" x14ac:dyDescent="0.25">
      <c r="B63" s="152" t="s">
        <v>42</v>
      </c>
      <c r="C63" s="308">
        <f t="shared" ref="C63:J74" si="31">IF(C$24&gt;0,C12*C$75/C$24,0)</f>
        <v>1.0068027210884354</v>
      </c>
      <c r="D63" s="312">
        <f t="shared" si="31"/>
        <v>0</v>
      </c>
      <c r="E63" s="312">
        <f t="shared" si="31"/>
        <v>0</v>
      </c>
      <c r="F63" s="312">
        <f t="shared" si="31"/>
        <v>0</v>
      </c>
      <c r="G63" s="312">
        <f t="shared" si="31"/>
        <v>3</v>
      </c>
      <c r="H63" s="312">
        <f t="shared" si="31"/>
        <v>0</v>
      </c>
      <c r="I63" s="313">
        <f t="shared" si="31"/>
        <v>0</v>
      </c>
      <c r="J63" s="312">
        <f t="shared" si="31"/>
        <v>1</v>
      </c>
      <c r="K63" s="180">
        <f t="shared" ref="K63:N69" si="32">IF(K$31&gt;0,INT(K12*(K$33/K$31)),0)</f>
        <v>0</v>
      </c>
      <c r="L63" s="180">
        <f t="shared" si="32"/>
        <v>0</v>
      </c>
      <c r="M63" s="180">
        <f t="shared" si="32"/>
        <v>0</v>
      </c>
      <c r="N63" s="162">
        <f t="shared" si="32"/>
        <v>0</v>
      </c>
      <c r="O63" s="183"/>
      <c r="P63" s="323">
        <f t="shared" ref="P63:P74" si="33">SUM(C63:N63)</f>
        <v>5.0068027210884356</v>
      </c>
      <c r="R63" s="152" t="s">
        <v>42</v>
      </c>
      <c r="S63" s="308">
        <f t="shared" ref="S63:AD63" si="34">IF(S$24&gt;0,S12*S$75/S$24,0)</f>
        <v>0</v>
      </c>
      <c r="T63" s="312">
        <f t="shared" si="34"/>
        <v>1.075</v>
      </c>
      <c r="U63" s="312">
        <f t="shared" si="34"/>
        <v>0</v>
      </c>
      <c r="V63" s="312">
        <f t="shared" si="34"/>
        <v>0</v>
      </c>
      <c r="W63" s="312">
        <f t="shared" si="34"/>
        <v>0</v>
      </c>
      <c r="X63" s="312">
        <f t="shared" si="34"/>
        <v>0</v>
      </c>
      <c r="Y63" s="313">
        <f t="shared" si="34"/>
        <v>1</v>
      </c>
      <c r="Z63" s="312">
        <f t="shared" si="34"/>
        <v>0</v>
      </c>
      <c r="AA63" s="312">
        <f t="shared" si="34"/>
        <v>1</v>
      </c>
      <c r="AB63" s="312">
        <f t="shared" si="34"/>
        <v>0</v>
      </c>
      <c r="AC63" s="312">
        <f t="shared" si="34"/>
        <v>0</v>
      </c>
      <c r="AD63" s="320">
        <f t="shared" si="34"/>
        <v>0</v>
      </c>
      <c r="AE63" s="183"/>
      <c r="AF63" s="323">
        <f>SUM(S63:AD63)</f>
        <v>3.0750000000000002</v>
      </c>
      <c r="AH63" s="152" t="s">
        <v>42</v>
      </c>
      <c r="AI63" s="308">
        <f t="shared" ref="AI63:AT63" si="35">IF(AI$24&gt;0,AI12*AI$75/AI$24,0)</f>
        <v>1.0454545454545454</v>
      </c>
      <c r="AJ63" s="312">
        <f t="shared" si="35"/>
        <v>22.70967741935484</v>
      </c>
      <c r="AK63" s="312">
        <f t="shared" si="35"/>
        <v>1</v>
      </c>
      <c r="AL63" s="312">
        <f t="shared" si="35"/>
        <v>0</v>
      </c>
      <c r="AM63" s="312">
        <f t="shared" si="35"/>
        <v>6</v>
      </c>
      <c r="AN63" s="312">
        <f t="shared" si="35"/>
        <v>3</v>
      </c>
      <c r="AO63" s="313">
        <f t="shared" si="35"/>
        <v>0</v>
      </c>
      <c r="AP63" s="312">
        <f t="shared" si="35"/>
        <v>0</v>
      </c>
      <c r="AQ63" s="312">
        <f t="shared" si="35"/>
        <v>0</v>
      </c>
      <c r="AR63" s="312">
        <f t="shared" si="35"/>
        <v>0</v>
      </c>
      <c r="AS63" s="312">
        <f t="shared" si="35"/>
        <v>0</v>
      </c>
      <c r="AT63" s="320">
        <f t="shared" si="35"/>
        <v>0</v>
      </c>
      <c r="AU63" s="183"/>
      <c r="AV63" s="323">
        <f t="shared" ref="AV63:AV74" si="36">SUM(AI63:AT63)</f>
        <v>33.755131964809387</v>
      </c>
    </row>
    <row r="64" spans="2:48" x14ac:dyDescent="0.25">
      <c r="B64" s="153" t="s">
        <v>43</v>
      </c>
      <c r="C64" s="309">
        <f t="shared" si="31"/>
        <v>12.081632653061224</v>
      </c>
      <c r="D64" s="314">
        <f t="shared" si="31"/>
        <v>2</v>
      </c>
      <c r="E64" s="314">
        <f t="shared" si="31"/>
        <v>0</v>
      </c>
      <c r="F64" s="314">
        <f t="shared" si="31"/>
        <v>0</v>
      </c>
      <c r="G64" s="314">
        <f t="shared" si="31"/>
        <v>5</v>
      </c>
      <c r="H64" s="314">
        <f t="shared" si="31"/>
        <v>0</v>
      </c>
      <c r="I64" s="315">
        <f t="shared" si="31"/>
        <v>0</v>
      </c>
      <c r="J64" s="314">
        <f t="shared" si="31"/>
        <v>1</v>
      </c>
      <c r="K64" s="140">
        <f t="shared" si="32"/>
        <v>0</v>
      </c>
      <c r="L64" s="140">
        <f t="shared" si="32"/>
        <v>2</v>
      </c>
      <c r="M64" s="140">
        <f t="shared" si="32"/>
        <v>0</v>
      </c>
      <c r="N64" s="141">
        <f t="shared" si="32"/>
        <v>0</v>
      </c>
      <c r="O64" s="184"/>
      <c r="P64" s="324">
        <f t="shared" si="33"/>
        <v>22.081632653061224</v>
      </c>
      <c r="R64" s="153" t="s">
        <v>43</v>
      </c>
      <c r="S64" s="309">
        <f t="shared" ref="S64:AD64" si="37">IF(S$24&gt;0,S13*S$75/S$24,0)</f>
        <v>0</v>
      </c>
      <c r="T64" s="314">
        <f t="shared" si="37"/>
        <v>2.15</v>
      </c>
      <c r="U64" s="314">
        <f t="shared" si="37"/>
        <v>0</v>
      </c>
      <c r="V64" s="314">
        <f t="shared" si="37"/>
        <v>0</v>
      </c>
      <c r="W64" s="314">
        <f t="shared" si="37"/>
        <v>0</v>
      </c>
      <c r="X64" s="314">
        <f t="shared" si="37"/>
        <v>1</v>
      </c>
      <c r="Y64" s="315">
        <f t="shared" si="37"/>
        <v>3</v>
      </c>
      <c r="Z64" s="314">
        <f t="shared" si="37"/>
        <v>0</v>
      </c>
      <c r="AA64" s="314">
        <f t="shared" si="37"/>
        <v>0</v>
      </c>
      <c r="AB64" s="314">
        <f t="shared" si="37"/>
        <v>0</v>
      </c>
      <c r="AC64" s="314">
        <f t="shared" si="37"/>
        <v>0</v>
      </c>
      <c r="AD64" s="321">
        <f t="shared" si="37"/>
        <v>0</v>
      </c>
      <c r="AE64" s="184"/>
      <c r="AF64" s="324">
        <f t="shared" ref="AF64:AF74" si="38">SUM(S64:AD64)</f>
        <v>6.15</v>
      </c>
      <c r="AH64" s="153" t="s">
        <v>43</v>
      </c>
      <c r="AI64" s="309">
        <f t="shared" ref="AI64:AT64" si="39">IF(AI$24&gt;0,AI13*AI$75/AI$24,0)</f>
        <v>3.1363636363636362</v>
      </c>
      <c r="AJ64" s="314">
        <f t="shared" si="39"/>
        <v>18.580645161290324</v>
      </c>
      <c r="AK64" s="314">
        <f t="shared" si="39"/>
        <v>2</v>
      </c>
      <c r="AL64" s="314">
        <f t="shared" si="39"/>
        <v>0</v>
      </c>
      <c r="AM64" s="314">
        <f t="shared" si="39"/>
        <v>10</v>
      </c>
      <c r="AN64" s="314">
        <f t="shared" si="39"/>
        <v>0</v>
      </c>
      <c r="AO64" s="315">
        <f t="shared" si="39"/>
        <v>0</v>
      </c>
      <c r="AP64" s="314">
        <f t="shared" si="39"/>
        <v>0</v>
      </c>
      <c r="AQ64" s="314">
        <f t="shared" si="39"/>
        <v>0</v>
      </c>
      <c r="AR64" s="314">
        <f t="shared" si="39"/>
        <v>0</v>
      </c>
      <c r="AS64" s="314">
        <f t="shared" si="39"/>
        <v>0</v>
      </c>
      <c r="AT64" s="321">
        <f t="shared" si="39"/>
        <v>0</v>
      </c>
      <c r="AU64" s="184"/>
      <c r="AV64" s="324">
        <f t="shared" si="36"/>
        <v>33.717008797653961</v>
      </c>
    </row>
    <row r="65" spans="2:48" x14ac:dyDescent="0.25">
      <c r="B65" s="153" t="s">
        <v>44</v>
      </c>
      <c r="C65" s="309">
        <f t="shared" si="31"/>
        <v>1.0068027210884354</v>
      </c>
      <c r="D65" s="314">
        <f t="shared" si="31"/>
        <v>4</v>
      </c>
      <c r="E65" s="314">
        <f t="shared" si="31"/>
        <v>0</v>
      </c>
      <c r="F65" s="314">
        <f t="shared" si="31"/>
        <v>0</v>
      </c>
      <c r="G65" s="314">
        <f t="shared" si="31"/>
        <v>2</v>
      </c>
      <c r="H65" s="314">
        <f t="shared" si="31"/>
        <v>0</v>
      </c>
      <c r="I65" s="315">
        <f t="shared" si="31"/>
        <v>0</v>
      </c>
      <c r="J65" s="314">
        <f t="shared" si="31"/>
        <v>0</v>
      </c>
      <c r="K65" s="140">
        <f t="shared" si="32"/>
        <v>0</v>
      </c>
      <c r="L65" s="140">
        <f t="shared" si="32"/>
        <v>1</v>
      </c>
      <c r="M65" s="140">
        <f t="shared" si="32"/>
        <v>0</v>
      </c>
      <c r="N65" s="141">
        <f t="shared" si="32"/>
        <v>0</v>
      </c>
      <c r="O65" s="184"/>
      <c r="P65" s="324">
        <f t="shared" si="33"/>
        <v>8.0068027210884356</v>
      </c>
      <c r="R65" s="153" t="s">
        <v>44</v>
      </c>
      <c r="S65" s="309">
        <f t="shared" ref="S65:AD65" si="40">IF(S$24&gt;0,S14*S$75/S$24,0)</f>
        <v>0</v>
      </c>
      <c r="T65" s="314">
        <f t="shared" si="40"/>
        <v>7.5250000000000004</v>
      </c>
      <c r="U65" s="314">
        <f t="shared" si="40"/>
        <v>0</v>
      </c>
      <c r="V65" s="314">
        <f t="shared" si="40"/>
        <v>0</v>
      </c>
      <c r="W65" s="314">
        <f t="shared" si="40"/>
        <v>0</v>
      </c>
      <c r="X65" s="314">
        <f t="shared" si="40"/>
        <v>0</v>
      </c>
      <c r="Y65" s="315">
        <f t="shared" si="40"/>
        <v>5</v>
      </c>
      <c r="Z65" s="314">
        <f t="shared" si="40"/>
        <v>0</v>
      </c>
      <c r="AA65" s="314">
        <f t="shared" si="40"/>
        <v>0</v>
      </c>
      <c r="AB65" s="314">
        <f t="shared" si="40"/>
        <v>0</v>
      </c>
      <c r="AC65" s="314">
        <f t="shared" si="40"/>
        <v>0</v>
      </c>
      <c r="AD65" s="321">
        <f t="shared" si="40"/>
        <v>0</v>
      </c>
      <c r="AE65" s="184"/>
      <c r="AF65" s="324">
        <f t="shared" si="38"/>
        <v>12.525</v>
      </c>
      <c r="AH65" s="153" t="s">
        <v>44</v>
      </c>
      <c r="AI65" s="309">
        <f t="shared" ref="AI65:AT65" si="41">IF(AI$24&gt;0,AI14*AI$75/AI$24,0)</f>
        <v>11.5</v>
      </c>
      <c r="AJ65" s="314">
        <f t="shared" si="41"/>
        <v>36.12903225806452</v>
      </c>
      <c r="AK65" s="314">
        <f t="shared" si="41"/>
        <v>0</v>
      </c>
      <c r="AL65" s="314">
        <f t="shared" si="41"/>
        <v>2</v>
      </c>
      <c r="AM65" s="314">
        <f t="shared" si="41"/>
        <v>6</v>
      </c>
      <c r="AN65" s="314">
        <f t="shared" si="41"/>
        <v>2</v>
      </c>
      <c r="AO65" s="315">
        <f t="shared" si="41"/>
        <v>0</v>
      </c>
      <c r="AP65" s="314">
        <f t="shared" si="41"/>
        <v>0</v>
      </c>
      <c r="AQ65" s="314">
        <f t="shared" si="41"/>
        <v>0</v>
      </c>
      <c r="AR65" s="314">
        <f t="shared" si="41"/>
        <v>0</v>
      </c>
      <c r="AS65" s="314">
        <f t="shared" si="41"/>
        <v>0</v>
      </c>
      <c r="AT65" s="321">
        <f t="shared" si="41"/>
        <v>0</v>
      </c>
      <c r="AU65" s="184"/>
      <c r="AV65" s="324">
        <f t="shared" si="36"/>
        <v>57.62903225806452</v>
      </c>
    </row>
    <row r="66" spans="2:48" x14ac:dyDescent="0.25">
      <c r="B66" s="153" t="s">
        <v>45</v>
      </c>
      <c r="C66" s="309">
        <f t="shared" si="31"/>
        <v>16.108843537414966</v>
      </c>
      <c r="D66" s="314">
        <f t="shared" si="31"/>
        <v>3</v>
      </c>
      <c r="E66" s="314">
        <f t="shared" si="31"/>
        <v>0</v>
      </c>
      <c r="F66" s="314">
        <f t="shared" si="31"/>
        <v>0</v>
      </c>
      <c r="G66" s="314">
        <f t="shared" si="31"/>
        <v>2</v>
      </c>
      <c r="H66" s="314">
        <f t="shared" si="31"/>
        <v>0</v>
      </c>
      <c r="I66" s="315">
        <f t="shared" si="31"/>
        <v>0</v>
      </c>
      <c r="J66" s="314">
        <f t="shared" si="31"/>
        <v>0</v>
      </c>
      <c r="K66" s="140">
        <f t="shared" si="32"/>
        <v>0</v>
      </c>
      <c r="L66" s="140">
        <f t="shared" si="32"/>
        <v>1</v>
      </c>
      <c r="M66" s="140">
        <f t="shared" si="32"/>
        <v>0</v>
      </c>
      <c r="N66" s="141">
        <f t="shared" si="32"/>
        <v>0</v>
      </c>
      <c r="O66" s="184"/>
      <c r="P66" s="324">
        <f t="shared" si="33"/>
        <v>22.108843537414966</v>
      </c>
      <c r="R66" s="153" t="s">
        <v>45</v>
      </c>
      <c r="S66" s="309">
        <f t="shared" ref="S66:AD66" si="42">IF(S$24&gt;0,S15*S$75/S$24,0)</f>
        <v>0</v>
      </c>
      <c r="T66" s="314">
        <f t="shared" si="42"/>
        <v>8.6</v>
      </c>
      <c r="U66" s="314">
        <f t="shared" si="42"/>
        <v>0</v>
      </c>
      <c r="V66" s="314">
        <f t="shared" si="42"/>
        <v>0</v>
      </c>
      <c r="W66" s="314">
        <f t="shared" si="42"/>
        <v>0</v>
      </c>
      <c r="X66" s="314">
        <f t="shared" si="42"/>
        <v>0</v>
      </c>
      <c r="Y66" s="315">
        <f t="shared" si="42"/>
        <v>16</v>
      </c>
      <c r="Z66" s="314">
        <f t="shared" si="42"/>
        <v>0</v>
      </c>
      <c r="AA66" s="314">
        <f t="shared" si="42"/>
        <v>1</v>
      </c>
      <c r="AB66" s="314">
        <f t="shared" si="42"/>
        <v>2</v>
      </c>
      <c r="AC66" s="314">
        <f t="shared" si="42"/>
        <v>0</v>
      </c>
      <c r="AD66" s="321">
        <f t="shared" si="42"/>
        <v>0</v>
      </c>
      <c r="AE66" s="184"/>
      <c r="AF66" s="324">
        <f t="shared" si="38"/>
        <v>27.6</v>
      </c>
      <c r="AH66" s="153" t="s">
        <v>45</v>
      </c>
      <c r="AI66" s="309">
        <f t="shared" ref="AI66:AT66" si="43">IF(AI$24&gt;0,AI15*AI$75/AI$24,0)</f>
        <v>8.3636363636363633</v>
      </c>
      <c r="AJ66" s="314">
        <f t="shared" si="43"/>
        <v>20.64516129032258</v>
      </c>
      <c r="AK66" s="314">
        <f t="shared" si="43"/>
        <v>1</v>
      </c>
      <c r="AL66" s="314">
        <f t="shared" si="43"/>
        <v>0</v>
      </c>
      <c r="AM66" s="314">
        <f t="shared" si="43"/>
        <v>3</v>
      </c>
      <c r="AN66" s="314">
        <f t="shared" si="43"/>
        <v>1</v>
      </c>
      <c r="AO66" s="315">
        <f t="shared" si="43"/>
        <v>0</v>
      </c>
      <c r="AP66" s="314">
        <f t="shared" si="43"/>
        <v>0</v>
      </c>
      <c r="AQ66" s="314">
        <f t="shared" si="43"/>
        <v>0</v>
      </c>
      <c r="AR66" s="314">
        <f t="shared" si="43"/>
        <v>0</v>
      </c>
      <c r="AS66" s="314">
        <f t="shared" si="43"/>
        <v>0</v>
      </c>
      <c r="AT66" s="321">
        <f t="shared" si="43"/>
        <v>0</v>
      </c>
      <c r="AU66" s="184"/>
      <c r="AV66" s="324">
        <f t="shared" si="36"/>
        <v>34.008797653958943</v>
      </c>
    </row>
    <row r="67" spans="2:48" x14ac:dyDescent="0.25">
      <c r="B67" s="153" t="s">
        <v>46</v>
      </c>
      <c r="C67" s="309">
        <f t="shared" si="31"/>
        <v>4.0272108843537415</v>
      </c>
      <c r="D67" s="314">
        <f t="shared" si="31"/>
        <v>0</v>
      </c>
      <c r="E67" s="314">
        <f t="shared" si="31"/>
        <v>0</v>
      </c>
      <c r="F67" s="314">
        <f t="shared" si="31"/>
        <v>0</v>
      </c>
      <c r="G67" s="314">
        <f t="shared" si="31"/>
        <v>1</v>
      </c>
      <c r="H67" s="314">
        <f t="shared" si="31"/>
        <v>0</v>
      </c>
      <c r="I67" s="315">
        <f t="shared" si="31"/>
        <v>0</v>
      </c>
      <c r="J67" s="314">
        <f t="shared" si="31"/>
        <v>0</v>
      </c>
      <c r="K67" s="140">
        <f t="shared" si="32"/>
        <v>0</v>
      </c>
      <c r="L67" s="140">
        <f t="shared" si="32"/>
        <v>0</v>
      </c>
      <c r="M67" s="140">
        <f t="shared" si="32"/>
        <v>0</v>
      </c>
      <c r="N67" s="141">
        <f t="shared" si="32"/>
        <v>0</v>
      </c>
      <c r="O67" s="184"/>
      <c r="P67" s="324">
        <f t="shared" si="33"/>
        <v>5.0272108843537415</v>
      </c>
      <c r="R67" s="153" t="s">
        <v>46</v>
      </c>
      <c r="S67" s="309">
        <f t="shared" ref="S67:AD67" si="44">IF(S$24&gt;0,S16*S$75/S$24,0)</f>
        <v>0</v>
      </c>
      <c r="T67" s="314">
        <f t="shared" si="44"/>
        <v>2.15</v>
      </c>
      <c r="U67" s="314">
        <f t="shared" si="44"/>
        <v>0</v>
      </c>
      <c r="V67" s="314">
        <f t="shared" si="44"/>
        <v>0</v>
      </c>
      <c r="W67" s="314">
        <f t="shared" si="44"/>
        <v>0</v>
      </c>
      <c r="X67" s="314">
        <f t="shared" si="44"/>
        <v>0</v>
      </c>
      <c r="Y67" s="315">
        <f t="shared" si="44"/>
        <v>0</v>
      </c>
      <c r="Z67" s="314">
        <f t="shared" si="44"/>
        <v>0</v>
      </c>
      <c r="AA67" s="314">
        <f t="shared" si="44"/>
        <v>2</v>
      </c>
      <c r="AB67" s="314">
        <f t="shared" si="44"/>
        <v>0</v>
      </c>
      <c r="AC67" s="314">
        <f t="shared" si="44"/>
        <v>0</v>
      </c>
      <c r="AD67" s="321">
        <f t="shared" si="44"/>
        <v>0</v>
      </c>
      <c r="AE67" s="184"/>
      <c r="AF67" s="324">
        <f t="shared" si="38"/>
        <v>4.1500000000000004</v>
      </c>
      <c r="AH67" s="153" t="s">
        <v>46</v>
      </c>
      <c r="AI67" s="309">
        <f t="shared" ref="AI67:AT67" si="45">IF(AI$24&gt;0,AI16*AI$75/AI$24,0)</f>
        <v>1.0454545454545454</v>
      </c>
      <c r="AJ67" s="314">
        <f t="shared" si="45"/>
        <v>5.161290322580645</v>
      </c>
      <c r="AK67" s="314">
        <f t="shared" si="45"/>
        <v>0</v>
      </c>
      <c r="AL67" s="314">
        <f t="shared" si="45"/>
        <v>0</v>
      </c>
      <c r="AM67" s="314">
        <f t="shared" si="45"/>
        <v>1</v>
      </c>
      <c r="AN67" s="314">
        <f t="shared" si="45"/>
        <v>0</v>
      </c>
      <c r="AO67" s="315">
        <f t="shared" si="45"/>
        <v>0</v>
      </c>
      <c r="AP67" s="314">
        <f t="shared" si="45"/>
        <v>0</v>
      </c>
      <c r="AQ67" s="314">
        <f t="shared" si="45"/>
        <v>1</v>
      </c>
      <c r="AR67" s="314">
        <f t="shared" si="45"/>
        <v>0</v>
      </c>
      <c r="AS67" s="314">
        <f t="shared" si="45"/>
        <v>0</v>
      </c>
      <c r="AT67" s="321">
        <f t="shared" si="45"/>
        <v>0</v>
      </c>
      <c r="AU67" s="184"/>
      <c r="AV67" s="324">
        <f t="shared" si="36"/>
        <v>8.2067448680351909</v>
      </c>
    </row>
    <row r="68" spans="2:48" x14ac:dyDescent="0.25">
      <c r="B68" s="153" t="s">
        <v>47</v>
      </c>
      <c r="C68" s="309">
        <f t="shared" si="31"/>
        <v>8.0544217687074831</v>
      </c>
      <c r="D68" s="314">
        <f t="shared" si="31"/>
        <v>1</v>
      </c>
      <c r="E68" s="314">
        <f t="shared" si="31"/>
        <v>0</v>
      </c>
      <c r="F68" s="314">
        <f t="shared" si="31"/>
        <v>0</v>
      </c>
      <c r="G68" s="314">
        <f t="shared" si="31"/>
        <v>1</v>
      </c>
      <c r="H68" s="314">
        <f t="shared" si="31"/>
        <v>0</v>
      </c>
      <c r="I68" s="315">
        <f t="shared" si="31"/>
        <v>0</v>
      </c>
      <c r="J68" s="314">
        <f t="shared" si="31"/>
        <v>0</v>
      </c>
      <c r="K68" s="140">
        <f t="shared" si="32"/>
        <v>0</v>
      </c>
      <c r="L68" s="140">
        <f t="shared" si="32"/>
        <v>0</v>
      </c>
      <c r="M68" s="140">
        <f t="shared" si="32"/>
        <v>0</v>
      </c>
      <c r="N68" s="141">
        <f t="shared" si="32"/>
        <v>0</v>
      </c>
      <c r="O68" s="184"/>
      <c r="P68" s="324">
        <f t="shared" si="33"/>
        <v>10.054421768707483</v>
      </c>
      <c r="R68" s="153" t="s">
        <v>47</v>
      </c>
      <c r="S68" s="309">
        <f t="shared" ref="S68:AD68" si="46">IF(S$24&gt;0,S17*S$75/S$24,0)</f>
        <v>1</v>
      </c>
      <c r="T68" s="314">
        <f t="shared" si="46"/>
        <v>4.3</v>
      </c>
      <c r="U68" s="314">
        <f t="shared" si="46"/>
        <v>1</v>
      </c>
      <c r="V68" s="314">
        <f t="shared" si="46"/>
        <v>1</v>
      </c>
      <c r="W68" s="314">
        <f t="shared" si="46"/>
        <v>0</v>
      </c>
      <c r="X68" s="314">
        <f t="shared" si="46"/>
        <v>0</v>
      </c>
      <c r="Y68" s="315">
        <f t="shared" si="46"/>
        <v>2</v>
      </c>
      <c r="Z68" s="314">
        <f t="shared" si="46"/>
        <v>0</v>
      </c>
      <c r="AA68" s="314">
        <f t="shared" si="46"/>
        <v>0</v>
      </c>
      <c r="AB68" s="314">
        <f t="shared" si="46"/>
        <v>0</v>
      </c>
      <c r="AC68" s="314">
        <f t="shared" si="46"/>
        <v>0</v>
      </c>
      <c r="AD68" s="321">
        <f t="shared" si="46"/>
        <v>0</v>
      </c>
      <c r="AE68" s="184"/>
      <c r="AF68" s="324">
        <f t="shared" si="38"/>
        <v>9.3000000000000007</v>
      </c>
      <c r="AH68" s="153" t="s">
        <v>47</v>
      </c>
      <c r="AI68" s="309">
        <f t="shared" ref="AI68:AT68" si="47">IF(AI$24&gt;0,AI17*AI$75/AI$24,0)</f>
        <v>4.1818181818181817</v>
      </c>
      <c r="AJ68" s="314">
        <f t="shared" si="47"/>
        <v>14.451612903225806</v>
      </c>
      <c r="AK68" s="314">
        <f t="shared" si="47"/>
        <v>0</v>
      </c>
      <c r="AL68" s="314">
        <f t="shared" si="47"/>
        <v>0</v>
      </c>
      <c r="AM68" s="314">
        <f t="shared" si="47"/>
        <v>3</v>
      </c>
      <c r="AN68" s="314">
        <f t="shared" si="47"/>
        <v>2</v>
      </c>
      <c r="AO68" s="315">
        <f t="shared" si="47"/>
        <v>0</v>
      </c>
      <c r="AP68" s="314">
        <f t="shared" si="47"/>
        <v>0</v>
      </c>
      <c r="AQ68" s="314">
        <f t="shared" si="47"/>
        <v>1</v>
      </c>
      <c r="AR68" s="314">
        <f t="shared" si="47"/>
        <v>0</v>
      </c>
      <c r="AS68" s="314">
        <f t="shared" si="47"/>
        <v>0</v>
      </c>
      <c r="AT68" s="321">
        <f t="shared" si="47"/>
        <v>0</v>
      </c>
      <c r="AU68" s="184"/>
      <c r="AV68" s="324">
        <f t="shared" si="36"/>
        <v>24.633431085043988</v>
      </c>
    </row>
    <row r="69" spans="2:48" x14ac:dyDescent="0.25">
      <c r="B69" s="207" t="s">
        <v>48</v>
      </c>
      <c r="C69" s="310">
        <f t="shared" si="31"/>
        <v>0</v>
      </c>
      <c r="D69" s="316">
        <f t="shared" si="31"/>
        <v>0</v>
      </c>
      <c r="E69" s="316">
        <f t="shared" si="31"/>
        <v>0</v>
      </c>
      <c r="F69" s="316">
        <f t="shared" si="31"/>
        <v>0</v>
      </c>
      <c r="G69" s="316">
        <f t="shared" si="31"/>
        <v>0</v>
      </c>
      <c r="H69" s="316">
        <f t="shared" si="31"/>
        <v>0</v>
      </c>
      <c r="I69" s="317">
        <f t="shared" si="31"/>
        <v>0</v>
      </c>
      <c r="J69" s="316">
        <f t="shared" si="31"/>
        <v>0</v>
      </c>
      <c r="K69" s="205">
        <f t="shared" si="32"/>
        <v>0</v>
      </c>
      <c r="L69" s="205">
        <f t="shared" si="32"/>
        <v>0</v>
      </c>
      <c r="M69" s="205">
        <f t="shared" si="32"/>
        <v>0</v>
      </c>
      <c r="N69" s="206">
        <f t="shared" si="32"/>
        <v>0</v>
      </c>
      <c r="O69" s="184"/>
      <c r="P69" s="324">
        <f t="shared" si="33"/>
        <v>0</v>
      </c>
      <c r="R69" s="207" t="s">
        <v>48</v>
      </c>
      <c r="S69" s="310">
        <f t="shared" ref="S69:AD69" si="48">IF(S$24&gt;0,S18*S$75/S$24,0)</f>
        <v>0</v>
      </c>
      <c r="T69" s="316">
        <f t="shared" si="48"/>
        <v>0</v>
      </c>
      <c r="U69" s="316">
        <f t="shared" si="48"/>
        <v>0</v>
      </c>
      <c r="V69" s="316">
        <f t="shared" si="48"/>
        <v>0</v>
      </c>
      <c r="W69" s="316">
        <f t="shared" si="48"/>
        <v>0</v>
      </c>
      <c r="X69" s="316">
        <f t="shared" si="48"/>
        <v>0</v>
      </c>
      <c r="Y69" s="317">
        <f t="shared" si="48"/>
        <v>2</v>
      </c>
      <c r="Z69" s="316">
        <f t="shared" si="48"/>
        <v>0</v>
      </c>
      <c r="AA69" s="316">
        <f t="shared" si="48"/>
        <v>0</v>
      </c>
      <c r="AB69" s="316">
        <f t="shared" si="48"/>
        <v>0</v>
      </c>
      <c r="AC69" s="316">
        <f t="shared" si="48"/>
        <v>0</v>
      </c>
      <c r="AD69" s="322">
        <f t="shared" si="48"/>
        <v>0</v>
      </c>
      <c r="AE69" s="184"/>
      <c r="AF69" s="324">
        <f t="shared" si="38"/>
        <v>2</v>
      </c>
      <c r="AH69" s="207" t="s">
        <v>48</v>
      </c>
      <c r="AI69" s="310">
        <f t="shared" ref="AI69:AT69" si="49">IF(AI$24&gt;0,AI18*AI$75/AI$24,0)</f>
        <v>2.0909090909090908</v>
      </c>
      <c r="AJ69" s="316">
        <f t="shared" si="49"/>
        <v>1.032258064516129</v>
      </c>
      <c r="AK69" s="316">
        <f t="shared" si="49"/>
        <v>0</v>
      </c>
      <c r="AL69" s="316">
        <f t="shared" si="49"/>
        <v>0</v>
      </c>
      <c r="AM69" s="316">
        <f t="shared" si="49"/>
        <v>0</v>
      </c>
      <c r="AN69" s="316">
        <f t="shared" si="49"/>
        <v>0</v>
      </c>
      <c r="AO69" s="317">
        <f t="shared" si="49"/>
        <v>2.2857142857142856</v>
      </c>
      <c r="AP69" s="316">
        <f t="shared" si="49"/>
        <v>0</v>
      </c>
      <c r="AQ69" s="316">
        <f t="shared" si="49"/>
        <v>0</v>
      </c>
      <c r="AR69" s="316">
        <f t="shared" si="49"/>
        <v>0</v>
      </c>
      <c r="AS69" s="316">
        <f t="shared" si="49"/>
        <v>0</v>
      </c>
      <c r="AT69" s="322">
        <f t="shared" si="49"/>
        <v>0</v>
      </c>
      <c r="AU69" s="184"/>
      <c r="AV69" s="324">
        <f t="shared" si="36"/>
        <v>5.4088814411395054</v>
      </c>
    </row>
    <row r="70" spans="2:48" x14ac:dyDescent="0.25">
      <c r="B70" s="153" t="s">
        <v>523</v>
      </c>
      <c r="C70" s="309">
        <f t="shared" si="31"/>
        <v>102.69387755102041</v>
      </c>
      <c r="D70" s="314">
        <f t="shared" si="31"/>
        <v>28</v>
      </c>
      <c r="E70" s="314">
        <f t="shared" si="31"/>
        <v>0</v>
      </c>
      <c r="F70" s="314">
        <f t="shared" si="31"/>
        <v>0</v>
      </c>
      <c r="G70" s="314">
        <f t="shared" si="31"/>
        <v>44</v>
      </c>
      <c r="H70" s="314">
        <f t="shared" si="31"/>
        <v>0</v>
      </c>
      <c r="I70" s="315">
        <f t="shared" si="31"/>
        <v>0</v>
      </c>
      <c r="J70" s="327">
        <f t="shared" si="31"/>
        <v>0</v>
      </c>
      <c r="K70" s="196"/>
      <c r="L70" s="196"/>
      <c r="M70" s="196"/>
      <c r="N70" s="197"/>
      <c r="O70" s="184"/>
      <c r="P70" s="324">
        <f t="shared" si="33"/>
        <v>174.69387755102042</v>
      </c>
      <c r="R70" s="153" t="s">
        <v>523</v>
      </c>
      <c r="S70" s="309">
        <f t="shared" ref="S70:Y74" si="50">IF(S$24&gt;0,S19*S$75/S$24,0)</f>
        <v>9</v>
      </c>
      <c r="T70" s="314">
        <f t="shared" si="50"/>
        <v>17.2</v>
      </c>
      <c r="U70" s="314">
        <f t="shared" si="50"/>
        <v>9</v>
      </c>
      <c r="V70" s="314">
        <f t="shared" si="50"/>
        <v>4</v>
      </c>
      <c r="W70" s="314">
        <f t="shared" si="50"/>
        <v>0</v>
      </c>
      <c r="X70" s="314">
        <f t="shared" si="50"/>
        <v>2</v>
      </c>
      <c r="Y70" s="315">
        <f t="shared" si="50"/>
        <v>0</v>
      </c>
      <c r="Z70" s="195"/>
      <c r="AA70" s="196"/>
      <c r="AB70" s="196"/>
      <c r="AC70" s="196"/>
      <c r="AD70" s="197"/>
      <c r="AE70" s="184"/>
      <c r="AF70" s="324">
        <f t="shared" si="38"/>
        <v>41.2</v>
      </c>
      <c r="AH70" s="153" t="s">
        <v>523</v>
      </c>
      <c r="AI70" s="309">
        <f t="shared" ref="AI70:AO74" si="51">IF(AI$24&gt;0,AI19*AI$75/AI$24,0)</f>
        <v>19.863636363636363</v>
      </c>
      <c r="AJ70" s="314">
        <f t="shared" si="51"/>
        <v>65.032258064516128</v>
      </c>
      <c r="AK70" s="314">
        <f t="shared" si="51"/>
        <v>1</v>
      </c>
      <c r="AL70" s="314">
        <f t="shared" si="51"/>
        <v>0</v>
      </c>
      <c r="AM70" s="314">
        <f t="shared" si="51"/>
        <v>17</v>
      </c>
      <c r="AN70" s="314">
        <f t="shared" si="51"/>
        <v>10</v>
      </c>
      <c r="AO70" s="315">
        <f t="shared" si="51"/>
        <v>0</v>
      </c>
      <c r="AP70" s="195"/>
      <c r="AQ70" s="196"/>
      <c r="AR70" s="196"/>
      <c r="AS70" s="196"/>
      <c r="AT70" s="197"/>
      <c r="AU70" s="184"/>
      <c r="AV70" s="324">
        <f t="shared" si="36"/>
        <v>112.89589442815249</v>
      </c>
    </row>
    <row r="71" spans="2:48" x14ac:dyDescent="0.25">
      <c r="B71" s="153" t="s">
        <v>524</v>
      </c>
      <c r="C71" s="309">
        <f t="shared" si="31"/>
        <v>2.0136054421768708</v>
      </c>
      <c r="D71" s="314">
        <f t="shared" si="31"/>
        <v>1</v>
      </c>
      <c r="E71" s="314">
        <f t="shared" si="31"/>
        <v>0</v>
      </c>
      <c r="F71" s="314">
        <f t="shared" si="31"/>
        <v>0</v>
      </c>
      <c r="G71" s="314">
        <f t="shared" si="31"/>
        <v>1</v>
      </c>
      <c r="H71" s="314">
        <f t="shared" si="31"/>
        <v>0</v>
      </c>
      <c r="I71" s="315">
        <f t="shared" si="31"/>
        <v>0</v>
      </c>
      <c r="J71" s="328">
        <f t="shared" si="31"/>
        <v>0</v>
      </c>
      <c r="K71" s="199"/>
      <c r="L71" s="199"/>
      <c r="M71" s="199"/>
      <c r="N71" s="200"/>
      <c r="O71" s="184"/>
      <c r="P71" s="324">
        <f t="shared" si="33"/>
        <v>4.0136054421768712</v>
      </c>
      <c r="R71" s="153" t="s">
        <v>524</v>
      </c>
      <c r="S71" s="309">
        <f t="shared" si="50"/>
        <v>0</v>
      </c>
      <c r="T71" s="314">
        <f t="shared" si="50"/>
        <v>0</v>
      </c>
      <c r="U71" s="314">
        <f t="shared" si="50"/>
        <v>0</v>
      </c>
      <c r="V71" s="314">
        <f t="shared" si="50"/>
        <v>0</v>
      </c>
      <c r="W71" s="314">
        <f t="shared" si="50"/>
        <v>1</v>
      </c>
      <c r="X71" s="314">
        <f t="shared" si="50"/>
        <v>0</v>
      </c>
      <c r="Y71" s="315">
        <f t="shared" si="50"/>
        <v>0</v>
      </c>
      <c r="Z71" s="198"/>
      <c r="AA71" s="199"/>
      <c r="AB71" s="199"/>
      <c r="AC71" s="199"/>
      <c r="AD71" s="200"/>
      <c r="AE71" s="184"/>
      <c r="AF71" s="324">
        <f t="shared" si="38"/>
        <v>1</v>
      </c>
      <c r="AH71" s="153" t="s">
        <v>524</v>
      </c>
      <c r="AI71" s="309">
        <f t="shared" si="51"/>
        <v>0</v>
      </c>
      <c r="AJ71" s="314">
        <f t="shared" si="51"/>
        <v>5.161290322580645</v>
      </c>
      <c r="AK71" s="314">
        <f t="shared" si="51"/>
        <v>0</v>
      </c>
      <c r="AL71" s="314">
        <f t="shared" si="51"/>
        <v>0</v>
      </c>
      <c r="AM71" s="314">
        <f t="shared" si="51"/>
        <v>7</v>
      </c>
      <c r="AN71" s="314">
        <f t="shared" si="51"/>
        <v>0</v>
      </c>
      <c r="AO71" s="315">
        <f t="shared" si="51"/>
        <v>0</v>
      </c>
      <c r="AP71" s="198"/>
      <c r="AQ71" s="199"/>
      <c r="AR71" s="199"/>
      <c r="AS71" s="199"/>
      <c r="AT71" s="200"/>
      <c r="AU71" s="184"/>
      <c r="AV71" s="324">
        <f t="shared" si="36"/>
        <v>12.161290322580644</v>
      </c>
    </row>
    <row r="72" spans="2:48" x14ac:dyDescent="0.25">
      <c r="B72" s="153" t="s">
        <v>525</v>
      </c>
      <c r="C72" s="309">
        <f t="shared" si="31"/>
        <v>0</v>
      </c>
      <c r="D72" s="314">
        <f t="shared" si="31"/>
        <v>0</v>
      </c>
      <c r="E72" s="314">
        <f t="shared" si="31"/>
        <v>0</v>
      </c>
      <c r="F72" s="314">
        <f t="shared" si="31"/>
        <v>0</v>
      </c>
      <c r="G72" s="314">
        <f t="shared" si="31"/>
        <v>0</v>
      </c>
      <c r="H72" s="314">
        <f t="shared" si="31"/>
        <v>0</v>
      </c>
      <c r="I72" s="315">
        <f t="shared" si="31"/>
        <v>0</v>
      </c>
      <c r="J72" s="328">
        <f t="shared" si="31"/>
        <v>0</v>
      </c>
      <c r="K72" s="199"/>
      <c r="L72" s="201" t="s">
        <v>69</v>
      </c>
      <c r="M72" s="199"/>
      <c r="N72" s="200"/>
      <c r="O72" s="184"/>
      <c r="P72" s="324">
        <f t="shared" si="33"/>
        <v>0</v>
      </c>
      <c r="R72" s="153" t="s">
        <v>525</v>
      </c>
      <c r="S72" s="309">
        <f t="shared" si="50"/>
        <v>0</v>
      </c>
      <c r="T72" s="314">
        <f t="shared" si="50"/>
        <v>0</v>
      </c>
      <c r="U72" s="314">
        <f t="shared" si="50"/>
        <v>0</v>
      </c>
      <c r="V72" s="314">
        <f t="shared" si="50"/>
        <v>0</v>
      </c>
      <c r="W72" s="314">
        <f t="shared" si="50"/>
        <v>0</v>
      </c>
      <c r="X72" s="314">
        <f t="shared" si="50"/>
        <v>0</v>
      </c>
      <c r="Y72" s="315">
        <f t="shared" si="50"/>
        <v>5</v>
      </c>
      <c r="Z72" s="198"/>
      <c r="AA72" s="199"/>
      <c r="AB72" s="201" t="s">
        <v>69</v>
      </c>
      <c r="AC72" s="199"/>
      <c r="AD72" s="200"/>
      <c r="AE72" s="184"/>
      <c r="AF72" s="324">
        <f t="shared" si="38"/>
        <v>5</v>
      </c>
      <c r="AH72" s="153" t="s">
        <v>525</v>
      </c>
      <c r="AI72" s="309">
        <f t="shared" si="51"/>
        <v>17.772727272727273</v>
      </c>
      <c r="AJ72" s="314">
        <f t="shared" si="51"/>
        <v>1.032258064516129</v>
      </c>
      <c r="AK72" s="314">
        <f t="shared" si="51"/>
        <v>0</v>
      </c>
      <c r="AL72" s="314">
        <f t="shared" si="51"/>
        <v>0</v>
      </c>
      <c r="AM72" s="314">
        <f t="shared" si="51"/>
        <v>0</v>
      </c>
      <c r="AN72" s="314">
        <f t="shared" si="51"/>
        <v>0</v>
      </c>
      <c r="AO72" s="315">
        <f t="shared" si="51"/>
        <v>5.7142857142857144</v>
      </c>
      <c r="AP72" s="198"/>
      <c r="AQ72" s="199"/>
      <c r="AR72" s="201" t="s">
        <v>69</v>
      </c>
      <c r="AS72" s="199"/>
      <c r="AT72" s="200"/>
      <c r="AU72" s="184"/>
      <c r="AV72" s="324">
        <f t="shared" si="36"/>
        <v>24.519271051529117</v>
      </c>
    </row>
    <row r="73" spans="2:48" x14ac:dyDescent="0.25">
      <c r="B73" s="153" t="s">
        <v>526</v>
      </c>
      <c r="C73" s="309">
        <f t="shared" si="31"/>
        <v>1.0068027210884354</v>
      </c>
      <c r="D73" s="314">
        <f t="shared" si="31"/>
        <v>0</v>
      </c>
      <c r="E73" s="314">
        <f t="shared" si="31"/>
        <v>0</v>
      </c>
      <c r="F73" s="314">
        <f t="shared" si="31"/>
        <v>0</v>
      </c>
      <c r="G73" s="314">
        <f t="shared" si="31"/>
        <v>0</v>
      </c>
      <c r="H73" s="314">
        <f t="shared" si="31"/>
        <v>0</v>
      </c>
      <c r="I73" s="315">
        <f t="shared" si="31"/>
        <v>0</v>
      </c>
      <c r="J73" s="328">
        <f t="shared" si="31"/>
        <v>0</v>
      </c>
      <c r="K73" s="199"/>
      <c r="L73" s="199"/>
      <c r="M73" s="199"/>
      <c r="N73" s="200"/>
      <c r="O73" s="184"/>
      <c r="P73" s="324">
        <f t="shared" si="33"/>
        <v>1.0068027210884354</v>
      </c>
      <c r="R73" s="153" t="s">
        <v>526</v>
      </c>
      <c r="S73" s="309">
        <f t="shared" si="50"/>
        <v>0</v>
      </c>
      <c r="T73" s="314">
        <f t="shared" si="50"/>
        <v>0</v>
      </c>
      <c r="U73" s="314">
        <f t="shared" si="50"/>
        <v>0</v>
      </c>
      <c r="V73" s="314">
        <f t="shared" si="50"/>
        <v>0</v>
      </c>
      <c r="W73" s="314">
        <f t="shared" si="50"/>
        <v>0</v>
      </c>
      <c r="X73" s="314">
        <f t="shared" si="50"/>
        <v>0</v>
      </c>
      <c r="Y73" s="315">
        <f t="shared" si="50"/>
        <v>0</v>
      </c>
      <c r="Z73" s="198"/>
      <c r="AA73" s="199"/>
      <c r="AB73" s="199"/>
      <c r="AC73" s="199"/>
      <c r="AD73" s="200"/>
      <c r="AE73" s="184"/>
      <c r="AF73" s="324">
        <f t="shared" si="38"/>
        <v>0</v>
      </c>
      <c r="AH73" s="153" t="s">
        <v>526</v>
      </c>
      <c r="AI73" s="309">
        <f t="shared" si="51"/>
        <v>0</v>
      </c>
      <c r="AJ73" s="314">
        <f t="shared" si="51"/>
        <v>1.032258064516129</v>
      </c>
      <c r="AK73" s="314">
        <f t="shared" si="51"/>
        <v>0</v>
      </c>
      <c r="AL73" s="314">
        <f t="shared" si="51"/>
        <v>0</v>
      </c>
      <c r="AM73" s="314">
        <f t="shared" si="51"/>
        <v>0</v>
      </c>
      <c r="AN73" s="314">
        <f t="shared" si="51"/>
        <v>0</v>
      </c>
      <c r="AO73" s="315">
        <f t="shared" si="51"/>
        <v>0</v>
      </c>
      <c r="AP73" s="198"/>
      <c r="AQ73" s="199"/>
      <c r="AR73" s="199"/>
      <c r="AS73" s="199"/>
      <c r="AT73" s="200"/>
      <c r="AU73" s="184"/>
      <c r="AV73" s="324">
        <f t="shared" si="36"/>
        <v>1.032258064516129</v>
      </c>
    </row>
    <row r="74" spans="2:48" x14ac:dyDescent="0.25">
      <c r="B74" s="154" t="s">
        <v>527</v>
      </c>
      <c r="C74" s="311">
        <f t="shared" si="31"/>
        <v>0</v>
      </c>
      <c r="D74" s="318">
        <f t="shared" si="31"/>
        <v>0</v>
      </c>
      <c r="E74" s="318">
        <f t="shared" si="31"/>
        <v>0</v>
      </c>
      <c r="F74" s="318">
        <f t="shared" si="31"/>
        <v>0</v>
      </c>
      <c r="G74" s="318">
        <f t="shared" si="31"/>
        <v>0</v>
      </c>
      <c r="H74" s="318">
        <f t="shared" si="31"/>
        <v>0</v>
      </c>
      <c r="I74" s="319">
        <f t="shared" si="31"/>
        <v>0</v>
      </c>
      <c r="J74" s="329">
        <f t="shared" si="31"/>
        <v>0</v>
      </c>
      <c r="K74" s="203"/>
      <c r="L74" s="203"/>
      <c r="M74" s="203"/>
      <c r="N74" s="204"/>
      <c r="O74" s="185"/>
      <c r="P74" s="325">
        <f t="shared" si="33"/>
        <v>0</v>
      </c>
      <c r="R74" s="154" t="s">
        <v>527</v>
      </c>
      <c r="S74" s="311">
        <f t="shared" si="50"/>
        <v>0</v>
      </c>
      <c r="T74" s="318">
        <f t="shared" si="50"/>
        <v>0</v>
      </c>
      <c r="U74" s="318">
        <f t="shared" si="50"/>
        <v>0</v>
      </c>
      <c r="V74" s="318">
        <f t="shared" si="50"/>
        <v>0</v>
      </c>
      <c r="W74" s="318">
        <f t="shared" si="50"/>
        <v>0</v>
      </c>
      <c r="X74" s="318">
        <f t="shared" si="50"/>
        <v>0</v>
      </c>
      <c r="Y74" s="319">
        <f t="shared" si="50"/>
        <v>0</v>
      </c>
      <c r="Z74" s="202"/>
      <c r="AA74" s="203"/>
      <c r="AB74" s="203"/>
      <c r="AC74" s="203"/>
      <c r="AD74" s="204"/>
      <c r="AE74" s="185"/>
      <c r="AF74" s="325">
        <f t="shared" si="38"/>
        <v>0</v>
      </c>
      <c r="AH74" s="154" t="s">
        <v>527</v>
      </c>
      <c r="AI74" s="311">
        <f t="shared" si="51"/>
        <v>0</v>
      </c>
      <c r="AJ74" s="318">
        <f t="shared" si="51"/>
        <v>1.032258064516129</v>
      </c>
      <c r="AK74" s="318">
        <f t="shared" si="51"/>
        <v>0</v>
      </c>
      <c r="AL74" s="318">
        <f t="shared" si="51"/>
        <v>0</v>
      </c>
      <c r="AM74" s="318">
        <f t="shared" si="51"/>
        <v>0</v>
      </c>
      <c r="AN74" s="318">
        <f t="shared" si="51"/>
        <v>0</v>
      </c>
      <c r="AO74" s="319">
        <f t="shared" si="51"/>
        <v>0</v>
      </c>
      <c r="AP74" s="202"/>
      <c r="AQ74" s="203"/>
      <c r="AR74" s="203"/>
      <c r="AS74" s="203"/>
      <c r="AT74" s="204"/>
      <c r="AU74" s="185"/>
      <c r="AV74" s="325">
        <f t="shared" si="36"/>
        <v>1.032258064516129</v>
      </c>
    </row>
    <row r="75" spans="2:48" x14ac:dyDescent="0.25">
      <c r="B75" s="149" t="s">
        <v>66</v>
      </c>
      <c r="C75" s="307">
        <f t="shared" ref="C75:N75" si="52">IF(C$31&gt;0,INT(C$24*C33/C$31),0)</f>
        <v>148</v>
      </c>
      <c r="D75" s="307">
        <f t="shared" si="52"/>
        <v>39</v>
      </c>
      <c r="E75" s="307">
        <f t="shared" si="52"/>
        <v>0</v>
      </c>
      <c r="F75" s="307">
        <f t="shared" si="52"/>
        <v>0</v>
      </c>
      <c r="G75" s="307">
        <f t="shared" si="52"/>
        <v>59</v>
      </c>
      <c r="H75" s="307">
        <f t="shared" si="52"/>
        <v>0</v>
      </c>
      <c r="I75" s="307">
        <f t="shared" si="52"/>
        <v>0</v>
      </c>
      <c r="J75" s="307">
        <f t="shared" si="52"/>
        <v>2</v>
      </c>
      <c r="K75" s="307">
        <f t="shared" si="52"/>
        <v>0</v>
      </c>
      <c r="L75" s="307">
        <f t="shared" si="52"/>
        <v>5</v>
      </c>
      <c r="M75" s="307">
        <f t="shared" si="52"/>
        <v>0</v>
      </c>
      <c r="N75" s="307">
        <f t="shared" si="52"/>
        <v>0</v>
      </c>
      <c r="O75" s="182"/>
      <c r="P75" s="151">
        <f>SUM(P63:P74)</f>
        <v>252</v>
      </c>
      <c r="R75" s="149" t="s">
        <v>66</v>
      </c>
      <c r="S75" s="307">
        <f t="shared" ref="S75:AD75" si="53">IF(S$31&gt;0,INT(S$24*S33/S$31),0)</f>
        <v>10</v>
      </c>
      <c r="T75" s="307">
        <f t="shared" si="53"/>
        <v>43</v>
      </c>
      <c r="U75" s="307">
        <f t="shared" si="53"/>
        <v>10</v>
      </c>
      <c r="V75" s="307">
        <f t="shared" si="53"/>
        <v>5</v>
      </c>
      <c r="W75" s="307">
        <f t="shared" si="53"/>
        <v>1</v>
      </c>
      <c r="X75" s="307">
        <f t="shared" si="53"/>
        <v>3</v>
      </c>
      <c r="Y75" s="307">
        <f t="shared" si="53"/>
        <v>34</v>
      </c>
      <c r="Z75" s="307">
        <f t="shared" si="53"/>
        <v>0</v>
      </c>
      <c r="AA75" s="307">
        <f t="shared" si="53"/>
        <v>4</v>
      </c>
      <c r="AB75" s="307">
        <f t="shared" si="53"/>
        <v>2</v>
      </c>
      <c r="AC75" s="307">
        <f t="shared" si="53"/>
        <v>0</v>
      </c>
      <c r="AD75" s="307">
        <f t="shared" si="53"/>
        <v>0</v>
      </c>
      <c r="AE75" s="182"/>
      <c r="AF75" s="151">
        <f>SUM(AF63:AF74)</f>
        <v>112</v>
      </c>
      <c r="AH75" s="149" t="s">
        <v>66</v>
      </c>
      <c r="AI75" s="307">
        <f t="shared" ref="AI75:AT75" si="54">IF(AI$31&gt;0,INT(AI$24*AI33/AI$31),0)</f>
        <v>69</v>
      </c>
      <c r="AJ75" s="307">
        <f t="shared" si="54"/>
        <v>192</v>
      </c>
      <c r="AK75" s="307">
        <f t="shared" si="54"/>
        <v>5</v>
      </c>
      <c r="AL75" s="307">
        <f t="shared" si="54"/>
        <v>2</v>
      </c>
      <c r="AM75" s="307">
        <f t="shared" si="54"/>
        <v>53</v>
      </c>
      <c r="AN75" s="307">
        <f t="shared" si="54"/>
        <v>18</v>
      </c>
      <c r="AO75" s="307">
        <f t="shared" si="54"/>
        <v>8</v>
      </c>
      <c r="AP75" s="307">
        <f t="shared" si="54"/>
        <v>0</v>
      </c>
      <c r="AQ75" s="307">
        <f t="shared" si="54"/>
        <v>2</v>
      </c>
      <c r="AR75" s="307">
        <f t="shared" si="54"/>
        <v>0</v>
      </c>
      <c r="AS75" s="307">
        <f t="shared" si="54"/>
        <v>0</v>
      </c>
      <c r="AT75" s="307">
        <f t="shared" si="54"/>
        <v>0</v>
      </c>
      <c r="AU75" s="182"/>
      <c r="AV75" s="151">
        <f>SUM(AV63:AV74)</f>
        <v>349.00000000000006</v>
      </c>
    </row>
    <row r="78" spans="2:48" ht="18.75" x14ac:dyDescent="0.3">
      <c r="B78" s="29" t="s">
        <v>613</v>
      </c>
      <c r="R78" s="29" t="s">
        <v>618</v>
      </c>
      <c r="AH78" s="29" t="s">
        <v>622</v>
      </c>
    </row>
    <row r="79" spans="2:48" x14ac:dyDescent="0.25">
      <c r="B79" s="179" t="s">
        <v>604</v>
      </c>
      <c r="R79" s="179" t="s">
        <v>604</v>
      </c>
      <c r="AH79" s="179" t="s">
        <v>604</v>
      </c>
    </row>
    <row r="81" spans="2:48" x14ac:dyDescent="0.25">
      <c r="B81" s="101"/>
      <c r="C81" s="390" t="s">
        <v>50</v>
      </c>
      <c r="D81" s="390"/>
      <c r="E81" s="390"/>
      <c r="F81" s="390"/>
      <c r="G81" s="390"/>
      <c r="H81" s="390"/>
      <c r="I81" s="390"/>
      <c r="J81" s="390"/>
      <c r="K81" s="390"/>
      <c r="L81" s="390"/>
      <c r="M81" s="390"/>
      <c r="N81" s="390"/>
      <c r="O81" s="180"/>
      <c r="P81" s="104"/>
      <c r="R81" s="101"/>
      <c r="S81" s="390" t="s">
        <v>50</v>
      </c>
      <c r="T81" s="390"/>
      <c r="U81" s="390"/>
      <c r="V81" s="390"/>
      <c r="W81" s="390"/>
      <c r="X81" s="390"/>
      <c r="Y81" s="390"/>
      <c r="Z81" s="390"/>
      <c r="AA81" s="390"/>
      <c r="AB81" s="390"/>
      <c r="AC81" s="390"/>
      <c r="AD81" s="390"/>
      <c r="AE81" s="180"/>
      <c r="AF81" s="104"/>
      <c r="AH81" s="101"/>
      <c r="AI81" s="390" t="s">
        <v>50</v>
      </c>
      <c r="AJ81" s="390"/>
      <c r="AK81" s="390"/>
      <c r="AL81" s="390"/>
      <c r="AM81" s="390"/>
      <c r="AN81" s="390"/>
      <c r="AO81" s="390"/>
      <c r="AP81" s="390"/>
      <c r="AQ81" s="390"/>
      <c r="AR81" s="390"/>
      <c r="AS81" s="390"/>
      <c r="AT81" s="390"/>
      <c r="AU81" s="180"/>
      <c r="AV81" s="104"/>
    </row>
    <row r="82" spans="2:48" x14ac:dyDescent="0.25">
      <c r="B82" s="147" t="s">
        <v>49</v>
      </c>
      <c r="C82" s="25" t="s">
        <v>42</v>
      </c>
      <c r="D82" s="26" t="s">
        <v>51</v>
      </c>
      <c r="E82" s="26" t="s">
        <v>52</v>
      </c>
      <c r="F82" s="26" t="s">
        <v>53</v>
      </c>
      <c r="G82" s="26" t="s">
        <v>54</v>
      </c>
      <c r="H82" s="26" t="s">
        <v>55</v>
      </c>
      <c r="I82" s="26" t="s">
        <v>56</v>
      </c>
      <c r="J82" s="26" t="s">
        <v>60</v>
      </c>
      <c r="K82" s="26" t="s">
        <v>59</v>
      </c>
      <c r="L82" s="26" t="s">
        <v>61</v>
      </c>
      <c r="M82" s="26" t="s">
        <v>58</v>
      </c>
      <c r="N82" s="26" t="s">
        <v>57</v>
      </c>
      <c r="O82" s="164"/>
      <c r="P82" s="181" t="s">
        <v>66</v>
      </c>
      <c r="R82" s="147" t="s">
        <v>49</v>
      </c>
      <c r="S82" s="25" t="s">
        <v>42</v>
      </c>
      <c r="T82" s="26" t="s">
        <v>51</v>
      </c>
      <c r="U82" s="26" t="s">
        <v>52</v>
      </c>
      <c r="V82" s="26" t="s">
        <v>53</v>
      </c>
      <c r="W82" s="26" t="s">
        <v>54</v>
      </c>
      <c r="X82" s="26" t="s">
        <v>55</v>
      </c>
      <c r="Y82" s="26" t="s">
        <v>56</v>
      </c>
      <c r="Z82" s="26" t="s">
        <v>60</v>
      </c>
      <c r="AA82" s="26" t="s">
        <v>59</v>
      </c>
      <c r="AB82" s="26" t="s">
        <v>61</v>
      </c>
      <c r="AC82" s="26" t="s">
        <v>58</v>
      </c>
      <c r="AD82" s="26" t="s">
        <v>57</v>
      </c>
      <c r="AE82" s="164"/>
      <c r="AF82" s="181" t="s">
        <v>66</v>
      </c>
      <c r="AH82" s="147" t="s">
        <v>49</v>
      </c>
      <c r="AI82" s="25" t="s">
        <v>42</v>
      </c>
      <c r="AJ82" s="26" t="s">
        <v>51</v>
      </c>
      <c r="AK82" s="26" t="s">
        <v>52</v>
      </c>
      <c r="AL82" s="26" t="s">
        <v>53</v>
      </c>
      <c r="AM82" s="26" t="s">
        <v>54</v>
      </c>
      <c r="AN82" s="26" t="s">
        <v>55</v>
      </c>
      <c r="AO82" s="26" t="s">
        <v>56</v>
      </c>
      <c r="AP82" s="26" t="s">
        <v>60</v>
      </c>
      <c r="AQ82" s="26" t="s">
        <v>59</v>
      </c>
      <c r="AR82" s="26" t="s">
        <v>61</v>
      </c>
      <c r="AS82" s="26" t="s">
        <v>58</v>
      </c>
      <c r="AT82" s="26" t="s">
        <v>57</v>
      </c>
      <c r="AU82" s="164"/>
      <c r="AV82" s="181" t="s">
        <v>66</v>
      </c>
    </row>
    <row r="83" spans="2:48" x14ac:dyDescent="0.25">
      <c r="B83" s="152" t="s">
        <v>42</v>
      </c>
      <c r="C83" s="308">
        <f t="shared" ref="C83:J89" si="55">IF(C$24&gt;0,C12*C$95/C$24,0)</f>
        <v>1.0340136054421769</v>
      </c>
      <c r="D83" s="312">
        <f t="shared" si="55"/>
        <v>0</v>
      </c>
      <c r="E83" s="312">
        <f t="shared" si="55"/>
        <v>0</v>
      </c>
      <c r="F83" s="312">
        <f t="shared" si="55"/>
        <v>0</v>
      </c>
      <c r="G83" s="312">
        <f t="shared" si="55"/>
        <v>3</v>
      </c>
      <c r="H83" s="312">
        <f t="shared" si="55"/>
        <v>0</v>
      </c>
      <c r="I83" s="313">
        <f t="shared" si="55"/>
        <v>0</v>
      </c>
      <c r="J83" s="312">
        <f t="shared" si="55"/>
        <v>1.5</v>
      </c>
      <c r="K83" s="180">
        <f t="shared" ref="K83:N89" si="56">IF(K$31&gt;0,INT(K12*(K$34/K$31)),0)</f>
        <v>0</v>
      </c>
      <c r="L83" s="180">
        <f t="shared" si="56"/>
        <v>0</v>
      </c>
      <c r="M83" s="180">
        <f t="shared" si="56"/>
        <v>0</v>
      </c>
      <c r="N83" s="162">
        <f t="shared" si="56"/>
        <v>0</v>
      </c>
      <c r="O83" s="183"/>
      <c r="P83" s="323">
        <f t="shared" ref="P83:P94" si="57">SUM(C83:N83)</f>
        <v>5.5340136054421771</v>
      </c>
      <c r="R83" s="152" t="s">
        <v>42</v>
      </c>
      <c r="S83" s="308">
        <f t="shared" ref="S83:AD83" si="58">IF(S$24&gt;0,S12*S$95/S$24,0)</f>
        <v>0</v>
      </c>
      <c r="T83" s="312">
        <f t="shared" si="58"/>
        <v>1.25</v>
      </c>
      <c r="U83" s="312">
        <f t="shared" si="58"/>
        <v>0</v>
      </c>
      <c r="V83" s="312">
        <f t="shared" si="58"/>
        <v>0</v>
      </c>
      <c r="W83" s="312">
        <f t="shared" si="58"/>
        <v>0</v>
      </c>
      <c r="X83" s="312">
        <f t="shared" si="58"/>
        <v>0</v>
      </c>
      <c r="Y83" s="313">
        <f t="shared" si="58"/>
        <v>1</v>
      </c>
      <c r="Z83" s="312">
        <f t="shared" si="58"/>
        <v>0</v>
      </c>
      <c r="AA83" s="312">
        <f t="shared" si="58"/>
        <v>1</v>
      </c>
      <c r="AB83" s="312">
        <f t="shared" si="58"/>
        <v>0</v>
      </c>
      <c r="AC83" s="312">
        <f t="shared" si="58"/>
        <v>0</v>
      </c>
      <c r="AD83" s="320">
        <f t="shared" si="58"/>
        <v>0</v>
      </c>
      <c r="AE83" s="183"/>
      <c r="AF83" s="323">
        <f>SUM(S83:AD83)</f>
        <v>3.25</v>
      </c>
      <c r="AH83" s="152" t="s">
        <v>42</v>
      </c>
      <c r="AI83" s="308">
        <f t="shared" ref="AI83:AT83" si="59">IF(AI$24&gt;0,AI12*AI$95/AI$24,0)</f>
        <v>1.1363636363636365</v>
      </c>
      <c r="AJ83" s="312">
        <f t="shared" si="59"/>
        <v>24.365591397849464</v>
      </c>
      <c r="AK83" s="312">
        <f t="shared" si="59"/>
        <v>1.4</v>
      </c>
      <c r="AL83" s="312">
        <f t="shared" si="59"/>
        <v>0</v>
      </c>
      <c r="AM83" s="312">
        <f t="shared" si="59"/>
        <v>6.4528301886792452</v>
      </c>
      <c r="AN83" s="312">
        <f t="shared" si="59"/>
        <v>3.3333333333333335</v>
      </c>
      <c r="AO83" s="313">
        <f t="shared" si="59"/>
        <v>0</v>
      </c>
      <c r="AP83" s="312">
        <f t="shared" si="59"/>
        <v>0</v>
      </c>
      <c r="AQ83" s="312">
        <f t="shared" si="59"/>
        <v>0</v>
      </c>
      <c r="AR83" s="312">
        <f t="shared" si="59"/>
        <v>0</v>
      </c>
      <c r="AS83" s="312">
        <f t="shared" si="59"/>
        <v>0</v>
      </c>
      <c r="AT83" s="320">
        <f t="shared" si="59"/>
        <v>0</v>
      </c>
      <c r="AU83" s="183"/>
      <c r="AV83" s="323">
        <f>SUM(AI83:AT83)</f>
        <v>36.688118556225682</v>
      </c>
    </row>
    <row r="84" spans="2:48" x14ac:dyDescent="0.25">
      <c r="B84" s="153" t="s">
        <v>43</v>
      </c>
      <c r="C84" s="309">
        <f t="shared" si="55"/>
        <v>12.408163265306122</v>
      </c>
      <c r="D84" s="314">
        <f t="shared" si="55"/>
        <v>2</v>
      </c>
      <c r="E84" s="314">
        <f t="shared" si="55"/>
        <v>0</v>
      </c>
      <c r="F84" s="314">
        <f t="shared" si="55"/>
        <v>0</v>
      </c>
      <c r="G84" s="314">
        <f t="shared" si="55"/>
        <v>5</v>
      </c>
      <c r="H84" s="314">
        <f t="shared" si="55"/>
        <v>0</v>
      </c>
      <c r="I84" s="315">
        <f t="shared" si="55"/>
        <v>0</v>
      </c>
      <c r="J84" s="314">
        <f t="shared" si="55"/>
        <v>1.5</v>
      </c>
      <c r="K84" s="140">
        <f t="shared" si="56"/>
        <v>0</v>
      </c>
      <c r="L84" s="140">
        <f t="shared" si="56"/>
        <v>3</v>
      </c>
      <c r="M84" s="140">
        <f t="shared" si="56"/>
        <v>0</v>
      </c>
      <c r="N84" s="141">
        <f t="shared" si="56"/>
        <v>0</v>
      </c>
      <c r="O84" s="184"/>
      <c r="P84" s="324">
        <f t="shared" si="57"/>
        <v>23.908163265306122</v>
      </c>
      <c r="R84" s="153" t="s">
        <v>43</v>
      </c>
      <c r="S84" s="309">
        <f t="shared" ref="S84:AD84" si="60">IF(S$24&gt;0,S13*S$95/S$24,0)</f>
        <v>0</v>
      </c>
      <c r="T84" s="314">
        <f t="shared" si="60"/>
        <v>2.5</v>
      </c>
      <c r="U84" s="314">
        <f t="shared" si="60"/>
        <v>0</v>
      </c>
      <c r="V84" s="314">
        <f t="shared" si="60"/>
        <v>0</v>
      </c>
      <c r="W84" s="314">
        <f t="shared" si="60"/>
        <v>0</v>
      </c>
      <c r="X84" s="314">
        <f t="shared" si="60"/>
        <v>1</v>
      </c>
      <c r="Y84" s="315">
        <f t="shared" si="60"/>
        <v>3</v>
      </c>
      <c r="Z84" s="314">
        <f t="shared" si="60"/>
        <v>0</v>
      </c>
      <c r="AA84" s="314">
        <f t="shared" si="60"/>
        <v>0</v>
      </c>
      <c r="AB84" s="314">
        <f t="shared" si="60"/>
        <v>0</v>
      </c>
      <c r="AC84" s="314">
        <f t="shared" si="60"/>
        <v>0</v>
      </c>
      <c r="AD84" s="321">
        <f t="shared" si="60"/>
        <v>0</v>
      </c>
      <c r="AE84" s="184"/>
      <c r="AF84" s="324">
        <f t="shared" ref="AF84:AF94" si="61">SUM(S84:AD84)</f>
        <v>6.5</v>
      </c>
      <c r="AH84" s="153" t="s">
        <v>43</v>
      </c>
      <c r="AI84" s="309">
        <f t="shared" ref="AI84:AT84" si="62">IF(AI$24&gt;0,AI13*AI$95/AI$24,0)</f>
        <v>3.4090909090909092</v>
      </c>
      <c r="AJ84" s="314">
        <f t="shared" si="62"/>
        <v>19.93548387096774</v>
      </c>
      <c r="AK84" s="314">
        <f t="shared" si="62"/>
        <v>2.8</v>
      </c>
      <c r="AL84" s="314">
        <f t="shared" si="62"/>
        <v>0</v>
      </c>
      <c r="AM84" s="314">
        <f t="shared" si="62"/>
        <v>10.754716981132075</v>
      </c>
      <c r="AN84" s="314">
        <f t="shared" si="62"/>
        <v>0</v>
      </c>
      <c r="AO84" s="315">
        <f t="shared" si="62"/>
        <v>0</v>
      </c>
      <c r="AP84" s="314">
        <f t="shared" si="62"/>
        <v>0</v>
      </c>
      <c r="AQ84" s="314">
        <f t="shared" si="62"/>
        <v>0</v>
      </c>
      <c r="AR84" s="314">
        <f t="shared" si="62"/>
        <v>0</v>
      </c>
      <c r="AS84" s="314">
        <f t="shared" si="62"/>
        <v>0</v>
      </c>
      <c r="AT84" s="321">
        <f t="shared" si="62"/>
        <v>0</v>
      </c>
      <c r="AU84" s="184"/>
      <c r="AV84" s="324">
        <f t="shared" ref="AV84:AV94" si="63">SUM(AI84:AT84)</f>
        <v>36.899291761190725</v>
      </c>
    </row>
    <row r="85" spans="2:48" x14ac:dyDescent="0.25">
      <c r="B85" s="153" t="s">
        <v>44</v>
      </c>
      <c r="C85" s="309">
        <f t="shared" si="55"/>
        <v>1.0340136054421769</v>
      </c>
      <c r="D85" s="314">
        <f t="shared" si="55"/>
        <v>4</v>
      </c>
      <c r="E85" s="314">
        <f t="shared" si="55"/>
        <v>0</v>
      </c>
      <c r="F85" s="314">
        <f t="shared" si="55"/>
        <v>0</v>
      </c>
      <c r="G85" s="314">
        <f t="shared" si="55"/>
        <v>2</v>
      </c>
      <c r="H85" s="314">
        <f t="shared" si="55"/>
        <v>0</v>
      </c>
      <c r="I85" s="315">
        <f t="shared" si="55"/>
        <v>0</v>
      </c>
      <c r="J85" s="314">
        <f t="shared" si="55"/>
        <v>0</v>
      </c>
      <c r="K85" s="140">
        <f t="shared" si="56"/>
        <v>0</v>
      </c>
      <c r="L85" s="140">
        <f t="shared" si="56"/>
        <v>1</v>
      </c>
      <c r="M85" s="140">
        <f t="shared" si="56"/>
        <v>0</v>
      </c>
      <c r="N85" s="141">
        <f t="shared" si="56"/>
        <v>0</v>
      </c>
      <c r="O85" s="184"/>
      <c r="P85" s="324">
        <f t="shared" si="57"/>
        <v>8.0340136054421762</v>
      </c>
      <c r="R85" s="153" t="s">
        <v>44</v>
      </c>
      <c r="S85" s="309">
        <f t="shared" ref="S85:AD85" si="64">IF(S$24&gt;0,S14*S$95/S$24,0)</f>
        <v>0</v>
      </c>
      <c r="T85" s="314">
        <f t="shared" si="64"/>
        <v>8.75</v>
      </c>
      <c r="U85" s="314">
        <f t="shared" si="64"/>
        <v>0</v>
      </c>
      <c r="V85" s="314">
        <f t="shared" si="64"/>
        <v>0</v>
      </c>
      <c r="W85" s="314">
        <f t="shared" si="64"/>
        <v>0</v>
      </c>
      <c r="X85" s="314">
        <f t="shared" si="64"/>
        <v>0</v>
      </c>
      <c r="Y85" s="315">
        <f t="shared" si="64"/>
        <v>5</v>
      </c>
      <c r="Z85" s="314">
        <f t="shared" si="64"/>
        <v>0</v>
      </c>
      <c r="AA85" s="314">
        <f t="shared" si="64"/>
        <v>0</v>
      </c>
      <c r="AB85" s="314">
        <f t="shared" si="64"/>
        <v>0</v>
      </c>
      <c r="AC85" s="314">
        <f t="shared" si="64"/>
        <v>0</v>
      </c>
      <c r="AD85" s="321">
        <f t="shared" si="64"/>
        <v>0</v>
      </c>
      <c r="AE85" s="184"/>
      <c r="AF85" s="324">
        <f t="shared" si="61"/>
        <v>13.75</v>
      </c>
      <c r="AH85" s="153" t="s">
        <v>44</v>
      </c>
      <c r="AI85" s="309">
        <f t="shared" ref="AI85:AT85" si="65">IF(AI$24&gt;0,AI14*AI$95/AI$24,0)</f>
        <v>12.5</v>
      </c>
      <c r="AJ85" s="314">
        <f t="shared" si="65"/>
        <v>38.763440860215056</v>
      </c>
      <c r="AK85" s="314">
        <f t="shared" si="65"/>
        <v>0</v>
      </c>
      <c r="AL85" s="314">
        <f t="shared" si="65"/>
        <v>2</v>
      </c>
      <c r="AM85" s="314">
        <f t="shared" si="65"/>
        <v>6.4528301886792452</v>
      </c>
      <c r="AN85" s="314">
        <f t="shared" si="65"/>
        <v>2.2222222222222223</v>
      </c>
      <c r="AO85" s="315">
        <f t="shared" si="65"/>
        <v>0</v>
      </c>
      <c r="AP85" s="314">
        <f t="shared" si="65"/>
        <v>0</v>
      </c>
      <c r="AQ85" s="314">
        <f t="shared" si="65"/>
        <v>0</v>
      </c>
      <c r="AR85" s="314">
        <f t="shared" si="65"/>
        <v>0</v>
      </c>
      <c r="AS85" s="314">
        <f t="shared" si="65"/>
        <v>0</v>
      </c>
      <c r="AT85" s="321">
        <f t="shared" si="65"/>
        <v>0</v>
      </c>
      <c r="AU85" s="184"/>
      <c r="AV85" s="324">
        <f t="shared" si="63"/>
        <v>61.938493271116521</v>
      </c>
    </row>
    <row r="86" spans="2:48" x14ac:dyDescent="0.25">
      <c r="B86" s="153" t="s">
        <v>45</v>
      </c>
      <c r="C86" s="309">
        <f t="shared" si="55"/>
        <v>16.544217687074831</v>
      </c>
      <c r="D86" s="314">
        <f t="shared" si="55"/>
        <v>3</v>
      </c>
      <c r="E86" s="314">
        <f t="shared" si="55"/>
        <v>0</v>
      </c>
      <c r="F86" s="314">
        <f t="shared" si="55"/>
        <v>0</v>
      </c>
      <c r="G86" s="314">
        <f t="shared" si="55"/>
        <v>2</v>
      </c>
      <c r="H86" s="314">
        <f t="shared" si="55"/>
        <v>0</v>
      </c>
      <c r="I86" s="315">
        <f t="shared" si="55"/>
        <v>0</v>
      </c>
      <c r="J86" s="314">
        <f t="shared" si="55"/>
        <v>0</v>
      </c>
      <c r="K86" s="140">
        <f t="shared" si="56"/>
        <v>0</v>
      </c>
      <c r="L86" s="140">
        <f t="shared" si="56"/>
        <v>1</v>
      </c>
      <c r="M86" s="140">
        <f t="shared" si="56"/>
        <v>0</v>
      </c>
      <c r="N86" s="141">
        <f t="shared" si="56"/>
        <v>0</v>
      </c>
      <c r="O86" s="184"/>
      <c r="P86" s="324">
        <f t="shared" si="57"/>
        <v>22.544217687074831</v>
      </c>
      <c r="R86" s="153" t="s">
        <v>45</v>
      </c>
      <c r="S86" s="309">
        <f t="shared" ref="S86:AD86" si="66">IF(S$24&gt;0,S15*S$95/S$24,0)</f>
        <v>0</v>
      </c>
      <c r="T86" s="314">
        <f t="shared" si="66"/>
        <v>10</v>
      </c>
      <c r="U86" s="314">
        <f t="shared" si="66"/>
        <v>0</v>
      </c>
      <c r="V86" s="314">
        <f t="shared" si="66"/>
        <v>0</v>
      </c>
      <c r="W86" s="314">
        <f t="shared" si="66"/>
        <v>0</v>
      </c>
      <c r="X86" s="314">
        <f t="shared" si="66"/>
        <v>0</v>
      </c>
      <c r="Y86" s="315">
        <f t="shared" si="66"/>
        <v>16</v>
      </c>
      <c r="Z86" s="314">
        <f t="shared" si="66"/>
        <v>0</v>
      </c>
      <c r="AA86" s="314">
        <f t="shared" si="66"/>
        <v>1</v>
      </c>
      <c r="AB86" s="314">
        <f t="shared" si="66"/>
        <v>3</v>
      </c>
      <c r="AC86" s="314">
        <f t="shared" si="66"/>
        <v>0</v>
      </c>
      <c r="AD86" s="321">
        <f t="shared" si="66"/>
        <v>0</v>
      </c>
      <c r="AE86" s="184"/>
      <c r="AF86" s="324">
        <f t="shared" si="61"/>
        <v>30</v>
      </c>
      <c r="AH86" s="153" t="s">
        <v>45</v>
      </c>
      <c r="AI86" s="309">
        <f t="shared" ref="AI86:AT86" si="67">IF(AI$24&gt;0,AI15*AI$95/AI$24,0)</f>
        <v>9.0909090909090917</v>
      </c>
      <c r="AJ86" s="314">
        <f t="shared" si="67"/>
        <v>22.150537634408604</v>
      </c>
      <c r="AK86" s="314">
        <f t="shared" si="67"/>
        <v>1.4</v>
      </c>
      <c r="AL86" s="314">
        <f t="shared" si="67"/>
        <v>0</v>
      </c>
      <c r="AM86" s="314">
        <f t="shared" si="67"/>
        <v>3.2264150943396226</v>
      </c>
      <c r="AN86" s="314">
        <f t="shared" si="67"/>
        <v>1.1111111111111112</v>
      </c>
      <c r="AO86" s="315">
        <f t="shared" si="67"/>
        <v>0</v>
      </c>
      <c r="AP86" s="314">
        <f t="shared" si="67"/>
        <v>0</v>
      </c>
      <c r="AQ86" s="314">
        <f t="shared" si="67"/>
        <v>0</v>
      </c>
      <c r="AR86" s="314">
        <f t="shared" si="67"/>
        <v>0</v>
      </c>
      <c r="AS86" s="314">
        <f t="shared" si="67"/>
        <v>0</v>
      </c>
      <c r="AT86" s="321">
        <f t="shared" si="67"/>
        <v>0</v>
      </c>
      <c r="AU86" s="184"/>
      <c r="AV86" s="324">
        <f t="shared" si="63"/>
        <v>36.978972930768428</v>
      </c>
    </row>
    <row r="87" spans="2:48" x14ac:dyDescent="0.25">
      <c r="B87" s="153" t="s">
        <v>46</v>
      </c>
      <c r="C87" s="309">
        <f t="shared" si="55"/>
        <v>4.1360544217687076</v>
      </c>
      <c r="D87" s="314">
        <f t="shared" si="55"/>
        <v>0</v>
      </c>
      <c r="E87" s="314">
        <f t="shared" si="55"/>
        <v>0</v>
      </c>
      <c r="F87" s="314">
        <f t="shared" si="55"/>
        <v>0</v>
      </c>
      <c r="G87" s="314">
        <f t="shared" si="55"/>
        <v>1</v>
      </c>
      <c r="H87" s="314">
        <f t="shared" si="55"/>
        <v>0</v>
      </c>
      <c r="I87" s="315">
        <f t="shared" si="55"/>
        <v>0</v>
      </c>
      <c r="J87" s="314">
        <f t="shared" si="55"/>
        <v>0</v>
      </c>
      <c r="K87" s="140">
        <f t="shared" si="56"/>
        <v>0</v>
      </c>
      <c r="L87" s="140">
        <f t="shared" si="56"/>
        <v>0</v>
      </c>
      <c r="M87" s="140">
        <f t="shared" si="56"/>
        <v>0</v>
      </c>
      <c r="N87" s="141">
        <f t="shared" si="56"/>
        <v>0</v>
      </c>
      <c r="O87" s="184"/>
      <c r="P87" s="324">
        <f t="shared" si="57"/>
        <v>5.1360544217687076</v>
      </c>
      <c r="R87" s="153" t="s">
        <v>46</v>
      </c>
      <c r="S87" s="309">
        <f t="shared" ref="S87:AD87" si="68">IF(S$24&gt;0,S16*S$95/S$24,0)</f>
        <v>0</v>
      </c>
      <c r="T87" s="314">
        <f t="shared" si="68"/>
        <v>2.5</v>
      </c>
      <c r="U87" s="314">
        <f t="shared" si="68"/>
        <v>0</v>
      </c>
      <c r="V87" s="314">
        <f t="shared" si="68"/>
        <v>0</v>
      </c>
      <c r="W87" s="314">
        <f t="shared" si="68"/>
        <v>0</v>
      </c>
      <c r="X87" s="314">
        <f t="shared" si="68"/>
        <v>0</v>
      </c>
      <c r="Y87" s="315">
        <f t="shared" si="68"/>
        <v>0</v>
      </c>
      <c r="Z87" s="314">
        <f t="shared" si="68"/>
        <v>0</v>
      </c>
      <c r="AA87" s="314">
        <f t="shared" si="68"/>
        <v>2</v>
      </c>
      <c r="AB87" s="314">
        <f t="shared" si="68"/>
        <v>0</v>
      </c>
      <c r="AC87" s="314">
        <f t="shared" si="68"/>
        <v>0</v>
      </c>
      <c r="AD87" s="321">
        <f t="shared" si="68"/>
        <v>0</v>
      </c>
      <c r="AE87" s="184"/>
      <c r="AF87" s="324">
        <f t="shared" si="61"/>
        <v>4.5</v>
      </c>
      <c r="AH87" s="153" t="s">
        <v>46</v>
      </c>
      <c r="AI87" s="309">
        <f t="shared" ref="AI87:AT87" si="69">IF(AI$24&gt;0,AI16*AI$95/AI$24,0)</f>
        <v>1.1363636363636365</v>
      </c>
      <c r="AJ87" s="314">
        <f t="shared" si="69"/>
        <v>5.5376344086021509</v>
      </c>
      <c r="AK87" s="314">
        <f t="shared" si="69"/>
        <v>0</v>
      </c>
      <c r="AL87" s="314">
        <f t="shared" si="69"/>
        <v>0</v>
      </c>
      <c r="AM87" s="314">
        <f t="shared" si="69"/>
        <v>1.0754716981132075</v>
      </c>
      <c r="AN87" s="314">
        <f t="shared" si="69"/>
        <v>0</v>
      </c>
      <c r="AO87" s="315">
        <f t="shared" si="69"/>
        <v>0</v>
      </c>
      <c r="AP87" s="314">
        <f t="shared" si="69"/>
        <v>0</v>
      </c>
      <c r="AQ87" s="314">
        <f t="shared" si="69"/>
        <v>1</v>
      </c>
      <c r="AR87" s="314">
        <f t="shared" si="69"/>
        <v>0</v>
      </c>
      <c r="AS87" s="314">
        <f t="shared" si="69"/>
        <v>0</v>
      </c>
      <c r="AT87" s="321">
        <f t="shared" si="69"/>
        <v>0</v>
      </c>
      <c r="AU87" s="184"/>
      <c r="AV87" s="324">
        <f t="shared" si="63"/>
        <v>8.7494697430789952</v>
      </c>
    </row>
    <row r="88" spans="2:48" x14ac:dyDescent="0.25">
      <c r="B88" s="153" t="s">
        <v>47</v>
      </c>
      <c r="C88" s="309">
        <f t="shared" si="55"/>
        <v>8.2721088435374153</v>
      </c>
      <c r="D88" s="314">
        <f t="shared" si="55"/>
        <v>1</v>
      </c>
      <c r="E88" s="314">
        <f t="shared" si="55"/>
        <v>0</v>
      </c>
      <c r="F88" s="314">
        <f t="shared" si="55"/>
        <v>0</v>
      </c>
      <c r="G88" s="314">
        <f t="shared" si="55"/>
        <v>1</v>
      </c>
      <c r="H88" s="314">
        <f t="shared" si="55"/>
        <v>0</v>
      </c>
      <c r="I88" s="315">
        <f t="shared" si="55"/>
        <v>0</v>
      </c>
      <c r="J88" s="314">
        <f t="shared" si="55"/>
        <v>0</v>
      </c>
      <c r="K88" s="140">
        <f t="shared" si="56"/>
        <v>0</v>
      </c>
      <c r="L88" s="140">
        <f t="shared" si="56"/>
        <v>0</v>
      </c>
      <c r="M88" s="140">
        <f t="shared" si="56"/>
        <v>0</v>
      </c>
      <c r="N88" s="141">
        <f t="shared" si="56"/>
        <v>0</v>
      </c>
      <c r="O88" s="184"/>
      <c r="P88" s="324">
        <f t="shared" si="57"/>
        <v>10.272108843537415</v>
      </c>
      <c r="R88" s="153" t="s">
        <v>47</v>
      </c>
      <c r="S88" s="309">
        <f t="shared" ref="S88:AD88" si="70">IF(S$24&gt;0,S17*S$95/S$24,0)</f>
        <v>1.2</v>
      </c>
      <c r="T88" s="314">
        <f t="shared" si="70"/>
        <v>5</v>
      </c>
      <c r="U88" s="314">
        <f t="shared" si="70"/>
        <v>1.2</v>
      </c>
      <c r="V88" s="314">
        <f t="shared" si="70"/>
        <v>1.2</v>
      </c>
      <c r="W88" s="314">
        <f t="shared" si="70"/>
        <v>0</v>
      </c>
      <c r="X88" s="314">
        <f t="shared" si="70"/>
        <v>0</v>
      </c>
      <c r="Y88" s="315">
        <f t="shared" si="70"/>
        <v>2</v>
      </c>
      <c r="Z88" s="314">
        <f t="shared" si="70"/>
        <v>0</v>
      </c>
      <c r="AA88" s="314">
        <f t="shared" si="70"/>
        <v>0</v>
      </c>
      <c r="AB88" s="314">
        <f t="shared" si="70"/>
        <v>0</v>
      </c>
      <c r="AC88" s="314">
        <f t="shared" si="70"/>
        <v>0</v>
      </c>
      <c r="AD88" s="321">
        <f t="shared" si="70"/>
        <v>0</v>
      </c>
      <c r="AE88" s="184"/>
      <c r="AF88" s="324">
        <f t="shared" si="61"/>
        <v>10.6</v>
      </c>
      <c r="AH88" s="153" t="s">
        <v>47</v>
      </c>
      <c r="AI88" s="309">
        <f t="shared" ref="AI88:AT88" si="71">IF(AI$24&gt;0,AI17*AI$95/AI$24,0)</f>
        <v>4.5454545454545459</v>
      </c>
      <c r="AJ88" s="314">
        <f t="shared" si="71"/>
        <v>15.505376344086022</v>
      </c>
      <c r="AK88" s="314">
        <f t="shared" si="71"/>
        <v>0</v>
      </c>
      <c r="AL88" s="314">
        <f t="shared" si="71"/>
        <v>0</v>
      </c>
      <c r="AM88" s="314">
        <f t="shared" si="71"/>
        <v>3.2264150943396226</v>
      </c>
      <c r="AN88" s="314">
        <f t="shared" si="71"/>
        <v>2.2222222222222223</v>
      </c>
      <c r="AO88" s="315">
        <f t="shared" si="71"/>
        <v>0</v>
      </c>
      <c r="AP88" s="314">
        <f t="shared" si="71"/>
        <v>0</v>
      </c>
      <c r="AQ88" s="314">
        <f t="shared" si="71"/>
        <v>1</v>
      </c>
      <c r="AR88" s="314">
        <f t="shared" si="71"/>
        <v>0</v>
      </c>
      <c r="AS88" s="314">
        <f t="shared" si="71"/>
        <v>0</v>
      </c>
      <c r="AT88" s="321">
        <f t="shared" si="71"/>
        <v>0</v>
      </c>
      <c r="AU88" s="184"/>
      <c r="AV88" s="324">
        <f t="shared" si="63"/>
        <v>26.49946820610241</v>
      </c>
    </row>
    <row r="89" spans="2:48" x14ac:dyDescent="0.25">
      <c r="B89" s="207" t="s">
        <v>48</v>
      </c>
      <c r="C89" s="310">
        <f t="shared" si="55"/>
        <v>0</v>
      </c>
      <c r="D89" s="316">
        <f t="shared" si="55"/>
        <v>0</v>
      </c>
      <c r="E89" s="316">
        <f t="shared" si="55"/>
        <v>0</v>
      </c>
      <c r="F89" s="316">
        <f t="shared" si="55"/>
        <v>0</v>
      </c>
      <c r="G89" s="316">
        <f t="shared" si="55"/>
        <v>0</v>
      </c>
      <c r="H89" s="316">
        <f t="shared" si="55"/>
        <v>0</v>
      </c>
      <c r="I89" s="317">
        <f t="shared" si="55"/>
        <v>0</v>
      </c>
      <c r="J89" s="316">
        <f t="shared" si="55"/>
        <v>0</v>
      </c>
      <c r="K89" s="205">
        <f t="shared" si="56"/>
        <v>0</v>
      </c>
      <c r="L89" s="205">
        <f t="shared" si="56"/>
        <v>0</v>
      </c>
      <c r="M89" s="205">
        <f t="shared" si="56"/>
        <v>0</v>
      </c>
      <c r="N89" s="206">
        <f t="shared" si="56"/>
        <v>0</v>
      </c>
      <c r="O89" s="184"/>
      <c r="P89" s="324">
        <f t="shared" si="57"/>
        <v>0</v>
      </c>
      <c r="R89" s="207" t="s">
        <v>48</v>
      </c>
      <c r="S89" s="310">
        <f t="shared" ref="S89:AD89" si="72">IF(S$24&gt;0,S18*S$95/S$24,0)</f>
        <v>0</v>
      </c>
      <c r="T89" s="316">
        <f t="shared" si="72"/>
        <v>0</v>
      </c>
      <c r="U89" s="316">
        <f t="shared" si="72"/>
        <v>0</v>
      </c>
      <c r="V89" s="316">
        <f t="shared" si="72"/>
        <v>0</v>
      </c>
      <c r="W89" s="316">
        <f t="shared" si="72"/>
        <v>0</v>
      </c>
      <c r="X89" s="316">
        <f t="shared" si="72"/>
        <v>0</v>
      </c>
      <c r="Y89" s="317">
        <f t="shared" si="72"/>
        <v>2</v>
      </c>
      <c r="Z89" s="316">
        <f t="shared" si="72"/>
        <v>0</v>
      </c>
      <c r="AA89" s="316">
        <f t="shared" si="72"/>
        <v>0</v>
      </c>
      <c r="AB89" s="316">
        <f t="shared" si="72"/>
        <v>0</v>
      </c>
      <c r="AC89" s="316">
        <f t="shared" si="72"/>
        <v>0</v>
      </c>
      <c r="AD89" s="322">
        <f t="shared" si="72"/>
        <v>0</v>
      </c>
      <c r="AE89" s="184"/>
      <c r="AF89" s="324">
        <f t="shared" si="61"/>
        <v>2</v>
      </c>
      <c r="AH89" s="207" t="s">
        <v>48</v>
      </c>
      <c r="AI89" s="310">
        <f t="shared" ref="AI89:AT89" si="73">IF(AI$24&gt;0,AI18*AI$95/AI$24,0)</f>
        <v>2.2727272727272729</v>
      </c>
      <c r="AJ89" s="316">
        <f t="shared" si="73"/>
        <v>1.10752688172043</v>
      </c>
      <c r="AK89" s="316">
        <f t="shared" si="73"/>
        <v>0</v>
      </c>
      <c r="AL89" s="316">
        <f t="shared" si="73"/>
        <v>0</v>
      </c>
      <c r="AM89" s="316">
        <f t="shared" si="73"/>
        <v>0</v>
      </c>
      <c r="AN89" s="316">
        <f t="shared" si="73"/>
        <v>0</v>
      </c>
      <c r="AO89" s="317">
        <f t="shared" si="73"/>
        <v>3.1428571428571428</v>
      </c>
      <c r="AP89" s="316">
        <f t="shared" si="73"/>
        <v>0</v>
      </c>
      <c r="AQ89" s="316">
        <f t="shared" si="73"/>
        <v>0</v>
      </c>
      <c r="AR89" s="316">
        <f t="shared" si="73"/>
        <v>0</v>
      </c>
      <c r="AS89" s="316">
        <f t="shared" si="73"/>
        <v>0</v>
      </c>
      <c r="AT89" s="322">
        <f t="shared" si="73"/>
        <v>0</v>
      </c>
      <c r="AU89" s="184"/>
      <c r="AV89" s="324">
        <f t="shared" si="63"/>
        <v>6.5231112973048457</v>
      </c>
    </row>
    <row r="90" spans="2:48" x14ac:dyDescent="0.25">
      <c r="B90" s="153" t="s">
        <v>523</v>
      </c>
      <c r="C90" s="309">
        <f t="shared" ref="C90:I94" si="74">IF(C$24&gt;0,C19*C$95/C$24,0)</f>
        <v>105.46938775510205</v>
      </c>
      <c r="D90" s="314">
        <f t="shared" si="74"/>
        <v>28</v>
      </c>
      <c r="E90" s="314">
        <f t="shared" si="74"/>
        <v>0</v>
      </c>
      <c r="F90" s="314">
        <f t="shared" si="74"/>
        <v>0</v>
      </c>
      <c r="G90" s="314">
        <f t="shared" si="74"/>
        <v>44</v>
      </c>
      <c r="H90" s="314">
        <f t="shared" si="74"/>
        <v>0</v>
      </c>
      <c r="I90" s="315">
        <f t="shared" si="74"/>
        <v>0</v>
      </c>
      <c r="J90" s="327"/>
      <c r="K90" s="196"/>
      <c r="L90" s="196"/>
      <c r="M90" s="196"/>
      <c r="N90" s="197"/>
      <c r="O90" s="184"/>
      <c r="P90" s="324">
        <f t="shared" si="57"/>
        <v>177.46938775510205</v>
      </c>
      <c r="R90" s="153" t="s">
        <v>523</v>
      </c>
      <c r="S90" s="309">
        <f t="shared" ref="S90:Y94" si="75">IF(S$24&gt;0,S19*S$95/S$24,0)</f>
        <v>10.8</v>
      </c>
      <c r="T90" s="314">
        <f t="shared" si="75"/>
        <v>20</v>
      </c>
      <c r="U90" s="314">
        <f t="shared" si="75"/>
        <v>10.8</v>
      </c>
      <c r="V90" s="314">
        <f t="shared" si="75"/>
        <v>4.8</v>
      </c>
      <c r="W90" s="314">
        <f t="shared" si="75"/>
        <v>0</v>
      </c>
      <c r="X90" s="314">
        <f t="shared" si="75"/>
        <v>2</v>
      </c>
      <c r="Y90" s="315">
        <f t="shared" si="75"/>
        <v>0</v>
      </c>
      <c r="Z90" s="195"/>
      <c r="AA90" s="196"/>
      <c r="AB90" s="196"/>
      <c r="AC90" s="196"/>
      <c r="AD90" s="197"/>
      <c r="AE90" s="184"/>
      <c r="AF90" s="324">
        <f t="shared" si="61"/>
        <v>48.4</v>
      </c>
      <c r="AH90" s="153" t="s">
        <v>523</v>
      </c>
      <c r="AI90" s="309">
        <f t="shared" ref="AI90:AO94" si="76">IF(AI$24&gt;0,AI19*AI$95/AI$24,0)</f>
        <v>21.59090909090909</v>
      </c>
      <c r="AJ90" s="314">
        <f t="shared" si="76"/>
        <v>69.774193548387103</v>
      </c>
      <c r="AK90" s="314">
        <f t="shared" si="76"/>
        <v>1.4</v>
      </c>
      <c r="AL90" s="314">
        <f t="shared" si="76"/>
        <v>0</v>
      </c>
      <c r="AM90" s="314">
        <f t="shared" si="76"/>
        <v>18.283018867924529</v>
      </c>
      <c r="AN90" s="314">
        <f t="shared" si="76"/>
        <v>11.111111111111111</v>
      </c>
      <c r="AO90" s="315">
        <f t="shared" si="76"/>
        <v>0</v>
      </c>
      <c r="AP90" s="195"/>
      <c r="AQ90" s="196"/>
      <c r="AR90" s="196"/>
      <c r="AS90" s="196"/>
      <c r="AT90" s="197"/>
      <c r="AU90" s="184"/>
      <c r="AV90" s="324">
        <f t="shared" si="63"/>
        <v>122.15923261833184</v>
      </c>
    </row>
    <row r="91" spans="2:48" x14ac:dyDescent="0.25">
      <c r="B91" s="153" t="s">
        <v>524</v>
      </c>
      <c r="C91" s="309">
        <f t="shared" si="74"/>
        <v>2.0680272108843538</v>
      </c>
      <c r="D91" s="314">
        <f t="shared" si="74"/>
        <v>1</v>
      </c>
      <c r="E91" s="314">
        <f t="shared" si="74"/>
        <v>0</v>
      </c>
      <c r="F91" s="314">
        <f t="shared" si="74"/>
        <v>0</v>
      </c>
      <c r="G91" s="314">
        <f t="shared" si="74"/>
        <v>1</v>
      </c>
      <c r="H91" s="314">
        <f t="shared" si="74"/>
        <v>0</v>
      </c>
      <c r="I91" s="315">
        <f t="shared" si="74"/>
        <v>0</v>
      </c>
      <c r="J91" s="328"/>
      <c r="K91" s="199"/>
      <c r="L91" s="199"/>
      <c r="M91" s="199"/>
      <c r="N91" s="200"/>
      <c r="O91" s="184"/>
      <c r="P91" s="324">
        <f t="shared" si="57"/>
        <v>4.0680272108843543</v>
      </c>
      <c r="R91" s="153" t="s">
        <v>524</v>
      </c>
      <c r="S91" s="309">
        <f t="shared" si="75"/>
        <v>0</v>
      </c>
      <c r="T91" s="314">
        <f t="shared" si="75"/>
        <v>0</v>
      </c>
      <c r="U91" s="314">
        <f t="shared" si="75"/>
        <v>0</v>
      </c>
      <c r="V91" s="314">
        <f t="shared" si="75"/>
        <v>0</v>
      </c>
      <c r="W91" s="314">
        <f t="shared" si="75"/>
        <v>1</v>
      </c>
      <c r="X91" s="314">
        <f t="shared" si="75"/>
        <v>0</v>
      </c>
      <c r="Y91" s="315">
        <f t="shared" si="75"/>
        <v>0</v>
      </c>
      <c r="Z91" s="198"/>
      <c r="AA91" s="199"/>
      <c r="AB91" s="199"/>
      <c r="AC91" s="199"/>
      <c r="AD91" s="200"/>
      <c r="AE91" s="184"/>
      <c r="AF91" s="324">
        <f t="shared" si="61"/>
        <v>1</v>
      </c>
      <c r="AH91" s="153" t="s">
        <v>524</v>
      </c>
      <c r="AI91" s="309">
        <f t="shared" si="76"/>
        <v>0</v>
      </c>
      <c r="AJ91" s="314">
        <f t="shared" si="76"/>
        <v>5.5376344086021509</v>
      </c>
      <c r="AK91" s="314">
        <f t="shared" si="76"/>
        <v>0</v>
      </c>
      <c r="AL91" s="314">
        <f t="shared" si="76"/>
        <v>0</v>
      </c>
      <c r="AM91" s="314">
        <f t="shared" si="76"/>
        <v>7.5283018867924527</v>
      </c>
      <c r="AN91" s="314">
        <f t="shared" si="76"/>
        <v>0</v>
      </c>
      <c r="AO91" s="315">
        <f t="shared" si="76"/>
        <v>0</v>
      </c>
      <c r="AP91" s="198"/>
      <c r="AQ91" s="199"/>
      <c r="AR91" s="199"/>
      <c r="AS91" s="199"/>
      <c r="AT91" s="200"/>
      <c r="AU91" s="184"/>
      <c r="AV91" s="324">
        <f t="shared" si="63"/>
        <v>13.065936295394604</v>
      </c>
    </row>
    <row r="92" spans="2:48" x14ac:dyDescent="0.25">
      <c r="B92" s="153" t="s">
        <v>525</v>
      </c>
      <c r="C92" s="309">
        <f t="shared" si="74"/>
        <v>0</v>
      </c>
      <c r="D92" s="314">
        <f t="shared" si="74"/>
        <v>0</v>
      </c>
      <c r="E92" s="314">
        <f t="shared" si="74"/>
        <v>0</v>
      </c>
      <c r="F92" s="314">
        <f t="shared" si="74"/>
        <v>0</v>
      </c>
      <c r="G92" s="314">
        <f t="shared" si="74"/>
        <v>0</v>
      </c>
      <c r="H92" s="314">
        <f t="shared" si="74"/>
        <v>0</v>
      </c>
      <c r="I92" s="315">
        <f t="shared" si="74"/>
        <v>0</v>
      </c>
      <c r="J92" s="328"/>
      <c r="K92" s="199"/>
      <c r="L92" s="201" t="s">
        <v>69</v>
      </c>
      <c r="M92" s="199"/>
      <c r="N92" s="200"/>
      <c r="O92" s="184"/>
      <c r="P92" s="324">
        <f t="shared" si="57"/>
        <v>0</v>
      </c>
      <c r="R92" s="153" t="s">
        <v>525</v>
      </c>
      <c r="S92" s="309">
        <f t="shared" si="75"/>
        <v>0</v>
      </c>
      <c r="T92" s="314">
        <f t="shared" si="75"/>
        <v>0</v>
      </c>
      <c r="U92" s="314">
        <f t="shared" si="75"/>
        <v>0</v>
      </c>
      <c r="V92" s="314">
        <f t="shared" si="75"/>
        <v>0</v>
      </c>
      <c r="W92" s="314">
        <f t="shared" si="75"/>
        <v>0</v>
      </c>
      <c r="X92" s="314">
        <f t="shared" si="75"/>
        <v>0</v>
      </c>
      <c r="Y92" s="315">
        <f t="shared" si="75"/>
        <v>5</v>
      </c>
      <c r="Z92" s="198"/>
      <c r="AA92" s="199"/>
      <c r="AB92" s="201" t="s">
        <v>69</v>
      </c>
      <c r="AC92" s="199"/>
      <c r="AD92" s="200"/>
      <c r="AE92" s="184"/>
      <c r="AF92" s="324">
        <f t="shared" si="61"/>
        <v>5</v>
      </c>
      <c r="AH92" s="153" t="s">
        <v>525</v>
      </c>
      <c r="AI92" s="309">
        <f t="shared" si="76"/>
        <v>19.318181818181817</v>
      </c>
      <c r="AJ92" s="314">
        <f t="shared" si="76"/>
        <v>1.10752688172043</v>
      </c>
      <c r="AK92" s="314">
        <f t="shared" si="76"/>
        <v>0</v>
      </c>
      <c r="AL92" s="314">
        <f t="shared" si="76"/>
        <v>0</v>
      </c>
      <c r="AM92" s="314">
        <f t="shared" si="76"/>
        <v>0</v>
      </c>
      <c r="AN92" s="314">
        <f t="shared" si="76"/>
        <v>0</v>
      </c>
      <c r="AO92" s="315">
        <f t="shared" si="76"/>
        <v>7.8571428571428568</v>
      </c>
      <c r="AP92" s="198"/>
      <c r="AQ92" s="199"/>
      <c r="AR92" s="201" t="s">
        <v>69</v>
      </c>
      <c r="AS92" s="199"/>
      <c r="AT92" s="200"/>
      <c r="AU92" s="184"/>
      <c r="AV92" s="324">
        <f t="shared" si="63"/>
        <v>28.282851557045102</v>
      </c>
    </row>
    <row r="93" spans="2:48" x14ac:dyDescent="0.25">
      <c r="B93" s="153" t="s">
        <v>526</v>
      </c>
      <c r="C93" s="309">
        <f t="shared" si="74"/>
        <v>1.0340136054421769</v>
      </c>
      <c r="D93" s="314">
        <f t="shared" si="74"/>
        <v>0</v>
      </c>
      <c r="E93" s="314">
        <f t="shared" si="74"/>
        <v>0</v>
      </c>
      <c r="F93" s="314">
        <f t="shared" si="74"/>
        <v>0</v>
      </c>
      <c r="G93" s="314">
        <f t="shared" si="74"/>
        <v>0</v>
      </c>
      <c r="H93" s="314">
        <f t="shared" si="74"/>
        <v>0</v>
      </c>
      <c r="I93" s="315">
        <f t="shared" si="74"/>
        <v>0</v>
      </c>
      <c r="J93" s="328"/>
      <c r="K93" s="199"/>
      <c r="L93" s="199"/>
      <c r="M93" s="199"/>
      <c r="N93" s="200"/>
      <c r="O93" s="184"/>
      <c r="P93" s="324">
        <f t="shared" si="57"/>
        <v>1.0340136054421769</v>
      </c>
      <c r="R93" s="153" t="s">
        <v>526</v>
      </c>
      <c r="S93" s="309">
        <f t="shared" si="75"/>
        <v>0</v>
      </c>
      <c r="T93" s="314">
        <f t="shared" si="75"/>
        <v>0</v>
      </c>
      <c r="U93" s="314">
        <f t="shared" si="75"/>
        <v>0</v>
      </c>
      <c r="V93" s="314">
        <f t="shared" si="75"/>
        <v>0</v>
      </c>
      <c r="W93" s="314">
        <f t="shared" si="75"/>
        <v>0</v>
      </c>
      <c r="X93" s="314">
        <f t="shared" si="75"/>
        <v>0</v>
      </c>
      <c r="Y93" s="315">
        <f t="shared" si="75"/>
        <v>0</v>
      </c>
      <c r="Z93" s="198"/>
      <c r="AA93" s="199"/>
      <c r="AB93" s="199"/>
      <c r="AC93" s="199"/>
      <c r="AD93" s="200"/>
      <c r="AE93" s="184"/>
      <c r="AF93" s="324">
        <f t="shared" si="61"/>
        <v>0</v>
      </c>
      <c r="AH93" s="153" t="s">
        <v>526</v>
      </c>
      <c r="AI93" s="309">
        <f t="shared" si="76"/>
        <v>0</v>
      </c>
      <c r="AJ93" s="314">
        <f t="shared" si="76"/>
        <v>1.10752688172043</v>
      </c>
      <c r="AK93" s="314">
        <f t="shared" si="76"/>
        <v>0</v>
      </c>
      <c r="AL93" s="314">
        <f t="shared" si="76"/>
        <v>0</v>
      </c>
      <c r="AM93" s="314">
        <f t="shared" si="76"/>
        <v>0</v>
      </c>
      <c r="AN93" s="314">
        <f t="shared" si="76"/>
        <v>0</v>
      </c>
      <c r="AO93" s="315">
        <f t="shared" si="76"/>
        <v>0</v>
      </c>
      <c r="AP93" s="198"/>
      <c r="AQ93" s="199"/>
      <c r="AR93" s="199"/>
      <c r="AS93" s="199"/>
      <c r="AT93" s="200"/>
      <c r="AU93" s="184"/>
      <c r="AV93" s="324">
        <f t="shared" si="63"/>
        <v>1.10752688172043</v>
      </c>
    </row>
    <row r="94" spans="2:48" x14ac:dyDescent="0.25">
      <c r="B94" s="154" t="s">
        <v>527</v>
      </c>
      <c r="C94" s="311">
        <f t="shared" si="74"/>
        <v>0</v>
      </c>
      <c r="D94" s="318">
        <f t="shared" si="74"/>
        <v>0</v>
      </c>
      <c r="E94" s="318">
        <f t="shared" si="74"/>
        <v>0</v>
      </c>
      <c r="F94" s="318">
        <f t="shared" si="74"/>
        <v>0</v>
      </c>
      <c r="G94" s="318">
        <f t="shared" si="74"/>
        <v>0</v>
      </c>
      <c r="H94" s="318">
        <f t="shared" si="74"/>
        <v>0</v>
      </c>
      <c r="I94" s="319">
        <f t="shared" si="74"/>
        <v>0</v>
      </c>
      <c r="J94" s="329"/>
      <c r="K94" s="203"/>
      <c r="L94" s="203"/>
      <c r="M94" s="203"/>
      <c r="N94" s="204"/>
      <c r="O94" s="185"/>
      <c r="P94" s="325">
        <f t="shared" si="57"/>
        <v>0</v>
      </c>
      <c r="R94" s="154" t="s">
        <v>527</v>
      </c>
      <c r="S94" s="311">
        <f t="shared" si="75"/>
        <v>0</v>
      </c>
      <c r="T94" s="318">
        <f t="shared" si="75"/>
        <v>0</v>
      </c>
      <c r="U94" s="318">
        <f t="shared" si="75"/>
        <v>0</v>
      </c>
      <c r="V94" s="318">
        <f t="shared" si="75"/>
        <v>0</v>
      </c>
      <c r="W94" s="318">
        <f t="shared" si="75"/>
        <v>0</v>
      </c>
      <c r="X94" s="318">
        <f t="shared" si="75"/>
        <v>0</v>
      </c>
      <c r="Y94" s="319">
        <f t="shared" si="75"/>
        <v>0</v>
      </c>
      <c r="Z94" s="202"/>
      <c r="AA94" s="203"/>
      <c r="AB94" s="203"/>
      <c r="AC94" s="203"/>
      <c r="AD94" s="204"/>
      <c r="AE94" s="185"/>
      <c r="AF94" s="325">
        <f t="shared" si="61"/>
        <v>0</v>
      </c>
      <c r="AH94" s="154" t="s">
        <v>527</v>
      </c>
      <c r="AI94" s="311">
        <f t="shared" si="76"/>
        <v>0</v>
      </c>
      <c r="AJ94" s="318">
        <f t="shared" si="76"/>
        <v>1.10752688172043</v>
      </c>
      <c r="AK94" s="318">
        <f t="shared" si="76"/>
        <v>0</v>
      </c>
      <c r="AL94" s="318">
        <f t="shared" si="76"/>
        <v>0</v>
      </c>
      <c r="AM94" s="318">
        <f t="shared" si="76"/>
        <v>0</v>
      </c>
      <c r="AN94" s="318">
        <f t="shared" si="76"/>
        <v>0</v>
      </c>
      <c r="AO94" s="319">
        <f t="shared" si="76"/>
        <v>0</v>
      </c>
      <c r="AP94" s="202"/>
      <c r="AQ94" s="203"/>
      <c r="AR94" s="203"/>
      <c r="AS94" s="203"/>
      <c r="AT94" s="204"/>
      <c r="AU94" s="185"/>
      <c r="AV94" s="325">
        <f t="shared" si="63"/>
        <v>1.10752688172043</v>
      </c>
    </row>
    <row r="95" spans="2:48" x14ac:dyDescent="0.25">
      <c r="B95" s="149" t="s">
        <v>66</v>
      </c>
      <c r="C95" s="307">
        <f t="shared" ref="C95:N95" si="77">IF(C$31&gt;0,INT(C$24*C34/C$31),0)</f>
        <v>152</v>
      </c>
      <c r="D95" s="307">
        <f t="shared" si="77"/>
        <v>39</v>
      </c>
      <c r="E95" s="307">
        <f t="shared" si="77"/>
        <v>0</v>
      </c>
      <c r="F95" s="307">
        <f t="shared" si="77"/>
        <v>0</v>
      </c>
      <c r="G95" s="307">
        <f t="shared" si="77"/>
        <v>59</v>
      </c>
      <c r="H95" s="307">
        <f t="shared" si="77"/>
        <v>0</v>
      </c>
      <c r="I95" s="307">
        <f t="shared" si="77"/>
        <v>0</v>
      </c>
      <c r="J95" s="307">
        <f t="shared" si="77"/>
        <v>3</v>
      </c>
      <c r="K95" s="307">
        <f t="shared" si="77"/>
        <v>0</v>
      </c>
      <c r="L95" s="307">
        <f t="shared" si="77"/>
        <v>6</v>
      </c>
      <c r="M95" s="307">
        <f t="shared" si="77"/>
        <v>0</v>
      </c>
      <c r="N95" s="307">
        <f t="shared" si="77"/>
        <v>0</v>
      </c>
      <c r="O95" s="182"/>
      <c r="P95" s="326">
        <f>SUM(P83:P94)</f>
        <v>258</v>
      </c>
      <c r="R95" s="149" t="s">
        <v>66</v>
      </c>
      <c r="S95" s="307">
        <f t="shared" ref="S95:AD95" si="78">IF(S$31&gt;0,INT(S$24*S34/S$31),0)</f>
        <v>12</v>
      </c>
      <c r="T95" s="307">
        <f t="shared" si="78"/>
        <v>50</v>
      </c>
      <c r="U95" s="307">
        <f t="shared" si="78"/>
        <v>12</v>
      </c>
      <c r="V95" s="307">
        <f t="shared" si="78"/>
        <v>6</v>
      </c>
      <c r="W95" s="307">
        <f t="shared" si="78"/>
        <v>1</v>
      </c>
      <c r="X95" s="307">
        <f t="shared" si="78"/>
        <v>3</v>
      </c>
      <c r="Y95" s="307">
        <f t="shared" si="78"/>
        <v>34</v>
      </c>
      <c r="Z95" s="307">
        <f t="shared" si="78"/>
        <v>0</v>
      </c>
      <c r="AA95" s="307">
        <f t="shared" si="78"/>
        <v>4</v>
      </c>
      <c r="AB95" s="307">
        <f t="shared" si="78"/>
        <v>3</v>
      </c>
      <c r="AC95" s="307">
        <f t="shared" si="78"/>
        <v>0</v>
      </c>
      <c r="AD95" s="307">
        <f t="shared" si="78"/>
        <v>0</v>
      </c>
      <c r="AE95" s="182"/>
      <c r="AF95" s="151">
        <f>SUM(AF83:AF94)</f>
        <v>125</v>
      </c>
      <c r="AH95" s="149" t="s">
        <v>66</v>
      </c>
      <c r="AI95" s="307">
        <f t="shared" ref="AI95:AT95" si="79">IF(AI$31&gt;0,INT(AI$24*AI34/AI$31),0)</f>
        <v>75</v>
      </c>
      <c r="AJ95" s="307">
        <f t="shared" si="79"/>
        <v>206</v>
      </c>
      <c r="AK95" s="307">
        <f t="shared" si="79"/>
        <v>7</v>
      </c>
      <c r="AL95" s="307">
        <f t="shared" si="79"/>
        <v>2</v>
      </c>
      <c r="AM95" s="307">
        <f t="shared" si="79"/>
        <v>57</v>
      </c>
      <c r="AN95" s="307">
        <f t="shared" si="79"/>
        <v>20</v>
      </c>
      <c r="AO95" s="307">
        <f t="shared" si="79"/>
        <v>11</v>
      </c>
      <c r="AP95" s="307">
        <f t="shared" si="79"/>
        <v>0</v>
      </c>
      <c r="AQ95" s="307">
        <f t="shared" si="79"/>
        <v>2</v>
      </c>
      <c r="AR95" s="307">
        <f t="shared" si="79"/>
        <v>0</v>
      </c>
      <c r="AS95" s="307">
        <f t="shared" si="79"/>
        <v>0</v>
      </c>
      <c r="AT95" s="307">
        <f t="shared" si="79"/>
        <v>0</v>
      </c>
      <c r="AU95" s="182"/>
      <c r="AV95" s="151">
        <f>SUM(AV83:AV94)</f>
        <v>380.00000000000006</v>
      </c>
    </row>
    <row r="98" spans="2:48" ht="18.75" x14ac:dyDescent="0.3">
      <c r="B98" s="29" t="s">
        <v>614</v>
      </c>
      <c r="R98" s="29" t="s">
        <v>619</v>
      </c>
      <c r="AH98" s="29" t="s">
        <v>623</v>
      </c>
    </row>
    <row r="99" spans="2:48" x14ac:dyDescent="0.25">
      <c r="B99" s="179" t="s">
        <v>604</v>
      </c>
      <c r="R99" s="179" t="s">
        <v>604</v>
      </c>
      <c r="AH99" s="179" t="s">
        <v>604</v>
      </c>
    </row>
    <row r="101" spans="2:48" x14ac:dyDescent="0.25">
      <c r="B101" s="101"/>
      <c r="C101" s="390" t="s">
        <v>50</v>
      </c>
      <c r="D101" s="390"/>
      <c r="E101" s="390"/>
      <c r="F101" s="390"/>
      <c r="G101" s="390"/>
      <c r="H101" s="390"/>
      <c r="I101" s="390"/>
      <c r="J101" s="390"/>
      <c r="K101" s="390"/>
      <c r="L101" s="390"/>
      <c r="M101" s="390"/>
      <c r="N101" s="390"/>
      <c r="O101" s="180"/>
      <c r="P101" s="104"/>
      <c r="R101" s="101"/>
      <c r="S101" s="390" t="s">
        <v>50</v>
      </c>
      <c r="T101" s="390"/>
      <c r="U101" s="390"/>
      <c r="V101" s="390"/>
      <c r="W101" s="390"/>
      <c r="X101" s="390"/>
      <c r="Y101" s="390"/>
      <c r="Z101" s="390"/>
      <c r="AA101" s="390"/>
      <c r="AB101" s="390"/>
      <c r="AC101" s="390"/>
      <c r="AD101" s="390"/>
      <c r="AE101" s="180"/>
      <c r="AF101" s="104"/>
      <c r="AH101" s="101"/>
      <c r="AI101" s="390" t="s">
        <v>50</v>
      </c>
      <c r="AJ101" s="390"/>
      <c r="AK101" s="390"/>
      <c r="AL101" s="390"/>
      <c r="AM101" s="390"/>
      <c r="AN101" s="390"/>
      <c r="AO101" s="390"/>
      <c r="AP101" s="390"/>
      <c r="AQ101" s="390"/>
      <c r="AR101" s="390"/>
      <c r="AS101" s="390"/>
      <c r="AT101" s="390"/>
      <c r="AU101" s="180"/>
      <c r="AV101" s="104"/>
    </row>
    <row r="102" spans="2:48" x14ac:dyDescent="0.25">
      <c r="B102" s="147" t="s">
        <v>49</v>
      </c>
      <c r="C102" s="25" t="s">
        <v>42</v>
      </c>
      <c r="D102" s="26" t="s">
        <v>51</v>
      </c>
      <c r="E102" s="26" t="s">
        <v>52</v>
      </c>
      <c r="F102" s="26" t="s">
        <v>53</v>
      </c>
      <c r="G102" s="26" t="s">
        <v>54</v>
      </c>
      <c r="H102" s="26" t="s">
        <v>55</v>
      </c>
      <c r="I102" s="26" t="s">
        <v>56</v>
      </c>
      <c r="J102" s="26" t="s">
        <v>60</v>
      </c>
      <c r="K102" s="26" t="s">
        <v>59</v>
      </c>
      <c r="L102" s="26" t="s">
        <v>61</v>
      </c>
      <c r="M102" s="26" t="s">
        <v>58</v>
      </c>
      <c r="N102" s="26" t="s">
        <v>57</v>
      </c>
      <c r="O102" s="164"/>
      <c r="P102" s="181" t="s">
        <v>66</v>
      </c>
      <c r="R102" s="147" t="s">
        <v>49</v>
      </c>
      <c r="S102" s="25" t="s">
        <v>42</v>
      </c>
      <c r="T102" s="26" t="s">
        <v>51</v>
      </c>
      <c r="U102" s="26" t="s">
        <v>52</v>
      </c>
      <c r="V102" s="26" t="s">
        <v>53</v>
      </c>
      <c r="W102" s="26" t="s">
        <v>54</v>
      </c>
      <c r="X102" s="26" t="s">
        <v>55</v>
      </c>
      <c r="Y102" s="26" t="s">
        <v>56</v>
      </c>
      <c r="Z102" s="26" t="s">
        <v>60</v>
      </c>
      <c r="AA102" s="26" t="s">
        <v>59</v>
      </c>
      <c r="AB102" s="26" t="s">
        <v>61</v>
      </c>
      <c r="AC102" s="26" t="s">
        <v>58</v>
      </c>
      <c r="AD102" s="26" t="s">
        <v>57</v>
      </c>
      <c r="AE102" s="164"/>
      <c r="AF102" s="181" t="s">
        <v>66</v>
      </c>
      <c r="AH102" s="147" t="s">
        <v>49</v>
      </c>
      <c r="AI102" s="25" t="s">
        <v>42</v>
      </c>
      <c r="AJ102" s="26" t="s">
        <v>51</v>
      </c>
      <c r="AK102" s="26" t="s">
        <v>52</v>
      </c>
      <c r="AL102" s="26" t="s">
        <v>53</v>
      </c>
      <c r="AM102" s="26" t="s">
        <v>54</v>
      </c>
      <c r="AN102" s="26" t="s">
        <v>55</v>
      </c>
      <c r="AO102" s="26" t="s">
        <v>56</v>
      </c>
      <c r="AP102" s="26" t="s">
        <v>60</v>
      </c>
      <c r="AQ102" s="26" t="s">
        <v>59</v>
      </c>
      <c r="AR102" s="26" t="s">
        <v>61</v>
      </c>
      <c r="AS102" s="26" t="s">
        <v>58</v>
      </c>
      <c r="AT102" s="26" t="s">
        <v>57</v>
      </c>
      <c r="AU102" s="164"/>
      <c r="AV102" s="181" t="s">
        <v>66</v>
      </c>
    </row>
    <row r="103" spans="2:48" x14ac:dyDescent="0.25">
      <c r="B103" s="152" t="s">
        <v>42</v>
      </c>
      <c r="C103" s="308">
        <f t="shared" ref="C103:N103" si="80">IF(C$24&gt;0,C12*C$115/C$24,0)</f>
        <v>1.0680272108843538</v>
      </c>
      <c r="D103" s="312">
        <f t="shared" si="80"/>
        <v>0</v>
      </c>
      <c r="E103" s="312">
        <f t="shared" si="80"/>
        <v>0</v>
      </c>
      <c r="F103" s="312">
        <f t="shared" si="80"/>
        <v>0</v>
      </c>
      <c r="G103" s="312">
        <f t="shared" si="80"/>
        <v>3</v>
      </c>
      <c r="H103" s="312">
        <f t="shared" si="80"/>
        <v>0</v>
      </c>
      <c r="I103" s="313">
        <f t="shared" si="80"/>
        <v>0</v>
      </c>
      <c r="J103" s="312">
        <f t="shared" si="80"/>
        <v>1.5</v>
      </c>
      <c r="K103" s="312">
        <f t="shared" si="80"/>
        <v>0</v>
      </c>
      <c r="L103" s="312">
        <f t="shared" si="80"/>
        <v>0</v>
      </c>
      <c r="M103" s="312">
        <f t="shared" si="80"/>
        <v>0</v>
      </c>
      <c r="N103" s="320">
        <f t="shared" si="80"/>
        <v>0</v>
      </c>
      <c r="O103" s="183"/>
      <c r="P103" s="323">
        <f t="shared" ref="P103:P114" si="81">SUM(C103:N103)</f>
        <v>5.5680272108843543</v>
      </c>
      <c r="R103" s="152" t="s">
        <v>42</v>
      </c>
      <c r="S103" s="308">
        <f t="shared" ref="S103:AD103" si="82">IF(S$24&gt;0,S12*S$115/S$24,0)</f>
        <v>0</v>
      </c>
      <c r="T103" s="312">
        <f t="shared" si="82"/>
        <v>1.5</v>
      </c>
      <c r="U103" s="312">
        <f t="shared" si="82"/>
        <v>0</v>
      </c>
      <c r="V103" s="312">
        <f t="shared" si="82"/>
        <v>0</v>
      </c>
      <c r="W103" s="312">
        <f t="shared" si="82"/>
        <v>0</v>
      </c>
      <c r="X103" s="312">
        <f t="shared" si="82"/>
        <v>0</v>
      </c>
      <c r="Y103" s="313">
        <f t="shared" si="82"/>
        <v>1</v>
      </c>
      <c r="Z103" s="312">
        <f t="shared" si="82"/>
        <v>0</v>
      </c>
      <c r="AA103" s="312">
        <f t="shared" si="82"/>
        <v>1</v>
      </c>
      <c r="AB103" s="312">
        <f t="shared" si="82"/>
        <v>0</v>
      </c>
      <c r="AC103" s="312">
        <f t="shared" si="82"/>
        <v>0</v>
      </c>
      <c r="AD103" s="320">
        <f t="shared" si="82"/>
        <v>0</v>
      </c>
      <c r="AE103" s="183"/>
      <c r="AF103" s="323">
        <f>SUM(S103:AD103)</f>
        <v>3.5</v>
      </c>
      <c r="AH103" s="152" t="s">
        <v>42</v>
      </c>
      <c r="AI103" s="308">
        <f t="shared" ref="AI103:AT103" si="83">IF(AI$24&gt;0,AI12*AI$115/AI$24,0)</f>
        <v>1.2575757575757576</v>
      </c>
      <c r="AJ103" s="312">
        <f t="shared" si="83"/>
        <v>26.49462365591398</v>
      </c>
      <c r="AK103" s="312">
        <f t="shared" si="83"/>
        <v>1.6</v>
      </c>
      <c r="AL103" s="312">
        <f t="shared" si="83"/>
        <v>0</v>
      </c>
      <c r="AM103" s="312">
        <f t="shared" si="83"/>
        <v>6.9056603773584904</v>
      </c>
      <c r="AN103" s="312">
        <f t="shared" si="83"/>
        <v>3.6666666666666665</v>
      </c>
      <c r="AO103" s="313">
        <f t="shared" si="83"/>
        <v>0</v>
      </c>
      <c r="AP103" s="312">
        <f t="shared" si="83"/>
        <v>0</v>
      </c>
      <c r="AQ103" s="312">
        <f t="shared" si="83"/>
        <v>0</v>
      </c>
      <c r="AR103" s="312">
        <f t="shared" si="83"/>
        <v>0</v>
      </c>
      <c r="AS103" s="312">
        <f t="shared" si="83"/>
        <v>0</v>
      </c>
      <c r="AT103" s="320">
        <f t="shared" si="83"/>
        <v>0</v>
      </c>
      <c r="AU103" s="183"/>
      <c r="AV103" s="323">
        <f>SUM(AI103:AT103)</f>
        <v>39.924526457514894</v>
      </c>
    </row>
    <row r="104" spans="2:48" x14ac:dyDescent="0.25">
      <c r="B104" s="153" t="s">
        <v>43</v>
      </c>
      <c r="C104" s="309">
        <f t="shared" ref="C104:N104" si="84">IF(C$24&gt;0,C13*C$115/C$24,0)</f>
        <v>12.816326530612244</v>
      </c>
      <c r="D104" s="314">
        <f t="shared" si="84"/>
        <v>2</v>
      </c>
      <c r="E104" s="314">
        <f t="shared" si="84"/>
        <v>0</v>
      </c>
      <c r="F104" s="314">
        <f t="shared" si="84"/>
        <v>0</v>
      </c>
      <c r="G104" s="314">
        <f t="shared" si="84"/>
        <v>5</v>
      </c>
      <c r="H104" s="314">
        <f t="shared" si="84"/>
        <v>0</v>
      </c>
      <c r="I104" s="315">
        <f t="shared" si="84"/>
        <v>0</v>
      </c>
      <c r="J104" s="314">
        <f t="shared" si="84"/>
        <v>1.5</v>
      </c>
      <c r="K104" s="314">
        <f t="shared" si="84"/>
        <v>0</v>
      </c>
      <c r="L104" s="314">
        <f t="shared" si="84"/>
        <v>3</v>
      </c>
      <c r="M104" s="314">
        <f t="shared" si="84"/>
        <v>0</v>
      </c>
      <c r="N104" s="321">
        <f t="shared" si="84"/>
        <v>0</v>
      </c>
      <c r="O104" s="184"/>
      <c r="P104" s="324">
        <f t="shared" si="81"/>
        <v>24.316326530612244</v>
      </c>
      <c r="R104" s="153" t="s">
        <v>43</v>
      </c>
      <c r="S104" s="309">
        <f t="shared" ref="S104:AD104" si="85">IF(S$24&gt;0,S13*S$115/S$24,0)</f>
        <v>0</v>
      </c>
      <c r="T104" s="314">
        <f t="shared" si="85"/>
        <v>3</v>
      </c>
      <c r="U104" s="314">
        <f t="shared" si="85"/>
        <v>0</v>
      </c>
      <c r="V104" s="314">
        <f t="shared" si="85"/>
        <v>0</v>
      </c>
      <c r="W104" s="314">
        <f t="shared" si="85"/>
        <v>0</v>
      </c>
      <c r="X104" s="314">
        <f t="shared" si="85"/>
        <v>1.3333333333333333</v>
      </c>
      <c r="Y104" s="315">
        <f t="shared" si="85"/>
        <v>3</v>
      </c>
      <c r="Z104" s="314">
        <f t="shared" si="85"/>
        <v>0</v>
      </c>
      <c r="AA104" s="314">
        <f t="shared" si="85"/>
        <v>0</v>
      </c>
      <c r="AB104" s="314">
        <f t="shared" si="85"/>
        <v>0</v>
      </c>
      <c r="AC104" s="314">
        <f t="shared" si="85"/>
        <v>0</v>
      </c>
      <c r="AD104" s="321">
        <f t="shared" si="85"/>
        <v>0</v>
      </c>
      <c r="AE104" s="184"/>
      <c r="AF104" s="324">
        <f t="shared" ref="AF104:AF114" si="86">SUM(S104:AD104)</f>
        <v>7.333333333333333</v>
      </c>
      <c r="AH104" s="153" t="s">
        <v>43</v>
      </c>
      <c r="AI104" s="309">
        <f t="shared" ref="AI104:AT104" si="87">IF(AI$24&gt;0,AI13*AI$115/AI$24,0)</f>
        <v>3.7727272727272729</v>
      </c>
      <c r="AJ104" s="314">
        <f t="shared" si="87"/>
        <v>21.677419354838708</v>
      </c>
      <c r="AK104" s="314">
        <f t="shared" si="87"/>
        <v>3.2</v>
      </c>
      <c r="AL104" s="314">
        <f t="shared" si="87"/>
        <v>0</v>
      </c>
      <c r="AM104" s="314">
        <f t="shared" si="87"/>
        <v>11.509433962264151</v>
      </c>
      <c r="AN104" s="314">
        <f t="shared" si="87"/>
        <v>0</v>
      </c>
      <c r="AO104" s="315">
        <f t="shared" si="87"/>
        <v>0</v>
      </c>
      <c r="AP104" s="314">
        <f t="shared" si="87"/>
        <v>0</v>
      </c>
      <c r="AQ104" s="314">
        <f t="shared" si="87"/>
        <v>0</v>
      </c>
      <c r="AR104" s="314">
        <f t="shared" si="87"/>
        <v>0</v>
      </c>
      <c r="AS104" s="314">
        <f t="shared" si="87"/>
        <v>0</v>
      </c>
      <c r="AT104" s="321">
        <f t="shared" si="87"/>
        <v>0</v>
      </c>
      <c r="AU104" s="184"/>
      <c r="AV104" s="324">
        <f t="shared" ref="AV104:AV114" si="88">SUM(AI104:AT104)</f>
        <v>40.159580589830128</v>
      </c>
    </row>
    <row r="105" spans="2:48" x14ac:dyDescent="0.25">
      <c r="B105" s="153" t="s">
        <v>44</v>
      </c>
      <c r="C105" s="309">
        <f t="shared" ref="C105:N105" si="89">IF(C$24&gt;0,C14*C$115/C$24,0)</f>
        <v>1.0680272108843538</v>
      </c>
      <c r="D105" s="314">
        <f t="shared" si="89"/>
        <v>4</v>
      </c>
      <c r="E105" s="314">
        <f t="shared" si="89"/>
        <v>0</v>
      </c>
      <c r="F105" s="314">
        <f t="shared" si="89"/>
        <v>0</v>
      </c>
      <c r="G105" s="314">
        <f t="shared" si="89"/>
        <v>2</v>
      </c>
      <c r="H105" s="314">
        <f t="shared" si="89"/>
        <v>0</v>
      </c>
      <c r="I105" s="315">
        <f t="shared" si="89"/>
        <v>0</v>
      </c>
      <c r="J105" s="314">
        <f t="shared" si="89"/>
        <v>0</v>
      </c>
      <c r="K105" s="314">
        <f t="shared" si="89"/>
        <v>0</v>
      </c>
      <c r="L105" s="314">
        <f t="shared" si="89"/>
        <v>1.5</v>
      </c>
      <c r="M105" s="314">
        <f t="shared" si="89"/>
        <v>0</v>
      </c>
      <c r="N105" s="321">
        <f t="shared" si="89"/>
        <v>0</v>
      </c>
      <c r="O105" s="184"/>
      <c r="P105" s="324">
        <f t="shared" si="81"/>
        <v>8.5680272108843543</v>
      </c>
      <c r="R105" s="153" t="s">
        <v>44</v>
      </c>
      <c r="S105" s="309">
        <f t="shared" ref="S105:AD105" si="90">IF(S$24&gt;0,S14*S$115/S$24,0)</f>
        <v>0</v>
      </c>
      <c r="T105" s="314">
        <f t="shared" si="90"/>
        <v>10.5</v>
      </c>
      <c r="U105" s="314">
        <f t="shared" si="90"/>
        <v>0</v>
      </c>
      <c r="V105" s="314">
        <f t="shared" si="90"/>
        <v>0</v>
      </c>
      <c r="W105" s="314">
        <f t="shared" si="90"/>
        <v>0</v>
      </c>
      <c r="X105" s="314">
        <f t="shared" si="90"/>
        <v>0</v>
      </c>
      <c r="Y105" s="315">
        <f t="shared" si="90"/>
        <v>5</v>
      </c>
      <c r="Z105" s="314">
        <f t="shared" si="90"/>
        <v>0</v>
      </c>
      <c r="AA105" s="314">
        <f t="shared" si="90"/>
        <v>0</v>
      </c>
      <c r="AB105" s="314">
        <f t="shared" si="90"/>
        <v>0</v>
      </c>
      <c r="AC105" s="314">
        <f t="shared" si="90"/>
        <v>0</v>
      </c>
      <c r="AD105" s="321">
        <f t="shared" si="90"/>
        <v>0</v>
      </c>
      <c r="AE105" s="184"/>
      <c r="AF105" s="324">
        <f t="shared" si="86"/>
        <v>15.5</v>
      </c>
      <c r="AH105" s="153" t="s">
        <v>44</v>
      </c>
      <c r="AI105" s="309">
        <f t="shared" ref="AI105:AT105" si="91">IF(AI$24&gt;0,AI14*AI$115/AI$24,0)</f>
        <v>13.833333333333334</v>
      </c>
      <c r="AJ105" s="314">
        <f t="shared" si="91"/>
        <v>42.1505376344086</v>
      </c>
      <c r="AK105" s="314">
        <f t="shared" si="91"/>
        <v>0</v>
      </c>
      <c r="AL105" s="314">
        <f t="shared" si="91"/>
        <v>2</v>
      </c>
      <c r="AM105" s="314">
        <f t="shared" si="91"/>
        <v>6.9056603773584904</v>
      </c>
      <c r="AN105" s="314">
        <f t="shared" si="91"/>
        <v>2.4444444444444446</v>
      </c>
      <c r="AO105" s="315">
        <f t="shared" si="91"/>
        <v>0</v>
      </c>
      <c r="AP105" s="314">
        <f t="shared" si="91"/>
        <v>0</v>
      </c>
      <c r="AQ105" s="314">
        <f t="shared" si="91"/>
        <v>0</v>
      </c>
      <c r="AR105" s="314">
        <f t="shared" si="91"/>
        <v>0</v>
      </c>
      <c r="AS105" s="314">
        <f t="shared" si="91"/>
        <v>0</v>
      </c>
      <c r="AT105" s="321">
        <f t="shared" si="91"/>
        <v>0</v>
      </c>
      <c r="AU105" s="184"/>
      <c r="AV105" s="324">
        <f t="shared" si="88"/>
        <v>67.333975789544866</v>
      </c>
    </row>
    <row r="106" spans="2:48" x14ac:dyDescent="0.25">
      <c r="B106" s="153" t="s">
        <v>45</v>
      </c>
      <c r="C106" s="309">
        <f t="shared" ref="C106:N106" si="92">IF(C$24&gt;0,C15*C$115/C$24,0)</f>
        <v>17.088435374149661</v>
      </c>
      <c r="D106" s="314">
        <f t="shared" si="92"/>
        <v>3</v>
      </c>
      <c r="E106" s="314">
        <f t="shared" si="92"/>
        <v>0</v>
      </c>
      <c r="F106" s="314">
        <f t="shared" si="92"/>
        <v>0</v>
      </c>
      <c r="G106" s="314">
        <f t="shared" si="92"/>
        <v>2</v>
      </c>
      <c r="H106" s="314">
        <f t="shared" si="92"/>
        <v>0</v>
      </c>
      <c r="I106" s="315">
        <f t="shared" si="92"/>
        <v>0</v>
      </c>
      <c r="J106" s="314">
        <f t="shared" si="92"/>
        <v>0</v>
      </c>
      <c r="K106" s="314">
        <f t="shared" si="92"/>
        <v>0</v>
      </c>
      <c r="L106" s="314">
        <f t="shared" si="92"/>
        <v>1.5</v>
      </c>
      <c r="M106" s="314">
        <f t="shared" si="92"/>
        <v>0</v>
      </c>
      <c r="N106" s="321">
        <f t="shared" si="92"/>
        <v>0</v>
      </c>
      <c r="O106" s="184"/>
      <c r="P106" s="324">
        <f t="shared" si="81"/>
        <v>23.588435374149661</v>
      </c>
      <c r="R106" s="153" t="s">
        <v>45</v>
      </c>
      <c r="S106" s="309">
        <f t="shared" ref="S106:AD106" si="93">IF(S$24&gt;0,S15*S$115/S$24,0)</f>
        <v>0</v>
      </c>
      <c r="T106" s="314">
        <f t="shared" si="93"/>
        <v>12</v>
      </c>
      <c r="U106" s="314">
        <f t="shared" si="93"/>
        <v>0</v>
      </c>
      <c r="V106" s="314">
        <f t="shared" si="93"/>
        <v>0</v>
      </c>
      <c r="W106" s="314">
        <f t="shared" si="93"/>
        <v>0</v>
      </c>
      <c r="X106" s="314">
        <f t="shared" si="93"/>
        <v>0</v>
      </c>
      <c r="Y106" s="315">
        <f t="shared" si="93"/>
        <v>16</v>
      </c>
      <c r="Z106" s="314">
        <f t="shared" si="93"/>
        <v>0</v>
      </c>
      <c r="AA106" s="314">
        <f t="shared" si="93"/>
        <v>1</v>
      </c>
      <c r="AB106" s="314">
        <f t="shared" si="93"/>
        <v>3</v>
      </c>
      <c r="AC106" s="314">
        <f t="shared" si="93"/>
        <v>0</v>
      </c>
      <c r="AD106" s="321">
        <f t="shared" si="93"/>
        <v>0</v>
      </c>
      <c r="AE106" s="184"/>
      <c r="AF106" s="324">
        <f t="shared" si="86"/>
        <v>32</v>
      </c>
      <c r="AH106" s="153" t="s">
        <v>45</v>
      </c>
      <c r="AI106" s="309">
        <f t="shared" ref="AI106:AT106" si="94">IF(AI$24&gt;0,AI15*AI$115/AI$24,0)</f>
        <v>10.060606060606061</v>
      </c>
      <c r="AJ106" s="314">
        <f t="shared" si="94"/>
        <v>24.086021505376344</v>
      </c>
      <c r="AK106" s="314">
        <f t="shared" si="94"/>
        <v>1.6</v>
      </c>
      <c r="AL106" s="314">
        <f t="shared" si="94"/>
        <v>0</v>
      </c>
      <c r="AM106" s="314">
        <f t="shared" si="94"/>
        <v>3.4528301886792452</v>
      </c>
      <c r="AN106" s="314">
        <f t="shared" si="94"/>
        <v>1.2222222222222223</v>
      </c>
      <c r="AO106" s="315">
        <f t="shared" si="94"/>
        <v>0</v>
      </c>
      <c r="AP106" s="314">
        <f t="shared" si="94"/>
        <v>0</v>
      </c>
      <c r="AQ106" s="314">
        <f t="shared" si="94"/>
        <v>0</v>
      </c>
      <c r="AR106" s="314">
        <f t="shared" si="94"/>
        <v>0</v>
      </c>
      <c r="AS106" s="314">
        <f t="shared" si="94"/>
        <v>0</v>
      </c>
      <c r="AT106" s="321">
        <f t="shared" si="94"/>
        <v>0</v>
      </c>
      <c r="AU106" s="184"/>
      <c r="AV106" s="324">
        <f t="shared" si="88"/>
        <v>40.421679976883873</v>
      </c>
    </row>
    <row r="107" spans="2:48" x14ac:dyDescent="0.25">
      <c r="B107" s="153" t="s">
        <v>46</v>
      </c>
      <c r="C107" s="309">
        <f t="shared" ref="C107:N107" si="95">IF(C$24&gt;0,C16*C$115/C$24,0)</f>
        <v>4.2721088435374153</v>
      </c>
      <c r="D107" s="314">
        <f t="shared" si="95"/>
        <v>0</v>
      </c>
      <c r="E107" s="314">
        <f t="shared" si="95"/>
        <v>0</v>
      </c>
      <c r="F107" s="314">
        <f t="shared" si="95"/>
        <v>0</v>
      </c>
      <c r="G107" s="314">
        <f t="shared" si="95"/>
        <v>1</v>
      </c>
      <c r="H107" s="314">
        <f t="shared" si="95"/>
        <v>0</v>
      </c>
      <c r="I107" s="315">
        <f t="shared" si="95"/>
        <v>0</v>
      </c>
      <c r="J107" s="314">
        <f t="shared" si="95"/>
        <v>0</v>
      </c>
      <c r="K107" s="314">
        <f t="shared" si="95"/>
        <v>0</v>
      </c>
      <c r="L107" s="314">
        <f t="shared" si="95"/>
        <v>0</v>
      </c>
      <c r="M107" s="314">
        <f t="shared" si="95"/>
        <v>0</v>
      </c>
      <c r="N107" s="321">
        <f t="shared" si="95"/>
        <v>0</v>
      </c>
      <c r="O107" s="184"/>
      <c r="P107" s="324">
        <f t="shared" si="81"/>
        <v>5.2721088435374153</v>
      </c>
      <c r="R107" s="153" t="s">
        <v>46</v>
      </c>
      <c r="S107" s="309">
        <f t="shared" ref="S107:AD107" si="96">IF(S$24&gt;0,S16*S$115/S$24,0)</f>
        <v>0</v>
      </c>
      <c r="T107" s="314">
        <f t="shared" si="96"/>
        <v>3</v>
      </c>
      <c r="U107" s="314">
        <f t="shared" si="96"/>
        <v>0</v>
      </c>
      <c r="V107" s="314">
        <f t="shared" si="96"/>
        <v>0</v>
      </c>
      <c r="W107" s="314">
        <f t="shared" si="96"/>
        <v>0</v>
      </c>
      <c r="X107" s="314">
        <f t="shared" si="96"/>
        <v>0</v>
      </c>
      <c r="Y107" s="315">
        <f t="shared" si="96"/>
        <v>0</v>
      </c>
      <c r="Z107" s="314">
        <f t="shared" si="96"/>
        <v>0</v>
      </c>
      <c r="AA107" s="314">
        <f t="shared" si="96"/>
        <v>2</v>
      </c>
      <c r="AB107" s="314">
        <f t="shared" si="96"/>
        <v>0</v>
      </c>
      <c r="AC107" s="314">
        <f t="shared" si="96"/>
        <v>0</v>
      </c>
      <c r="AD107" s="321">
        <f t="shared" si="96"/>
        <v>0</v>
      </c>
      <c r="AE107" s="184"/>
      <c r="AF107" s="324">
        <f t="shared" si="86"/>
        <v>5</v>
      </c>
      <c r="AH107" s="153" t="s">
        <v>46</v>
      </c>
      <c r="AI107" s="309">
        <f t="shared" ref="AI107:AT107" si="97">IF(AI$24&gt;0,AI16*AI$115/AI$24,0)</f>
        <v>1.2575757575757576</v>
      </c>
      <c r="AJ107" s="314">
        <f t="shared" si="97"/>
        <v>6.021505376344086</v>
      </c>
      <c r="AK107" s="314">
        <f t="shared" si="97"/>
        <v>0</v>
      </c>
      <c r="AL107" s="314">
        <f t="shared" si="97"/>
        <v>0</v>
      </c>
      <c r="AM107" s="314">
        <f t="shared" si="97"/>
        <v>1.1509433962264151</v>
      </c>
      <c r="AN107" s="314">
        <f t="shared" si="97"/>
        <v>0</v>
      </c>
      <c r="AO107" s="315">
        <f t="shared" si="97"/>
        <v>0</v>
      </c>
      <c r="AP107" s="314">
        <f t="shared" si="97"/>
        <v>0</v>
      </c>
      <c r="AQ107" s="314">
        <f t="shared" si="97"/>
        <v>1</v>
      </c>
      <c r="AR107" s="314">
        <f t="shared" si="97"/>
        <v>0</v>
      </c>
      <c r="AS107" s="314">
        <f t="shared" si="97"/>
        <v>0</v>
      </c>
      <c r="AT107" s="321">
        <f t="shared" si="97"/>
        <v>0</v>
      </c>
      <c r="AU107" s="184"/>
      <c r="AV107" s="324">
        <f t="shared" si="88"/>
        <v>9.4300245301462589</v>
      </c>
    </row>
    <row r="108" spans="2:48" x14ac:dyDescent="0.25">
      <c r="B108" s="153" t="s">
        <v>47</v>
      </c>
      <c r="C108" s="309">
        <f t="shared" ref="C108:N108" si="98">IF(C$24&gt;0,C17*C$115/C$24,0)</f>
        <v>8.5442176870748305</v>
      </c>
      <c r="D108" s="314">
        <f t="shared" si="98"/>
        <v>1</v>
      </c>
      <c r="E108" s="314">
        <f t="shared" si="98"/>
        <v>0</v>
      </c>
      <c r="F108" s="314">
        <f t="shared" si="98"/>
        <v>0</v>
      </c>
      <c r="G108" s="314">
        <f t="shared" si="98"/>
        <v>1</v>
      </c>
      <c r="H108" s="314">
        <f t="shared" si="98"/>
        <v>0</v>
      </c>
      <c r="I108" s="315">
        <f t="shared" si="98"/>
        <v>0</v>
      </c>
      <c r="J108" s="314">
        <f t="shared" si="98"/>
        <v>0</v>
      </c>
      <c r="K108" s="314">
        <f t="shared" si="98"/>
        <v>0</v>
      </c>
      <c r="L108" s="314">
        <f t="shared" si="98"/>
        <v>0</v>
      </c>
      <c r="M108" s="314">
        <f t="shared" si="98"/>
        <v>0</v>
      </c>
      <c r="N108" s="321">
        <f t="shared" si="98"/>
        <v>0</v>
      </c>
      <c r="O108" s="184"/>
      <c r="P108" s="324">
        <f t="shared" si="81"/>
        <v>10.544217687074831</v>
      </c>
      <c r="R108" s="153" t="s">
        <v>47</v>
      </c>
      <c r="S108" s="309">
        <f t="shared" ref="S108:AD108" si="99">IF(S$24&gt;0,S17*S$115/S$24,0)</f>
        <v>1.5</v>
      </c>
      <c r="T108" s="314">
        <f t="shared" si="99"/>
        <v>6</v>
      </c>
      <c r="U108" s="314">
        <f t="shared" si="99"/>
        <v>1.5</v>
      </c>
      <c r="V108" s="314">
        <f t="shared" si="99"/>
        <v>1.4</v>
      </c>
      <c r="W108" s="314">
        <f t="shared" si="99"/>
        <v>0</v>
      </c>
      <c r="X108" s="314">
        <f t="shared" si="99"/>
        <v>0</v>
      </c>
      <c r="Y108" s="315">
        <f t="shared" si="99"/>
        <v>2</v>
      </c>
      <c r="Z108" s="314">
        <f t="shared" si="99"/>
        <v>0</v>
      </c>
      <c r="AA108" s="314">
        <f t="shared" si="99"/>
        <v>0</v>
      </c>
      <c r="AB108" s="314">
        <f t="shared" si="99"/>
        <v>0</v>
      </c>
      <c r="AC108" s="314">
        <f t="shared" si="99"/>
        <v>0</v>
      </c>
      <c r="AD108" s="321">
        <f t="shared" si="99"/>
        <v>0</v>
      </c>
      <c r="AE108" s="184"/>
      <c r="AF108" s="324">
        <f t="shared" si="86"/>
        <v>12.4</v>
      </c>
      <c r="AH108" s="153" t="s">
        <v>47</v>
      </c>
      <c r="AI108" s="309">
        <f t="shared" ref="AI108:AT108" si="100">IF(AI$24&gt;0,AI17*AI$115/AI$24,0)</f>
        <v>5.0303030303030303</v>
      </c>
      <c r="AJ108" s="314">
        <f t="shared" si="100"/>
        <v>16.86021505376344</v>
      </c>
      <c r="AK108" s="314">
        <f t="shared" si="100"/>
        <v>0</v>
      </c>
      <c r="AL108" s="314">
        <f t="shared" si="100"/>
        <v>0</v>
      </c>
      <c r="AM108" s="314">
        <f t="shared" si="100"/>
        <v>3.4528301886792452</v>
      </c>
      <c r="AN108" s="314">
        <f t="shared" si="100"/>
        <v>2.4444444444444446</v>
      </c>
      <c r="AO108" s="315">
        <f t="shared" si="100"/>
        <v>0</v>
      </c>
      <c r="AP108" s="314">
        <f t="shared" si="100"/>
        <v>0</v>
      </c>
      <c r="AQ108" s="314">
        <f t="shared" si="100"/>
        <v>1</v>
      </c>
      <c r="AR108" s="314">
        <f t="shared" si="100"/>
        <v>0</v>
      </c>
      <c r="AS108" s="314">
        <f t="shared" si="100"/>
        <v>0</v>
      </c>
      <c r="AT108" s="321">
        <f t="shared" si="100"/>
        <v>0</v>
      </c>
      <c r="AU108" s="184"/>
      <c r="AV108" s="324">
        <f t="shared" si="88"/>
        <v>28.787792717190158</v>
      </c>
    </row>
    <row r="109" spans="2:48" x14ac:dyDescent="0.25">
      <c r="B109" s="207" t="s">
        <v>48</v>
      </c>
      <c r="C109" s="310">
        <f t="shared" ref="C109:N109" si="101">IF(C$24&gt;0,C18*C$115/C$24,0)</f>
        <v>0</v>
      </c>
      <c r="D109" s="316">
        <f t="shared" si="101"/>
        <v>0</v>
      </c>
      <c r="E109" s="316">
        <f t="shared" si="101"/>
        <v>0</v>
      </c>
      <c r="F109" s="316">
        <f t="shared" si="101"/>
        <v>0</v>
      </c>
      <c r="G109" s="316">
        <f t="shared" si="101"/>
        <v>0</v>
      </c>
      <c r="H109" s="316">
        <f t="shared" si="101"/>
        <v>0</v>
      </c>
      <c r="I109" s="317">
        <f t="shared" si="101"/>
        <v>0</v>
      </c>
      <c r="J109" s="316">
        <f t="shared" si="101"/>
        <v>0</v>
      </c>
      <c r="K109" s="316">
        <f t="shared" si="101"/>
        <v>0</v>
      </c>
      <c r="L109" s="316">
        <f t="shared" si="101"/>
        <v>0</v>
      </c>
      <c r="M109" s="316">
        <f t="shared" si="101"/>
        <v>0</v>
      </c>
      <c r="N109" s="322">
        <f t="shared" si="101"/>
        <v>0</v>
      </c>
      <c r="O109" s="184"/>
      <c r="P109" s="324">
        <f t="shared" si="81"/>
        <v>0</v>
      </c>
      <c r="R109" s="207" t="s">
        <v>48</v>
      </c>
      <c r="S109" s="310">
        <f t="shared" ref="S109:AD109" si="102">IF(S$24&gt;0,S18*S$115/S$24,0)</f>
        <v>0</v>
      </c>
      <c r="T109" s="316">
        <f t="shared" si="102"/>
        <v>0</v>
      </c>
      <c r="U109" s="316">
        <f t="shared" si="102"/>
        <v>0</v>
      </c>
      <c r="V109" s="316">
        <f t="shared" si="102"/>
        <v>0</v>
      </c>
      <c r="W109" s="316">
        <f t="shared" si="102"/>
        <v>0</v>
      </c>
      <c r="X109" s="316">
        <f t="shared" si="102"/>
        <v>0</v>
      </c>
      <c r="Y109" s="317">
        <f t="shared" si="102"/>
        <v>2</v>
      </c>
      <c r="Z109" s="316">
        <f t="shared" si="102"/>
        <v>0</v>
      </c>
      <c r="AA109" s="316">
        <f t="shared" si="102"/>
        <v>0</v>
      </c>
      <c r="AB109" s="316">
        <f t="shared" si="102"/>
        <v>0</v>
      </c>
      <c r="AC109" s="316">
        <f t="shared" si="102"/>
        <v>0</v>
      </c>
      <c r="AD109" s="322">
        <f t="shared" si="102"/>
        <v>0</v>
      </c>
      <c r="AE109" s="184"/>
      <c r="AF109" s="324">
        <f t="shared" si="86"/>
        <v>2</v>
      </c>
      <c r="AH109" s="207" t="s">
        <v>48</v>
      </c>
      <c r="AI109" s="310">
        <f t="shared" ref="AI109:AT109" si="103">IF(AI$24&gt;0,AI18*AI$115/AI$24,0)</f>
        <v>2.5151515151515151</v>
      </c>
      <c r="AJ109" s="316">
        <f t="shared" si="103"/>
        <v>1.2043010752688172</v>
      </c>
      <c r="AK109" s="316">
        <f t="shared" si="103"/>
        <v>0</v>
      </c>
      <c r="AL109" s="316">
        <f t="shared" si="103"/>
        <v>0</v>
      </c>
      <c r="AM109" s="316">
        <f t="shared" si="103"/>
        <v>0</v>
      </c>
      <c r="AN109" s="316">
        <f t="shared" si="103"/>
        <v>0</v>
      </c>
      <c r="AO109" s="317">
        <f t="shared" si="103"/>
        <v>4</v>
      </c>
      <c r="AP109" s="316">
        <f t="shared" si="103"/>
        <v>0</v>
      </c>
      <c r="AQ109" s="316">
        <f t="shared" si="103"/>
        <v>0</v>
      </c>
      <c r="AR109" s="316">
        <f t="shared" si="103"/>
        <v>0</v>
      </c>
      <c r="AS109" s="316">
        <f t="shared" si="103"/>
        <v>0</v>
      </c>
      <c r="AT109" s="322">
        <f t="shared" si="103"/>
        <v>0</v>
      </c>
      <c r="AU109" s="184"/>
      <c r="AV109" s="324">
        <f t="shared" si="88"/>
        <v>7.7194525904203326</v>
      </c>
    </row>
    <row r="110" spans="2:48" x14ac:dyDescent="0.25">
      <c r="B110" s="153" t="s">
        <v>523</v>
      </c>
      <c r="C110" s="309">
        <f t="shared" ref="C110:I114" si="104">IF(C$24&gt;0,C19*C$115/C$24,0)</f>
        <v>108.93877551020408</v>
      </c>
      <c r="D110" s="314">
        <f t="shared" si="104"/>
        <v>28</v>
      </c>
      <c r="E110" s="314">
        <f t="shared" si="104"/>
        <v>0</v>
      </c>
      <c r="F110" s="314">
        <f t="shared" si="104"/>
        <v>0</v>
      </c>
      <c r="G110" s="314">
        <f t="shared" si="104"/>
        <v>44</v>
      </c>
      <c r="H110" s="314">
        <f t="shared" si="104"/>
        <v>0</v>
      </c>
      <c r="I110" s="315">
        <f t="shared" si="104"/>
        <v>0</v>
      </c>
      <c r="J110" s="195"/>
      <c r="K110" s="196"/>
      <c r="L110" s="196"/>
      <c r="M110" s="196"/>
      <c r="N110" s="197"/>
      <c r="O110" s="184"/>
      <c r="P110" s="324">
        <f t="shared" si="81"/>
        <v>180.9387755102041</v>
      </c>
      <c r="R110" s="153" t="s">
        <v>523</v>
      </c>
      <c r="S110" s="309">
        <f t="shared" ref="S110:Y114" si="105">IF(S$24&gt;0,S19*S$115/S$24,0)</f>
        <v>13.5</v>
      </c>
      <c r="T110" s="314">
        <f t="shared" si="105"/>
        <v>24</v>
      </c>
      <c r="U110" s="314">
        <f t="shared" si="105"/>
        <v>13.5</v>
      </c>
      <c r="V110" s="314">
        <f t="shared" si="105"/>
        <v>5.6</v>
      </c>
      <c r="W110" s="314">
        <f t="shared" si="105"/>
        <v>0</v>
      </c>
      <c r="X110" s="314">
        <f t="shared" si="105"/>
        <v>2.6666666666666665</v>
      </c>
      <c r="Y110" s="315">
        <f t="shared" si="105"/>
        <v>0</v>
      </c>
      <c r="Z110" s="195"/>
      <c r="AA110" s="196"/>
      <c r="AB110" s="196"/>
      <c r="AC110" s="196"/>
      <c r="AD110" s="197"/>
      <c r="AE110" s="184"/>
      <c r="AF110" s="324">
        <f t="shared" si="86"/>
        <v>59.266666666666666</v>
      </c>
      <c r="AH110" s="153" t="s">
        <v>523</v>
      </c>
      <c r="AI110" s="309">
        <f t="shared" ref="AI110:AO114" si="106">IF(AI$24&gt;0,AI19*AI$115/AI$24,0)</f>
        <v>23.893939393939394</v>
      </c>
      <c r="AJ110" s="314">
        <f t="shared" si="106"/>
        <v>75.870967741935488</v>
      </c>
      <c r="AK110" s="314">
        <f t="shared" si="106"/>
        <v>1.6</v>
      </c>
      <c r="AL110" s="314">
        <f t="shared" si="106"/>
        <v>0</v>
      </c>
      <c r="AM110" s="314">
        <f t="shared" si="106"/>
        <v>19.566037735849058</v>
      </c>
      <c r="AN110" s="314">
        <f t="shared" si="106"/>
        <v>12.222222222222221</v>
      </c>
      <c r="AO110" s="315">
        <f t="shared" si="106"/>
        <v>0</v>
      </c>
      <c r="AP110" s="195"/>
      <c r="AQ110" s="196"/>
      <c r="AR110" s="196"/>
      <c r="AS110" s="196"/>
      <c r="AT110" s="197"/>
      <c r="AU110" s="184"/>
      <c r="AV110" s="324">
        <f t="shared" si="88"/>
        <v>133.15316709394617</v>
      </c>
    </row>
    <row r="111" spans="2:48" x14ac:dyDescent="0.25">
      <c r="B111" s="153" t="s">
        <v>524</v>
      </c>
      <c r="C111" s="309">
        <f t="shared" si="104"/>
        <v>2.1360544217687076</v>
      </c>
      <c r="D111" s="314">
        <f t="shared" si="104"/>
        <v>1</v>
      </c>
      <c r="E111" s="314">
        <f t="shared" si="104"/>
        <v>0</v>
      </c>
      <c r="F111" s="314">
        <f t="shared" si="104"/>
        <v>0</v>
      </c>
      <c r="G111" s="314">
        <f t="shared" si="104"/>
        <v>1</v>
      </c>
      <c r="H111" s="314">
        <f t="shared" si="104"/>
        <v>0</v>
      </c>
      <c r="I111" s="315">
        <f t="shared" si="104"/>
        <v>0</v>
      </c>
      <c r="J111" s="198"/>
      <c r="K111" s="199"/>
      <c r="L111" s="199"/>
      <c r="M111" s="199"/>
      <c r="N111" s="200"/>
      <c r="O111" s="184"/>
      <c r="P111" s="324">
        <f t="shared" si="81"/>
        <v>4.1360544217687076</v>
      </c>
      <c r="R111" s="153" t="s">
        <v>524</v>
      </c>
      <c r="S111" s="309">
        <f t="shared" si="105"/>
        <v>0</v>
      </c>
      <c r="T111" s="314">
        <f t="shared" si="105"/>
        <v>0</v>
      </c>
      <c r="U111" s="314">
        <f t="shared" si="105"/>
        <v>0</v>
      </c>
      <c r="V111" s="314">
        <f t="shared" si="105"/>
        <v>0</v>
      </c>
      <c r="W111" s="314">
        <f t="shared" si="105"/>
        <v>1</v>
      </c>
      <c r="X111" s="314">
        <f t="shared" si="105"/>
        <v>0</v>
      </c>
      <c r="Y111" s="315">
        <f t="shared" si="105"/>
        <v>0</v>
      </c>
      <c r="Z111" s="198"/>
      <c r="AA111" s="199"/>
      <c r="AB111" s="199"/>
      <c r="AC111" s="199"/>
      <c r="AD111" s="200"/>
      <c r="AE111" s="184"/>
      <c r="AF111" s="324">
        <f t="shared" si="86"/>
        <v>1</v>
      </c>
      <c r="AH111" s="153" t="s">
        <v>524</v>
      </c>
      <c r="AI111" s="309">
        <f t="shared" si="106"/>
        <v>0</v>
      </c>
      <c r="AJ111" s="314">
        <f t="shared" si="106"/>
        <v>6.021505376344086</v>
      </c>
      <c r="AK111" s="314">
        <f t="shared" si="106"/>
        <v>0</v>
      </c>
      <c r="AL111" s="314">
        <f t="shared" si="106"/>
        <v>0</v>
      </c>
      <c r="AM111" s="314">
        <f t="shared" si="106"/>
        <v>8.0566037735849054</v>
      </c>
      <c r="AN111" s="314">
        <f t="shared" si="106"/>
        <v>0</v>
      </c>
      <c r="AO111" s="315">
        <f t="shared" si="106"/>
        <v>0</v>
      </c>
      <c r="AP111" s="198"/>
      <c r="AQ111" s="199"/>
      <c r="AR111" s="199"/>
      <c r="AS111" s="199"/>
      <c r="AT111" s="200"/>
      <c r="AU111" s="184"/>
      <c r="AV111" s="324">
        <f t="shared" si="88"/>
        <v>14.078109149928991</v>
      </c>
    </row>
    <row r="112" spans="2:48" x14ac:dyDescent="0.25">
      <c r="B112" s="153" t="s">
        <v>525</v>
      </c>
      <c r="C112" s="309">
        <f t="shared" si="104"/>
        <v>0</v>
      </c>
      <c r="D112" s="314">
        <f t="shared" si="104"/>
        <v>0</v>
      </c>
      <c r="E112" s="314">
        <f t="shared" si="104"/>
        <v>0</v>
      </c>
      <c r="F112" s="314">
        <f t="shared" si="104"/>
        <v>0</v>
      </c>
      <c r="G112" s="314">
        <f t="shared" si="104"/>
        <v>0</v>
      </c>
      <c r="H112" s="314">
        <f t="shared" si="104"/>
        <v>0</v>
      </c>
      <c r="I112" s="315">
        <f t="shared" si="104"/>
        <v>0</v>
      </c>
      <c r="J112" s="198"/>
      <c r="K112" s="199"/>
      <c r="L112" s="201" t="s">
        <v>69</v>
      </c>
      <c r="M112" s="199"/>
      <c r="N112" s="200"/>
      <c r="O112" s="184"/>
      <c r="P112" s="324">
        <f t="shared" si="81"/>
        <v>0</v>
      </c>
      <c r="R112" s="153" t="s">
        <v>525</v>
      </c>
      <c r="S112" s="309">
        <f t="shared" si="105"/>
        <v>0</v>
      </c>
      <c r="T112" s="314">
        <f t="shared" si="105"/>
        <v>0</v>
      </c>
      <c r="U112" s="314">
        <f t="shared" si="105"/>
        <v>0</v>
      </c>
      <c r="V112" s="314">
        <f t="shared" si="105"/>
        <v>0</v>
      </c>
      <c r="W112" s="314">
        <f t="shared" si="105"/>
        <v>0</v>
      </c>
      <c r="X112" s="314">
        <f t="shared" si="105"/>
        <v>0</v>
      </c>
      <c r="Y112" s="315">
        <f t="shared" si="105"/>
        <v>5</v>
      </c>
      <c r="Z112" s="198"/>
      <c r="AA112" s="199"/>
      <c r="AB112" s="201" t="s">
        <v>69</v>
      </c>
      <c r="AC112" s="199"/>
      <c r="AD112" s="200"/>
      <c r="AE112" s="184"/>
      <c r="AF112" s="324">
        <f t="shared" si="86"/>
        <v>5</v>
      </c>
      <c r="AH112" s="153" t="s">
        <v>525</v>
      </c>
      <c r="AI112" s="309">
        <f t="shared" si="106"/>
        <v>21.378787878787879</v>
      </c>
      <c r="AJ112" s="314">
        <f t="shared" si="106"/>
        <v>1.2043010752688172</v>
      </c>
      <c r="AK112" s="314">
        <f t="shared" si="106"/>
        <v>0</v>
      </c>
      <c r="AL112" s="314">
        <f t="shared" si="106"/>
        <v>0</v>
      </c>
      <c r="AM112" s="314">
        <f t="shared" si="106"/>
        <v>0</v>
      </c>
      <c r="AN112" s="314">
        <f t="shared" si="106"/>
        <v>0</v>
      </c>
      <c r="AO112" s="315">
        <f t="shared" si="106"/>
        <v>10</v>
      </c>
      <c r="AP112" s="198"/>
      <c r="AQ112" s="199"/>
      <c r="AR112" s="201" t="s">
        <v>69</v>
      </c>
      <c r="AS112" s="199"/>
      <c r="AT112" s="200"/>
      <c r="AU112" s="184"/>
      <c r="AV112" s="324">
        <f t="shared" si="88"/>
        <v>32.583088954056691</v>
      </c>
    </row>
    <row r="113" spans="2:48" x14ac:dyDescent="0.25">
      <c r="B113" s="153" t="s">
        <v>526</v>
      </c>
      <c r="C113" s="309">
        <f t="shared" si="104"/>
        <v>1.0680272108843538</v>
      </c>
      <c r="D113" s="314">
        <f t="shared" si="104"/>
        <v>0</v>
      </c>
      <c r="E113" s="314">
        <f t="shared" si="104"/>
        <v>0</v>
      </c>
      <c r="F113" s="314">
        <f t="shared" si="104"/>
        <v>0</v>
      </c>
      <c r="G113" s="314">
        <f t="shared" si="104"/>
        <v>0</v>
      </c>
      <c r="H113" s="314">
        <f t="shared" si="104"/>
        <v>0</v>
      </c>
      <c r="I113" s="315">
        <f t="shared" si="104"/>
        <v>0</v>
      </c>
      <c r="J113" s="198"/>
      <c r="K113" s="199"/>
      <c r="L113" s="199"/>
      <c r="M113" s="199"/>
      <c r="N113" s="200"/>
      <c r="O113" s="184"/>
      <c r="P113" s="324">
        <f t="shared" si="81"/>
        <v>1.0680272108843538</v>
      </c>
      <c r="R113" s="153" t="s">
        <v>526</v>
      </c>
      <c r="S113" s="309">
        <f t="shared" si="105"/>
        <v>0</v>
      </c>
      <c r="T113" s="314">
        <f t="shared" si="105"/>
        <v>0</v>
      </c>
      <c r="U113" s="314">
        <f t="shared" si="105"/>
        <v>0</v>
      </c>
      <c r="V113" s="314">
        <f t="shared" si="105"/>
        <v>0</v>
      </c>
      <c r="W113" s="314">
        <f t="shared" si="105"/>
        <v>0</v>
      </c>
      <c r="X113" s="314">
        <f t="shared" si="105"/>
        <v>0</v>
      </c>
      <c r="Y113" s="315">
        <f t="shared" si="105"/>
        <v>0</v>
      </c>
      <c r="Z113" s="198"/>
      <c r="AA113" s="199"/>
      <c r="AB113" s="199"/>
      <c r="AC113" s="199"/>
      <c r="AD113" s="200"/>
      <c r="AE113" s="184"/>
      <c r="AF113" s="324">
        <f t="shared" si="86"/>
        <v>0</v>
      </c>
      <c r="AH113" s="153" t="s">
        <v>526</v>
      </c>
      <c r="AI113" s="309">
        <f t="shared" si="106"/>
        <v>0</v>
      </c>
      <c r="AJ113" s="314">
        <f t="shared" si="106"/>
        <v>1.2043010752688172</v>
      </c>
      <c r="AK113" s="314">
        <f t="shared" si="106"/>
        <v>0</v>
      </c>
      <c r="AL113" s="314">
        <f t="shared" si="106"/>
        <v>0</v>
      </c>
      <c r="AM113" s="314">
        <f t="shared" si="106"/>
        <v>0</v>
      </c>
      <c r="AN113" s="314">
        <f t="shared" si="106"/>
        <v>0</v>
      </c>
      <c r="AO113" s="315">
        <f t="shared" si="106"/>
        <v>0</v>
      </c>
      <c r="AP113" s="198"/>
      <c r="AQ113" s="199"/>
      <c r="AR113" s="199"/>
      <c r="AS113" s="199"/>
      <c r="AT113" s="200"/>
      <c r="AU113" s="184"/>
      <c r="AV113" s="324">
        <f t="shared" si="88"/>
        <v>1.2043010752688172</v>
      </c>
    </row>
    <row r="114" spans="2:48" x14ac:dyDescent="0.25">
      <c r="B114" s="154" t="s">
        <v>527</v>
      </c>
      <c r="C114" s="311">
        <f t="shared" si="104"/>
        <v>0</v>
      </c>
      <c r="D114" s="318">
        <f t="shared" si="104"/>
        <v>0</v>
      </c>
      <c r="E114" s="318">
        <f t="shared" si="104"/>
        <v>0</v>
      </c>
      <c r="F114" s="318">
        <f t="shared" si="104"/>
        <v>0</v>
      </c>
      <c r="G114" s="318">
        <f t="shared" si="104"/>
        <v>0</v>
      </c>
      <c r="H114" s="318">
        <f t="shared" si="104"/>
        <v>0</v>
      </c>
      <c r="I114" s="319">
        <f t="shared" si="104"/>
        <v>0</v>
      </c>
      <c r="J114" s="202"/>
      <c r="K114" s="203"/>
      <c r="L114" s="203"/>
      <c r="M114" s="203"/>
      <c r="N114" s="204"/>
      <c r="O114" s="185"/>
      <c r="P114" s="325">
        <f t="shared" si="81"/>
        <v>0</v>
      </c>
      <c r="R114" s="154" t="s">
        <v>527</v>
      </c>
      <c r="S114" s="311">
        <f t="shared" si="105"/>
        <v>0</v>
      </c>
      <c r="T114" s="318">
        <f t="shared" si="105"/>
        <v>0</v>
      </c>
      <c r="U114" s="318">
        <f t="shared" si="105"/>
        <v>0</v>
      </c>
      <c r="V114" s="318">
        <f t="shared" si="105"/>
        <v>0</v>
      </c>
      <c r="W114" s="318">
        <f t="shared" si="105"/>
        <v>0</v>
      </c>
      <c r="X114" s="318">
        <f t="shared" si="105"/>
        <v>0</v>
      </c>
      <c r="Y114" s="319">
        <f t="shared" si="105"/>
        <v>0</v>
      </c>
      <c r="Z114" s="202"/>
      <c r="AA114" s="203"/>
      <c r="AB114" s="203"/>
      <c r="AC114" s="203"/>
      <c r="AD114" s="204"/>
      <c r="AE114" s="185"/>
      <c r="AF114" s="325">
        <f t="shared" si="86"/>
        <v>0</v>
      </c>
      <c r="AH114" s="154" t="s">
        <v>527</v>
      </c>
      <c r="AI114" s="311">
        <f t="shared" si="106"/>
        <v>0</v>
      </c>
      <c r="AJ114" s="318">
        <f t="shared" si="106"/>
        <v>1.2043010752688172</v>
      </c>
      <c r="AK114" s="318">
        <f t="shared" si="106"/>
        <v>0</v>
      </c>
      <c r="AL114" s="318">
        <f t="shared" si="106"/>
        <v>0</v>
      </c>
      <c r="AM114" s="318">
        <f t="shared" si="106"/>
        <v>0</v>
      </c>
      <c r="AN114" s="318">
        <f t="shared" si="106"/>
        <v>0</v>
      </c>
      <c r="AO114" s="319">
        <f t="shared" si="106"/>
        <v>0</v>
      </c>
      <c r="AP114" s="202"/>
      <c r="AQ114" s="203"/>
      <c r="AR114" s="203"/>
      <c r="AS114" s="203"/>
      <c r="AT114" s="204"/>
      <c r="AU114" s="185"/>
      <c r="AV114" s="325">
        <f t="shared" si="88"/>
        <v>1.2043010752688172</v>
      </c>
    </row>
    <row r="115" spans="2:48" x14ac:dyDescent="0.25">
      <c r="B115" s="149" t="s">
        <v>66</v>
      </c>
      <c r="C115" s="307">
        <f t="shared" ref="C115:N115" si="107">IF(C$31&gt;0,INT(C$24*C35/C$31),0)</f>
        <v>157</v>
      </c>
      <c r="D115" s="307">
        <f t="shared" si="107"/>
        <v>39</v>
      </c>
      <c r="E115" s="307">
        <f t="shared" si="107"/>
        <v>0</v>
      </c>
      <c r="F115" s="307">
        <f t="shared" si="107"/>
        <v>0</v>
      </c>
      <c r="G115" s="307">
        <f t="shared" si="107"/>
        <v>59</v>
      </c>
      <c r="H115" s="307">
        <f t="shared" si="107"/>
        <v>0</v>
      </c>
      <c r="I115" s="307">
        <f t="shared" si="107"/>
        <v>0</v>
      </c>
      <c r="J115" s="307">
        <f t="shared" si="107"/>
        <v>3</v>
      </c>
      <c r="K115" s="307">
        <f t="shared" si="107"/>
        <v>0</v>
      </c>
      <c r="L115" s="307">
        <f t="shared" si="107"/>
        <v>6</v>
      </c>
      <c r="M115" s="307">
        <f t="shared" si="107"/>
        <v>0</v>
      </c>
      <c r="N115" s="307">
        <f t="shared" si="107"/>
        <v>0</v>
      </c>
      <c r="O115" s="182"/>
      <c r="P115" s="326">
        <f>SUM(P103:P114)</f>
        <v>264.00000000000006</v>
      </c>
      <c r="R115" s="149" t="s">
        <v>66</v>
      </c>
      <c r="S115" s="307">
        <f t="shared" ref="S115:AD115" si="108">IF(S$31&gt;0,INT(S$24*S35/S$31),0)</f>
        <v>15</v>
      </c>
      <c r="T115" s="307">
        <f t="shared" si="108"/>
        <v>60</v>
      </c>
      <c r="U115" s="307">
        <f t="shared" si="108"/>
        <v>15</v>
      </c>
      <c r="V115" s="307">
        <f t="shared" si="108"/>
        <v>7</v>
      </c>
      <c r="W115" s="307">
        <f t="shared" si="108"/>
        <v>1</v>
      </c>
      <c r="X115" s="307">
        <f t="shared" si="108"/>
        <v>4</v>
      </c>
      <c r="Y115" s="307">
        <f t="shared" si="108"/>
        <v>34</v>
      </c>
      <c r="Z115" s="307">
        <f t="shared" si="108"/>
        <v>0</v>
      </c>
      <c r="AA115" s="307">
        <f t="shared" si="108"/>
        <v>4</v>
      </c>
      <c r="AB115" s="307">
        <f t="shared" si="108"/>
        <v>3</v>
      </c>
      <c r="AC115" s="307">
        <f t="shared" si="108"/>
        <v>0</v>
      </c>
      <c r="AD115" s="307">
        <f t="shared" si="108"/>
        <v>0</v>
      </c>
      <c r="AE115" s="182"/>
      <c r="AF115" s="151">
        <f>SUM(AF103:AF114)</f>
        <v>143</v>
      </c>
      <c r="AH115" s="149" t="s">
        <v>66</v>
      </c>
      <c r="AI115" s="307">
        <f t="shared" ref="AI115:AT115" si="109">IF(AI$31&gt;0,INT(AI$24*AI35/AI$31),0)</f>
        <v>83</v>
      </c>
      <c r="AJ115" s="307">
        <f t="shared" si="109"/>
        <v>224</v>
      </c>
      <c r="AK115" s="307">
        <f t="shared" si="109"/>
        <v>8</v>
      </c>
      <c r="AL115" s="307">
        <f t="shared" si="109"/>
        <v>2</v>
      </c>
      <c r="AM115" s="307">
        <f t="shared" si="109"/>
        <v>61</v>
      </c>
      <c r="AN115" s="307">
        <f t="shared" si="109"/>
        <v>22</v>
      </c>
      <c r="AO115" s="307">
        <f t="shared" si="109"/>
        <v>14</v>
      </c>
      <c r="AP115" s="307">
        <f t="shared" si="109"/>
        <v>0</v>
      </c>
      <c r="AQ115" s="307">
        <f t="shared" si="109"/>
        <v>2</v>
      </c>
      <c r="AR115" s="307">
        <f t="shared" si="109"/>
        <v>0</v>
      </c>
      <c r="AS115" s="307">
        <f t="shared" si="109"/>
        <v>0</v>
      </c>
      <c r="AT115" s="307">
        <f t="shared" si="109"/>
        <v>0</v>
      </c>
      <c r="AU115" s="182"/>
      <c r="AV115" s="151">
        <f>SUM(AV103:AV114)</f>
        <v>415.99999999999994</v>
      </c>
    </row>
    <row r="116" spans="2:48" x14ac:dyDescent="0.25">
      <c r="C116" s="140"/>
    </row>
  </sheetData>
  <mergeCells count="19">
    <mergeCell ref="B5:N5"/>
    <mergeCell ref="C9:N9"/>
    <mergeCell ref="S9:AD9"/>
    <mergeCell ref="AI9:AT9"/>
    <mergeCell ref="C29:N29"/>
    <mergeCell ref="S29:AD29"/>
    <mergeCell ref="AI29:AT29"/>
    <mergeCell ref="AI81:AT81"/>
    <mergeCell ref="AI101:AT101"/>
    <mergeCell ref="C41:N41"/>
    <mergeCell ref="AI41:AT41"/>
    <mergeCell ref="S41:AD41"/>
    <mergeCell ref="C61:N61"/>
    <mergeCell ref="C81:N81"/>
    <mergeCell ref="C101:N101"/>
    <mergeCell ref="S101:AD101"/>
    <mergeCell ref="S81:AD81"/>
    <mergeCell ref="S61:AD61"/>
    <mergeCell ref="AI61:AT61"/>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01"/>
  <sheetViews>
    <sheetView zoomScale="70" zoomScaleNormal="70" workbookViewId="0">
      <selection activeCell="A28" sqref="A28"/>
    </sheetView>
  </sheetViews>
  <sheetFormatPr defaultRowHeight="15" customHeight="1" x14ac:dyDescent="0.25"/>
  <cols>
    <col min="1" max="1" width="8.7109375" style="124" customWidth="1"/>
    <col min="2" max="2" width="35.7109375" style="123" customWidth="1"/>
    <col min="3" max="3" width="50.7109375" customWidth="1"/>
    <col min="4" max="4" width="14" style="123" customWidth="1"/>
    <col min="5" max="5" width="31.7109375" style="123" customWidth="1"/>
    <col min="6" max="7" width="14" style="123" customWidth="1"/>
    <col min="8" max="8" width="13" style="123" customWidth="1"/>
    <col min="9" max="9" width="35.7109375" style="123" customWidth="1"/>
    <col min="10" max="10" width="13" style="123" customWidth="1"/>
    <col min="11" max="11" width="18.140625" style="123" customWidth="1"/>
    <col min="12" max="12" width="15.7109375" style="123" customWidth="1"/>
    <col min="13" max="14" width="20.7109375" style="123" customWidth="1"/>
    <col min="15" max="23" width="15.7109375" customWidth="1"/>
  </cols>
  <sheetData>
    <row r="1" spans="1:23" ht="15" customHeight="1" x14ac:dyDescent="0.3">
      <c r="A1" s="29" t="s">
        <v>601</v>
      </c>
    </row>
    <row r="2" spans="1:23" s="341" customFormat="1" ht="57.75" customHeight="1" x14ac:dyDescent="0.25">
      <c r="A2" s="125" t="s">
        <v>141</v>
      </c>
      <c r="B2" s="125" t="s">
        <v>142</v>
      </c>
      <c r="C2" s="125" t="s">
        <v>143</v>
      </c>
      <c r="D2" s="125" t="s">
        <v>144</v>
      </c>
      <c r="E2" s="125" t="s">
        <v>145</v>
      </c>
      <c r="F2" s="125" t="s">
        <v>146</v>
      </c>
      <c r="G2" s="125" t="s">
        <v>147</v>
      </c>
      <c r="H2" s="126" t="s">
        <v>148</v>
      </c>
      <c r="I2" s="125" t="s">
        <v>149</v>
      </c>
      <c r="J2" s="125" t="s">
        <v>150</v>
      </c>
      <c r="K2" s="125" t="s">
        <v>151</v>
      </c>
      <c r="L2" s="127" t="s">
        <v>330</v>
      </c>
      <c r="M2" s="127" t="s">
        <v>152</v>
      </c>
      <c r="N2" s="127" t="s">
        <v>153</v>
      </c>
      <c r="O2" s="351" t="s">
        <v>536</v>
      </c>
      <c r="P2" s="351" t="s">
        <v>537</v>
      </c>
      <c r="Q2" s="351" t="s">
        <v>538</v>
      </c>
      <c r="R2" s="351" t="s">
        <v>539</v>
      </c>
      <c r="S2" s="351" t="s">
        <v>541</v>
      </c>
      <c r="T2" s="351" t="s">
        <v>542</v>
      </c>
      <c r="U2" s="351" t="s">
        <v>543</v>
      </c>
      <c r="V2" s="351" t="s">
        <v>549</v>
      </c>
      <c r="W2" s="351" t="s">
        <v>548</v>
      </c>
    </row>
    <row r="3" spans="1:23" ht="15" customHeight="1" x14ac:dyDescent="0.25">
      <c r="A3" s="128">
        <v>3</v>
      </c>
      <c r="B3" s="129" t="s">
        <v>258</v>
      </c>
      <c r="C3" s="128" t="s">
        <v>3</v>
      </c>
      <c r="D3" s="129" t="s">
        <v>165</v>
      </c>
      <c r="E3" s="129" t="s">
        <v>162</v>
      </c>
      <c r="F3" s="129">
        <v>91913</v>
      </c>
      <c r="G3" s="129">
        <v>92135</v>
      </c>
      <c r="H3" s="130">
        <v>48</v>
      </c>
      <c r="I3" s="129" t="s">
        <v>416</v>
      </c>
      <c r="J3" s="130">
        <v>7</v>
      </c>
      <c r="K3" s="131"/>
      <c r="L3" s="131" t="s">
        <v>3</v>
      </c>
      <c r="M3" s="131" t="s">
        <v>328</v>
      </c>
      <c r="N3" s="131" t="s">
        <v>323</v>
      </c>
      <c r="O3" s="56">
        <f>VLOOKUP($F3,'ZipCode Coordinates'!$A:$E,4,FALSE)</f>
        <v>1810320</v>
      </c>
      <c r="P3" s="56">
        <f>VLOOKUP($F3,'ZipCode Coordinates'!$A:$E,5,FALSE)</f>
        <v>6334990</v>
      </c>
      <c r="Q3" s="56">
        <f>VLOOKUP($G3,'ZipCode Coordinates'!$A:$E,4,FALSE)</f>
        <v>1835720</v>
      </c>
      <c r="R3" s="56">
        <f>VLOOKUP($G3,'ZipCode Coordinates'!$A:$E,5,FALSE)</f>
        <v>6266670</v>
      </c>
      <c r="S3" s="352" t="str">
        <f>IFERROR(VLOOKUP($M3,'External Gateways'!$C$6:$F$10,2,FALSE),"")</f>
        <v/>
      </c>
      <c r="T3" s="56">
        <f>IFERROR(VLOOKUP($M3,'External Gateways'!$C$6:$F$10,3,FALSE),O3)</f>
        <v>1810320</v>
      </c>
      <c r="U3" s="56">
        <f>IFERROR(VLOOKUP($M3,'External Gateways'!$C$6:$F$10,4,FALSE),P3)</f>
        <v>6334990</v>
      </c>
      <c r="V3" s="353">
        <f t="shared" ref="V3:V66" si="0">SQRT((T3-O3)^2+(U3-P3)^2)/5280</f>
        <v>0</v>
      </c>
      <c r="W3" s="353">
        <f t="shared" ref="W3:W66" si="1">MAX(H3-2*V3,0)</f>
        <v>48</v>
      </c>
    </row>
    <row r="4" spans="1:23" ht="15" customHeight="1" x14ac:dyDescent="0.25">
      <c r="A4" s="128">
        <v>7</v>
      </c>
      <c r="B4" s="129" t="s">
        <v>300</v>
      </c>
      <c r="C4" s="128" t="s">
        <v>166</v>
      </c>
      <c r="D4" s="129" t="s">
        <v>158</v>
      </c>
      <c r="E4" s="129" t="s">
        <v>162</v>
      </c>
      <c r="F4" s="129">
        <v>92563</v>
      </c>
      <c r="G4" s="129">
        <v>92101</v>
      </c>
      <c r="H4" s="130">
        <v>129</v>
      </c>
      <c r="I4" s="129" t="s">
        <v>496</v>
      </c>
      <c r="J4" s="130">
        <v>13</v>
      </c>
      <c r="K4" s="131"/>
      <c r="L4" s="131" t="s">
        <v>5</v>
      </c>
      <c r="M4" s="131" t="s">
        <v>402</v>
      </c>
      <c r="N4" s="131" t="s">
        <v>323</v>
      </c>
      <c r="O4" s="56">
        <f>VLOOKUP($F4,'ZipCode Coordinates'!$A:$E,4,FALSE)</f>
        <v>2156450</v>
      </c>
      <c r="P4" s="56">
        <f>VLOOKUP($F4,'ZipCode Coordinates'!$A:$E,5,FALSE)</f>
        <v>6288710</v>
      </c>
      <c r="Q4" s="56">
        <f>VLOOKUP($G4,'ZipCode Coordinates'!$A:$E,4,FALSE)</f>
        <v>1844080</v>
      </c>
      <c r="R4" s="56">
        <f>VLOOKUP($G4,'ZipCode Coordinates'!$A:$E,5,FALSE)</f>
        <v>6278770</v>
      </c>
      <c r="S4" s="352" t="str">
        <f>IFERROR(VLOOKUP($M4,'External Gateways'!$C$6:$F$10,2,FALSE),"")</f>
        <v>I-15</v>
      </c>
      <c r="T4" s="56">
        <f>IFERROR(VLOOKUP($M4,'External Gateways'!$C$6:$F$10,3,FALSE),O4)</f>
        <v>2102195</v>
      </c>
      <c r="U4" s="56">
        <f>IFERROR(VLOOKUP($M4,'External Gateways'!$C$6:$F$10,4,FALSE),P4)</f>
        <v>6289147</v>
      </c>
      <c r="V4" s="353">
        <f t="shared" si="0"/>
        <v>10.275901494735123</v>
      </c>
      <c r="W4" s="353">
        <f t="shared" si="1"/>
        <v>108.44819701052975</v>
      </c>
    </row>
    <row r="5" spans="1:23" ht="15" customHeight="1" x14ac:dyDescent="0.25">
      <c r="A5" s="128">
        <v>14</v>
      </c>
      <c r="B5" s="129" t="s">
        <v>258</v>
      </c>
      <c r="C5" s="128" t="s">
        <v>3</v>
      </c>
      <c r="D5" s="129" t="s">
        <v>156</v>
      </c>
      <c r="E5" s="129" t="s">
        <v>162</v>
      </c>
      <c r="F5" s="129">
        <v>92026</v>
      </c>
      <c r="G5" s="129">
        <v>92135</v>
      </c>
      <c r="H5" s="130">
        <v>90</v>
      </c>
      <c r="I5" s="129" t="s">
        <v>441</v>
      </c>
      <c r="J5" s="130">
        <v>8</v>
      </c>
      <c r="K5" s="131"/>
      <c r="L5" s="131" t="s">
        <v>3</v>
      </c>
      <c r="M5" s="131" t="s">
        <v>325</v>
      </c>
      <c r="N5" s="131" t="s">
        <v>323</v>
      </c>
      <c r="O5" s="56">
        <f>VLOOKUP($F5,'ZipCode Coordinates'!$A:$E,4,FALSE)</f>
        <v>2022480</v>
      </c>
      <c r="P5" s="56">
        <f>VLOOKUP($F5,'ZipCode Coordinates'!$A:$E,5,FALSE)</f>
        <v>6297420</v>
      </c>
      <c r="Q5" s="56">
        <f>VLOOKUP($G5,'ZipCode Coordinates'!$A:$E,4,FALSE)</f>
        <v>1835720</v>
      </c>
      <c r="R5" s="56">
        <f>VLOOKUP($G5,'ZipCode Coordinates'!$A:$E,5,FALSE)</f>
        <v>6266670</v>
      </c>
      <c r="S5" s="352" t="str">
        <f>IFERROR(VLOOKUP($M5,'External Gateways'!$C$6:$F$10,2,FALSE),"")</f>
        <v/>
      </c>
      <c r="T5" s="56">
        <f>IFERROR(VLOOKUP($M5,'External Gateways'!$C$6:$F$10,3,FALSE),O5)</f>
        <v>2022480</v>
      </c>
      <c r="U5" s="56">
        <f>IFERROR(VLOOKUP($M5,'External Gateways'!$C$6:$F$10,4,FALSE),P5)</f>
        <v>6297420</v>
      </c>
      <c r="V5" s="353">
        <f t="shared" si="0"/>
        <v>0</v>
      </c>
      <c r="W5" s="353">
        <f t="shared" si="1"/>
        <v>90</v>
      </c>
    </row>
    <row r="6" spans="1:23" ht="15" customHeight="1" x14ac:dyDescent="0.25">
      <c r="A6" s="128">
        <v>16</v>
      </c>
      <c r="B6" s="129" t="s">
        <v>258</v>
      </c>
      <c r="C6" s="128" t="s">
        <v>3</v>
      </c>
      <c r="D6" s="129" t="s">
        <v>156</v>
      </c>
      <c r="E6" s="129" t="s">
        <v>162</v>
      </c>
      <c r="F6" s="129">
        <v>92026</v>
      </c>
      <c r="G6" s="129">
        <v>92135</v>
      </c>
      <c r="H6" s="130">
        <v>109</v>
      </c>
      <c r="I6" s="129" t="s">
        <v>448</v>
      </c>
      <c r="J6" s="130">
        <v>10</v>
      </c>
      <c r="K6" s="131"/>
      <c r="L6" s="131" t="s">
        <v>3</v>
      </c>
      <c r="M6" s="131" t="s">
        <v>325</v>
      </c>
      <c r="N6" s="131" t="s">
        <v>323</v>
      </c>
      <c r="O6" s="56">
        <f>VLOOKUP($F6,'ZipCode Coordinates'!$A:$E,4,FALSE)</f>
        <v>2022480</v>
      </c>
      <c r="P6" s="56">
        <f>VLOOKUP($F6,'ZipCode Coordinates'!$A:$E,5,FALSE)</f>
        <v>6297420</v>
      </c>
      <c r="Q6" s="56">
        <f>VLOOKUP($G6,'ZipCode Coordinates'!$A:$E,4,FALSE)</f>
        <v>1835720</v>
      </c>
      <c r="R6" s="56">
        <f>VLOOKUP($G6,'ZipCode Coordinates'!$A:$E,5,FALSE)</f>
        <v>6266670</v>
      </c>
      <c r="S6" s="352" t="str">
        <f>IFERROR(VLOOKUP($M6,'External Gateways'!$C$6:$F$10,2,FALSE),"")</f>
        <v/>
      </c>
      <c r="T6" s="56">
        <f>IFERROR(VLOOKUP($M6,'External Gateways'!$C$6:$F$10,3,FALSE),O6)</f>
        <v>2022480</v>
      </c>
      <c r="U6" s="56">
        <f>IFERROR(VLOOKUP($M6,'External Gateways'!$C$6:$F$10,4,FALSE),P6)</f>
        <v>6297420</v>
      </c>
      <c r="V6" s="353">
        <f t="shared" si="0"/>
        <v>0</v>
      </c>
      <c r="W6" s="353">
        <f t="shared" si="1"/>
        <v>109</v>
      </c>
    </row>
    <row r="7" spans="1:23" ht="15" customHeight="1" x14ac:dyDescent="0.25">
      <c r="A7" s="128">
        <v>18</v>
      </c>
      <c r="B7" s="129" t="s">
        <v>257</v>
      </c>
      <c r="C7" s="128" t="s">
        <v>3</v>
      </c>
      <c r="D7" s="129" t="s">
        <v>220</v>
      </c>
      <c r="E7" s="129" t="s">
        <v>162</v>
      </c>
      <c r="F7" s="129">
        <v>92071</v>
      </c>
      <c r="G7" s="129">
        <v>92155</v>
      </c>
      <c r="H7" s="130">
        <v>67</v>
      </c>
      <c r="I7" s="129" t="s">
        <v>416</v>
      </c>
      <c r="J7" s="130">
        <v>7</v>
      </c>
      <c r="K7" s="131"/>
      <c r="L7" s="131" t="s">
        <v>3</v>
      </c>
      <c r="M7" s="131" t="s">
        <v>326</v>
      </c>
      <c r="N7" s="131" t="s">
        <v>323</v>
      </c>
      <c r="O7" s="56">
        <f>VLOOKUP($F7,'ZipCode Coordinates'!$A:$E,4,FALSE)</f>
        <v>1895600</v>
      </c>
      <c r="P7" s="56">
        <f>VLOOKUP($F7,'ZipCode Coordinates'!$A:$E,5,FALSE)</f>
        <v>6327040</v>
      </c>
      <c r="Q7" s="56">
        <f>VLOOKUP($G7,'ZipCode Coordinates'!$A:$E,4,FALSE)</f>
        <v>1826710</v>
      </c>
      <c r="R7" s="56">
        <f>VLOOKUP($G7,'ZipCode Coordinates'!$A:$E,5,FALSE)</f>
        <v>6281240</v>
      </c>
      <c r="S7" s="352" t="str">
        <f>IFERROR(VLOOKUP($M7,'External Gateways'!$C$6:$F$10,2,FALSE),"")</f>
        <v/>
      </c>
      <c r="T7" s="56">
        <f>IFERROR(VLOOKUP($M7,'External Gateways'!$C$6:$F$10,3,FALSE),O7)</f>
        <v>1895600</v>
      </c>
      <c r="U7" s="56">
        <f>IFERROR(VLOOKUP($M7,'External Gateways'!$C$6:$F$10,4,FALSE),P7)</f>
        <v>6327040</v>
      </c>
      <c r="V7" s="353">
        <f t="shared" si="0"/>
        <v>0</v>
      </c>
      <c r="W7" s="353">
        <f t="shared" si="1"/>
        <v>67</v>
      </c>
    </row>
    <row r="8" spans="1:23" ht="15" customHeight="1" x14ac:dyDescent="0.25">
      <c r="A8" s="128">
        <v>27</v>
      </c>
      <c r="B8" s="129" t="s">
        <v>300</v>
      </c>
      <c r="C8" s="128" t="s">
        <v>166</v>
      </c>
      <c r="D8" s="129" t="s">
        <v>301</v>
      </c>
      <c r="E8" s="129" t="s">
        <v>162</v>
      </c>
      <c r="F8" s="129">
        <v>91752</v>
      </c>
      <c r="G8" s="129">
        <v>92101</v>
      </c>
      <c r="H8" s="130">
        <v>136</v>
      </c>
      <c r="I8" s="129" t="s">
        <v>401</v>
      </c>
      <c r="J8" s="130">
        <v>7</v>
      </c>
      <c r="K8" s="131">
        <v>2</v>
      </c>
      <c r="L8" s="131" t="s">
        <v>5</v>
      </c>
      <c r="M8" s="131" t="s">
        <v>402</v>
      </c>
      <c r="N8" s="131" t="s">
        <v>323</v>
      </c>
      <c r="O8" s="56">
        <f>VLOOKUP($F8,'ZipCode Coordinates'!$A:$E,4,FALSE)</f>
        <v>2308410</v>
      </c>
      <c r="P8" s="56">
        <f>VLOOKUP($F8,'ZipCode Coordinates'!$A:$E,5,FALSE)</f>
        <v>6172440</v>
      </c>
      <c r="Q8" s="56">
        <f>VLOOKUP($G8,'ZipCode Coordinates'!$A:$E,4,FALSE)</f>
        <v>1844080</v>
      </c>
      <c r="R8" s="56">
        <f>VLOOKUP($G8,'ZipCode Coordinates'!$A:$E,5,FALSE)</f>
        <v>6278770</v>
      </c>
      <c r="S8" s="352" t="str">
        <f>IFERROR(VLOOKUP($M8,'External Gateways'!$C$6:$F$10,2,FALSE),"")</f>
        <v>I-15</v>
      </c>
      <c r="T8" s="56">
        <f>IFERROR(VLOOKUP($M8,'External Gateways'!$C$6:$F$10,3,FALSE),O8)</f>
        <v>2102195</v>
      </c>
      <c r="U8" s="56">
        <f>IFERROR(VLOOKUP($M8,'External Gateways'!$C$6:$F$10,4,FALSE),P8)</f>
        <v>6289147</v>
      </c>
      <c r="V8" s="353">
        <f t="shared" si="0"/>
        <v>44.876833022364607</v>
      </c>
      <c r="W8" s="353">
        <f t="shared" si="1"/>
        <v>46.246333955270785</v>
      </c>
    </row>
    <row r="9" spans="1:23" ht="15" customHeight="1" x14ac:dyDescent="0.25">
      <c r="A9" s="128">
        <v>32</v>
      </c>
      <c r="B9" s="129" t="s">
        <v>271</v>
      </c>
      <c r="C9" s="128" t="s">
        <v>166</v>
      </c>
      <c r="D9" s="129" t="s">
        <v>154</v>
      </c>
      <c r="E9" s="129" t="s">
        <v>162</v>
      </c>
      <c r="F9" s="129">
        <v>92592</v>
      </c>
      <c r="G9" s="129">
        <v>92128</v>
      </c>
      <c r="H9" s="130">
        <v>92</v>
      </c>
      <c r="I9" s="129" t="s">
        <v>441</v>
      </c>
      <c r="J9" s="130">
        <v>8</v>
      </c>
      <c r="K9" s="131"/>
      <c r="L9" s="131" t="s">
        <v>5</v>
      </c>
      <c r="M9" s="131" t="s">
        <v>402</v>
      </c>
      <c r="N9" s="131" t="s">
        <v>327</v>
      </c>
      <c r="O9" s="56">
        <f>VLOOKUP($F9,'ZipCode Coordinates'!$A:$E,4,FALSE)</f>
        <v>2128740</v>
      </c>
      <c r="P9" s="56">
        <f>VLOOKUP($F9,'ZipCode Coordinates'!$A:$E,5,FALSE)</f>
        <v>6328900</v>
      </c>
      <c r="Q9" s="56">
        <f>VLOOKUP($G9,'ZipCode Coordinates'!$A:$E,4,FALSE)</f>
        <v>1943580</v>
      </c>
      <c r="R9" s="56">
        <f>VLOOKUP($G9,'ZipCode Coordinates'!$A:$E,5,FALSE)</f>
        <v>6309440</v>
      </c>
      <c r="S9" s="352" t="str">
        <f>IFERROR(VLOOKUP($M9,'External Gateways'!$C$6:$F$10,2,FALSE),"")</f>
        <v>I-15</v>
      </c>
      <c r="T9" s="56">
        <f>IFERROR(VLOOKUP($M9,'External Gateways'!$C$6:$F$10,3,FALSE),O9)</f>
        <v>2102195</v>
      </c>
      <c r="U9" s="56">
        <f>IFERROR(VLOOKUP($M9,'External Gateways'!$C$6:$F$10,4,FALSE),P9)</f>
        <v>6289147</v>
      </c>
      <c r="V9" s="353">
        <f t="shared" si="0"/>
        <v>9.0532245169037147</v>
      </c>
      <c r="W9" s="353">
        <f t="shared" si="1"/>
        <v>73.893550966192578</v>
      </c>
    </row>
    <row r="10" spans="1:23" ht="15" customHeight="1" x14ac:dyDescent="0.25">
      <c r="A10" s="128">
        <v>40</v>
      </c>
      <c r="B10" s="129" t="s">
        <v>297</v>
      </c>
      <c r="C10" s="128" t="s">
        <v>163</v>
      </c>
      <c r="D10" s="129" t="s">
        <v>161</v>
      </c>
      <c r="E10" s="129" t="s">
        <v>162</v>
      </c>
      <c r="F10" s="129">
        <v>92596</v>
      </c>
      <c r="G10" s="129">
        <v>92123</v>
      </c>
      <c r="H10" s="130">
        <v>134</v>
      </c>
      <c r="I10" s="129" t="s">
        <v>401</v>
      </c>
      <c r="J10" s="130">
        <v>7</v>
      </c>
      <c r="K10" s="131">
        <v>1</v>
      </c>
      <c r="L10" s="131" t="s">
        <v>5</v>
      </c>
      <c r="M10" s="131" t="s">
        <v>402</v>
      </c>
      <c r="N10" s="131" t="s">
        <v>327</v>
      </c>
      <c r="O10" s="56">
        <f>VLOOKUP($F10,'ZipCode Coordinates'!$A:$E,4,FALSE)</f>
        <v>2177700</v>
      </c>
      <c r="P10" s="56">
        <f>VLOOKUP($F10,'ZipCode Coordinates'!$A:$E,5,FALSE)</f>
        <v>6311340</v>
      </c>
      <c r="Q10" s="56">
        <f>VLOOKUP($G10,'ZipCode Coordinates'!$A:$E,4,FALSE)</f>
        <v>1874700</v>
      </c>
      <c r="R10" s="56">
        <f>VLOOKUP($G10,'ZipCode Coordinates'!$A:$E,5,FALSE)</f>
        <v>6289760</v>
      </c>
      <c r="S10" s="352" t="str">
        <f>IFERROR(VLOOKUP($M10,'External Gateways'!$C$6:$F$10,2,FALSE),"")</f>
        <v>I-15</v>
      </c>
      <c r="T10" s="56">
        <f>IFERROR(VLOOKUP($M10,'External Gateways'!$C$6:$F$10,3,FALSE),O10)</f>
        <v>2102195</v>
      </c>
      <c r="U10" s="56">
        <f>IFERROR(VLOOKUP($M10,'External Gateways'!$C$6:$F$10,4,FALSE),P10)</f>
        <v>6289147</v>
      </c>
      <c r="V10" s="353">
        <f t="shared" si="0"/>
        <v>14.905115649451727</v>
      </c>
      <c r="W10" s="353">
        <f t="shared" si="1"/>
        <v>104.18976870109654</v>
      </c>
    </row>
    <row r="11" spans="1:23" ht="15" customHeight="1" x14ac:dyDescent="0.25">
      <c r="A11" s="128">
        <v>45</v>
      </c>
      <c r="B11" s="129" t="s">
        <v>300</v>
      </c>
      <c r="C11" s="128" t="s">
        <v>166</v>
      </c>
      <c r="D11" s="129" t="s">
        <v>162</v>
      </c>
      <c r="E11" s="129" t="s">
        <v>162</v>
      </c>
      <c r="F11" s="129">
        <v>92129</v>
      </c>
      <c r="G11" s="129">
        <v>92101</v>
      </c>
      <c r="H11" s="130">
        <v>70</v>
      </c>
      <c r="I11" s="129" t="s">
        <v>401</v>
      </c>
      <c r="J11" s="130">
        <v>7</v>
      </c>
      <c r="K11" s="131"/>
      <c r="L11" s="131" t="s">
        <v>5</v>
      </c>
      <c r="M11" s="131" t="s">
        <v>327</v>
      </c>
      <c r="N11" s="131" t="s">
        <v>323</v>
      </c>
      <c r="O11" s="56">
        <f>VLOOKUP($F11,'ZipCode Coordinates'!$A:$E,4,FALSE)</f>
        <v>1931860</v>
      </c>
      <c r="P11" s="56">
        <f>VLOOKUP($F11,'ZipCode Coordinates'!$A:$E,5,FALSE)</f>
        <v>6293150</v>
      </c>
      <c r="Q11" s="56">
        <f>VLOOKUP($G11,'ZipCode Coordinates'!$A:$E,4,FALSE)</f>
        <v>1844080</v>
      </c>
      <c r="R11" s="56">
        <f>VLOOKUP($G11,'ZipCode Coordinates'!$A:$E,5,FALSE)</f>
        <v>6278770</v>
      </c>
      <c r="S11" s="352" t="str">
        <f>IFERROR(VLOOKUP($M11,'External Gateways'!$C$6:$F$10,2,FALSE),"")</f>
        <v/>
      </c>
      <c r="T11" s="56">
        <f>IFERROR(VLOOKUP($M11,'External Gateways'!$C$6:$F$10,3,FALSE),O11)</f>
        <v>1931860</v>
      </c>
      <c r="U11" s="56">
        <f>IFERROR(VLOOKUP($M11,'External Gateways'!$C$6:$F$10,4,FALSE),P11)</f>
        <v>6293150</v>
      </c>
      <c r="V11" s="353">
        <f t="shared" si="0"/>
        <v>0</v>
      </c>
      <c r="W11" s="353">
        <f t="shared" si="1"/>
        <v>70</v>
      </c>
    </row>
    <row r="12" spans="1:23" ht="15" customHeight="1" x14ac:dyDescent="0.25">
      <c r="A12" s="128">
        <v>46</v>
      </c>
      <c r="B12" s="129" t="s">
        <v>258</v>
      </c>
      <c r="C12" s="128" t="s">
        <v>3</v>
      </c>
      <c r="D12" s="129" t="s">
        <v>162</v>
      </c>
      <c r="E12" s="129" t="s">
        <v>162</v>
      </c>
      <c r="F12" s="129">
        <v>92129</v>
      </c>
      <c r="G12" s="129">
        <v>92135</v>
      </c>
      <c r="H12" s="130">
        <v>74</v>
      </c>
      <c r="I12" s="129" t="s">
        <v>416</v>
      </c>
      <c r="J12" s="130">
        <v>7</v>
      </c>
      <c r="K12" s="131">
        <v>1</v>
      </c>
      <c r="L12" s="131" t="s">
        <v>3</v>
      </c>
      <c r="M12" s="131" t="s">
        <v>327</v>
      </c>
      <c r="N12" s="131" t="s">
        <v>323</v>
      </c>
      <c r="O12" s="56">
        <f>VLOOKUP($F12,'ZipCode Coordinates'!$A:$E,4,FALSE)</f>
        <v>1931860</v>
      </c>
      <c r="P12" s="56">
        <f>VLOOKUP($F12,'ZipCode Coordinates'!$A:$E,5,FALSE)</f>
        <v>6293150</v>
      </c>
      <c r="Q12" s="56">
        <f>VLOOKUP($G12,'ZipCode Coordinates'!$A:$E,4,FALSE)</f>
        <v>1835720</v>
      </c>
      <c r="R12" s="56">
        <f>VLOOKUP($G12,'ZipCode Coordinates'!$A:$E,5,FALSE)</f>
        <v>6266670</v>
      </c>
      <c r="S12" s="352" t="str">
        <f>IFERROR(VLOOKUP($M12,'External Gateways'!$C$6:$F$10,2,FALSE),"")</f>
        <v/>
      </c>
      <c r="T12" s="56">
        <f>IFERROR(VLOOKUP($M12,'External Gateways'!$C$6:$F$10,3,FALSE),O12)</f>
        <v>1931860</v>
      </c>
      <c r="U12" s="56">
        <f>IFERROR(VLOOKUP($M12,'External Gateways'!$C$6:$F$10,4,FALSE),P12)</f>
        <v>6293150</v>
      </c>
      <c r="V12" s="353">
        <f t="shared" si="0"/>
        <v>0</v>
      </c>
      <c r="W12" s="353">
        <f t="shared" si="1"/>
        <v>74</v>
      </c>
    </row>
    <row r="13" spans="1:23" ht="15" customHeight="1" x14ac:dyDescent="0.25">
      <c r="A13" s="128">
        <v>61</v>
      </c>
      <c r="B13" s="129" t="s">
        <v>258</v>
      </c>
      <c r="C13" s="128" t="s">
        <v>3</v>
      </c>
      <c r="D13" s="129" t="s">
        <v>158</v>
      </c>
      <c r="E13" s="129" t="s">
        <v>162</v>
      </c>
      <c r="F13" s="129">
        <v>92562</v>
      </c>
      <c r="G13" s="129">
        <v>92135</v>
      </c>
      <c r="H13" s="130">
        <v>160</v>
      </c>
      <c r="I13" s="129" t="s">
        <v>408</v>
      </c>
      <c r="J13" s="130">
        <v>7</v>
      </c>
      <c r="K13" s="131"/>
      <c r="L13" s="131" t="s">
        <v>3</v>
      </c>
      <c r="M13" s="131" t="s">
        <v>402</v>
      </c>
      <c r="N13" s="131" t="s">
        <v>323</v>
      </c>
      <c r="O13" s="56">
        <f>VLOOKUP($F13,'ZipCode Coordinates'!$A:$E,4,FALSE)</f>
        <v>2144470</v>
      </c>
      <c r="P13" s="56">
        <f>VLOOKUP($F13,'ZipCode Coordinates'!$A:$E,5,FALSE)</f>
        <v>6251450</v>
      </c>
      <c r="Q13" s="56">
        <f>VLOOKUP($G13,'ZipCode Coordinates'!$A:$E,4,FALSE)</f>
        <v>1835720</v>
      </c>
      <c r="R13" s="56">
        <f>VLOOKUP($G13,'ZipCode Coordinates'!$A:$E,5,FALSE)</f>
        <v>6266670</v>
      </c>
      <c r="S13" s="352" t="str">
        <f>IFERROR(VLOOKUP($M13,'External Gateways'!$C$6:$F$10,2,FALSE),"")</f>
        <v>I-15</v>
      </c>
      <c r="T13" s="56">
        <f>IFERROR(VLOOKUP($M13,'External Gateways'!$C$6:$F$10,3,FALSE),O13)</f>
        <v>2102195</v>
      </c>
      <c r="U13" s="56">
        <f>IFERROR(VLOOKUP($M13,'External Gateways'!$C$6:$F$10,4,FALSE),P13)</f>
        <v>6289147</v>
      </c>
      <c r="V13" s="353">
        <f t="shared" si="0"/>
        <v>10.727523233277124</v>
      </c>
      <c r="W13" s="353">
        <f t="shared" si="1"/>
        <v>138.54495353344575</v>
      </c>
    </row>
    <row r="14" spans="1:23" ht="15" customHeight="1" x14ac:dyDescent="0.25">
      <c r="A14" s="128">
        <v>62</v>
      </c>
      <c r="B14" s="129" t="s">
        <v>263</v>
      </c>
      <c r="C14" s="128" t="s">
        <v>166</v>
      </c>
      <c r="D14" s="129" t="s">
        <v>154</v>
      </c>
      <c r="E14" s="129" t="s">
        <v>162</v>
      </c>
      <c r="F14" s="129">
        <v>92591</v>
      </c>
      <c r="G14" s="129">
        <v>92113</v>
      </c>
      <c r="H14" s="130">
        <v>185</v>
      </c>
      <c r="I14" s="129" t="s">
        <v>488</v>
      </c>
      <c r="J14" s="130">
        <v>7</v>
      </c>
      <c r="K14" s="131"/>
      <c r="L14" s="131" t="s">
        <v>5</v>
      </c>
      <c r="M14" s="131" t="s">
        <v>402</v>
      </c>
      <c r="N14" s="131" t="s">
        <v>323</v>
      </c>
      <c r="O14" s="56">
        <f>VLOOKUP($F14,'ZipCode Coordinates'!$A:$E,4,FALSE)</f>
        <v>2138420</v>
      </c>
      <c r="P14" s="56">
        <f>VLOOKUP($F14,'ZipCode Coordinates'!$A:$E,5,FALSE)</f>
        <v>6299220</v>
      </c>
      <c r="Q14" s="56">
        <f>VLOOKUP($G14,'ZipCode Coordinates'!$A:$E,4,FALSE)</f>
        <v>1834470</v>
      </c>
      <c r="R14" s="56">
        <f>VLOOKUP($G14,'ZipCode Coordinates'!$A:$E,5,FALSE)</f>
        <v>6294590</v>
      </c>
      <c r="S14" s="352" t="str">
        <f>IFERROR(VLOOKUP($M14,'External Gateways'!$C$6:$F$10,2,FALSE),"")</f>
        <v>I-15</v>
      </c>
      <c r="T14" s="56">
        <f>IFERROR(VLOOKUP($M14,'External Gateways'!$C$6:$F$10,3,FALSE),O14)</f>
        <v>2102195</v>
      </c>
      <c r="U14" s="56">
        <f>IFERROR(VLOOKUP($M14,'External Gateways'!$C$6:$F$10,4,FALSE),P14)</f>
        <v>6289147</v>
      </c>
      <c r="V14" s="353">
        <f t="shared" si="0"/>
        <v>7.1211011888925713</v>
      </c>
      <c r="W14" s="353">
        <f t="shared" si="1"/>
        <v>170.75779762221487</v>
      </c>
    </row>
    <row r="15" spans="1:23" ht="15" customHeight="1" x14ac:dyDescent="0.25">
      <c r="A15" s="128">
        <v>78</v>
      </c>
      <c r="B15" s="129" t="s">
        <v>258</v>
      </c>
      <c r="C15" s="128" t="s">
        <v>3</v>
      </c>
      <c r="D15" s="129" t="s">
        <v>154</v>
      </c>
      <c r="E15" s="129" t="s">
        <v>162</v>
      </c>
      <c r="F15" s="129">
        <v>92591</v>
      </c>
      <c r="G15" s="129">
        <v>92135</v>
      </c>
      <c r="H15" s="130">
        <v>136</v>
      </c>
      <c r="I15" s="129" t="s">
        <v>427</v>
      </c>
      <c r="J15" s="130">
        <v>7</v>
      </c>
      <c r="K15" s="131">
        <v>1</v>
      </c>
      <c r="L15" s="131" t="s">
        <v>3</v>
      </c>
      <c r="M15" s="131" t="s">
        <v>402</v>
      </c>
      <c r="N15" s="131" t="s">
        <v>323</v>
      </c>
      <c r="O15" s="56">
        <f>VLOOKUP($F15,'ZipCode Coordinates'!$A:$E,4,FALSE)</f>
        <v>2138420</v>
      </c>
      <c r="P15" s="56">
        <f>VLOOKUP($F15,'ZipCode Coordinates'!$A:$E,5,FALSE)</f>
        <v>6299220</v>
      </c>
      <c r="Q15" s="56">
        <f>VLOOKUP($G15,'ZipCode Coordinates'!$A:$E,4,FALSE)</f>
        <v>1835720</v>
      </c>
      <c r="R15" s="56">
        <f>VLOOKUP($G15,'ZipCode Coordinates'!$A:$E,5,FALSE)</f>
        <v>6266670</v>
      </c>
      <c r="S15" s="352" t="str">
        <f>IFERROR(VLOOKUP($M15,'External Gateways'!$C$6:$F$10,2,FALSE),"")</f>
        <v>I-15</v>
      </c>
      <c r="T15" s="56">
        <f>IFERROR(VLOOKUP($M15,'External Gateways'!$C$6:$F$10,3,FALSE),O15)</f>
        <v>2102195</v>
      </c>
      <c r="U15" s="56">
        <f>IFERROR(VLOOKUP($M15,'External Gateways'!$C$6:$F$10,4,FALSE),P15)</f>
        <v>6289147</v>
      </c>
      <c r="V15" s="353">
        <f t="shared" si="0"/>
        <v>7.1211011888925713</v>
      </c>
      <c r="W15" s="353">
        <f t="shared" si="1"/>
        <v>121.75779762221485</v>
      </c>
    </row>
    <row r="16" spans="1:23" ht="15" customHeight="1" x14ac:dyDescent="0.25">
      <c r="A16" s="128">
        <v>79</v>
      </c>
      <c r="B16" s="129" t="s">
        <v>258</v>
      </c>
      <c r="C16" s="128" t="s">
        <v>3</v>
      </c>
      <c r="D16" s="129" t="s">
        <v>191</v>
      </c>
      <c r="E16" s="129" t="s">
        <v>162</v>
      </c>
      <c r="F16" s="129">
        <v>92571</v>
      </c>
      <c r="G16" s="129">
        <v>92135</v>
      </c>
      <c r="H16" s="130">
        <v>150</v>
      </c>
      <c r="I16" s="129" t="s">
        <v>403</v>
      </c>
      <c r="J16" s="130">
        <v>8</v>
      </c>
      <c r="K16" s="131"/>
      <c r="L16" s="131" t="s">
        <v>3</v>
      </c>
      <c r="M16" s="131" t="s">
        <v>402</v>
      </c>
      <c r="N16" s="131" t="s">
        <v>323</v>
      </c>
      <c r="O16" s="56">
        <f>VLOOKUP($F16,'ZipCode Coordinates'!$A:$E,4,FALSE)</f>
        <v>2247520</v>
      </c>
      <c r="P16" s="56">
        <f>VLOOKUP($F16,'ZipCode Coordinates'!$A:$E,5,FALSE)</f>
        <v>6276380</v>
      </c>
      <c r="Q16" s="56">
        <f>VLOOKUP($G16,'ZipCode Coordinates'!$A:$E,4,FALSE)</f>
        <v>1835720</v>
      </c>
      <c r="R16" s="56">
        <f>VLOOKUP($G16,'ZipCode Coordinates'!$A:$E,5,FALSE)</f>
        <v>6266670</v>
      </c>
      <c r="S16" s="352" t="str">
        <f>IFERROR(VLOOKUP($M16,'External Gateways'!$C$6:$F$10,2,FALSE),"")</f>
        <v>I-15</v>
      </c>
      <c r="T16" s="56">
        <f>IFERROR(VLOOKUP($M16,'External Gateways'!$C$6:$F$10,3,FALSE),O16)</f>
        <v>2102195</v>
      </c>
      <c r="U16" s="56">
        <f>IFERROR(VLOOKUP($M16,'External Gateways'!$C$6:$F$10,4,FALSE),P16)</f>
        <v>6289147</v>
      </c>
      <c r="V16" s="353">
        <f t="shared" si="0"/>
        <v>27.629682067783218</v>
      </c>
      <c r="W16" s="353">
        <f t="shared" si="1"/>
        <v>94.740635864433557</v>
      </c>
    </row>
    <row r="17" spans="1:23" ht="15" customHeight="1" x14ac:dyDescent="0.25">
      <c r="A17" s="128">
        <v>126</v>
      </c>
      <c r="B17" s="129" t="s">
        <v>258</v>
      </c>
      <c r="C17" s="128" t="s">
        <v>3</v>
      </c>
      <c r="D17" s="129" t="s">
        <v>154</v>
      </c>
      <c r="E17" s="129" t="s">
        <v>162</v>
      </c>
      <c r="F17" s="129">
        <v>92592</v>
      </c>
      <c r="G17" s="129">
        <v>92135</v>
      </c>
      <c r="H17" s="130">
        <v>157</v>
      </c>
      <c r="I17" s="129" t="s">
        <v>422</v>
      </c>
      <c r="J17" s="130">
        <v>8</v>
      </c>
      <c r="K17" s="131">
        <v>1</v>
      </c>
      <c r="L17" s="131" t="s">
        <v>3</v>
      </c>
      <c r="M17" s="131" t="s">
        <v>402</v>
      </c>
      <c r="N17" s="131" t="s">
        <v>323</v>
      </c>
      <c r="O17" s="56">
        <f>VLOOKUP($F17,'ZipCode Coordinates'!$A:$E,4,FALSE)</f>
        <v>2128740</v>
      </c>
      <c r="P17" s="56">
        <f>VLOOKUP($F17,'ZipCode Coordinates'!$A:$E,5,FALSE)</f>
        <v>6328900</v>
      </c>
      <c r="Q17" s="56">
        <f>VLOOKUP($G17,'ZipCode Coordinates'!$A:$E,4,FALSE)</f>
        <v>1835720</v>
      </c>
      <c r="R17" s="56">
        <f>VLOOKUP($G17,'ZipCode Coordinates'!$A:$E,5,FALSE)</f>
        <v>6266670</v>
      </c>
      <c r="S17" s="352" t="str">
        <f>IFERROR(VLOOKUP($M17,'External Gateways'!$C$6:$F$10,2,FALSE),"")</f>
        <v>I-15</v>
      </c>
      <c r="T17" s="56">
        <f>IFERROR(VLOOKUP($M17,'External Gateways'!$C$6:$F$10,3,FALSE),O17)</f>
        <v>2102195</v>
      </c>
      <c r="U17" s="56">
        <f>IFERROR(VLOOKUP($M17,'External Gateways'!$C$6:$F$10,4,FALSE),P17)</f>
        <v>6289147</v>
      </c>
      <c r="V17" s="353">
        <f t="shared" si="0"/>
        <v>9.0532245169037147</v>
      </c>
      <c r="W17" s="353">
        <f t="shared" si="1"/>
        <v>138.89355096619258</v>
      </c>
    </row>
    <row r="18" spans="1:23" ht="15" customHeight="1" x14ac:dyDescent="0.25">
      <c r="A18" s="128">
        <v>140</v>
      </c>
      <c r="B18" s="129" t="s">
        <v>300</v>
      </c>
      <c r="C18" s="128" t="s">
        <v>198</v>
      </c>
      <c r="D18" s="129" t="s">
        <v>159</v>
      </c>
      <c r="E18" s="129" t="s">
        <v>162</v>
      </c>
      <c r="F18" s="129">
        <v>92065</v>
      </c>
      <c r="G18" s="129">
        <v>92123</v>
      </c>
      <c r="H18" s="130">
        <v>83</v>
      </c>
      <c r="I18" s="129" t="s">
        <v>416</v>
      </c>
      <c r="J18" s="130">
        <v>7</v>
      </c>
      <c r="K18" s="131">
        <v>2</v>
      </c>
      <c r="L18" s="131" t="s">
        <v>5</v>
      </c>
      <c r="M18" s="131" t="s">
        <v>326</v>
      </c>
      <c r="N18" s="131" t="s">
        <v>327</v>
      </c>
      <c r="O18" s="56">
        <f>VLOOKUP($F18,'ZipCode Coordinates'!$A:$E,4,FALSE)</f>
        <v>1959680</v>
      </c>
      <c r="P18" s="56">
        <f>VLOOKUP($F18,'ZipCode Coordinates'!$A:$E,5,FALSE)</f>
        <v>6378530</v>
      </c>
      <c r="Q18" s="56">
        <f>VLOOKUP($G18,'ZipCode Coordinates'!$A:$E,4,FALSE)</f>
        <v>1874700</v>
      </c>
      <c r="R18" s="56">
        <f>VLOOKUP($G18,'ZipCode Coordinates'!$A:$E,5,FALSE)</f>
        <v>6289760</v>
      </c>
      <c r="S18" s="352" t="str">
        <f>IFERROR(VLOOKUP($M18,'External Gateways'!$C$6:$F$10,2,FALSE),"")</f>
        <v/>
      </c>
      <c r="T18" s="56">
        <f>IFERROR(VLOOKUP($M18,'External Gateways'!$C$6:$F$10,3,FALSE),O18)</f>
        <v>1959680</v>
      </c>
      <c r="U18" s="56">
        <f>IFERROR(VLOOKUP($M18,'External Gateways'!$C$6:$F$10,4,FALSE),P18)</f>
        <v>6378530</v>
      </c>
      <c r="V18" s="353">
        <f t="shared" si="0"/>
        <v>0</v>
      </c>
      <c r="W18" s="353">
        <f t="shared" si="1"/>
        <v>83</v>
      </c>
    </row>
    <row r="19" spans="1:23" ht="15" customHeight="1" x14ac:dyDescent="0.25">
      <c r="A19" s="128">
        <v>172</v>
      </c>
      <c r="B19" s="129" t="s">
        <v>258</v>
      </c>
      <c r="C19" s="128" t="s">
        <v>3</v>
      </c>
      <c r="D19" s="129" t="s">
        <v>259</v>
      </c>
      <c r="E19" s="129" t="s">
        <v>162</v>
      </c>
      <c r="F19" s="129">
        <v>92683</v>
      </c>
      <c r="G19" s="129">
        <v>92135</v>
      </c>
      <c r="H19" s="130">
        <v>223</v>
      </c>
      <c r="I19" s="129" t="s">
        <v>406</v>
      </c>
      <c r="J19" s="130">
        <v>7</v>
      </c>
      <c r="K19" s="131"/>
      <c r="L19" s="131" t="s">
        <v>3</v>
      </c>
      <c r="M19" s="131" t="s">
        <v>439</v>
      </c>
      <c r="N19" s="131" t="s">
        <v>323</v>
      </c>
      <c r="O19" s="56">
        <f>VLOOKUP($F19,'ZipCode Coordinates'!$A:$E,4,FALSE)</f>
        <v>2221860</v>
      </c>
      <c r="P19" s="56">
        <f>VLOOKUP($F19,'ZipCode Coordinates'!$A:$E,5,FALSE)</f>
        <v>6031600</v>
      </c>
      <c r="Q19" s="56">
        <f>VLOOKUP($G19,'ZipCode Coordinates'!$A:$E,4,FALSE)</f>
        <v>1835720</v>
      </c>
      <c r="R19" s="56">
        <f>VLOOKUP($G19,'ZipCode Coordinates'!$A:$E,5,FALSE)</f>
        <v>6266670</v>
      </c>
      <c r="S19" s="352" t="str">
        <f>IFERROR(VLOOKUP($M19,'External Gateways'!$C$6:$F$10,2,FALSE),"")</f>
        <v>I-5</v>
      </c>
      <c r="T19" s="56">
        <f>IFERROR(VLOOKUP($M19,'External Gateways'!$C$6:$F$10,3,FALSE),O19)</f>
        <v>2090594</v>
      </c>
      <c r="U19" s="56">
        <f>IFERROR(VLOOKUP($M19,'External Gateways'!$C$6:$F$10,4,FALSE),P19)</f>
        <v>6151524</v>
      </c>
      <c r="V19" s="353">
        <f t="shared" si="0"/>
        <v>33.674076534768808</v>
      </c>
      <c r="W19" s="353">
        <f t="shared" si="1"/>
        <v>155.6518469304624</v>
      </c>
    </row>
    <row r="20" spans="1:23" ht="15" customHeight="1" x14ac:dyDescent="0.25">
      <c r="A20" s="128">
        <v>174</v>
      </c>
      <c r="B20" s="129" t="s">
        <v>258</v>
      </c>
      <c r="C20" s="128" t="s">
        <v>3</v>
      </c>
      <c r="D20" s="129" t="s">
        <v>206</v>
      </c>
      <c r="E20" s="129" t="s">
        <v>162</v>
      </c>
      <c r="F20" s="129">
        <v>92064</v>
      </c>
      <c r="G20" s="129">
        <v>92135</v>
      </c>
      <c r="H20" s="130">
        <v>74</v>
      </c>
      <c r="I20" s="129" t="s">
        <v>401</v>
      </c>
      <c r="J20" s="130">
        <v>7</v>
      </c>
      <c r="K20" s="131"/>
      <c r="L20" s="131" t="s">
        <v>3</v>
      </c>
      <c r="M20" s="131" t="s">
        <v>327</v>
      </c>
      <c r="N20" s="131" t="s">
        <v>323</v>
      </c>
      <c r="O20" s="56">
        <f>VLOOKUP($F20,'ZipCode Coordinates'!$A:$E,4,FALSE)</f>
        <v>1939040</v>
      </c>
      <c r="P20" s="56">
        <f>VLOOKUP($F20,'ZipCode Coordinates'!$A:$E,5,FALSE)</f>
        <v>6325350</v>
      </c>
      <c r="Q20" s="56">
        <f>VLOOKUP($G20,'ZipCode Coordinates'!$A:$E,4,FALSE)</f>
        <v>1835720</v>
      </c>
      <c r="R20" s="56">
        <f>VLOOKUP($G20,'ZipCode Coordinates'!$A:$E,5,FALSE)</f>
        <v>6266670</v>
      </c>
      <c r="S20" s="352" t="str">
        <f>IFERROR(VLOOKUP($M20,'External Gateways'!$C$6:$F$10,2,FALSE),"")</f>
        <v/>
      </c>
      <c r="T20" s="56">
        <f>IFERROR(VLOOKUP($M20,'External Gateways'!$C$6:$F$10,3,FALSE),O20)</f>
        <v>1939040</v>
      </c>
      <c r="U20" s="56">
        <f>IFERROR(VLOOKUP($M20,'External Gateways'!$C$6:$F$10,4,FALSE),P20)</f>
        <v>6325350</v>
      </c>
      <c r="V20" s="353">
        <f t="shared" si="0"/>
        <v>0</v>
      </c>
      <c r="W20" s="353">
        <f t="shared" si="1"/>
        <v>74</v>
      </c>
    </row>
    <row r="21" spans="1:23" ht="15" customHeight="1" x14ac:dyDescent="0.25">
      <c r="A21" s="128">
        <v>178</v>
      </c>
      <c r="B21" s="129" t="s">
        <v>511</v>
      </c>
      <c r="C21" s="128" t="s">
        <v>198</v>
      </c>
      <c r="D21" s="129" t="s">
        <v>154</v>
      </c>
      <c r="E21" s="129" t="s">
        <v>162</v>
      </c>
      <c r="F21" s="129">
        <v>92592</v>
      </c>
      <c r="G21" s="129">
        <v>92123</v>
      </c>
      <c r="H21" s="130">
        <v>131</v>
      </c>
      <c r="I21" s="129" t="s">
        <v>475</v>
      </c>
      <c r="J21" s="130">
        <v>10</v>
      </c>
      <c r="K21" s="131"/>
      <c r="L21" s="131" t="s">
        <v>5</v>
      </c>
      <c r="M21" s="131" t="s">
        <v>402</v>
      </c>
      <c r="N21" s="131" t="s">
        <v>327</v>
      </c>
      <c r="O21" s="56">
        <f>VLOOKUP($F21,'ZipCode Coordinates'!$A:$E,4,FALSE)</f>
        <v>2128740</v>
      </c>
      <c r="P21" s="56">
        <f>VLOOKUP($F21,'ZipCode Coordinates'!$A:$E,5,FALSE)</f>
        <v>6328900</v>
      </c>
      <c r="Q21" s="56">
        <f>VLOOKUP($G21,'ZipCode Coordinates'!$A:$E,4,FALSE)</f>
        <v>1874700</v>
      </c>
      <c r="R21" s="56">
        <f>VLOOKUP($G21,'ZipCode Coordinates'!$A:$E,5,FALSE)</f>
        <v>6289760</v>
      </c>
      <c r="S21" s="352" t="str">
        <f>IFERROR(VLOOKUP($M21,'External Gateways'!$C$6:$F$10,2,FALSE),"")</f>
        <v>I-15</v>
      </c>
      <c r="T21" s="56">
        <f>IFERROR(VLOOKUP($M21,'External Gateways'!$C$6:$F$10,3,FALSE),O21)</f>
        <v>2102195</v>
      </c>
      <c r="U21" s="56">
        <f>IFERROR(VLOOKUP($M21,'External Gateways'!$C$6:$F$10,4,FALSE),P21)</f>
        <v>6289147</v>
      </c>
      <c r="V21" s="353">
        <f t="shared" si="0"/>
        <v>9.0532245169037147</v>
      </c>
      <c r="W21" s="353">
        <f t="shared" si="1"/>
        <v>112.89355096619258</v>
      </c>
    </row>
    <row r="22" spans="1:23" ht="15" customHeight="1" x14ac:dyDescent="0.25">
      <c r="A22" s="128">
        <v>196</v>
      </c>
      <c r="B22" s="129" t="s">
        <v>258</v>
      </c>
      <c r="C22" s="128" t="s">
        <v>3</v>
      </c>
      <c r="D22" s="129" t="s">
        <v>162</v>
      </c>
      <c r="E22" s="129" t="s">
        <v>162</v>
      </c>
      <c r="F22" s="129">
        <v>92127</v>
      </c>
      <c r="G22" s="129">
        <v>92135</v>
      </c>
      <c r="H22" s="130">
        <v>78</v>
      </c>
      <c r="I22" s="129" t="s">
        <v>403</v>
      </c>
      <c r="J22" s="130">
        <v>8</v>
      </c>
      <c r="K22" s="131"/>
      <c r="L22" s="131" t="s">
        <v>3</v>
      </c>
      <c r="M22" s="131" t="s">
        <v>327</v>
      </c>
      <c r="N22" s="131" t="s">
        <v>323</v>
      </c>
      <c r="O22" s="56">
        <f>VLOOKUP($F22,'ZipCode Coordinates'!$A:$E,4,FALSE)</f>
        <v>1951970</v>
      </c>
      <c r="P22" s="56">
        <f>VLOOKUP($F22,'ZipCode Coordinates'!$A:$E,5,FALSE)</f>
        <v>6293830</v>
      </c>
      <c r="Q22" s="56">
        <f>VLOOKUP($G22,'ZipCode Coordinates'!$A:$E,4,FALSE)</f>
        <v>1835720</v>
      </c>
      <c r="R22" s="56">
        <f>VLOOKUP($G22,'ZipCode Coordinates'!$A:$E,5,FALSE)</f>
        <v>6266670</v>
      </c>
      <c r="S22" s="352" t="str">
        <f>IFERROR(VLOOKUP($M22,'External Gateways'!$C$6:$F$10,2,FALSE),"")</f>
        <v/>
      </c>
      <c r="T22" s="56">
        <f>IFERROR(VLOOKUP($M22,'External Gateways'!$C$6:$F$10,3,FALSE),O22)</f>
        <v>1951970</v>
      </c>
      <c r="U22" s="56">
        <f>IFERROR(VLOOKUP($M22,'External Gateways'!$C$6:$F$10,4,FALSE),P22)</f>
        <v>6293830</v>
      </c>
      <c r="V22" s="353">
        <f t="shared" si="0"/>
        <v>0</v>
      </c>
      <c r="W22" s="353">
        <f t="shared" si="1"/>
        <v>78</v>
      </c>
    </row>
    <row r="23" spans="1:23" ht="15" customHeight="1" x14ac:dyDescent="0.25">
      <c r="A23" s="128">
        <v>210</v>
      </c>
      <c r="B23" s="129" t="s">
        <v>258</v>
      </c>
      <c r="C23" s="128" t="s">
        <v>3</v>
      </c>
      <c r="D23" s="129" t="s">
        <v>159</v>
      </c>
      <c r="E23" s="129" t="s">
        <v>162</v>
      </c>
      <c r="F23" s="129">
        <v>92065</v>
      </c>
      <c r="G23" s="129">
        <v>92135</v>
      </c>
      <c r="H23" s="130">
        <v>105</v>
      </c>
      <c r="I23" s="129" t="s">
        <v>419</v>
      </c>
      <c r="J23" s="130">
        <v>7</v>
      </c>
      <c r="K23" s="131">
        <v>1</v>
      </c>
      <c r="L23" s="131" t="s">
        <v>3</v>
      </c>
      <c r="M23" s="131" t="s">
        <v>326</v>
      </c>
      <c r="N23" s="131" t="s">
        <v>323</v>
      </c>
      <c r="O23" s="56">
        <f>VLOOKUP($F23,'ZipCode Coordinates'!$A:$E,4,FALSE)</f>
        <v>1959680</v>
      </c>
      <c r="P23" s="56">
        <f>VLOOKUP($F23,'ZipCode Coordinates'!$A:$E,5,FALSE)</f>
        <v>6378530</v>
      </c>
      <c r="Q23" s="56">
        <f>VLOOKUP($G23,'ZipCode Coordinates'!$A:$E,4,FALSE)</f>
        <v>1835720</v>
      </c>
      <c r="R23" s="56">
        <f>VLOOKUP($G23,'ZipCode Coordinates'!$A:$E,5,FALSE)</f>
        <v>6266670</v>
      </c>
      <c r="S23" s="352" t="str">
        <f>IFERROR(VLOOKUP($M23,'External Gateways'!$C$6:$F$10,2,FALSE),"")</f>
        <v/>
      </c>
      <c r="T23" s="56">
        <f>IFERROR(VLOOKUP($M23,'External Gateways'!$C$6:$F$10,3,FALSE),O23)</f>
        <v>1959680</v>
      </c>
      <c r="U23" s="56">
        <f>IFERROR(VLOOKUP($M23,'External Gateways'!$C$6:$F$10,4,FALSE),P23)</f>
        <v>6378530</v>
      </c>
      <c r="V23" s="353">
        <f t="shared" si="0"/>
        <v>0</v>
      </c>
      <c r="W23" s="353">
        <f t="shared" si="1"/>
        <v>105</v>
      </c>
    </row>
    <row r="24" spans="1:23" ht="15" customHeight="1" x14ac:dyDescent="0.25">
      <c r="A24" s="128">
        <v>218</v>
      </c>
      <c r="B24" s="129" t="s">
        <v>258</v>
      </c>
      <c r="C24" s="128" t="s">
        <v>3</v>
      </c>
      <c r="D24" s="129" t="s">
        <v>162</v>
      </c>
      <c r="E24" s="129" t="s">
        <v>162</v>
      </c>
      <c r="F24" s="129">
        <v>92129</v>
      </c>
      <c r="G24" s="129">
        <v>92135</v>
      </c>
      <c r="H24" s="130">
        <v>69</v>
      </c>
      <c r="I24" s="129" t="s">
        <v>456</v>
      </c>
      <c r="J24" s="130">
        <v>7</v>
      </c>
      <c r="K24" s="131">
        <v>1</v>
      </c>
      <c r="L24" s="131" t="s">
        <v>3</v>
      </c>
      <c r="M24" s="131" t="s">
        <v>327</v>
      </c>
      <c r="N24" s="131" t="s">
        <v>323</v>
      </c>
      <c r="O24" s="56">
        <f>VLOOKUP($F24,'ZipCode Coordinates'!$A:$E,4,FALSE)</f>
        <v>1931860</v>
      </c>
      <c r="P24" s="56">
        <f>VLOOKUP($F24,'ZipCode Coordinates'!$A:$E,5,FALSE)</f>
        <v>6293150</v>
      </c>
      <c r="Q24" s="56">
        <f>VLOOKUP($G24,'ZipCode Coordinates'!$A:$E,4,FALSE)</f>
        <v>1835720</v>
      </c>
      <c r="R24" s="56">
        <f>VLOOKUP($G24,'ZipCode Coordinates'!$A:$E,5,FALSE)</f>
        <v>6266670</v>
      </c>
      <c r="S24" s="352" t="str">
        <f>IFERROR(VLOOKUP($M24,'External Gateways'!$C$6:$F$10,2,FALSE),"")</f>
        <v/>
      </c>
      <c r="T24" s="56">
        <f>IFERROR(VLOOKUP($M24,'External Gateways'!$C$6:$F$10,3,FALSE),O24)</f>
        <v>1931860</v>
      </c>
      <c r="U24" s="56">
        <f>IFERROR(VLOOKUP($M24,'External Gateways'!$C$6:$F$10,4,FALSE),P24)</f>
        <v>6293150</v>
      </c>
      <c r="V24" s="353">
        <f t="shared" si="0"/>
        <v>0</v>
      </c>
      <c r="W24" s="353">
        <f t="shared" si="1"/>
        <v>69</v>
      </c>
    </row>
    <row r="25" spans="1:23" ht="15" customHeight="1" x14ac:dyDescent="0.25">
      <c r="A25" s="128">
        <v>223</v>
      </c>
      <c r="B25" s="129" t="s">
        <v>82</v>
      </c>
      <c r="C25" s="128" t="s">
        <v>3</v>
      </c>
      <c r="D25" s="129" t="s">
        <v>162</v>
      </c>
      <c r="E25" s="129" t="s">
        <v>82</v>
      </c>
      <c r="F25" s="129">
        <v>92139</v>
      </c>
      <c r="G25" s="129">
        <v>92055</v>
      </c>
      <c r="H25" s="130">
        <v>138</v>
      </c>
      <c r="I25" s="129" t="s">
        <v>455</v>
      </c>
      <c r="J25" s="130">
        <v>7</v>
      </c>
      <c r="K25" s="131"/>
      <c r="L25" s="131" t="s">
        <v>3</v>
      </c>
      <c r="M25" s="131" t="s">
        <v>323</v>
      </c>
      <c r="N25" s="131" t="s">
        <v>324</v>
      </c>
      <c r="O25" s="56">
        <f>VLOOKUP($F25,'ZipCode Coordinates'!$A:$E,4,FALSE)</f>
        <v>1828110</v>
      </c>
      <c r="P25" s="56">
        <f>VLOOKUP($F25,'ZipCode Coordinates'!$A:$E,5,FALSE)</f>
        <v>6315850</v>
      </c>
      <c r="Q25" s="56">
        <f>VLOOKUP($G25,'ZipCode Coordinates'!$A:$E,4,FALSE)</f>
        <v>2082470</v>
      </c>
      <c r="R25" s="56">
        <f>VLOOKUP($G25,'ZipCode Coordinates'!$A:$E,5,FALSE)</f>
        <v>6206470</v>
      </c>
      <c r="S25" s="352" t="str">
        <f>IFERROR(VLOOKUP($M25,'External Gateways'!$C$6:$F$10,2,FALSE),"")</f>
        <v/>
      </c>
      <c r="T25" s="56">
        <f>IFERROR(VLOOKUP($M25,'External Gateways'!$C$6:$F$10,3,FALSE),O25)</f>
        <v>1828110</v>
      </c>
      <c r="U25" s="56">
        <f>IFERROR(VLOOKUP($M25,'External Gateways'!$C$6:$F$10,4,FALSE),P25)</f>
        <v>6315850</v>
      </c>
      <c r="V25" s="353">
        <f t="shared" si="0"/>
        <v>0</v>
      </c>
      <c r="W25" s="353">
        <f t="shared" si="1"/>
        <v>138</v>
      </c>
    </row>
    <row r="26" spans="1:23" ht="15" customHeight="1" x14ac:dyDescent="0.25">
      <c r="A26" s="128">
        <v>226</v>
      </c>
      <c r="B26" s="129" t="s">
        <v>182</v>
      </c>
      <c r="C26" s="128" t="s">
        <v>198</v>
      </c>
      <c r="D26" s="129" t="s">
        <v>165</v>
      </c>
      <c r="E26" s="129" t="s">
        <v>155</v>
      </c>
      <c r="F26" s="129">
        <v>91911</v>
      </c>
      <c r="G26" s="129">
        <v>92010</v>
      </c>
      <c r="H26" s="130">
        <v>108</v>
      </c>
      <c r="I26" s="129" t="s">
        <v>401</v>
      </c>
      <c r="J26" s="130">
        <v>7</v>
      </c>
      <c r="K26" s="131">
        <v>1</v>
      </c>
      <c r="L26" s="131" t="s">
        <v>5</v>
      </c>
      <c r="M26" s="131" t="s">
        <v>328</v>
      </c>
      <c r="N26" s="131" t="s">
        <v>324</v>
      </c>
      <c r="O26" s="56">
        <f>VLOOKUP($F26,'ZipCode Coordinates'!$A:$E,4,FALSE)</f>
        <v>1801570</v>
      </c>
      <c r="P26" s="56">
        <f>VLOOKUP($F26,'ZipCode Coordinates'!$A:$E,5,FALSE)</f>
        <v>6315270</v>
      </c>
      <c r="Q26" s="56">
        <f>VLOOKUP($G26,'ZipCode Coordinates'!$A:$E,4,FALSE)</f>
        <v>2002190</v>
      </c>
      <c r="R26" s="56">
        <f>VLOOKUP($G26,'ZipCode Coordinates'!$A:$E,5,FALSE)</f>
        <v>6245090</v>
      </c>
      <c r="S26" s="352" t="str">
        <f>IFERROR(VLOOKUP($M26,'External Gateways'!$C$6:$F$10,2,FALSE),"")</f>
        <v/>
      </c>
      <c r="T26" s="56">
        <f>IFERROR(VLOOKUP($M26,'External Gateways'!$C$6:$F$10,3,FALSE),O26)</f>
        <v>1801570</v>
      </c>
      <c r="U26" s="56">
        <f>IFERROR(VLOOKUP($M26,'External Gateways'!$C$6:$F$10,4,FALSE),P26)</f>
        <v>6315270</v>
      </c>
      <c r="V26" s="353">
        <f t="shared" si="0"/>
        <v>0</v>
      </c>
      <c r="W26" s="353">
        <f t="shared" si="1"/>
        <v>108</v>
      </c>
    </row>
    <row r="27" spans="1:23" ht="15" customHeight="1" x14ac:dyDescent="0.25">
      <c r="A27" s="128">
        <v>227</v>
      </c>
      <c r="B27" s="129" t="s">
        <v>287</v>
      </c>
      <c r="C27" s="128" t="s">
        <v>181</v>
      </c>
      <c r="D27" s="129" t="s">
        <v>260</v>
      </c>
      <c r="E27" s="129" t="s">
        <v>162</v>
      </c>
      <c r="F27" s="129">
        <v>92040</v>
      </c>
      <c r="G27" s="129">
        <v>92101</v>
      </c>
      <c r="H27" s="130">
        <v>70</v>
      </c>
      <c r="I27" s="129" t="s">
        <v>453</v>
      </c>
      <c r="J27" s="130">
        <v>8</v>
      </c>
      <c r="K27" s="131">
        <v>1</v>
      </c>
      <c r="L27" s="131" t="s">
        <v>5</v>
      </c>
      <c r="M27" s="131" t="s">
        <v>326</v>
      </c>
      <c r="N27" s="131" t="s">
        <v>323</v>
      </c>
      <c r="O27" s="56">
        <f>VLOOKUP($F27,'ZipCode Coordinates'!$A:$E,4,FALSE)</f>
        <v>1912600</v>
      </c>
      <c r="P27" s="56">
        <f>VLOOKUP($F27,'ZipCode Coordinates'!$A:$E,5,FALSE)</f>
        <v>6367510</v>
      </c>
      <c r="Q27" s="56">
        <f>VLOOKUP($G27,'ZipCode Coordinates'!$A:$E,4,FALSE)</f>
        <v>1844080</v>
      </c>
      <c r="R27" s="56">
        <f>VLOOKUP($G27,'ZipCode Coordinates'!$A:$E,5,FALSE)</f>
        <v>6278770</v>
      </c>
      <c r="S27" s="352" t="str">
        <f>IFERROR(VLOOKUP($M27,'External Gateways'!$C$6:$F$10,2,FALSE),"")</f>
        <v/>
      </c>
      <c r="T27" s="56">
        <f>IFERROR(VLOOKUP($M27,'External Gateways'!$C$6:$F$10,3,FALSE),O27)</f>
        <v>1912600</v>
      </c>
      <c r="U27" s="56">
        <f>IFERROR(VLOOKUP($M27,'External Gateways'!$C$6:$F$10,4,FALSE),P27)</f>
        <v>6367510</v>
      </c>
      <c r="V27" s="353">
        <f t="shared" si="0"/>
        <v>0</v>
      </c>
      <c r="W27" s="353">
        <f t="shared" si="1"/>
        <v>70</v>
      </c>
    </row>
    <row r="28" spans="1:23" ht="15" customHeight="1" x14ac:dyDescent="0.25">
      <c r="A28" s="128">
        <v>271</v>
      </c>
      <c r="B28" s="129" t="s">
        <v>284</v>
      </c>
      <c r="C28" s="128" t="s">
        <v>181</v>
      </c>
      <c r="D28" s="129" t="s">
        <v>194</v>
      </c>
      <c r="E28" s="129" t="s">
        <v>156</v>
      </c>
      <c r="F28" s="129">
        <v>91977</v>
      </c>
      <c r="G28" s="129">
        <v>92027</v>
      </c>
      <c r="H28" s="130">
        <v>84</v>
      </c>
      <c r="I28" s="129" t="s">
        <v>437</v>
      </c>
      <c r="J28" s="130">
        <v>15</v>
      </c>
      <c r="K28" s="131"/>
      <c r="L28" s="131" t="s">
        <v>5</v>
      </c>
      <c r="M28" s="131" t="s">
        <v>326</v>
      </c>
      <c r="N28" s="131" t="s">
        <v>325</v>
      </c>
      <c r="O28" s="56">
        <f>VLOOKUP($F28,'ZipCode Coordinates'!$A:$E,4,FALSE)</f>
        <v>1843860</v>
      </c>
      <c r="P28" s="56">
        <f>VLOOKUP($F28,'ZipCode Coordinates'!$A:$E,5,FALSE)</f>
        <v>6332240</v>
      </c>
      <c r="Q28" s="56">
        <f>VLOOKUP($G28,'ZipCode Coordinates'!$A:$E,4,FALSE)</f>
        <v>1994010</v>
      </c>
      <c r="R28" s="56">
        <f>VLOOKUP($G28,'ZipCode Coordinates'!$A:$E,5,FALSE)</f>
        <v>6337210</v>
      </c>
      <c r="S28" s="352" t="str">
        <f>IFERROR(VLOOKUP($M28,'External Gateways'!$C$6:$F$10,2,FALSE),"")</f>
        <v/>
      </c>
      <c r="T28" s="56">
        <f>IFERROR(VLOOKUP($M28,'External Gateways'!$C$6:$F$10,3,FALSE),O28)</f>
        <v>1843860</v>
      </c>
      <c r="U28" s="56">
        <f>IFERROR(VLOOKUP($M28,'External Gateways'!$C$6:$F$10,4,FALSE),P28)</f>
        <v>6332240</v>
      </c>
      <c r="V28" s="353">
        <f t="shared" si="0"/>
        <v>0</v>
      </c>
      <c r="W28" s="353">
        <f t="shared" si="1"/>
        <v>84</v>
      </c>
    </row>
    <row r="29" spans="1:23" ht="15" customHeight="1" x14ac:dyDescent="0.25">
      <c r="A29" s="128">
        <v>277</v>
      </c>
      <c r="B29" s="129" t="s">
        <v>273</v>
      </c>
      <c r="C29" s="128" t="s">
        <v>179</v>
      </c>
      <c r="D29" s="129" t="s">
        <v>210</v>
      </c>
      <c r="E29" s="129" t="s">
        <v>239</v>
      </c>
      <c r="F29" s="129">
        <v>92081</v>
      </c>
      <c r="G29" s="129">
        <v>92656</v>
      </c>
      <c r="H29" s="130">
        <v>80</v>
      </c>
      <c r="I29" s="129" t="s">
        <v>462</v>
      </c>
      <c r="J29" s="130">
        <v>10</v>
      </c>
      <c r="K29" s="131"/>
      <c r="L29" s="131" t="s">
        <v>5</v>
      </c>
      <c r="M29" s="131" t="s">
        <v>325</v>
      </c>
      <c r="N29" s="131" t="s">
        <v>439</v>
      </c>
      <c r="O29" s="56">
        <f>VLOOKUP($F29,'ZipCode Coordinates'!$A:$E,4,FALSE)</f>
        <v>2005090</v>
      </c>
      <c r="P29" s="56">
        <f>VLOOKUP($F29,'ZipCode Coordinates'!$A:$E,5,FALSE)</f>
        <v>6258440</v>
      </c>
      <c r="Q29" s="56">
        <f>VLOOKUP($G29,'ZipCode Coordinates'!$A:$E,4,FALSE)</f>
        <v>2156060</v>
      </c>
      <c r="R29" s="56">
        <f>VLOOKUP($G29,'ZipCode Coordinates'!$A:$E,5,FALSE)</f>
        <v>6110250</v>
      </c>
      <c r="S29" s="352" t="str">
        <f>IFERROR(VLOOKUP($M29,'External Gateways'!$C$6:$F$10,2,FALSE),"")</f>
        <v/>
      </c>
      <c r="T29" s="56">
        <f>IFERROR(VLOOKUP($M29,'External Gateways'!$C$6:$F$10,3,FALSE),O29)</f>
        <v>2005090</v>
      </c>
      <c r="U29" s="56">
        <f>IFERROR(VLOOKUP($M29,'External Gateways'!$C$6:$F$10,4,FALSE),P29)</f>
        <v>6258440</v>
      </c>
      <c r="V29" s="353">
        <f t="shared" si="0"/>
        <v>0</v>
      </c>
      <c r="W29" s="353">
        <f t="shared" si="1"/>
        <v>80</v>
      </c>
    </row>
    <row r="30" spans="1:23" ht="15" customHeight="1" x14ac:dyDescent="0.25">
      <c r="A30" s="128">
        <v>278</v>
      </c>
      <c r="B30" s="129" t="s">
        <v>212</v>
      </c>
      <c r="C30" s="128" t="s">
        <v>198</v>
      </c>
      <c r="D30" s="129" t="s">
        <v>158</v>
      </c>
      <c r="E30" s="129" t="s">
        <v>206</v>
      </c>
      <c r="F30" s="129">
        <v>92563</v>
      </c>
      <c r="G30" s="129">
        <v>92064</v>
      </c>
      <c r="H30" s="130">
        <v>135</v>
      </c>
      <c r="I30" s="129" t="s">
        <v>416</v>
      </c>
      <c r="J30" s="130">
        <v>7</v>
      </c>
      <c r="K30" s="131">
        <v>2</v>
      </c>
      <c r="L30" s="131" t="s">
        <v>5</v>
      </c>
      <c r="M30" s="131" t="s">
        <v>402</v>
      </c>
      <c r="N30" s="131" t="s">
        <v>327</v>
      </c>
      <c r="O30" s="56">
        <f>VLOOKUP($F30,'ZipCode Coordinates'!$A:$E,4,FALSE)</f>
        <v>2156450</v>
      </c>
      <c r="P30" s="56">
        <f>VLOOKUP($F30,'ZipCode Coordinates'!$A:$E,5,FALSE)</f>
        <v>6288710</v>
      </c>
      <c r="Q30" s="56">
        <f>VLOOKUP($G30,'ZipCode Coordinates'!$A:$E,4,FALSE)</f>
        <v>1939040</v>
      </c>
      <c r="R30" s="56">
        <f>VLOOKUP($G30,'ZipCode Coordinates'!$A:$E,5,FALSE)</f>
        <v>6325350</v>
      </c>
      <c r="S30" s="352" t="str">
        <f>IFERROR(VLOOKUP($M30,'External Gateways'!$C$6:$F$10,2,FALSE),"")</f>
        <v>I-15</v>
      </c>
      <c r="T30" s="56">
        <f>IFERROR(VLOOKUP($M30,'External Gateways'!$C$6:$F$10,3,FALSE),O30)</f>
        <v>2102195</v>
      </c>
      <c r="U30" s="56">
        <f>IFERROR(VLOOKUP($M30,'External Gateways'!$C$6:$F$10,4,FALSE),P30)</f>
        <v>6289147</v>
      </c>
      <c r="V30" s="353">
        <f t="shared" si="0"/>
        <v>10.275901494735123</v>
      </c>
      <c r="W30" s="353">
        <f t="shared" si="1"/>
        <v>114.44819701052975</v>
      </c>
    </row>
    <row r="31" spans="1:23" ht="15" customHeight="1" x14ac:dyDescent="0.25">
      <c r="A31" s="128">
        <v>281</v>
      </c>
      <c r="B31" s="129" t="s">
        <v>321</v>
      </c>
      <c r="C31" s="128" t="s">
        <v>166</v>
      </c>
      <c r="D31" s="129" t="s">
        <v>156</v>
      </c>
      <c r="E31" s="129" t="s">
        <v>210</v>
      </c>
      <c r="F31" s="129">
        <v>92027</v>
      </c>
      <c r="G31" s="129">
        <v>92081</v>
      </c>
      <c r="H31" s="130">
        <v>95</v>
      </c>
      <c r="I31" s="129" t="s">
        <v>435</v>
      </c>
      <c r="J31" s="130">
        <v>15</v>
      </c>
      <c r="K31" s="131"/>
      <c r="L31" s="131" t="s">
        <v>5</v>
      </c>
      <c r="M31" s="131" t="s">
        <v>325</v>
      </c>
      <c r="N31" s="131" t="s">
        <v>325</v>
      </c>
      <c r="O31" s="56">
        <f>VLOOKUP($F31,'ZipCode Coordinates'!$A:$E,4,FALSE)</f>
        <v>1994010</v>
      </c>
      <c r="P31" s="56">
        <f>VLOOKUP($F31,'ZipCode Coordinates'!$A:$E,5,FALSE)</f>
        <v>6337210</v>
      </c>
      <c r="Q31" s="56">
        <f>VLOOKUP($G31,'ZipCode Coordinates'!$A:$E,4,FALSE)</f>
        <v>2005090</v>
      </c>
      <c r="R31" s="56">
        <f>VLOOKUP($G31,'ZipCode Coordinates'!$A:$E,5,FALSE)</f>
        <v>6258440</v>
      </c>
      <c r="S31" s="352" t="str">
        <f>IFERROR(VLOOKUP($M31,'External Gateways'!$C$6:$F$10,2,FALSE),"")</f>
        <v/>
      </c>
      <c r="T31" s="56">
        <f>IFERROR(VLOOKUP($M31,'External Gateways'!$C$6:$F$10,3,FALSE),O31)</f>
        <v>1994010</v>
      </c>
      <c r="U31" s="56">
        <f>IFERROR(VLOOKUP($M31,'External Gateways'!$C$6:$F$10,4,FALSE),P31)</f>
        <v>6337210</v>
      </c>
      <c r="V31" s="353">
        <f t="shared" si="0"/>
        <v>0</v>
      </c>
      <c r="W31" s="353">
        <f t="shared" si="1"/>
        <v>95</v>
      </c>
    </row>
    <row r="32" spans="1:23" ht="15" customHeight="1" x14ac:dyDescent="0.25">
      <c r="A32" s="128">
        <v>293</v>
      </c>
      <c r="B32" s="129" t="s">
        <v>271</v>
      </c>
      <c r="C32" s="128" t="s">
        <v>166</v>
      </c>
      <c r="D32" s="129" t="s">
        <v>165</v>
      </c>
      <c r="E32" s="129" t="s">
        <v>162</v>
      </c>
      <c r="F32" s="129">
        <v>91913</v>
      </c>
      <c r="G32" s="129">
        <v>92127</v>
      </c>
      <c r="H32" s="130">
        <v>86</v>
      </c>
      <c r="I32" s="129" t="s">
        <v>416</v>
      </c>
      <c r="J32" s="130">
        <v>7</v>
      </c>
      <c r="K32" s="131"/>
      <c r="L32" s="131" t="s">
        <v>5</v>
      </c>
      <c r="M32" s="131" t="s">
        <v>328</v>
      </c>
      <c r="N32" s="131" t="s">
        <v>327</v>
      </c>
      <c r="O32" s="56">
        <f>VLOOKUP($F32,'ZipCode Coordinates'!$A:$E,4,FALSE)</f>
        <v>1810320</v>
      </c>
      <c r="P32" s="56">
        <f>VLOOKUP($F32,'ZipCode Coordinates'!$A:$E,5,FALSE)</f>
        <v>6334990</v>
      </c>
      <c r="Q32" s="56">
        <f>VLOOKUP($G32,'ZipCode Coordinates'!$A:$E,4,FALSE)</f>
        <v>1951970</v>
      </c>
      <c r="R32" s="56">
        <f>VLOOKUP($G32,'ZipCode Coordinates'!$A:$E,5,FALSE)</f>
        <v>6293830</v>
      </c>
      <c r="S32" s="352" t="str">
        <f>IFERROR(VLOOKUP($M32,'External Gateways'!$C$6:$F$10,2,FALSE),"")</f>
        <v/>
      </c>
      <c r="T32" s="56">
        <f>IFERROR(VLOOKUP($M32,'External Gateways'!$C$6:$F$10,3,FALSE),O32)</f>
        <v>1810320</v>
      </c>
      <c r="U32" s="56">
        <f>IFERROR(VLOOKUP($M32,'External Gateways'!$C$6:$F$10,4,FALSE),P32)</f>
        <v>6334990</v>
      </c>
      <c r="V32" s="353">
        <f t="shared" si="0"/>
        <v>0</v>
      </c>
      <c r="W32" s="353">
        <f t="shared" si="1"/>
        <v>86</v>
      </c>
    </row>
    <row r="33" spans="1:23" ht="15" customHeight="1" x14ac:dyDescent="0.25">
      <c r="A33" s="128">
        <v>299</v>
      </c>
      <c r="B33" s="129" t="s">
        <v>284</v>
      </c>
      <c r="C33" s="128" t="s">
        <v>181</v>
      </c>
      <c r="D33" s="129" t="s">
        <v>161</v>
      </c>
      <c r="E33" s="129" t="s">
        <v>156</v>
      </c>
      <c r="F33" s="129">
        <v>92596</v>
      </c>
      <c r="G33" s="129">
        <v>92027</v>
      </c>
      <c r="H33" s="130">
        <v>100</v>
      </c>
      <c r="I33" s="129" t="s">
        <v>519</v>
      </c>
      <c r="J33" s="130">
        <v>7</v>
      </c>
      <c r="K33" s="131"/>
      <c r="L33" s="131" t="s">
        <v>5</v>
      </c>
      <c r="M33" s="131" t="s">
        <v>402</v>
      </c>
      <c r="N33" s="131" t="s">
        <v>325</v>
      </c>
      <c r="O33" s="56">
        <f>VLOOKUP($F33,'ZipCode Coordinates'!$A:$E,4,FALSE)</f>
        <v>2177700</v>
      </c>
      <c r="P33" s="56">
        <f>VLOOKUP($F33,'ZipCode Coordinates'!$A:$E,5,FALSE)</f>
        <v>6311340</v>
      </c>
      <c r="Q33" s="56">
        <f>VLOOKUP($G33,'ZipCode Coordinates'!$A:$E,4,FALSE)</f>
        <v>1994010</v>
      </c>
      <c r="R33" s="56">
        <f>VLOOKUP($G33,'ZipCode Coordinates'!$A:$E,5,FALSE)</f>
        <v>6337210</v>
      </c>
      <c r="S33" s="352" t="str">
        <f>IFERROR(VLOOKUP($M33,'External Gateways'!$C$6:$F$10,2,FALSE),"")</f>
        <v>I-15</v>
      </c>
      <c r="T33" s="56">
        <f>IFERROR(VLOOKUP($M33,'External Gateways'!$C$6:$F$10,3,FALSE),O33)</f>
        <v>2102195</v>
      </c>
      <c r="U33" s="56">
        <f>IFERROR(VLOOKUP($M33,'External Gateways'!$C$6:$F$10,4,FALSE),P33)</f>
        <v>6289147</v>
      </c>
      <c r="V33" s="353">
        <f t="shared" si="0"/>
        <v>14.905115649451727</v>
      </c>
      <c r="W33" s="353">
        <f t="shared" si="1"/>
        <v>70.18976870109654</v>
      </c>
    </row>
    <row r="34" spans="1:23" ht="15" customHeight="1" x14ac:dyDescent="0.25">
      <c r="A34" s="128">
        <v>327</v>
      </c>
      <c r="B34" s="129" t="s">
        <v>304</v>
      </c>
      <c r="C34" s="128" t="s">
        <v>198</v>
      </c>
      <c r="D34" s="129" t="s">
        <v>154</v>
      </c>
      <c r="E34" s="129" t="s">
        <v>162</v>
      </c>
      <c r="F34" s="129">
        <v>92592</v>
      </c>
      <c r="G34" s="129">
        <v>92127</v>
      </c>
      <c r="H34" s="130">
        <v>95</v>
      </c>
      <c r="I34" s="129" t="s">
        <v>499</v>
      </c>
      <c r="J34" s="130">
        <v>9</v>
      </c>
      <c r="K34" s="131"/>
      <c r="L34" s="131" t="s">
        <v>5</v>
      </c>
      <c r="M34" s="131" t="s">
        <v>402</v>
      </c>
      <c r="N34" s="131" t="s">
        <v>327</v>
      </c>
      <c r="O34" s="56">
        <f>VLOOKUP($F34,'ZipCode Coordinates'!$A:$E,4,FALSE)</f>
        <v>2128740</v>
      </c>
      <c r="P34" s="56">
        <f>VLOOKUP($F34,'ZipCode Coordinates'!$A:$E,5,FALSE)</f>
        <v>6328900</v>
      </c>
      <c r="Q34" s="56">
        <f>VLOOKUP($G34,'ZipCode Coordinates'!$A:$E,4,FALSE)</f>
        <v>1951970</v>
      </c>
      <c r="R34" s="56">
        <f>VLOOKUP($G34,'ZipCode Coordinates'!$A:$E,5,FALSE)</f>
        <v>6293830</v>
      </c>
      <c r="S34" s="352" t="str">
        <f>IFERROR(VLOOKUP($M34,'External Gateways'!$C$6:$F$10,2,FALSE),"")</f>
        <v>I-15</v>
      </c>
      <c r="T34" s="56">
        <f>IFERROR(VLOOKUP($M34,'External Gateways'!$C$6:$F$10,3,FALSE),O34)</f>
        <v>2102195</v>
      </c>
      <c r="U34" s="56">
        <f>IFERROR(VLOOKUP($M34,'External Gateways'!$C$6:$F$10,4,FALSE),P34)</f>
        <v>6289147</v>
      </c>
      <c r="V34" s="353">
        <f t="shared" si="0"/>
        <v>9.0532245169037147</v>
      </c>
      <c r="W34" s="353">
        <f t="shared" si="1"/>
        <v>76.893550966192578</v>
      </c>
    </row>
    <row r="35" spans="1:23" ht="15" customHeight="1" x14ac:dyDescent="0.25">
      <c r="A35" s="128">
        <v>336</v>
      </c>
      <c r="B35" s="129" t="s">
        <v>451</v>
      </c>
      <c r="C35" s="128" t="s">
        <v>3</v>
      </c>
      <c r="D35" s="129" t="s">
        <v>154</v>
      </c>
      <c r="E35" s="129" t="s">
        <v>162</v>
      </c>
      <c r="F35" s="129">
        <v>92592</v>
      </c>
      <c r="G35" s="129">
        <v>92136</v>
      </c>
      <c r="H35" s="130">
        <v>159</v>
      </c>
      <c r="I35" s="129" t="s">
        <v>409</v>
      </c>
      <c r="J35" s="130">
        <v>8</v>
      </c>
      <c r="K35" s="131"/>
      <c r="L35" s="131" t="s">
        <v>3</v>
      </c>
      <c r="M35" s="131" t="s">
        <v>402</v>
      </c>
      <c r="N35" s="131" t="s">
        <v>323</v>
      </c>
      <c r="O35" s="56">
        <f>VLOOKUP($F35,'ZipCode Coordinates'!$A:$E,4,FALSE)</f>
        <v>2128740</v>
      </c>
      <c r="P35" s="56">
        <f>VLOOKUP($F35,'ZipCode Coordinates'!$A:$E,5,FALSE)</f>
        <v>6328900</v>
      </c>
      <c r="Q35" s="56">
        <f>VLOOKUP($G35,'ZipCode Coordinates'!$A:$E,4,FALSE)</f>
        <v>1828370</v>
      </c>
      <c r="R35" s="56">
        <f>VLOOKUP($G35,'ZipCode Coordinates'!$A:$E,5,FALSE)</f>
        <v>6293940</v>
      </c>
      <c r="S35" s="352" t="str">
        <f>IFERROR(VLOOKUP($M35,'External Gateways'!$C$6:$F$10,2,FALSE),"")</f>
        <v>I-15</v>
      </c>
      <c r="T35" s="56">
        <f>IFERROR(VLOOKUP($M35,'External Gateways'!$C$6:$F$10,3,FALSE),O35)</f>
        <v>2102195</v>
      </c>
      <c r="U35" s="56">
        <f>IFERROR(VLOOKUP($M35,'External Gateways'!$C$6:$F$10,4,FALSE),P35)</f>
        <v>6289147</v>
      </c>
      <c r="V35" s="353">
        <f t="shared" si="0"/>
        <v>9.0532245169037147</v>
      </c>
      <c r="W35" s="353">
        <f t="shared" si="1"/>
        <v>140.89355096619258</v>
      </c>
    </row>
    <row r="36" spans="1:23" ht="15" customHeight="1" x14ac:dyDescent="0.25">
      <c r="A36" s="128">
        <v>342</v>
      </c>
      <c r="B36" s="129" t="s">
        <v>271</v>
      </c>
      <c r="C36" s="128" t="s">
        <v>166</v>
      </c>
      <c r="D36" s="129" t="s">
        <v>154</v>
      </c>
      <c r="E36" s="129" t="s">
        <v>162</v>
      </c>
      <c r="F36" s="129">
        <v>92592</v>
      </c>
      <c r="G36" s="129">
        <v>92127</v>
      </c>
      <c r="H36" s="130">
        <v>109</v>
      </c>
      <c r="I36" s="129" t="s">
        <v>446</v>
      </c>
      <c r="J36" s="130">
        <v>10</v>
      </c>
      <c r="K36" s="131"/>
      <c r="L36" s="131" t="s">
        <v>5</v>
      </c>
      <c r="M36" s="131" t="s">
        <v>402</v>
      </c>
      <c r="N36" s="131" t="s">
        <v>327</v>
      </c>
      <c r="O36" s="56">
        <f>VLOOKUP($F36,'ZipCode Coordinates'!$A:$E,4,FALSE)</f>
        <v>2128740</v>
      </c>
      <c r="P36" s="56">
        <f>VLOOKUP($F36,'ZipCode Coordinates'!$A:$E,5,FALSE)</f>
        <v>6328900</v>
      </c>
      <c r="Q36" s="56">
        <f>VLOOKUP($G36,'ZipCode Coordinates'!$A:$E,4,FALSE)</f>
        <v>1951970</v>
      </c>
      <c r="R36" s="56">
        <f>VLOOKUP($G36,'ZipCode Coordinates'!$A:$E,5,FALSE)</f>
        <v>6293830</v>
      </c>
      <c r="S36" s="352" t="str">
        <f>IFERROR(VLOOKUP($M36,'External Gateways'!$C$6:$F$10,2,FALSE),"")</f>
        <v>I-15</v>
      </c>
      <c r="T36" s="56">
        <f>IFERROR(VLOOKUP($M36,'External Gateways'!$C$6:$F$10,3,FALSE),O36)</f>
        <v>2102195</v>
      </c>
      <c r="U36" s="56">
        <f>IFERROR(VLOOKUP($M36,'External Gateways'!$C$6:$F$10,4,FALSE),P36)</f>
        <v>6289147</v>
      </c>
      <c r="V36" s="353">
        <f t="shared" si="0"/>
        <v>9.0532245169037147</v>
      </c>
      <c r="W36" s="353">
        <f t="shared" si="1"/>
        <v>90.893550966192578</v>
      </c>
    </row>
    <row r="37" spans="1:23" ht="15" customHeight="1" x14ac:dyDescent="0.25">
      <c r="A37" s="128">
        <v>343</v>
      </c>
      <c r="B37" s="129" t="s">
        <v>321</v>
      </c>
      <c r="C37" s="128" t="s">
        <v>166</v>
      </c>
      <c r="D37" s="129" t="s">
        <v>203</v>
      </c>
      <c r="E37" s="129" t="s">
        <v>210</v>
      </c>
      <c r="F37" s="129">
        <v>91950</v>
      </c>
      <c r="G37" s="129">
        <v>92081</v>
      </c>
      <c r="H37" s="130">
        <v>109</v>
      </c>
      <c r="I37" s="129" t="s">
        <v>435</v>
      </c>
      <c r="J37" s="130">
        <v>15</v>
      </c>
      <c r="K37" s="131"/>
      <c r="L37" s="131" t="s">
        <v>5</v>
      </c>
      <c r="M37" s="131" t="s">
        <v>323</v>
      </c>
      <c r="N37" s="131" t="s">
        <v>325</v>
      </c>
      <c r="O37" s="56">
        <f>VLOOKUP($F37,'ZipCode Coordinates'!$A:$E,4,FALSE)</f>
        <v>1823970</v>
      </c>
      <c r="P37" s="56">
        <f>VLOOKUP($F37,'ZipCode Coordinates'!$A:$E,5,FALSE)</f>
        <v>6302610</v>
      </c>
      <c r="Q37" s="56">
        <f>VLOOKUP($G37,'ZipCode Coordinates'!$A:$E,4,FALSE)</f>
        <v>2005090</v>
      </c>
      <c r="R37" s="56">
        <f>VLOOKUP($G37,'ZipCode Coordinates'!$A:$E,5,FALSE)</f>
        <v>6258440</v>
      </c>
      <c r="S37" s="352" t="str">
        <f>IFERROR(VLOOKUP($M37,'External Gateways'!$C$6:$F$10,2,FALSE),"")</f>
        <v/>
      </c>
      <c r="T37" s="56">
        <f>IFERROR(VLOOKUP($M37,'External Gateways'!$C$6:$F$10,3,FALSE),O37)</f>
        <v>1823970</v>
      </c>
      <c r="U37" s="56">
        <f>IFERROR(VLOOKUP($M37,'External Gateways'!$C$6:$F$10,4,FALSE),P37)</f>
        <v>6302610</v>
      </c>
      <c r="V37" s="353">
        <f t="shared" si="0"/>
        <v>0</v>
      </c>
      <c r="W37" s="353">
        <f t="shared" si="1"/>
        <v>109</v>
      </c>
    </row>
    <row r="38" spans="1:23" ht="15" customHeight="1" x14ac:dyDescent="0.25">
      <c r="A38" s="128">
        <v>358</v>
      </c>
      <c r="B38" s="129" t="s">
        <v>219</v>
      </c>
      <c r="C38" s="128" t="s">
        <v>68</v>
      </c>
      <c r="D38" s="129" t="s">
        <v>220</v>
      </c>
      <c r="E38" s="129" t="s">
        <v>216</v>
      </c>
      <c r="F38" s="129">
        <v>92071</v>
      </c>
      <c r="G38" s="129">
        <v>92677</v>
      </c>
      <c r="H38" s="130">
        <v>130</v>
      </c>
      <c r="I38" s="129" t="s">
        <v>450</v>
      </c>
      <c r="J38" s="130">
        <v>10</v>
      </c>
      <c r="K38" s="131"/>
      <c r="L38" s="131" t="s">
        <v>68</v>
      </c>
      <c r="M38" s="131" t="s">
        <v>326</v>
      </c>
      <c r="N38" s="131" t="s">
        <v>439</v>
      </c>
      <c r="O38" s="56">
        <f>VLOOKUP($F38,'ZipCode Coordinates'!$A:$E,4,FALSE)</f>
        <v>1895600</v>
      </c>
      <c r="P38" s="56">
        <f>VLOOKUP($F38,'ZipCode Coordinates'!$A:$E,5,FALSE)</f>
        <v>6327040</v>
      </c>
      <c r="Q38" s="56">
        <f>VLOOKUP($G38,'ZipCode Coordinates'!$A:$E,4,FALSE)</f>
        <v>2138740</v>
      </c>
      <c r="R38" s="56">
        <f>VLOOKUP($G38,'ZipCode Coordinates'!$A:$E,5,FALSE)</f>
        <v>6118470</v>
      </c>
      <c r="S38" s="352" t="str">
        <f>IFERROR(VLOOKUP($M38,'External Gateways'!$C$6:$F$10,2,FALSE),"")</f>
        <v/>
      </c>
      <c r="T38" s="56">
        <f>IFERROR(VLOOKUP($M38,'External Gateways'!$C$6:$F$10,3,FALSE),O38)</f>
        <v>1895600</v>
      </c>
      <c r="U38" s="56">
        <f>IFERROR(VLOOKUP($M38,'External Gateways'!$C$6:$F$10,4,FALSE),P38)</f>
        <v>6327040</v>
      </c>
      <c r="V38" s="353">
        <f t="shared" si="0"/>
        <v>0</v>
      </c>
      <c r="W38" s="353">
        <f t="shared" si="1"/>
        <v>130</v>
      </c>
    </row>
    <row r="39" spans="1:23" ht="15" customHeight="1" x14ac:dyDescent="0.25">
      <c r="A39" s="128">
        <v>362</v>
      </c>
      <c r="B39" s="129" t="s">
        <v>82</v>
      </c>
      <c r="C39" s="128" t="s">
        <v>3</v>
      </c>
      <c r="D39" s="129" t="s">
        <v>189</v>
      </c>
      <c r="E39" s="129" t="s">
        <v>197</v>
      </c>
      <c r="F39" s="129">
        <v>92679</v>
      </c>
      <c r="G39" s="129">
        <v>92055</v>
      </c>
      <c r="H39" s="130">
        <v>100</v>
      </c>
      <c r="I39" s="129" t="s">
        <v>424</v>
      </c>
      <c r="J39" s="130">
        <v>7</v>
      </c>
      <c r="K39" s="131">
        <v>1</v>
      </c>
      <c r="L39" s="131" t="s">
        <v>3</v>
      </c>
      <c r="M39" s="131" t="s">
        <v>439</v>
      </c>
      <c r="N39" s="131" t="s">
        <v>324</v>
      </c>
      <c r="O39" s="56">
        <f>VLOOKUP($F39,'ZipCode Coordinates'!$A:$E,4,FALSE)</f>
        <v>2183100</v>
      </c>
      <c r="P39" s="56">
        <f>VLOOKUP($F39,'ZipCode Coordinates'!$A:$E,5,FALSE)</f>
        <v>6161930</v>
      </c>
      <c r="Q39" s="56">
        <f>VLOOKUP($G39,'ZipCode Coordinates'!$A:$E,4,FALSE)</f>
        <v>2082470</v>
      </c>
      <c r="R39" s="56">
        <f>VLOOKUP($G39,'ZipCode Coordinates'!$A:$E,5,FALSE)</f>
        <v>6206470</v>
      </c>
      <c r="S39" s="352" t="str">
        <f>IFERROR(VLOOKUP($M39,'External Gateways'!$C$6:$F$10,2,FALSE),"")</f>
        <v>I-5</v>
      </c>
      <c r="T39" s="56">
        <f>IFERROR(VLOOKUP($M39,'External Gateways'!$C$6:$F$10,3,FALSE),O39)</f>
        <v>2090594</v>
      </c>
      <c r="U39" s="56">
        <f>IFERROR(VLOOKUP($M39,'External Gateways'!$C$6:$F$10,4,FALSE),P39)</f>
        <v>6151524</v>
      </c>
      <c r="V39" s="353">
        <f t="shared" si="0"/>
        <v>17.630576807891781</v>
      </c>
      <c r="W39" s="353">
        <f t="shared" si="1"/>
        <v>64.73884638421643</v>
      </c>
    </row>
    <row r="40" spans="1:23" ht="15" customHeight="1" x14ac:dyDescent="0.25">
      <c r="A40" s="128">
        <v>363</v>
      </c>
      <c r="B40" s="129" t="s">
        <v>82</v>
      </c>
      <c r="C40" s="128" t="s">
        <v>3</v>
      </c>
      <c r="D40" s="129" t="s">
        <v>154</v>
      </c>
      <c r="E40" s="129" t="s">
        <v>82</v>
      </c>
      <c r="F40" s="129">
        <v>92592</v>
      </c>
      <c r="G40" s="129">
        <v>92055</v>
      </c>
      <c r="H40" s="130">
        <v>68</v>
      </c>
      <c r="I40" s="129" t="s">
        <v>508</v>
      </c>
      <c r="J40" s="130">
        <v>7</v>
      </c>
      <c r="K40" s="131">
        <v>1</v>
      </c>
      <c r="L40" s="131" t="s">
        <v>3</v>
      </c>
      <c r="M40" s="131" t="s">
        <v>402</v>
      </c>
      <c r="N40" s="131" t="s">
        <v>324</v>
      </c>
      <c r="O40" s="56">
        <f>VLOOKUP($F40,'ZipCode Coordinates'!$A:$E,4,FALSE)</f>
        <v>2128740</v>
      </c>
      <c r="P40" s="56">
        <f>VLOOKUP($F40,'ZipCode Coordinates'!$A:$E,5,FALSE)</f>
        <v>6328900</v>
      </c>
      <c r="Q40" s="56">
        <f>VLOOKUP($G40,'ZipCode Coordinates'!$A:$E,4,FALSE)</f>
        <v>2082470</v>
      </c>
      <c r="R40" s="56">
        <f>VLOOKUP($G40,'ZipCode Coordinates'!$A:$E,5,FALSE)</f>
        <v>6206470</v>
      </c>
      <c r="S40" s="352" t="str">
        <f>IFERROR(VLOOKUP($M40,'External Gateways'!$C$6:$F$10,2,FALSE),"")</f>
        <v>I-15</v>
      </c>
      <c r="T40" s="56">
        <f>IFERROR(VLOOKUP($M40,'External Gateways'!$C$6:$F$10,3,FALSE),O40)</f>
        <v>2102195</v>
      </c>
      <c r="U40" s="56">
        <f>IFERROR(VLOOKUP($M40,'External Gateways'!$C$6:$F$10,4,FALSE),P40)</f>
        <v>6289147</v>
      </c>
      <c r="V40" s="353">
        <f t="shared" si="0"/>
        <v>9.0532245169037147</v>
      </c>
      <c r="W40" s="353">
        <f t="shared" si="1"/>
        <v>49.893550966192571</v>
      </c>
    </row>
    <row r="41" spans="1:23" ht="15" customHeight="1" x14ac:dyDescent="0.25">
      <c r="A41" s="128">
        <v>367</v>
      </c>
      <c r="B41" s="129" t="s">
        <v>300</v>
      </c>
      <c r="C41" s="128" t="s">
        <v>166</v>
      </c>
      <c r="D41" s="129" t="s">
        <v>158</v>
      </c>
      <c r="E41" s="129" t="s">
        <v>162</v>
      </c>
      <c r="F41" s="129">
        <v>92563</v>
      </c>
      <c r="G41" s="129">
        <v>92123</v>
      </c>
      <c r="H41" s="130">
        <v>124</v>
      </c>
      <c r="I41" s="129" t="s">
        <v>448</v>
      </c>
      <c r="J41" s="130">
        <v>10</v>
      </c>
      <c r="K41" s="131"/>
      <c r="L41" s="131" t="s">
        <v>5</v>
      </c>
      <c r="M41" s="131" t="s">
        <v>402</v>
      </c>
      <c r="N41" s="131" t="s">
        <v>327</v>
      </c>
      <c r="O41" s="56">
        <f>VLOOKUP($F41,'ZipCode Coordinates'!$A:$E,4,FALSE)</f>
        <v>2156450</v>
      </c>
      <c r="P41" s="56">
        <f>VLOOKUP($F41,'ZipCode Coordinates'!$A:$E,5,FALSE)</f>
        <v>6288710</v>
      </c>
      <c r="Q41" s="56">
        <f>VLOOKUP($G41,'ZipCode Coordinates'!$A:$E,4,FALSE)</f>
        <v>1874700</v>
      </c>
      <c r="R41" s="56">
        <f>VLOOKUP($G41,'ZipCode Coordinates'!$A:$E,5,FALSE)</f>
        <v>6289760</v>
      </c>
      <c r="S41" s="352" t="str">
        <f>IFERROR(VLOOKUP($M41,'External Gateways'!$C$6:$F$10,2,FALSE),"")</f>
        <v>I-15</v>
      </c>
      <c r="T41" s="56">
        <f>IFERROR(VLOOKUP($M41,'External Gateways'!$C$6:$F$10,3,FALSE),O41)</f>
        <v>2102195</v>
      </c>
      <c r="U41" s="56">
        <f>IFERROR(VLOOKUP($M41,'External Gateways'!$C$6:$F$10,4,FALSE),P41)</f>
        <v>6289147</v>
      </c>
      <c r="V41" s="353">
        <f t="shared" si="0"/>
        <v>10.275901494735123</v>
      </c>
      <c r="W41" s="353">
        <f t="shared" si="1"/>
        <v>103.44819701052975</v>
      </c>
    </row>
    <row r="42" spans="1:23" ht="15" customHeight="1" x14ac:dyDescent="0.25">
      <c r="A42" s="128">
        <v>368</v>
      </c>
      <c r="B42" s="129" t="s">
        <v>263</v>
      </c>
      <c r="C42" s="128" t="s">
        <v>166</v>
      </c>
      <c r="D42" s="129" t="s">
        <v>175</v>
      </c>
      <c r="E42" s="129" t="s">
        <v>162</v>
      </c>
      <c r="F42" s="129">
        <v>92231</v>
      </c>
      <c r="G42" s="129">
        <v>92113</v>
      </c>
      <c r="H42" s="130">
        <v>250</v>
      </c>
      <c r="I42" s="129" t="s">
        <v>412</v>
      </c>
      <c r="J42" s="130">
        <v>10</v>
      </c>
      <c r="K42" s="131"/>
      <c r="L42" s="131" t="s">
        <v>5</v>
      </c>
      <c r="M42" s="131" t="s">
        <v>431</v>
      </c>
      <c r="N42" s="131" t="s">
        <v>323</v>
      </c>
      <c r="O42" s="56">
        <f>VLOOKUP($F42,'ZipCode Coordinates'!$A:$E,4,FALSE)</f>
        <v>1829680</v>
      </c>
      <c r="P42" s="56">
        <f>VLOOKUP($F42,'ZipCode Coordinates'!$A:$E,5,FALSE)</f>
        <v>6778130</v>
      </c>
      <c r="Q42" s="56">
        <f>VLOOKUP($G42,'ZipCode Coordinates'!$A:$E,4,FALSE)</f>
        <v>1834470</v>
      </c>
      <c r="R42" s="56">
        <f>VLOOKUP($G42,'ZipCode Coordinates'!$A:$E,5,FALSE)</f>
        <v>6294590</v>
      </c>
      <c r="S42" s="352" t="str">
        <f>IFERROR(VLOOKUP($M42,'External Gateways'!$C$6:$F$10,2,FALSE),"")</f>
        <v>I-8</v>
      </c>
      <c r="T42" s="56">
        <f>IFERROR(VLOOKUP($M42,'External Gateways'!$C$6:$F$10,3,FALSE),O42)</f>
        <v>1814524</v>
      </c>
      <c r="U42" s="56">
        <f>IFERROR(VLOOKUP($M42,'External Gateways'!$C$6:$F$10,4,FALSE),P42)</f>
        <v>6606089</v>
      </c>
      <c r="V42" s="353">
        <f t="shared" si="0"/>
        <v>32.709715110593962</v>
      </c>
      <c r="W42" s="353">
        <f t="shared" si="1"/>
        <v>184.58056977881208</v>
      </c>
    </row>
    <row r="43" spans="1:23" ht="15" customHeight="1" x14ac:dyDescent="0.25">
      <c r="A43" s="128">
        <v>369</v>
      </c>
      <c r="B43" s="129" t="s">
        <v>258</v>
      </c>
      <c r="C43" s="128" t="s">
        <v>3</v>
      </c>
      <c r="D43" s="129" t="s">
        <v>260</v>
      </c>
      <c r="E43" s="129" t="s">
        <v>162</v>
      </c>
      <c r="F43" s="129">
        <v>92040</v>
      </c>
      <c r="G43" s="129">
        <v>92135</v>
      </c>
      <c r="H43" s="130">
        <v>75</v>
      </c>
      <c r="I43" s="129" t="s">
        <v>400</v>
      </c>
      <c r="J43" s="130">
        <v>7</v>
      </c>
      <c r="K43" s="131"/>
      <c r="L43" s="131" t="s">
        <v>3</v>
      </c>
      <c r="M43" s="131" t="s">
        <v>326</v>
      </c>
      <c r="N43" s="131" t="s">
        <v>323</v>
      </c>
      <c r="O43" s="56">
        <f>VLOOKUP($F43,'ZipCode Coordinates'!$A:$E,4,FALSE)</f>
        <v>1912600</v>
      </c>
      <c r="P43" s="56">
        <f>VLOOKUP($F43,'ZipCode Coordinates'!$A:$E,5,FALSE)</f>
        <v>6367510</v>
      </c>
      <c r="Q43" s="56">
        <f>VLOOKUP($G43,'ZipCode Coordinates'!$A:$E,4,FALSE)</f>
        <v>1835720</v>
      </c>
      <c r="R43" s="56">
        <f>VLOOKUP($G43,'ZipCode Coordinates'!$A:$E,5,FALSE)</f>
        <v>6266670</v>
      </c>
      <c r="S43" s="352" t="str">
        <f>IFERROR(VLOOKUP($M43,'External Gateways'!$C$6:$F$10,2,FALSE),"")</f>
        <v/>
      </c>
      <c r="T43" s="56">
        <f>IFERROR(VLOOKUP($M43,'External Gateways'!$C$6:$F$10,3,FALSE),O43)</f>
        <v>1912600</v>
      </c>
      <c r="U43" s="56">
        <f>IFERROR(VLOOKUP($M43,'External Gateways'!$C$6:$F$10,4,FALSE),P43)</f>
        <v>6367510</v>
      </c>
      <c r="V43" s="353">
        <f t="shared" si="0"/>
        <v>0</v>
      </c>
      <c r="W43" s="353">
        <f t="shared" si="1"/>
        <v>75</v>
      </c>
    </row>
    <row r="44" spans="1:23" ht="15" customHeight="1" x14ac:dyDescent="0.25">
      <c r="A44" s="128">
        <v>374</v>
      </c>
      <c r="B44" s="129" t="s">
        <v>307</v>
      </c>
      <c r="C44" s="128" t="s">
        <v>3</v>
      </c>
      <c r="D44" s="129" t="s">
        <v>190</v>
      </c>
      <c r="E44" s="129" t="s">
        <v>162</v>
      </c>
      <c r="F44" s="129">
        <v>92082</v>
      </c>
      <c r="G44" s="129">
        <v>92110</v>
      </c>
      <c r="H44" s="130">
        <v>89</v>
      </c>
      <c r="I44" s="129" t="s">
        <v>459</v>
      </c>
      <c r="J44" s="130">
        <v>8</v>
      </c>
      <c r="K44" s="131"/>
      <c r="L44" s="131" t="s">
        <v>3</v>
      </c>
      <c r="M44" s="131" t="s">
        <v>325</v>
      </c>
      <c r="N44" s="131" t="s">
        <v>327</v>
      </c>
      <c r="O44" s="56">
        <f>VLOOKUP($F44,'ZipCode Coordinates'!$A:$E,4,FALSE)</f>
        <v>2036530</v>
      </c>
      <c r="P44" s="56">
        <f>VLOOKUP($F44,'ZipCode Coordinates'!$A:$E,5,FALSE)</f>
        <v>6333920</v>
      </c>
      <c r="Q44" s="56">
        <f>VLOOKUP($G44,'ZipCode Coordinates'!$A:$E,4,FALSE)</f>
        <v>1859050</v>
      </c>
      <c r="R44" s="56">
        <f>VLOOKUP($G44,'ZipCode Coordinates'!$A:$E,5,FALSE)</f>
        <v>6269400</v>
      </c>
      <c r="S44" s="352" t="str">
        <f>IFERROR(VLOOKUP($M44,'External Gateways'!$C$6:$F$10,2,FALSE),"")</f>
        <v/>
      </c>
      <c r="T44" s="56">
        <f>IFERROR(VLOOKUP($M44,'External Gateways'!$C$6:$F$10,3,FALSE),O44)</f>
        <v>2036530</v>
      </c>
      <c r="U44" s="56">
        <f>IFERROR(VLOOKUP($M44,'External Gateways'!$C$6:$F$10,4,FALSE),P44)</f>
        <v>6333920</v>
      </c>
      <c r="V44" s="353">
        <f t="shared" si="0"/>
        <v>0</v>
      </c>
      <c r="W44" s="353">
        <f t="shared" si="1"/>
        <v>89</v>
      </c>
    </row>
    <row r="45" spans="1:23" ht="15" customHeight="1" x14ac:dyDescent="0.25">
      <c r="A45" s="128">
        <v>384</v>
      </c>
      <c r="B45" s="129" t="s">
        <v>82</v>
      </c>
      <c r="C45" s="128" t="s">
        <v>3</v>
      </c>
      <c r="D45" s="129" t="s">
        <v>162</v>
      </c>
      <c r="E45" s="129" t="s">
        <v>82</v>
      </c>
      <c r="F45" s="129">
        <v>92114</v>
      </c>
      <c r="G45" s="129">
        <v>92055</v>
      </c>
      <c r="H45" s="130">
        <v>134</v>
      </c>
      <c r="I45" s="129" t="s">
        <v>466</v>
      </c>
      <c r="J45" s="130">
        <v>9</v>
      </c>
      <c r="K45" s="131"/>
      <c r="L45" s="131" t="s">
        <v>3</v>
      </c>
      <c r="M45" s="131" t="s">
        <v>323</v>
      </c>
      <c r="N45" s="131" t="s">
        <v>324</v>
      </c>
      <c r="O45" s="56">
        <f>VLOOKUP($F45,'ZipCode Coordinates'!$A:$E,4,FALSE)</f>
        <v>1838250</v>
      </c>
      <c r="P45" s="56">
        <f>VLOOKUP($F45,'ZipCode Coordinates'!$A:$E,5,FALSE)</f>
        <v>6314020</v>
      </c>
      <c r="Q45" s="56">
        <f>VLOOKUP($G45,'ZipCode Coordinates'!$A:$E,4,FALSE)</f>
        <v>2082470</v>
      </c>
      <c r="R45" s="56">
        <f>VLOOKUP($G45,'ZipCode Coordinates'!$A:$E,5,FALSE)</f>
        <v>6206470</v>
      </c>
      <c r="S45" s="352" t="str">
        <f>IFERROR(VLOOKUP($M45,'External Gateways'!$C$6:$F$10,2,FALSE),"")</f>
        <v/>
      </c>
      <c r="T45" s="56">
        <f>IFERROR(VLOOKUP($M45,'External Gateways'!$C$6:$F$10,3,FALSE),O45)</f>
        <v>1838250</v>
      </c>
      <c r="U45" s="56">
        <f>IFERROR(VLOOKUP($M45,'External Gateways'!$C$6:$F$10,4,FALSE),P45)</f>
        <v>6314020</v>
      </c>
      <c r="V45" s="353">
        <f t="shared" si="0"/>
        <v>0</v>
      </c>
      <c r="W45" s="353">
        <f t="shared" si="1"/>
        <v>134</v>
      </c>
    </row>
    <row r="46" spans="1:23" ht="15" customHeight="1" x14ac:dyDescent="0.25">
      <c r="A46" s="128">
        <v>391</v>
      </c>
      <c r="B46" s="129" t="s">
        <v>82</v>
      </c>
      <c r="C46" s="128" t="s">
        <v>3</v>
      </c>
      <c r="D46" s="129" t="s">
        <v>154</v>
      </c>
      <c r="E46" s="129" t="s">
        <v>197</v>
      </c>
      <c r="F46" s="129">
        <v>92591</v>
      </c>
      <c r="G46" s="129">
        <v>92055</v>
      </c>
      <c r="H46" s="130">
        <v>93</v>
      </c>
      <c r="I46" s="129" t="s">
        <v>408</v>
      </c>
      <c r="J46" s="130">
        <v>7</v>
      </c>
      <c r="K46" s="131"/>
      <c r="L46" s="131" t="s">
        <v>3</v>
      </c>
      <c r="M46" s="131" t="s">
        <v>402</v>
      </c>
      <c r="N46" s="131" t="s">
        <v>324</v>
      </c>
      <c r="O46" s="56">
        <f>VLOOKUP($F46,'ZipCode Coordinates'!$A:$E,4,FALSE)</f>
        <v>2138420</v>
      </c>
      <c r="P46" s="56">
        <f>VLOOKUP($F46,'ZipCode Coordinates'!$A:$E,5,FALSE)</f>
        <v>6299220</v>
      </c>
      <c r="Q46" s="56">
        <f>VLOOKUP($G46,'ZipCode Coordinates'!$A:$E,4,FALSE)</f>
        <v>2082470</v>
      </c>
      <c r="R46" s="56">
        <f>VLOOKUP($G46,'ZipCode Coordinates'!$A:$E,5,FALSE)</f>
        <v>6206470</v>
      </c>
      <c r="S46" s="352" t="str">
        <f>IFERROR(VLOOKUP($M46,'External Gateways'!$C$6:$F$10,2,FALSE),"")</f>
        <v>I-15</v>
      </c>
      <c r="T46" s="56">
        <f>IFERROR(VLOOKUP($M46,'External Gateways'!$C$6:$F$10,3,FALSE),O46)</f>
        <v>2102195</v>
      </c>
      <c r="U46" s="56">
        <f>IFERROR(VLOOKUP($M46,'External Gateways'!$C$6:$F$10,4,FALSE),P46)</f>
        <v>6289147</v>
      </c>
      <c r="V46" s="353">
        <f t="shared" si="0"/>
        <v>7.1211011888925713</v>
      </c>
      <c r="W46" s="353">
        <f t="shared" si="1"/>
        <v>78.757797622214852</v>
      </c>
    </row>
    <row r="47" spans="1:23" ht="15" customHeight="1" x14ac:dyDescent="0.25">
      <c r="A47" s="128">
        <v>392</v>
      </c>
      <c r="B47" s="129" t="s">
        <v>219</v>
      </c>
      <c r="C47" s="128" t="s">
        <v>68</v>
      </c>
      <c r="D47" s="129" t="s">
        <v>162</v>
      </c>
      <c r="E47" s="129" t="s">
        <v>216</v>
      </c>
      <c r="F47" s="129">
        <v>92139</v>
      </c>
      <c r="G47" s="129">
        <v>92677</v>
      </c>
      <c r="H47" s="130">
        <v>164</v>
      </c>
      <c r="I47" s="129" t="s">
        <v>441</v>
      </c>
      <c r="J47" s="130">
        <v>8</v>
      </c>
      <c r="K47" s="131">
        <v>2</v>
      </c>
      <c r="L47" s="131" t="s">
        <v>68</v>
      </c>
      <c r="M47" s="131" t="s">
        <v>323</v>
      </c>
      <c r="N47" s="131" t="s">
        <v>439</v>
      </c>
      <c r="O47" s="56">
        <f>VLOOKUP($F47,'ZipCode Coordinates'!$A:$E,4,FALSE)</f>
        <v>1828110</v>
      </c>
      <c r="P47" s="56">
        <f>VLOOKUP($F47,'ZipCode Coordinates'!$A:$E,5,FALSE)</f>
        <v>6315850</v>
      </c>
      <c r="Q47" s="56">
        <f>VLOOKUP($G47,'ZipCode Coordinates'!$A:$E,4,FALSE)</f>
        <v>2138740</v>
      </c>
      <c r="R47" s="56">
        <f>VLOOKUP($G47,'ZipCode Coordinates'!$A:$E,5,FALSE)</f>
        <v>6118470</v>
      </c>
      <c r="S47" s="352" t="str">
        <f>IFERROR(VLOOKUP($M47,'External Gateways'!$C$6:$F$10,2,FALSE),"")</f>
        <v/>
      </c>
      <c r="T47" s="56">
        <f>IFERROR(VLOOKUP($M47,'External Gateways'!$C$6:$F$10,3,FALSE),O47)</f>
        <v>1828110</v>
      </c>
      <c r="U47" s="56">
        <f>IFERROR(VLOOKUP($M47,'External Gateways'!$C$6:$F$10,4,FALSE),P47)</f>
        <v>6315850</v>
      </c>
      <c r="V47" s="353">
        <f t="shared" si="0"/>
        <v>0</v>
      </c>
      <c r="W47" s="353">
        <f t="shared" si="1"/>
        <v>164</v>
      </c>
    </row>
    <row r="48" spans="1:23" ht="15" customHeight="1" x14ac:dyDescent="0.25">
      <c r="A48" s="128">
        <v>394</v>
      </c>
      <c r="B48" s="129" t="s">
        <v>258</v>
      </c>
      <c r="C48" s="128" t="s">
        <v>3</v>
      </c>
      <c r="D48" s="129" t="s">
        <v>154</v>
      </c>
      <c r="E48" s="129" t="s">
        <v>162</v>
      </c>
      <c r="F48" s="129">
        <v>92592</v>
      </c>
      <c r="G48" s="129">
        <v>92135</v>
      </c>
      <c r="H48" s="130">
        <v>152</v>
      </c>
      <c r="I48" s="129" t="s">
        <v>441</v>
      </c>
      <c r="J48" s="130">
        <v>8</v>
      </c>
      <c r="K48" s="131">
        <v>1</v>
      </c>
      <c r="L48" s="131" t="s">
        <v>3</v>
      </c>
      <c r="M48" s="131" t="s">
        <v>402</v>
      </c>
      <c r="N48" s="131" t="s">
        <v>323</v>
      </c>
      <c r="O48" s="56">
        <f>VLOOKUP($F48,'ZipCode Coordinates'!$A:$E,4,FALSE)</f>
        <v>2128740</v>
      </c>
      <c r="P48" s="56">
        <f>VLOOKUP($F48,'ZipCode Coordinates'!$A:$E,5,FALSE)</f>
        <v>6328900</v>
      </c>
      <c r="Q48" s="56">
        <f>VLOOKUP($G48,'ZipCode Coordinates'!$A:$E,4,FALSE)</f>
        <v>1835720</v>
      </c>
      <c r="R48" s="56">
        <f>VLOOKUP($G48,'ZipCode Coordinates'!$A:$E,5,FALSE)</f>
        <v>6266670</v>
      </c>
      <c r="S48" s="352" t="str">
        <f>IFERROR(VLOOKUP($M48,'External Gateways'!$C$6:$F$10,2,FALSE),"")</f>
        <v>I-15</v>
      </c>
      <c r="T48" s="56">
        <f>IFERROR(VLOOKUP($M48,'External Gateways'!$C$6:$F$10,3,FALSE),O48)</f>
        <v>2102195</v>
      </c>
      <c r="U48" s="56">
        <f>IFERROR(VLOOKUP($M48,'External Gateways'!$C$6:$F$10,4,FALSE),P48)</f>
        <v>6289147</v>
      </c>
      <c r="V48" s="353">
        <f t="shared" si="0"/>
        <v>9.0532245169037147</v>
      </c>
      <c r="W48" s="353">
        <f t="shared" si="1"/>
        <v>133.89355096619258</v>
      </c>
    </row>
    <row r="49" spans="1:23" ht="15" customHeight="1" x14ac:dyDescent="0.25">
      <c r="A49" s="128">
        <v>420</v>
      </c>
      <c r="B49" s="129" t="s">
        <v>258</v>
      </c>
      <c r="C49" s="128" t="s">
        <v>3</v>
      </c>
      <c r="D49" s="129" t="s">
        <v>162</v>
      </c>
      <c r="E49" s="129" t="s">
        <v>162</v>
      </c>
      <c r="F49" s="129">
        <v>92129</v>
      </c>
      <c r="G49" s="129">
        <v>92135</v>
      </c>
      <c r="H49" s="130">
        <v>84</v>
      </c>
      <c r="I49" s="129" t="s">
        <v>401</v>
      </c>
      <c r="J49" s="130">
        <v>7</v>
      </c>
      <c r="K49" s="131">
        <v>1</v>
      </c>
      <c r="L49" s="131" t="s">
        <v>3</v>
      </c>
      <c r="M49" s="131" t="s">
        <v>327</v>
      </c>
      <c r="N49" s="131" t="s">
        <v>323</v>
      </c>
      <c r="O49" s="56">
        <f>VLOOKUP($F49,'ZipCode Coordinates'!$A:$E,4,FALSE)</f>
        <v>1931860</v>
      </c>
      <c r="P49" s="56">
        <f>VLOOKUP($F49,'ZipCode Coordinates'!$A:$E,5,FALSE)</f>
        <v>6293150</v>
      </c>
      <c r="Q49" s="56">
        <f>VLOOKUP($G49,'ZipCode Coordinates'!$A:$E,4,FALSE)</f>
        <v>1835720</v>
      </c>
      <c r="R49" s="56">
        <f>VLOOKUP($G49,'ZipCode Coordinates'!$A:$E,5,FALSE)</f>
        <v>6266670</v>
      </c>
      <c r="S49" s="352" t="str">
        <f>IFERROR(VLOOKUP($M49,'External Gateways'!$C$6:$F$10,2,FALSE),"")</f>
        <v/>
      </c>
      <c r="T49" s="56">
        <f>IFERROR(VLOOKUP($M49,'External Gateways'!$C$6:$F$10,3,FALSE),O49)</f>
        <v>1931860</v>
      </c>
      <c r="U49" s="56">
        <f>IFERROR(VLOOKUP($M49,'External Gateways'!$C$6:$F$10,4,FALSE),P49)</f>
        <v>6293150</v>
      </c>
      <c r="V49" s="353">
        <f t="shared" si="0"/>
        <v>0</v>
      </c>
      <c r="W49" s="353">
        <f t="shared" si="1"/>
        <v>84</v>
      </c>
    </row>
    <row r="50" spans="1:23" ht="15" customHeight="1" x14ac:dyDescent="0.25">
      <c r="A50" s="128">
        <v>426</v>
      </c>
      <c r="B50" s="129" t="s">
        <v>255</v>
      </c>
      <c r="C50" s="128" t="s">
        <v>68</v>
      </c>
      <c r="D50" s="129" t="s">
        <v>158</v>
      </c>
      <c r="E50" s="129" t="s">
        <v>162</v>
      </c>
      <c r="F50" s="129">
        <v>92562</v>
      </c>
      <c r="G50" s="129">
        <v>92101</v>
      </c>
      <c r="H50" s="130">
        <v>185</v>
      </c>
      <c r="I50" s="129" t="s">
        <v>419</v>
      </c>
      <c r="J50" s="130">
        <v>7</v>
      </c>
      <c r="K50" s="131"/>
      <c r="L50" s="131" t="s">
        <v>68</v>
      </c>
      <c r="M50" s="131" t="s">
        <v>402</v>
      </c>
      <c r="N50" s="131" t="s">
        <v>323</v>
      </c>
      <c r="O50" s="56">
        <f>VLOOKUP($F50,'ZipCode Coordinates'!$A:$E,4,FALSE)</f>
        <v>2144470</v>
      </c>
      <c r="P50" s="56">
        <f>VLOOKUP($F50,'ZipCode Coordinates'!$A:$E,5,FALSE)</f>
        <v>6251450</v>
      </c>
      <c r="Q50" s="56">
        <f>VLOOKUP($G50,'ZipCode Coordinates'!$A:$E,4,FALSE)</f>
        <v>1844080</v>
      </c>
      <c r="R50" s="56">
        <f>VLOOKUP($G50,'ZipCode Coordinates'!$A:$E,5,FALSE)</f>
        <v>6278770</v>
      </c>
      <c r="S50" s="352" t="str">
        <f>IFERROR(VLOOKUP($M50,'External Gateways'!$C$6:$F$10,2,FALSE),"")</f>
        <v>I-15</v>
      </c>
      <c r="T50" s="56">
        <f>IFERROR(VLOOKUP($M50,'External Gateways'!$C$6:$F$10,3,FALSE),O50)</f>
        <v>2102195</v>
      </c>
      <c r="U50" s="56">
        <f>IFERROR(VLOOKUP($M50,'External Gateways'!$C$6:$F$10,4,FALSE),P50)</f>
        <v>6289147</v>
      </c>
      <c r="V50" s="353">
        <f t="shared" si="0"/>
        <v>10.727523233277124</v>
      </c>
      <c r="W50" s="353">
        <f t="shared" si="1"/>
        <v>163.54495353344575</v>
      </c>
    </row>
    <row r="51" spans="1:23" ht="15" customHeight="1" x14ac:dyDescent="0.25">
      <c r="A51" s="128">
        <v>431</v>
      </c>
      <c r="B51" s="129" t="s">
        <v>315</v>
      </c>
      <c r="C51" s="128" t="s">
        <v>68</v>
      </c>
      <c r="D51" s="129" t="s">
        <v>194</v>
      </c>
      <c r="E51" s="129" t="s">
        <v>425</v>
      </c>
      <c r="F51" s="129">
        <v>91977</v>
      </c>
      <c r="G51" s="129">
        <v>91906</v>
      </c>
      <c r="H51" s="130">
        <v>143</v>
      </c>
      <c r="I51" s="129" t="s">
        <v>416</v>
      </c>
      <c r="J51" s="130">
        <v>7</v>
      </c>
      <c r="K51" s="131"/>
      <c r="L51" s="131" t="s">
        <v>68</v>
      </c>
      <c r="M51" s="131" t="s">
        <v>326</v>
      </c>
      <c r="N51" s="131" t="s">
        <v>329</v>
      </c>
      <c r="O51" s="56">
        <f>VLOOKUP($F51,'ZipCode Coordinates'!$A:$E,4,FALSE)</f>
        <v>1843860</v>
      </c>
      <c r="P51" s="56">
        <f>VLOOKUP($F51,'ZipCode Coordinates'!$A:$E,5,FALSE)</f>
        <v>6332240</v>
      </c>
      <c r="Q51" s="56">
        <f>VLOOKUP($G51,'ZipCode Coordinates'!$A:$E,4,FALSE)</f>
        <v>1833150</v>
      </c>
      <c r="R51" s="56">
        <f>VLOOKUP($G51,'ZipCode Coordinates'!$A:$E,5,FALSE)</f>
        <v>6479630</v>
      </c>
      <c r="S51" s="352" t="str">
        <f>IFERROR(VLOOKUP($M51,'External Gateways'!$C$6:$F$10,2,FALSE),"")</f>
        <v/>
      </c>
      <c r="T51" s="56">
        <f>IFERROR(VLOOKUP($M51,'External Gateways'!$C$6:$F$10,3,FALSE),O51)</f>
        <v>1843860</v>
      </c>
      <c r="U51" s="56">
        <f>IFERROR(VLOOKUP($M51,'External Gateways'!$C$6:$F$10,4,FALSE),P51)</f>
        <v>6332240</v>
      </c>
      <c r="V51" s="353">
        <f t="shared" si="0"/>
        <v>0</v>
      </c>
      <c r="W51" s="353">
        <f t="shared" si="1"/>
        <v>143</v>
      </c>
    </row>
    <row r="52" spans="1:23" ht="15" customHeight="1" x14ac:dyDescent="0.25">
      <c r="A52" s="128">
        <v>433</v>
      </c>
      <c r="B52" s="129" t="s">
        <v>300</v>
      </c>
      <c r="C52" s="128" t="s">
        <v>166</v>
      </c>
      <c r="D52" s="129" t="s">
        <v>158</v>
      </c>
      <c r="E52" s="129" t="s">
        <v>162</v>
      </c>
      <c r="F52" s="129">
        <v>92562</v>
      </c>
      <c r="G52" s="129">
        <v>92123</v>
      </c>
      <c r="H52" s="130">
        <v>100</v>
      </c>
      <c r="I52" s="129" t="s">
        <v>401</v>
      </c>
      <c r="J52" s="130">
        <v>7</v>
      </c>
      <c r="K52" s="131"/>
      <c r="L52" s="131" t="s">
        <v>5</v>
      </c>
      <c r="M52" s="131" t="s">
        <v>402</v>
      </c>
      <c r="N52" s="131" t="s">
        <v>327</v>
      </c>
      <c r="O52" s="56">
        <f>VLOOKUP($F52,'ZipCode Coordinates'!$A:$E,4,FALSE)</f>
        <v>2144470</v>
      </c>
      <c r="P52" s="56">
        <f>VLOOKUP($F52,'ZipCode Coordinates'!$A:$E,5,FALSE)</f>
        <v>6251450</v>
      </c>
      <c r="Q52" s="56">
        <f>VLOOKUP($G52,'ZipCode Coordinates'!$A:$E,4,FALSE)</f>
        <v>1874700</v>
      </c>
      <c r="R52" s="56">
        <f>VLOOKUP($G52,'ZipCode Coordinates'!$A:$E,5,FALSE)</f>
        <v>6289760</v>
      </c>
      <c r="S52" s="352" t="str">
        <f>IFERROR(VLOOKUP($M52,'External Gateways'!$C$6:$F$10,2,FALSE),"")</f>
        <v>I-15</v>
      </c>
      <c r="T52" s="56">
        <f>IFERROR(VLOOKUP($M52,'External Gateways'!$C$6:$F$10,3,FALSE),O52)</f>
        <v>2102195</v>
      </c>
      <c r="U52" s="56">
        <f>IFERROR(VLOOKUP($M52,'External Gateways'!$C$6:$F$10,4,FALSE),P52)</f>
        <v>6289147</v>
      </c>
      <c r="V52" s="353">
        <f t="shared" si="0"/>
        <v>10.727523233277124</v>
      </c>
      <c r="W52" s="353">
        <f t="shared" si="1"/>
        <v>78.544953533445749</v>
      </c>
    </row>
    <row r="53" spans="1:23" ht="15" customHeight="1" x14ac:dyDescent="0.25">
      <c r="A53" s="128">
        <v>434</v>
      </c>
      <c r="B53" s="129" t="s">
        <v>321</v>
      </c>
      <c r="C53" s="128" t="s">
        <v>166</v>
      </c>
      <c r="D53" s="129" t="s">
        <v>191</v>
      </c>
      <c r="E53" s="129" t="s">
        <v>210</v>
      </c>
      <c r="F53" s="129">
        <v>92570</v>
      </c>
      <c r="G53" s="129">
        <v>92081</v>
      </c>
      <c r="H53" s="130">
        <v>95</v>
      </c>
      <c r="I53" s="129" t="s">
        <v>442</v>
      </c>
      <c r="J53" s="130">
        <v>10</v>
      </c>
      <c r="K53" s="131"/>
      <c r="L53" s="131" t="s">
        <v>5</v>
      </c>
      <c r="M53" s="131" t="s">
        <v>402</v>
      </c>
      <c r="N53" s="131" t="s">
        <v>325</v>
      </c>
      <c r="O53" s="56">
        <f>VLOOKUP($F53,'ZipCode Coordinates'!$A:$E,4,FALSE)</f>
        <v>2230700</v>
      </c>
      <c r="P53" s="56">
        <f>VLOOKUP($F53,'ZipCode Coordinates'!$A:$E,5,FALSE)</f>
        <v>6236220</v>
      </c>
      <c r="Q53" s="56">
        <f>VLOOKUP($G53,'ZipCode Coordinates'!$A:$E,4,FALSE)</f>
        <v>2005090</v>
      </c>
      <c r="R53" s="56">
        <f>VLOOKUP($G53,'ZipCode Coordinates'!$A:$E,5,FALSE)</f>
        <v>6258440</v>
      </c>
      <c r="S53" s="352" t="str">
        <f>IFERROR(VLOOKUP($M53,'External Gateways'!$C$6:$F$10,2,FALSE),"")</f>
        <v>I-15</v>
      </c>
      <c r="T53" s="56">
        <f>IFERROR(VLOOKUP($M53,'External Gateways'!$C$6:$F$10,3,FALSE),O53)</f>
        <v>2102195</v>
      </c>
      <c r="U53" s="56">
        <f>IFERROR(VLOOKUP($M53,'External Gateways'!$C$6:$F$10,4,FALSE),P53)</f>
        <v>6289147</v>
      </c>
      <c r="V53" s="353">
        <f t="shared" si="0"/>
        <v>26.321534947209251</v>
      </c>
      <c r="W53" s="353">
        <f t="shared" si="1"/>
        <v>42.356930105581498</v>
      </c>
    </row>
    <row r="54" spans="1:23" ht="15" customHeight="1" x14ac:dyDescent="0.25">
      <c r="A54" s="128">
        <v>439</v>
      </c>
      <c r="B54" s="129" t="s">
        <v>263</v>
      </c>
      <c r="C54" s="128" t="s">
        <v>166</v>
      </c>
      <c r="D54" s="129" t="s">
        <v>157</v>
      </c>
      <c r="E54" s="129" t="s">
        <v>162</v>
      </c>
      <c r="F54" s="129">
        <v>92544</v>
      </c>
      <c r="G54" s="129">
        <v>92113</v>
      </c>
      <c r="H54" s="130">
        <v>210</v>
      </c>
      <c r="I54" s="129" t="s">
        <v>436</v>
      </c>
      <c r="J54" s="130">
        <v>8</v>
      </c>
      <c r="K54" s="131"/>
      <c r="L54" s="131" t="s">
        <v>5</v>
      </c>
      <c r="M54" s="131" t="s">
        <v>402</v>
      </c>
      <c r="N54" s="131" t="s">
        <v>323</v>
      </c>
      <c r="O54" s="56">
        <f>VLOOKUP($F54,'ZipCode Coordinates'!$A:$E,4,FALSE)</f>
        <v>2177850</v>
      </c>
      <c r="P54" s="56">
        <f>VLOOKUP($F54,'ZipCode Coordinates'!$A:$E,5,FALSE)</f>
        <v>6364200</v>
      </c>
      <c r="Q54" s="56">
        <f>VLOOKUP($G54,'ZipCode Coordinates'!$A:$E,4,FALSE)</f>
        <v>1834470</v>
      </c>
      <c r="R54" s="56">
        <f>VLOOKUP($G54,'ZipCode Coordinates'!$A:$E,5,FALSE)</f>
        <v>6294590</v>
      </c>
      <c r="S54" s="352" t="str">
        <f>IFERROR(VLOOKUP($M54,'External Gateways'!$C$6:$F$10,2,FALSE),"")</f>
        <v>I-15</v>
      </c>
      <c r="T54" s="56">
        <f>IFERROR(VLOOKUP($M54,'External Gateways'!$C$6:$F$10,3,FALSE),O54)</f>
        <v>2102195</v>
      </c>
      <c r="U54" s="56">
        <f>IFERROR(VLOOKUP($M54,'External Gateways'!$C$6:$F$10,4,FALSE),P54)</f>
        <v>6289147</v>
      </c>
      <c r="V54" s="353">
        <f t="shared" si="0"/>
        <v>20.183238438870013</v>
      </c>
      <c r="W54" s="353">
        <f t="shared" si="1"/>
        <v>169.63352312225999</v>
      </c>
    </row>
    <row r="55" spans="1:23" ht="15" customHeight="1" x14ac:dyDescent="0.25">
      <c r="A55" s="128">
        <v>440</v>
      </c>
      <c r="B55" s="129" t="s">
        <v>171</v>
      </c>
      <c r="C55" s="128" t="s">
        <v>166</v>
      </c>
      <c r="D55" s="129" t="s">
        <v>172</v>
      </c>
      <c r="E55" s="129" t="s">
        <v>162</v>
      </c>
      <c r="F55" s="129">
        <v>92595</v>
      </c>
      <c r="G55" s="129">
        <v>92127</v>
      </c>
      <c r="H55" s="130">
        <v>80</v>
      </c>
      <c r="I55" s="129" t="s">
        <v>517</v>
      </c>
      <c r="J55" s="130">
        <v>10</v>
      </c>
      <c r="K55" s="131"/>
      <c r="L55" s="131" t="s">
        <v>5</v>
      </c>
      <c r="M55" s="131" t="s">
        <v>402</v>
      </c>
      <c r="N55" s="131" t="s">
        <v>327</v>
      </c>
      <c r="O55" s="56">
        <f>VLOOKUP($F55,'ZipCode Coordinates'!$A:$E,4,FALSE)</f>
        <v>2170100</v>
      </c>
      <c r="P55" s="56">
        <f>VLOOKUP($F55,'ZipCode Coordinates'!$A:$E,5,FALSE)</f>
        <v>6254090</v>
      </c>
      <c r="Q55" s="56">
        <f>VLOOKUP($G55,'ZipCode Coordinates'!$A:$E,4,FALSE)</f>
        <v>1951970</v>
      </c>
      <c r="R55" s="56">
        <f>VLOOKUP($G55,'ZipCode Coordinates'!$A:$E,5,FALSE)</f>
        <v>6293830</v>
      </c>
      <c r="S55" s="352" t="str">
        <f>IFERROR(VLOOKUP($M55,'External Gateways'!$C$6:$F$10,2,FALSE),"")</f>
        <v>I-15</v>
      </c>
      <c r="T55" s="56">
        <f>IFERROR(VLOOKUP($M55,'External Gateways'!$C$6:$F$10,3,FALSE),O55)</f>
        <v>2102195</v>
      </c>
      <c r="U55" s="56">
        <f>IFERROR(VLOOKUP($M55,'External Gateways'!$C$6:$F$10,4,FALSE),P55)</f>
        <v>6289147</v>
      </c>
      <c r="V55" s="353">
        <f t="shared" si="0"/>
        <v>14.473566476992975</v>
      </c>
      <c r="W55" s="353">
        <f t="shared" si="1"/>
        <v>51.05286704601405</v>
      </c>
    </row>
    <row r="56" spans="1:23" ht="15" customHeight="1" x14ac:dyDescent="0.25">
      <c r="A56" s="128">
        <v>455</v>
      </c>
      <c r="B56" s="129" t="s">
        <v>241</v>
      </c>
      <c r="C56" s="128" t="s">
        <v>68</v>
      </c>
      <c r="D56" s="129" t="s">
        <v>197</v>
      </c>
      <c r="E56" s="129" t="s">
        <v>216</v>
      </c>
      <c r="F56" s="129">
        <v>92057</v>
      </c>
      <c r="G56" s="129">
        <v>92677</v>
      </c>
      <c r="H56" s="130">
        <v>74</v>
      </c>
      <c r="I56" s="129" t="s">
        <v>403</v>
      </c>
      <c r="J56" s="130">
        <v>8</v>
      </c>
      <c r="K56" s="131">
        <v>1</v>
      </c>
      <c r="L56" s="131" t="s">
        <v>68</v>
      </c>
      <c r="M56" s="131" t="s">
        <v>324</v>
      </c>
      <c r="N56" s="131" t="s">
        <v>439</v>
      </c>
      <c r="O56" s="56">
        <f>VLOOKUP($F56,'ZipCode Coordinates'!$A:$E,4,FALSE)</f>
        <v>2037040</v>
      </c>
      <c r="P56" s="56">
        <f>VLOOKUP($F56,'ZipCode Coordinates'!$A:$E,5,FALSE)</f>
        <v>6243630</v>
      </c>
      <c r="Q56" s="56">
        <f>VLOOKUP($G56,'ZipCode Coordinates'!$A:$E,4,FALSE)</f>
        <v>2138740</v>
      </c>
      <c r="R56" s="56">
        <f>VLOOKUP($G56,'ZipCode Coordinates'!$A:$E,5,FALSE)</f>
        <v>6118470</v>
      </c>
      <c r="S56" s="352" t="str">
        <f>IFERROR(VLOOKUP($M56,'External Gateways'!$C$6:$F$10,2,FALSE),"")</f>
        <v/>
      </c>
      <c r="T56" s="56">
        <f>IFERROR(VLOOKUP($M56,'External Gateways'!$C$6:$F$10,3,FALSE),O56)</f>
        <v>2037040</v>
      </c>
      <c r="U56" s="56">
        <f>IFERROR(VLOOKUP($M56,'External Gateways'!$C$6:$F$10,4,FALSE),P56)</f>
        <v>6243630</v>
      </c>
      <c r="V56" s="353">
        <f t="shared" si="0"/>
        <v>0</v>
      </c>
      <c r="W56" s="353">
        <f t="shared" si="1"/>
        <v>74</v>
      </c>
    </row>
    <row r="57" spans="1:23" ht="15" customHeight="1" x14ac:dyDescent="0.25">
      <c r="A57" s="128">
        <v>459</v>
      </c>
      <c r="B57" s="129" t="s">
        <v>258</v>
      </c>
      <c r="C57" s="128" t="s">
        <v>3</v>
      </c>
      <c r="D57" s="129" t="s">
        <v>192</v>
      </c>
      <c r="E57" s="129" t="s">
        <v>162</v>
      </c>
      <c r="F57" s="129">
        <v>92585</v>
      </c>
      <c r="G57" s="129">
        <v>92135</v>
      </c>
      <c r="H57" s="130">
        <v>60</v>
      </c>
      <c r="I57" s="129" t="s">
        <v>441</v>
      </c>
      <c r="J57" s="130">
        <v>8</v>
      </c>
      <c r="K57" s="131">
        <v>1</v>
      </c>
      <c r="L57" s="131" t="s">
        <v>3</v>
      </c>
      <c r="M57" s="131" t="s">
        <v>402</v>
      </c>
      <c r="N57" s="131" t="s">
        <v>323</v>
      </c>
      <c r="O57" s="56">
        <f>VLOOKUP($F57,'ZipCode Coordinates'!$A:$E,4,FALSE)</f>
        <v>2214990</v>
      </c>
      <c r="P57" s="56">
        <f>VLOOKUP($F57,'ZipCode Coordinates'!$A:$E,5,FALSE)</f>
        <v>6281980</v>
      </c>
      <c r="Q57" s="56">
        <f>VLOOKUP($G57,'ZipCode Coordinates'!$A:$E,4,FALSE)</f>
        <v>1835720</v>
      </c>
      <c r="R57" s="56">
        <f>VLOOKUP($G57,'ZipCode Coordinates'!$A:$E,5,FALSE)</f>
        <v>6266670</v>
      </c>
      <c r="S57" s="352" t="str">
        <f>IFERROR(VLOOKUP($M57,'External Gateways'!$C$6:$F$10,2,FALSE),"")</f>
        <v>I-15</v>
      </c>
      <c r="T57" s="56">
        <f>IFERROR(VLOOKUP($M57,'External Gateways'!$C$6:$F$10,3,FALSE),O57)</f>
        <v>2102195</v>
      </c>
      <c r="U57" s="56">
        <f>IFERROR(VLOOKUP($M57,'External Gateways'!$C$6:$F$10,4,FALSE),P57)</f>
        <v>6289147</v>
      </c>
      <c r="V57" s="353">
        <f t="shared" si="0"/>
        <v>21.405770153912158</v>
      </c>
      <c r="W57" s="353">
        <f t="shared" si="1"/>
        <v>17.188459692175684</v>
      </c>
    </row>
    <row r="58" spans="1:23" ht="15" customHeight="1" x14ac:dyDescent="0.25">
      <c r="A58" s="128">
        <v>466</v>
      </c>
      <c r="B58" s="129" t="s">
        <v>307</v>
      </c>
      <c r="C58" s="128" t="s">
        <v>3</v>
      </c>
      <c r="D58" s="129" t="s">
        <v>170</v>
      </c>
      <c r="E58" s="129" t="s">
        <v>162</v>
      </c>
      <c r="F58" s="129">
        <v>92584</v>
      </c>
      <c r="G58" s="129">
        <v>92152</v>
      </c>
      <c r="H58" s="130">
        <v>135</v>
      </c>
      <c r="I58" s="129" t="s">
        <v>416</v>
      </c>
      <c r="J58" s="130">
        <v>7</v>
      </c>
      <c r="K58" s="131"/>
      <c r="L58" s="131" t="s">
        <v>3</v>
      </c>
      <c r="M58" s="131" t="s">
        <v>402</v>
      </c>
      <c r="N58" s="131" t="s">
        <v>323</v>
      </c>
      <c r="O58" s="56">
        <f>VLOOKUP($F58,'ZipCode Coordinates'!$A:$E,4,FALSE)</f>
        <v>2185160</v>
      </c>
      <c r="P58" s="56">
        <f>VLOOKUP($F58,'ZipCode Coordinates'!$A:$E,5,FALSE)</f>
        <v>6280270</v>
      </c>
      <c r="Q58" s="56">
        <f>VLOOKUP($G58,'ZipCode Coordinates'!$A:$E,4,FALSE)</f>
        <v>1833340</v>
      </c>
      <c r="R58" s="56">
        <f>VLOOKUP($G58,'ZipCode Coordinates'!$A:$E,5,FALSE)</f>
        <v>6255150</v>
      </c>
      <c r="S58" s="352" t="str">
        <f>IFERROR(VLOOKUP($M58,'External Gateways'!$C$6:$F$10,2,FALSE),"")</f>
        <v>I-15</v>
      </c>
      <c r="T58" s="56">
        <f>IFERROR(VLOOKUP($M58,'External Gateways'!$C$6:$F$10,3,FALSE),O58)</f>
        <v>2102195</v>
      </c>
      <c r="U58" s="56">
        <f>IFERROR(VLOOKUP($M58,'External Gateways'!$C$6:$F$10,4,FALSE),P58)</f>
        <v>6289147</v>
      </c>
      <c r="V58" s="353">
        <f t="shared" si="0"/>
        <v>15.802756507931361</v>
      </c>
      <c r="W58" s="353">
        <f t="shared" si="1"/>
        <v>103.39448698413727</v>
      </c>
    </row>
    <row r="59" spans="1:23" ht="15" customHeight="1" x14ac:dyDescent="0.25">
      <c r="A59" s="128">
        <v>467</v>
      </c>
      <c r="B59" s="129" t="s">
        <v>267</v>
      </c>
      <c r="C59" s="128" t="s">
        <v>3</v>
      </c>
      <c r="D59" s="129" t="s">
        <v>170</v>
      </c>
      <c r="E59" s="129" t="s">
        <v>162</v>
      </c>
      <c r="F59" s="129">
        <v>92584</v>
      </c>
      <c r="G59" s="129">
        <v>92134</v>
      </c>
      <c r="H59" s="130">
        <v>160</v>
      </c>
      <c r="I59" s="129" t="s">
        <v>475</v>
      </c>
      <c r="J59" s="130">
        <v>10</v>
      </c>
      <c r="K59" s="131"/>
      <c r="L59" s="131" t="s">
        <v>3</v>
      </c>
      <c r="M59" s="131" t="s">
        <v>402</v>
      </c>
      <c r="N59" s="131" t="s">
        <v>323</v>
      </c>
      <c r="O59" s="56">
        <f>VLOOKUP($F59,'ZipCode Coordinates'!$A:$E,4,FALSE)</f>
        <v>2185160</v>
      </c>
      <c r="P59" s="56">
        <f>VLOOKUP($F59,'ZipCode Coordinates'!$A:$E,5,FALSE)</f>
        <v>6280270</v>
      </c>
      <c r="Q59" s="56">
        <f>VLOOKUP($G59,'ZipCode Coordinates'!$A:$E,4,FALSE)</f>
        <v>1845130</v>
      </c>
      <c r="R59" s="56">
        <f>VLOOKUP($G59,'ZipCode Coordinates'!$A:$E,5,FALSE)</f>
        <v>6286040</v>
      </c>
      <c r="S59" s="352" t="str">
        <f>IFERROR(VLOOKUP($M59,'External Gateways'!$C$6:$F$10,2,FALSE),"")</f>
        <v>I-15</v>
      </c>
      <c r="T59" s="56">
        <f>IFERROR(VLOOKUP($M59,'External Gateways'!$C$6:$F$10,3,FALSE),O59)</f>
        <v>2102195</v>
      </c>
      <c r="U59" s="56">
        <f>IFERROR(VLOOKUP($M59,'External Gateways'!$C$6:$F$10,4,FALSE),P59)</f>
        <v>6289147</v>
      </c>
      <c r="V59" s="353">
        <f t="shared" si="0"/>
        <v>15.802756507931361</v>
      </c>
      <c r="W59" s="353">
        <f t="shared" si="1"/>
        <v>128.39448698413727</v>
      </c>
    </row>
    <row r="60" spans="1:23" ht="15" customHeight="1" x14ac:dyDescent="0.25">
      <c r="A60" s="128">
        <v>474</v>
      </c>
      <c r="B60" s="129" t="s">
        <v>312</v>
      </c>
      <c r="C60" s="128" t="s">
        <v>179</v>
      </c>
      <c r="D60" s="129" t="s">
        <v>158</v>
      </c>
      <c r="E60" s="129" t="s">
        <v>162</v>
      </c>
      <c r="F60" s="129">
        <v>92563</v>
      </c>
      <c r="G60" s="129">
        <v>92101</v>
      </c>
      <c r="H60" s="130">
        <v>159</v>
      </c>
      <c r="I60" s="129" t="s">
        <v>407</v>
      </c>
      <c r="J60" s="130">
        <v>8</v>
      </c>
      <c r="K60" s="131"/>
      <c r="L60" s="131" t="s">
        <v>5</v>
      </c>
      <c r="M60" s="131" t="s">
        <v>402</v>
      </c>
      <c r="N60" s="131" t="s">
        <v>323</v>
      </c>
      <c r="O60" s="56">
        <f>VLOOKUP($F60,'ZipCode Coordinates'!$A:$E,4,FALSE)</f>
        <v>2156450</v>
      </c>
      <c r="P60" s="56">
        <f>VLOOKUP($F60,'ZipCode Coordinates'!$A:$E,5,FALSE)</f>
        <v>6288710</v>
      </c>
      <c r="Q60" s="56">
        <f>VLOOKUP($G60,'ZipCode Coordinates'!$A:$E,4,FALSE)</f>
        <v>1844080</v>
      </c>
      <c r="R60" s="56">
        <f>VLOOKUP($G60,'ZipCode Coordinates'!$A:$E,5,FALSE)</f>
        <v>6278770</v>
      </c>
      <c r="S60" s="352" t="str">
        <f>IFERROR(VLOOKUP($M60,'External Gateways'!$C$6:$F$10,2,FALSE),"")</f>
        <v>I-15</v>
      </c>
      <c r="T60" s="56">
        <f>IFERROR(VLOOKUP($M60,'External Gateways'!$C$6:$F$10,3,FALSE),O60)</f>
        <v>2102195</v>
      </c>
      <c r="U60" s="56">
        <f>IFERROR(VLOOKUP($M60,'External Gateways'!$C$6:$F$10,4,FALSE),P60)</f>
        <v>6289147</v>
      </c>
      <c r="V60" s="353">
        <f t="shared" si="0"/>
        <v>10.275901494735123</v>
      </c>
      <c r="W60" s="353">
        <f t="shared" si="1"/>
        <v>138.44819701052975</v>
      </c>
    </row>
    <row r="61" spans="1:23" ht="15" customHeight="1" x14ac:dyDescent="0.25">
      <c r="A61" s="128">
        <v>476</v>
      </c>
      <c r="B61" s="129" t="s">
        <v>300</v>
      </c>
      <c r="C61" s="128" t="s">
        <v>166</v>
      </c>
      <c r="D61" s="129" t="s">
        <v>170</v>
      </c>
      <c r="E61" s="129" t="s">
        <v>162</v>
      </c>
      <c r="F61" s="129">
        <v>92584</v>
      </c>
      <c r="G61" s="129">
        <v>92101</v>
      </c>
      <c r="H61" s="130">
        <v>139</v>
      </c>
      <c r="I61" s="129" t="s">
        <v>450</v>
      </c>
      <c r="J61" s="130">
        <v>10</v>
      </c>
      <c r="K61" s="131"/>
      <c r="L61" s="131" t="s">
        <v>5</v>
      </c>
      <c r="M61" s="131" t="s">
        <v>402</v>
      </c>
      <c r="N61" s="131" t="s">
        <v>323</v>
      </c>
      <c r="O61" s="56">
        <f>VLOOKUP($F61,'ZipCode Coordinates'!$A:$E,4,FALSE)</f>
        <v>2185160</v>
      </c>
      <c r="P61" s="56">
        <f>VLOOKUP($F61,'ZipCode Coordinates'!$A:$E,5,FALSE)</f>
        <v>6280270</v>
      </c>
      <c r="Q61" s="56">
        <f>VLOOKUP($G61,'ZipCode Coordinates'!$A:$E,4,FALSE)</f>
        <v>1844080</v>
      </c>
      <c r="R61" s="56">
        <f>VLOOKUP($G61,'ZipCode Coordinates'!$A:$E,5,FALSE)</f>
        <v>6278770</v>
      </c>
      <c r="S61" s="352" t="str">
        <f>IFERROR(VLOOKUP($M61,'External Gateways'!$C$6:$F$10,2,FALSE),"")</f>
        <v>I-15</v>
      </c>
      <c r="T61" s="56">
        <f>IFERROR(VLOOKUP($M61,'External Gateways'!$C$6:$F$10,3,FALSE),O61)</f>
        <v>2102195</v>
      </c>
      <c r="U61" s="56">
        <f>IFERROR(VLOOKUP($M61,'External Gateways'!$C$6:$F$10,4,FALSE),P61)</f>
        <v>6289147</v>
      </c>
      <c r="V61" s="353">
        <f t="shared" si="0"/>
        <v>15.802756507931361</v>
      </c>
      <c r="W61" s="353">
        <f t="shared" si="1"/>
        <v>107.39448698413727</v>
      </c>
    </row>
    <row r="62" spans="1:23" ht="15" customHeight="1" x14ac:dyDescent="0.25">
      <c r="A62" s="128">
        <v>478</v>
      </c>
      <c r="B62" s="129" t="s">
        <v>315</v>
      </c>
      <c r="C62" s="128" t="s">
        <v>68</v>
      </c>
      <c r="D62" s="129" t="s">
        <v>165</v>
      </c>
      <c r="E62" s="129" t="s">
        <v>425</v>
      </c>
      <c r="F62" s="129">
        <v>91914</v>
      </c>
      <c r="G62" s="129">
        <v>91906</v>
      </c>
      <c r="H62" s="130">
        <v>152</v>
      </c>
      <c r="I62" s="129" t="s">
        <v>426</v>
      </c>
      <c r="J62" s="130">
        <v>14</v>
      </c>
      <c r="K62" s="131"/>
      <c r="L62" s="131" t="s">
        <v>68</v>
      </c>
      <c r="M62" s="131" t="s">
        <v>326</v>
      </c>
      <c r="N62" s="131" t="s">
        <v>329</v>
      </c>
      <c r="O62" s="56">
        <f>VLOOKUP($F62,'ZipCode Coordinates'!$A:$E,4,FALSE)</f>
        <v>1823440</v>
      </c>
      <c r="P62" s="56">
        <f>VLOOKUP($F62,'ZipCode Coordinates'!$A:$E,5,FALSE)</f>
        <v>6346410</v>
      </c>
      <c r="Q62" s="56">
        <f>VLOOKUP($G62,'ZipCode Coordinates'!$A:$E,4,FALSE)</f>
        <v>1833150</v>
      </c>
      <c r="R62" s="56">
        <f>VLOOKUP($G62,'ZipCode Coordinates'!$A:$E,5,FALSE)</f>
        <v>6479630</v>
      </c>
      <c r="S62" s="352" t="str">
        <f>IFERROR(VLOOKUP($M62,'External Gateways'!$C$6:$F$10,2,FALSE),"")</f>
        <v/>
      </c>
      <c r="T62" s="56">
        <f>IFERROR(VLOOKUP($M62,'External Gateways'!$C$6:$F$10,3,FALSE),O62)</f>
        <v>1823440</v>
      </c>
      <c r="U62" s="56">
        <f>IFERROR(VLOOKUP($M62,'External Gateways'!$C$6:$F$10,4,FALSE),P62)</f>
        <v>6346410</v>
      </c>
      <c r="V62" s="353">
        <f t="shared" si="0"/>
        <v>0</v>
      </c>
      <c r="W62" s="353">
        <f t="shared" si="1"/>
        <v>152</v>
      </c>
    </row>
    <row r="63" spans="1:23" ht="15" customHeight="1" x14ac:dyDescent="0.25">
      <c r="A63" s="128">
        <v>479</v>
      </c>
      <c r="B63" s="129" t="s">
        <v>254</v>
      </c>
      <c r="C63" s="128" t="s">
        <v>3</v>
      </c>
      <c r="D63" s="129" t="s">
        <v>157</v>
      </c>
      <c r="E63" s="129" t="s">
        <v>162</v>
      </c>
      <c r="F63" s="129">
        <v>92545</v>
      </c>
      <c r="G63" s="129">
        <v>92140</v>
      </c>
      <c r="H63" s="130">
        <v>150</v>
      </c>
      <c r="I63" s="129" t="s">
        <v>421</v>
      </c>
      <c r="J63" s="130">
        <v>7</v>
      </c>
      <c r="K63" s="131">
        <v>1</v>
      </c>
      <c r="L63" s="131" t="s">
        <v>3</v>
      </c>
      <c r="M63" s="131" t="s">
        <v>402</v>
      </c>
      <c r="N63" s="131" t="s">
        <v>323</v>
      </c>
      <c r="O63" s="56">
        <f>VLOOKUP($F63,'ZipCode Coordinates'!$A:$E,4,FALSE)</f>
        <v>2210660</v>
      </c>
      <c r="P63" s="56">
        <f>VLOOKUP($F63,'ZipCode Coordinates'!$A:$E,5,FALSE)</f>
        <v>6321330</v>
      </c>
      <c r="Q63" s="56">
        <f>VLOOKUP($G63,'ZipCode Coordinates'!$A:$E,4,FALSE)</f>
        <v>1850480</v>
      </c>
      <c r="R63" s="56">
        <f>VLOOKUP($G63,'ZipCode Coordinates'!$A:$E,5,FALSE)</f>
        <v>6270510</v>
      </c>
      <c r="S63" s="352" t="str">
        <f>IFERROR(VLOOKUP($M63,'External Gateways'!$C$6:$F$10,2,FALSE),"")</f>
        <v>I-15</v>
      </c>
      <c r="T63" s="56">
        <f>IFERROR(VLOOKUP($M63,'External Gateways'!$C$6:$F$10,3,FALSE),O63)</f>
        <v>2102195</v>
      </c>
      <c r="U63" s="56">
        <f>IFERROR(VLOOKUP($M63,'External Gateways'!$C$6:$F$10,4,FALSE),P63)</f>
        <v>6289147</v>
      </c>
      <c r="V63" s="353">
        <f t="shared" si="0"/>
        <v>21.427814454119865</v>
      </c>
      <c r="W63" s="353">
        <f t="shared" si="1"/>
        <v>107.14437109176026</v>
      </c>
    </row>
    <row r="64" spans="1:23" ht="15" customHeight="1" x14ac:dyDescent="0.25">
      <c r="A64" s="128">
        <v>487</v>
      </c>
      <c r="B64" s="129" t="s">
        <v>307</v>
      </c>
      <c r="C64" s="128" t="s">
        <v>3</v>
      </c>
      <c r="D64" s="129" t="s">
        <v>206</v>
      </c>
      <c r="E64" s="129" t="s">
        <v>162</v>
      </c>
      <c r="F64" s="129">
        <v>92064</v>
      </c>
      <c r="G64" s="129">
        <v>92152</v>
      </c>
      <c r="H64" s="130">
        <v>84</v>
      </c>
      <c r="I64" s="129" t="s">
        <v>453</v>
      </c>
      <c r="J64" s="130">
        <v>8</v>
      </c>
      <c r="K64" s="131"/>
      <c r="L64" s="131" t="s">
        <v>3</v>
      </c>
      <c r="M64" s="131" t="s">
        <v>327</v>
      </c>
      <c r="N64" s="131" t="s">
        <v>323</v>
      </c>
      <c r="O64" s="56">
        <f>VLOOKUP($F64,'ZipCode Coordinates'!$A:$E,4,FALSE)</f>
        <v>1939040</v>
      </c>
      <c r="P64" s="56">
        <f>VLOOKUP($F64,'ZipCode Coordinates'!$A:$E,5,FALSE)</f>
        <v>6325350</v>
      </c>
      <c r="Q64" s="56">
        <f>VLOOKUP($G64,'ZipCode Coordinates'!$A:$E,4,FALSE)</f>
        <v>1833340</v>
      </c>
      <c r="R64" s="56">
        <f>VLOOKUP($G64,'ZipCode Coordinates'!$A:$E,5,FALSE)</f>
        <v>6255150</v>
      </c>
      <c r="S64" s="352" t="str">
        <f>IFERROR(VLOOKUP($M64,'External Gateways'!$C$6:$F$10,2,FALSE),"")</f>
        <v/>
      </c>
      <c r="T64" s="56">
        <f>IFERROR(VLOOKUP($M64,'External Gateways'!$C$6:$F$10,3,FALSE),O64)</f>
        <v>1939040</v>
      </c>
      <c r="U64" s="56">
        <f>IFERROR(VLOOKUP($M64,'External Gateways'!$C$6:$F$10,4,FALSE),P64)</f>
        <v>6325350</v>
      </c>
      <c r="V64" s="353">
        <f t="shared" si="0"/>
        <v>0</v>
      </c>
      <c r="W64" s="353">
        <f t="shared" si="1"/>
        <v>84</v>
      </c>
    </row>
    <row r="65" spans="1:23" ht="15" customHeight="1" x14ac:dyDescent="0.25">
      <c r="A65" s="128">
        <v>491</v>
      </c>
      <c r="B65" s="129" t="s">
        <v>263</v>
      </c>
      <c r="C65" s="128" t="s">
        <v>166</v>
      </c>
      <c r="D65" s="129" t="s">
        <v>234</v>
      </c>
      <c r="E65" s="129" t="s">
        <v>162</v>
      </c>
      <c r="F65" s="129">
        <v>92251</v>
      </c>
      <c r="G65" s="129">
        <v>92113</v>
      </c>
      <c r="H65" s="130">
        <v>220</v>
      </c>
      <c r="I65" s="129" t="s">
        <v>441</v>
      </c>
      <c r="J65" s="130">
        <v>8</v>
      </c>
      <c r="K65" s="131"/>
      <c r="L65" s="131" t="s">
        <v>5</v>
      </c>
      <c r="M65" s="131" t="s">
        <v>431</v>
      </c>
      <c r="N65" s="131" t="s">
        <v>323</v>
      </c>
      <c r="O65" s="56">
        <f>VLOOKUP($F65,'ZipCode Coordinates'!$A:$E,4,FALSE)</f>
        <v>1897340</v>
      </c>
      <c r="P65" s="56">
        <f>VLOOKUP($F65,'ZipCode Coordinates'!$A:$E,5,FALSE)</f>
        <v>6754590</v>
      </c>
      <c r="Q65" s="56">
        <f>VLOOKUP($G65,'ZipCode Coordinates'!$A:$E,4,FALSE)</f>
        <v>1834470</v>
      </c>
      <c r="R65" s="56">
        <f>VLOOKUP($G65,'ZipCode Coordinates'!$A:$E,5,FALSE)</f>
        <v>6294590</v>
      </c>
      <c r="S65" s="352" t="str">
        <f>IFERROR(VLOOKUP($M65,'External Gateways'!$C$6:$F$10,2,FALSE),"")</f>
        <v>I-8</v>
      </c>
      <c r="T65" s="56">
        <f>IFERROR(VLOOKUP($M65,'External Gateways'!$C$6:$F$10,3,FALSE),O65)</f>
        <v>1814524</v>
      </c>
      <c r="U65" s="56">
        <f>IFERROR(VLOOKUP($M65,'External Gateways'!$C$6:$F$10,4,FALSE),P65)</f>
        <v>6606089</v>
      </c>
      <c r="V65" s="353">
        <f t="shared" si="0"/>
        <v>32.203117091946467</v>
      </c>
      <c r="W65" s="353">
        <f t="shared" si="1"/>
        <v>155.59376581610707</v>
      </c>
    </row>
    <row r="66" spans="1:23" ht="15" customHeight="1" x14ac:dyDescent="0.25">
      <c r="A66" s="128">
        <v>511</v>
      </c>
      <c r="B66" s="129" t="s">
        <v>315</v>
      </c>
      <c r="C66" s="128" t="s">
        <v>68</v>
      </c>
      <c r="D66" s="129" t="s">
        <v>165</v>
      </c>
      <c r="E66" s="129" t="s">
        <v>405</v>
      </c>
      <c r="F66" s="129">
        <v>91910</v>
      </c>
      <c r="G66" s="129">
        <v>91905</v>
      </c>
      <c r="H66" s="130">
        <v>152</v>
      </c>
      <c r="I66" s="129" t="s">
        <v>410</v>
      </c>
      <c r="J66" s="130">
        <v>12</v>
      </c>
      <c r="K66" s="131"/>
      <c r="L66" s="131" t="s">
        <v>68</v>
      </c>
      <c r="M66" s="131" t="s">
        <v>328</v>
      </c>
      <c r="N66" s="131" t="s">
        <v>329</v>
      </c>
      <c r="O66" s="56">
        <f>VLOOKUP($F66,'ZipCode Coordinates'!$A:$E,4,FALSE)</f>
        <v>1812850</v>
      </c>
      <c r="P66" s="56">
        <f>VLOOKUP($F66,'ZipCode Coordinates'!$A:$E,5,FALSE)</f>
        <v>6313650</v>
      </c>
      <c r="Q66" s="56">
        <f>VLOOKUP($G66,'ZipCode Coordinates'!$A:$E,4,FALSE)</f>
        <v>1844120</v>
      </c>
      <c r="R66" s="56">
        <f>VLOOKUP($G66,'ZipCode Coordinates'!$A:$E,5,FALSE)</f>
        <v>6545720</v>
      </c>
      <c r="S66" s="352" t="str">
        <f>IFERROR(VLOOKUP($M66,'External Gateways'!$C$6:$F$10,2,FALSE),"")</f>
        <v/>
      </c>
      <c r="T66" s="56">
        <f>IFERROR(VLOOKUP($M66,'External Gateways'!$C$6:$F$10,3,FALSE),O66)</f>
        <v>1812850</v>
      </c>
      <c r="U66" s="56">
        <f>IFERROR(VLOOKUP($M66,'External Gateways'!$C$6:$F$10,4,FALSE),P66)</f>
        <v>6313650</v>
      </c>
      <c r="V66" s="353">
        <f t="shared" si="0"/>
        <v>0</v>
      </c>
      <c r="W66" s="353">
        <f t="shared" si="1"/>
        <v>152</v>
      </c>
    </row>
    <row r="67" spans="1:23" ht="15" customHeight="1" x14ac:dyDescent="0.25">
      <c r="A67" s="128">
        <v>514</v>
      </c>
      <c r="B67" s="129" t="s">
        <v>300</v>
      </c>
      <c r="C67" s="128" t="s">
        <v>166</v>
      </c>
      <c r="D67" s="129" t="s">
        <v>197</v>
      </c>
      <c r="E67" s="129" t="s">
        <v>162</v>
      </c>
      <c r="F67" s="129">
        <v>92057</v>
      </c>
      <c r="G67" s="129">
        <v>92123</v>
      </c>
      <c r="H67" s="130">
        <v>109</v>
      </c>
      <c r="I67" s="129" t="s">
        <v>456</v>
      </c>
      <c r="J67" s="130">
        <v>7</v>
      </c>
      <c r="K67" s="131">
        <v>2</v>
      </c>
      <c r="L67" s="131" t="s">
        <v>5</v>
      </c>
      <c r="M67" s="131" t="s">
        <v>324</v>
      </c>
      <c r="N67" s="131" t="s">
        <v>327</v>
      </c>
      <c r="O67" s="56">
        <f>VLOOKUP($F67,'ZipCode Coordinates'!$A:$E,4,FALSE)</f>
        <v>2037040</v>
      </c>
      <c r="P67" s="56">
        <f>VLOOKUP($F67,'ZipCode Coordinates'!$A:$E,5,FALSE)</f>
        <v>6243630</v>
      </c>
      <c r="Q67" s="56">
        <f>VLOOKUP($G67,'ZipCode Coordinates'!$A:$E,4,FALSE)</f>
        <v>1874700</v>
      </c>
      <c r="R67" s="56">
        <f>VLOOKUP($G67,'ZipCode Coordinates'!$A:$E,5,FALSE)</f>
        <v>6289760</v>
      </c>
      <c r="S67" s="352" t="str">
        <f>IFERROR(VLOOKUP($M67,'External Gateways'!$C$6:$F$10,2,FALSE),"")</f>
        <v/>
      </c>
      <c r="T67" s="56">
        <f>IFERROR(VLOOKUP($M67,'External Gateways'!$C$6:$F$10,3,FALSE),O67)</f>
        <v>2037040</v>
      </c>
      <c r="U67" s="56">
        <f>IFERROR(VLOOKUP($M67,'External Gateways'!$C$6:$F$10,4,FALSE),P67)</f>
        <v>6243630</v>
      </c>
      <c r="V67" s="353">
        <f t="shared" ref="V67:V130" si="2">SQRT((T67-O67)^2+(U67-P67)^2)/5280</f>
        <v>0</v>
      </c>
      <c r="W67" s="353">
        <f t="shared" ref="W67:W130" si="3">MAX(H67-2*V67,0)</f>
        <v>109</v>
      </c>
    </row>
    <row r="68" spans="1:23" ht="15" customHeight="1" x14ac:dyDescent="0.25">
      <c r="A68" s="128">
        <v>520</v>
      </c>
      <c r="B68" s="129" t="s">
        <v>82</v>
      </c>
      <c r="C68" s="128" t="s">
        <v>3</v>
      </c>
      <c r="D68" s="129" t="s">
        <v>162</v>
      </c>
      <c r="E68" s="129" t="s">
        <v>82</v>
      </c>
      <c r="F68" s="129">
        <v>92139</v>
      </c>
      <c r="G68" s="129">
        <v>92055</v>
      </c>
      <c r="H68" s="130">
        <v>125</v>
      </c>
      <c r="I68" s="129" t="s">
        <v>401</v>
      </c>
      <c r="J68" s="130">
        <v>7</v>
      </c>
      <c r="K68" s="131"/>
      <c r="L68" s="131" t="s">
        <v>3</v>
      </c>
      <c r="M68" s="131" t="s">
        <v>323</v>
      </c>
      <c r="N68" s="131" t="s">
        <v>324</v>
      </c>
      <c r="O68" s="56">
        <f>VLOOKUP($F68,'ZipCode Coordinates'!$A:$E,4,FALSE)</f>
        <v>1828110</v>
      </c>
      <c r="P68" s="56">
        <f>VLOOKUP($F68,'ZipCode Coordinates'!$A:$E,5,FALSE)</f>
        <v>6315850</v>
      </c>
      <c r="Q68" s="56">
        <f>VLOOKUP($G68,'ZipCode Coordinates'!$A:$E,4,FALSE)</f>
        <v>2082470</v>
      </c>
      <c r="R68" s="56">
        <f>VLOOKUP($G68,'ZipCode Coordinates'!$A:$E,5,FALSE)</f>
        <v>6206470</v>
      </c>
      <c r="S68" s="352" t="str">
        <f>IFERROR(VLOOKUP($M68,'External Gateways'!$C$6:$F$10,2,FALSE),"")</f>
        <v/>
      </c>
      <c r="T68" s="56">
        <f>IFERROR(VLOOKUP($M68,'External Gateways'!$C$6:$F$10,3,FALSE),O68)</f>
        <v>1828110</v>
      </c>
      <c r="U68" s="56">
        <f>IFERROR(VLOOKUP($M68,'External Gateways'!$C$6:$F$10,4,FALSE),P68)</f>
        <v>6315850</v>
      </c>
      <c r="V68" s="353">
        <f t="shared" si="2"/>
        <v>0</v>
      </c>
      <c r="W68" s="353">
        <f t="shared" si="3"/>
        <v>125</v>
      </c>
    </row>
    <row r="69" spans="1:23" ht="15" customHeight="1" x14ac:dyDescent="0.25">
      <c r="A69" s="128">
        <v>523</v>
      </c>
      <c r="B69" s="129" t="s">
        <v>82</v>
      </c>
      <c r="C69" s="128" t="s">
        <v>3</v>
      </c>
      <c r="D69" s="129" t="s">
        <v>157</v>
      </c>
      <c r="E69" s="129" t="s">
        <v>82</v>
      </c>
      <c r="F69" s="129">
        <v>92545</v>
      </c>
      <c r="G69" s="129">
        <v>92055</v>
      </c>
      <c r="H69" s="130">
        <v>86</v>
      </c>
      <c r="I69" s="129" t="s">
        <v>416</v>
      </c>
      <c r="J69" s="130">
        <v>7</v>
      </c>
      <c r="K69" s="131"/>
      <c r="L69" s="131" t="s">
        <v>3</v>
      </c>
      <c r="M69" s="131" t="s">
        <v>402</v>
      </c>
      <c r="N69" s="131" t="s">
        <v>324</v>
      </c>
      <c r="O69" s="56">
        <f>VLOOKUP($F69,'ZipCode Coordinates'!$A:$E,4,FALSE)</f>
        <v>2210660</v>
      </c>
      <c r="P69" s="56">
        <f>VLOOKUP($F69,'ZipCode Coordinates'!$A:$E,5,FALSE)</f>
        <v>6321330</v>
      </c>
      <c r="Q69" s="56">
        <f>VLOOKUP($G69,'ZipCode Coordinates'!$A:$E,4,FALSE)</f>
        <v>2082470</v>
      </c>
      <c r="R69" s="56">
        <f>VLOOKUP($G69,'ZipCode Coordinates'!$A:$E,5,FALSE)</f>
        <v>6206470</v>
      </c>
      <c r="S69" s="352" t="str">
        <f>IFERROR(VLOOKUP($M69,'External Gateways'!$C$6:$F$10,2,FALSE),"")</f>
        <v>I-15</v>
      </c>
      <c r="T69" s="56">
        <f>IFERROR(VLOOKUP($M69,'External Gateways'!$C$6:$F$10,3,FALSE),O69)</f>
        <v>2102195</v>
      </c>
      <c r="U69" s="56">
        <f>IFERROR(VLOOKUP($M69,'External Gateways'!$C$6:$F$10,4,FALSE),P69)</f>
        <v>6289147</v>
      </c>
      <c r="V69" s="353">
        <f t="shared" si="2"/>
        <v>21.427814454119865</v>
      </c>
      <c r="W69" s="353">
        <f t="shared" si="3"/>
        <v>43.14437109176027</v>
      </c>
    </row>
    <row r="70" spans="1:23" ht="15" customHeight="1" x14ac:dyDescent="0.25">
      <c r="A70" s="128">
        <v>525</v>
      </c>
      <c r="B70" s="129" t="s">
        <v>82</v>
      </c>
      <c r="C70" s="128" t="s">
        <v>3</v>
      </c>
      <c r="D70" s="129" t="s">
        <v>154</v>
      </c>
      <c r="E70" s="129" t="s">
        <v>82</v>
      </c>
      <c r="F70" s="129">
        <v>92591</v>
      </c>
      <c r="G70" s="129">
        <v>92055</v>
      </c>
      <c r="H70" s="130">
        <v>33</v>
      </c>
      <c r="I70" s="129" t="s">
        <v>403</v>
      </c>
      <c r="J70" s="130">
        <v>8</v>
      </c>
      <c r="K70" s="131"/>
      <c r="L70" s="131" t="s">
        <v>3</v>
      </c>
      <c r="M70" s="131" t="s">
        <v>402</v>
      </c>
      <c r="N70" s="131" t="s">
        <v>324</v>
      </c>
      <c r="O70" s="56">
        <f>VLOOKUP($F70,'ZipCode Coordinates'!$A:$E,4,FALSE)</f>
        <v>2138420</v>
      </c>
      <c r="P70" s="56">
        <f>VLOOKUP($F70,'ZipCode Coordinates'!$A:$E,5,FALSE)</f>
        <v>6299220</v>
      </c>
      <c r="Q70" s="56">
        <f>VLOOKUP($G70,'ZipCode Coordinates'!$A:$E,4,FALSE)</f>
        <v>2082470</v>
      </c>
      <c r="R70" s="56">
        <f>VLOOKUP($G70,'ZipCode Coordinates'!$A:$E,5,FALSE)</f>
        <v>6206470</v>
      </c>
      <c r="S70" s="352" t="str">
        <f>IFERROR(VLOOKUP($M70,'External Gateways'!$C$6:$F$10,2,FALSE),"")</f>
        <v>I-15</v>
      </c>
      <c r="T70" s="56">
        <f>IFERROR(VLOOKUP($M70,'External Gateways'!$C$6:$F$10,3,FALSE),O70)</f>
        <v>2102195</v>
      </c>
      <c r="U70" s="56">
        <f>IFERROR(VLOOKUP($M70,'External Gateways'!$C$6:$F$10,4,FALSE),P70)</f>
        <v>6289147</v>
      </c>
      <c r="V70" s="353">
        <f t="shared" si="2"/>
        <v>7.1211011888925713</v>
      </c>
      <c r="W70" s="353">
        <f t="shared" si="3"/>
        <v>18.757797622214859</v>
      </c>
    </row>
    <row r="71" spans="1:23" ht="15" customHeight="1" x14ac:dyDescent="0.25">
      <c r="A71" s="128">
        <v>528</v>
      </c>
      <c r="B71" s="129" t="s">
        <v>321</v>
      </c>
      <c r="C71" s="128" t="s">
        <v>166</v>
      </c>
      <c r="D71" s="129" t="s">
        <v>190</v>
      </c>
      <c r="E71" s="129" t="s">
        <v>210</v>
      </c>
      <c r="F71" s="129">
        <v>92082</v>
      </c>
      <c r="G71" s="129">
        <v>92081</v>
      </c>
      <c r="H71" s="130">
        <v>40</v>
      </c>
      <c r="I71" s="129" t="s">
        <v>463</v>
      </c>
      <c r="J71" s="130">
        <v>15</v>
      </c>
      <c r="K71" s="131"/>
      <c r="L71" s="131" t="s">
        <v>5</v>
      </c>
      <c r="M71" s="131" t="s">
        <v>325</v>
      </c>
      <c r="N71" s="131" t="s">
        <v>325</v>
      </c>
      <c r="O71" s="56">
        <f>VLOOKUP($F71,'ZipCode Coordinates'!$A:$E,4,FALSE)</f>
        <v>2036530</v>
      </c>
      <c r="P71" s="56">
        <f>VLOOKUP($F71,'ZipCode Coordinates'!$A:$E,5,FALSE)</f>
        <v>6333920</v>
      </c>
      <c r="Q71" s="56">
        <f>VLOOKUP($G71,'ZipCode Coordinates'!$A:$E,4,FALSE)</f>
        <v>2005090</v>
      </c>
      <c r="R71" s="56">
        <f>VLOOKUP($G71,'ZipCode Coordinates'!$A:$E,5,FALSE)</f>
        <v>6258440</v>
      </c>
      <c r="S71" s="352" t="str">
        <f>IFERROR(VLOOKUP($M71,'External Gateways'!$C$6:$F$10,2,FALSE),"")</f>
        <v/>
      </c>
      <c r="T71" s="56">
        <f>IFERROR(VLOOKUP($M71,'External Gateways'!$C$6:$F$10,3,FALSE),O71)</f>
        <v>2036530</v>
      </c>
      <c r="U71" s="56">
        <f>IFERROR(VLOOKUP($M71,'External Gateways'!$C$6:$F$10,4,FALSE),P71)</f>
        <v>6333920</v>
      </c>
      <c r="V71" s="353">
        <f t="shared" si="2"/>
        <v>0</v>
      </c>
      <c r="W71" s="353">
        <f t="shared" si="3"/>
        <v>40</v>
      </c>
    </row>
    <row r="72" spans="1:23" ht="15" customHeight="1" x14ac:dyDescent="0.25">
      <c r="A72" s="128">
        <v>533</v>
      </c>
      <c r="B72" s="129" t="s">
        <v>200</v>
      </c>
      <c r="C72" s="128" t="s">
        <v>404</v>
      </c>
      <c r="D72" s="129" t="s">
        <v>157</v>
      </c>
      <c r="E72" s="129" t="s">
        <v>162</v>
      </c>
      <c r="F72" s="129">
        <v>92544</v>
      </c>
      <c r="G72" s="129">
        <v>92101</v>
      </c>
      <c r="H72" s="130">
        <v>180</v>
      </c>
      <c r="I72" s="129" t="s">
        <v>490</v>
      </c>
      <c r="J72" s="130">
        <v>15</v>
      </c>
      <c r="K72" s="131"/>
      <c r="L72" s="131" t="s">
        <v>5</v>
      </c>
      <c r="M72" s="131" t="s">
        <v>402</v>
      </c>
      <c r="N72" s="131" t="s">
        <v>323</v>
      </c>
      <c r="O72" s="56">
        <f>VLOOKUP($F72,'ZipCode Coordinates'!$A:$E,4,FALSE)</f>
        <v>2177850</v>
      </c>
      <c r="P72" s="56">
        <f>VLOOKUP($F72,'ZipCode Coordinates'!$A:$E,5,FALSE)</f>
        <v>6364200</v>
      </c>
      <c r="Q72" s="56">
        <f>VLOOKUP($G72,'ZipCode Coordinates'!$A:$E,4,FALSE)</f>
        <v>1844080</v>
      </c>
      <c r="R72" s="56">
        <f>VLOOKUP($G72,'ZipCode Coordinates'!$A:$E,5,FALSE)</f>
        <v>6278770</v>
      </c>
      <c r="S72" s="352" t="str">
        <f>IFERROR(VLOOKUP($M72,'External Gateways'!$C$6:$F$10,2,FALSE),"")</f>
        <v>I-15</v>
      </c>
      <c r="T72" s="56">
        <f>IFERROR(VLOOKUP($M72,'External Gateways'!$C$6:$F$10,3,FALSE),O72)</f>
        <v>2102195</v>
      </c>
      <c r="U72" s="56">
        <f>IFERROR(VLOOKUP($M72,'External Gateways'!$C$6:$F$10,4,FALSE),P72)</f>
        <v>6289147</v>
      </c>
      <c r="V72" s="353">
        <f t="shared" si="2"/>
        <v>20.183238438870013</v>
      </c>
      <c r="W72" s="353">
        <f t="shared" si="3"/>
        <v>139.63352312225999</v>
      </c>
    </row>
    <row r="73" spans="1:23" ht="15" customHeight="1" x14ac:dyDescent="0.25">
      <c r="A73" s="128">
        <v>534</v>
      </c>
      <c r="B73" s="129" t="s">
        <v>322</v>
      </c>
      <c r="C73" s="128" t="s">
        <v>163</v>
      </c>
      <c r="D73" s="129" t="s">
        <v>154</v>
      </c>
      <c r="E73" s="129" t="s">
        <v>155</v>
      </c>
      <c r="F73" s="129">
        <v>92592</v>
      </c>
      <c r="G73" s="129">
        <v>92009</v>
      </c>
      <c r="H73" s="130">
        <v>110</v>
      </c>
      <c r="I73" s="129" t="s">
        <v>408</v>
      </c>
      <c r="J73" s="130">
        <v>7</v>
      </c>
      <c r="K73" s="131">
        <v>1</v>
      </c>
      <c r="L73" s="131" t="s">
        <v>5</v>
      </c>
      <c r="M73" s="131" t="s">
        <v>402</v>
      </c>
      <c r="N73" s="131" t="s">
        <v>324</v>
      </c>
      <c r="O73" s="56">
        <f>VLOOKUP($F73,'ZipCode Coordinates'!$A:$E,4,FALSE)</f>
        <v>2128740</v>
      </c>
      <c r="P73" s="56">
        <f>VLOOKUP($F73,'ZipCode Coordinates'!$A:$E,5,FALSE)</f>
        <v>6328900</v>
      </c>
      <c r="Q73" s="56">
        <f>VLOOKUP($G73,'ZipCode Coordinates'!$A:$E,4,FALSE)</f>
        <v>1979810</v>
      </c>
      <c r="R73" s="56">
        <f>VLOOKUP($G73,'ZipCode Coordinates'!$A:$E,5,FALSE)</f>
        <v>6256830</v>
      </c>
      <c r="S73" s="352" t="str">
        <f>IFERROR(VLOOKUP($M73,'External Gateways'!$C$6:$F$10,2,FALSE),"")</f>
        <v>I-15</v>
      </c>
      <c r="T73" s="56">
        <f>IFERROR(VLOOKUP($M73,'External Gateways'!$C$6:$F$10,3,FALSE),O73)</f>
        <v>2102195</v>
      </c>
      <c r="U73" s="56">
        <f>IFERROR(VLOOKUP($M73,'External Gateways'!$C$6:$F$10,4,FALSE),P73)</f>
        <v>6289147</v>
      </c>
      <c r="V73" s="353">
        <f t="shared" si="2"/>
        <v>9.0532245169037147</v>
      </c>
      <c r="W73" s="353">
        <f t="shared" si="3"/>
        <v>91.893550966192578</v>
      </c>
    </row>
    <row r="74" spans="1:23" ht="15" customHeight="1" x14ac:dyDescent="0.25">
      <c r="A74" s="128">
        <v>537</v>
      </c>
      <c r="B74" s="129" t="s">
        <v>263</v>
      </c>
      <c r="C74" s="128" t="s">
        <v>166</v>
      </c>
      <c r="D74" s="129" t="s">
        <v>175</v>
      </c>
      <c r="E74" s="129" t="s">
        <v>162</v>
      </c>
      <c r="F74" s="129">
        <v>92231</v>
      </c>
      <c r="G74" s="129">
        <v>92113</v>
      </c>
      <c r="H74" s="130">
        <v>258</v>
      </c>
      <c r="I74" s="129" t="s">
        <v>450</v>
      </c>
      <c r="J74" s="130">
        <v>10</v>
      </c>
      <c r="K74" s="131"/>
      <c r="L74" s="131" t="s">
        <v>5</v>
      </c>
      <c r="M74" s="131" t="s">
        <v>431</v>
      </c>
      <c r="N74" s="131" t="s">
        <v>323</v>
      </c>
      <c r="O74" s="56">
        <f>VLOOKUP($F74,'ZipCode Coordinates'!$A:$E,4,FALSE)</f>
        <v>1829680</v>
      </c>
      <c r="P74" s="56">
        <f>VLOOKUP($F74,'ZipCode Coordinates'!$A:$E,5,FALSE)</f>
        <v>6778130</v>
      </c>
      <c r="Q74" s="56">
        <f>VLOOKUP($G74,'ZipCode Coordinates'!$A:$E,4,FALSE)</f>
        <v>1834470</v>
      </c>
      <c r="R74" s="56">
        <f>VLOOKUP($G74,'ZipCode Coordinates'!$A:$E,5,FALSE)</f>
        <v>6294590</v>
      </c>
      <c r="S74" s="352" t="str">
        <f>IFERROR(VLOOKUP($M74,'External Gateways'!$C$6:$F$10,2,FALSE),"")</f>
        <v>I-8</v>
      </c>
      <c r="T74" s="56">
        <f>IFERROR(VLOOKUP($M74,'External Gateways'!$C$6:$F$10,3,FALSE),O74)</f>
        <v>1814524</v>
      </c>
      <c r="U74" s="56">
        <f>IFERROR(VLOOKUP($M74,'External Gateways'!$C$6:$F$10,4,FALSE),P74)</f>
        <v>6606089</v>
      </c>
      <c r="V74" s="353">
        <f t="shared" si="2"/>
        <v>32.709715110593962</v>
      </c>
      <c r="W74" s="353">
        <f t="shared" si="3"/>
        <v>192.58056977881208</v>
      </c>
    </row>
    <row r="75" spans="1:23" ht="15" customHeight="1" x14ac:dyDescent="0.25">
      <c r="A75" s="128">
        <v>550</v>
      </c>
      <c r="B75" s="129" t="s">
        <v>258</v>
      </c>
      <c r="C75" s="128" t="s">
        <v>3</v>
      </c>
      <c r="D75" s="129" t="s">
        <v>154</v>
      </c>
      <c r="E75" s="129" t="s">
        <v>162</v>
      </c>
      <c r="F75" s="129">
        <v>92592</v>
      </c>
      <c r="G75" s="129">
        <v>92135</v>
      </c>
      <c r="H75" s="130">
        <v>166</v>
      </c>
      <c r="I75" s="129" t="s">
        <v>422</v>
      </c>
      <c r="J75" s="130">
        <v>8</v>
      </c>
      <c r="K75" s="131">
        <v>1</v>
      </c>
      <c r="L75" s="131" t="s">
        <v>3</v>
      </c>
      <c r="M75" s="131" t="s">
        <v>402</v>
      </c>
      <c r="N75" s="131" t="s">
        <v>323</v>
      </c>
      <c r="O75" s="56">
        <f>VLOOKUP($F75,'ZipCode Coordinates'!$A:$E,4,FALSE)</f>
        <v>2128740</v>
      </c>
      <c r="P75" s="56">
        <f>VLOOKUP($F75,'ZipCode Coordinates'!$A:$E,5,FALSE)</f>
        <v>6328900</v>
      </c>
      <c r="Q75" s="56">
        <f>VLOOKUP($G75,'ZipCode Coordinates'!$A:$E,4,FALSE)</f>
        <v>1835720</v>
      </c>
      <c r="R75" s="56">
        <f>VLOOKUP($G75,'ZipCode Coordinates'!$A:$E,5,FALSE)</f>
        <v>6266670</v>
      </c>
      <c r="S75" s="352" t="str">
        <f>IFERROR(VLOOKUP($M75,'External Gateways'!$C$6:$F$10,2,FALSE),"")</f>
        <v>I-15</v>
      </c>
      <c r="T75" s="56">
        <f>IFERROR(VLOOKUP($M75,'External Gateways'!$C$6:$F$10,3,FALSE),O75)</f>
        <v>2102195</v>
      </c>
      <c r="U75" s="56">
        <f>IFERROR(VLOOKUP($M75,'External Gateways'!$C$6:$F$10,4,FALSE),P75)</f>
        <v>6289147</v>
      </c>
      <c r="V75" s="353">
        <f t="shared" si="2"/>
        <v>9.0532245169037147</v>
      </c>
      <c r="W75" s="353">
        <f t="shared" si="3"/>
        <v>147.89355096619258</v>
      </c>
    </row>
    <row r="76" spans="1:23" ht="15" customHeight="1" x14ac:dyDescent="0.25">
      <c r="A76" s="128">
        <v>560</v>
      </c>
      <c r="B76" s="129" t="s">
        <v>258</v>
      </c>
      <c r="C76" s="128" t="s">
        <v>3</v>
      </c>
      <c r="D76" s="129" t="s">
        <v>170</v>
      </c>
      <c r="E76" s="129" t="s">
        <v>162</v>
      </c>
      <c r="F76" s="129">
        <v>92584</v>
      </c>
      <c r="G76" s="129">
        <v>92135</v>
      </c>
      <c r="H76" s="130">
        <v>124</v>
      </c>
      <c r="I76" s="129" t="s">
        <v>441</v>
      </c>
      <c r="J76" s="130">
        <v>8</v>
      </c>
      <c r="K76" s="131"/>
      <c r="L76" s="131" t="s">
        <v>3</v>
      </c>
      <c r="M76" s="131" t="s">
        <v>402</v>
      </c>
      <c r="N76" s="131" t="s">
        <v>323</v>
      </c>
      <c r="O76" s="56">
        <f>VLOOKUP($F76,'ZipCode Coordinates'!$A:$E,4,FALSE)</f>
        <v>2185160</v>
      </c>
      <c r="P76" s="56">
        <f>VLOOKUP($F76,'ZipCode Coordinates'!$A:$E,5,FALSE)</f>
        <v>6280270</v>
      </c>
      <c r="Q76" s="56">
        <f>VLOOKUP($G76,'ZipCode Coordinates'!$A:$E,4,FALSE)</f>
        <v>1835720</v>
      </c>
      <c r="R76" s="56">
        <f>VLOOKUP($G76,'ZipCode Coordinates'!$A:$E,5,FALSE)</f>
        <v>6266670</v>
      </c>
      <c r="S76" s="352" t="str">
        <f>IFERROR(VLOOKUP($M76,'External Gateways'!$C$6:$F$10,2,FALSE),"")</f>
        <v>I-15</v>
      </c>
      <c r="T76" s="56">
        <f>IFERROR(VLOOKUP($M76,'External Gateways'!$C$6:$F$10,3,FALSE),O76)</f>
        <v>2102195</v>
      </c>
      <c r="U76" s="56">
        <f>IFERROR(VLOOKUP($M76,'External Gateways'!$C$6:$F$10,4,FALSE),P76)</f>
        <v>6289147</v>
      </c>
      <c r="V76" s="353">
        <f t="shared" si="2"/>
        <v>15.802756507931361</v>
      </c>
      <c r="W76" s="353">
        <f t="shared" si="3"/>
        <v>92.394486984137274</v>
      </c>
    </row>
    <row r="77" spans="1:23" ht="15" customHeight="1" x14ac:dyDescent="0.25">
      <c r="A77" s="128">
        <v>566</v>
      </c>
      <c r="B77" s="129" t="s">
        <v>258</v>
      </c>
      <c r="C77" s="128" t="s">
        <v>3</v>
      </c>
      <c r="D77" s="129" t="s">
        <v>196</v>
      </c>
      <c r="E77" s="129" t="s">
        <v>162</v>
      </c>
      <c r="F77" s="129">
        <v>92020</v>
      </c>
      <c r="G77" s="129">
        <v>92135</v>
      </c>
      <c r="H77" s="130">
        <v>69</v>
      </c>
      <c r="I77" s="129" t="s">
        <v>401</v>
      </c>
      <c r="J77" s="130">
        <v>7</v>
      </c>
      <c r="K77" s="131"/>
      <c r="L77" s="131" t="s">
        <v>3</v>
      </c>
      <c r="M77" s="131" t="s">
        <v>326</v>
      </c>
      <c r="N77" s="131" t="s">
        <v>323</v>
      </c>
      <c r="O77" s="56">
        <f>VLOOKUP($F77,'ZipCode Coordinates'!$A:$E,4,FALSE)</f>
        <v>1870340</v>
      </c>
      <c r="P77" s="56">
        <f>VLOOKUP($F77,'ZipCode Coordinates'!$A:$E,5,FALSE)</f>
        <v>6340260</v>
      </c>
      <c r="Q77" s="56">
        <f>VLOOKUP($G77,'ZipCode Coordinates'!$A:$E,4,FALSE)</f>
        <v>1835720</v>
      </c>
      <c r="R77" s="56">
        <f>VLOOKUP($G77,'ZipCode Coordinates'!$A:$E,5,FALSE)</f>
        <v>6266670</v>
      </c>
      <c r="S77" s="352" t="str">
        <f>IFERROR(VLOOKUP($M77,'External Gateways'!$C$6:$F$10,2,FALSE),"")</f>
        <v/>
      </c>
      <c r="T77" s="56">
        <f>IFERROR(VLOOKUP($M77,'External Gateways'!$C$6:$F$10,3,FALSE),O77)</f>
        <v>1870340</v>
      </c>
      <c r="U77" s="56">
        <f>IFERROR(VLOOKUP($M77,'External Gateways'!$C$6:$F$10,4,FALSE),P77)</f>
        <v>6340260</v>
      </c>
      <c r="V77" s="353">
        <f t="shared" si="2"/>
        <v>0</v>
      </c>
      <c r="W77" s="353">
        <f t="shared" si="3"/>
        <v>69</v>
      </c>
    </row>
    <row r="78" spans="1:23" ht="15" customHeight="1" x14ac:dyDescent="0.25">
      <c r="A78" s="128">
        <v>567</v>
      </c>
      <c r="B78" s="129" t="s">
        <v>300</v>
      </c>
      <c r="C78" s="128" t="s">
        <v>166</v>
      </c>
      <c r="D78" s="129" t="s">
        <v>154</v>
      </c>
      <c r="E78" s="129" t="s">
        <v>162</v>
      </c>
      <c r="F78" s="129">
        <v>92592</v>
      </c>
      <c r="G78" s="129">
        <v>92123</v>
      </c>
      <c r="H78" s="130">
        <v>131</v>
      </c>
      <c r="I78" s="129" t="s">
        <v>446</v>
      </c>
      <c r="J78" s="130">
        <v>10</v>
      </c>
      <c r="K78" s="131"/>
      <c r="L78" s="131" t="s">
        <v>5</v>
      </c>
      <c r="M78" s="131" t="s">
        <v>402</v>
      </c>
      <c r="N78" s="131" t="s">
        <v>327</v>
      </c>
      <c r="O78" s="56">
        <f>VLOOKUP($F78,'ZipCode Coordinates'!$A:$E,4,FALSE)</f>
        <v>2128740</v>
      </c>
      <c r="P78" s="56">
        <f>VLOOKUP($F78,'ZipCode Coordinates'!$A:$E,5,FALSE)</f>
        <v>6328900</v>
      </c>
      <c r="Q78" s="56">
        <f>VLOOKUP($G78,'ZipCode Coordinates'!$A:$E,4,FALSE)</f>
        <v>1874700</v>
      </c>
      <c r="R78" s="56">
        <f>VLOOKUP($G78,'ZipCode Coordinates'!$A:$E,5,FALSE)</f>
        <v>6289760</v>
      </c>
      <c r="S78" s="352" t="str">
        <f>IFERROR(VLOOKUP($M78,'External Gateways'!$C$6:$F$10,2,FALSE),"")</f>
        <v>I-15</v>
      </c>
      <c r="T78" s="56">
        <f>IFERROR(VLOOKUP($M78,'External Gateways'!$C$6:$F$10,3,FALSE),O78)</f>
        <v>2102195</v>
      </c>
      <c r="U78" s="56">
        <f>IFERROR(VLOOKUP($M78,'External Gateways'!$C$6:$F$10,4,FALSE),P78)</f>
        <v>6289147</v>
      </c>
      <c r="V78" s="353">
        <f t="shared" si="2"/>
        <v>9.0532245169037147</v>
      </c>
      <c r="W78" s="353">
        <f t="shared" si="3"/>
        <v>112.89355096619258</v>
      </c>
    </row>
    <row r="79" spans="1:23" ht="15" customHeight="1" x14ac:dyDescent="0.25">
      <c r="A79" s="128">
        <v>574</v>
      </c>
      <c r="B79" s="129" t="s">
        <v>257</v>
      </c>
      <c r="C79" s="128" t="s">
        <v>3</v>
      </c>
      <c r="D79" s="129" t="s">
        <v>154</v>
      </c>
      <c r="E79" s="129" t="s">
        <v>162</v>
      </c>
      <c r="F79" s="129">
        <v>92592</v>
      </c>
      <c r="G79" s="129">
        <v>92155</v>
      </c>
      <c r="H79" s="130">
        <v>160</v>
      </c>
      <c r="I79" s="129" t="s">
        <v>422</v>
      </c>
      <c r="J79" s="130">
        <v>8</v>
      </c>
      <c r="K79" s="131"/>
      <c r="L79" s="131" t="s">
        <v>3</v>
      </c>
      <c r="M79" s="131" t="s">
        <v>402</v>
      </c>
      <c r="N79" s="131" t="s">
        <v>323</v>
      </c>
      <c r="O79" s="56">
        <f>VLOOKUP($F79,'ZipCode Coordinates'!$A:$E,4,FALSE)</f>
        <v>2128740</v>
      </c>
      <c r="P79" s="56">
        <f>VLOOKUP($F79,'ZipCode Coordinates'!$A:$E,5,FALSE)</f>
        <v>6328900</v>
      </c>
      <c r="Q79" s="56">
        <f>VLOOKUP($G79,'ZipCode Coordinates'!$A:$E,4,FALSE)</f>
        <v>1826710</v>
      </c>
      <c r="R79" s="56">
        <f>VLOOKUP($G79,'ZipCode Coordinates'!$A:$E,5,FALSE)</f>
        <v>6281240</v>
      </c>
      <c r="S79" s="352" t="str">
        <f>IFERROR(VLOOKUP($M79,'External Gateways'!$C$6:$F$10,2,FALSE),"")</f>
        <v>I-15</v>
      </c>
      <c r="T79" s="56">
        <f>IFERROR(VLOOKUP($M79,'External Gateways'!$C$6:$F$10,3,FALSE),O79)</f>
        <v>2102195</v>
      </c>
      <c r="U79" s="56">
        <f>IFERROR(VLOOKUP($M79,'External Gateways'!$C$6:$F$10,4,FALSE),P79)</f>
        <v>6289147</v>
      </c>
      <c r="V79" s="353">
        <f t="shared" si="2"/>
        <v>9.0532245169037147</v>
      </c>
      <c r="W79" s="353">
        <f t="shared" si="3"/>
        <v>141.89355096619258</v>
      </c>
    </row>
    <row r="80" spans="1:23" ht="15" customHeight="1" x14ac:dyDescent="0.25">
      <c r="A80" s="128">
        <v>576</v>
      </c>
      <c r="B80" s="129" t="s">
        <v>315</v>
      </c>
      <c r="C80" s="128" t="s">
        <v>68</v>
      </c>
      <c r="D80" s="129" t="s">
        <v>165</v>
      </c>
      <c r="E80" s="129" t="s">
        <v>405</v>
      </c>
      <c r="F80" s="129">
        <v>91913</v>
      </c>
      <c r="G80" s="129">
        <v>91905</v>
      </c>
      <c r="H80" s="130">
        <v>156</v>
      </c>
      <c r="I80" s="129" t="s">
        <v>410</v>
      </c>
      <c r="J80" s="130">
        <v>12</v>
      </c>
      <c r="K80" s="131"/>
      <c r="L80" s="131" t="s">
        <v>68</v>
      </c>
      <c r="M80" s="131" t="s">
        <v>328</v>
      </c>
      <c r="N80" s="131" t="s">
        <v>329</v>
      </c>
      <c r="O80" s="56">
        <f>VLOOKUP($F80,'ZipCode Coordinates'!$A:$E,4,FALSE)</f>
        <v>1810320</v>
      </c>
      <c r="P80" s="56">
        <f>VLOOKUP($F80,'ZipCode Coordinates'!$A:$E,5,FALSE)</f>
        <v>6334990</v>
      </c>
      <c r="Q80" s="56">
        <f>VLOOKUP($G80,'ZipCode Coordinates'!$A:$E,4,FALSE)</f>
        <v>1844120</v>
      </c>
      <c r="R80" s="56">
        <f>VLOOKUP($G80,'ZipCode Coordinates'!$A:$E,5,FALSE)</f>
        <v>6545720</v>
      </c>
      <c r="S80" s="352" t="str">
        <f>IFERROR(VLOOKUP($M80,'External Gateways'!$C$6:$F$10,2,FALSE),"")</f>
        <v/>
      </c>
      <c r="T80" s="56">
        <f>IFERROR(VLOOKUP($M80,'External Gateways'!$C$6:$F$10,3,FALSE),O80)</f>
        <v>1810320</v>
      </c>
      <c r="U80" s="56">
        <f>IFERROR(VLOOKUP($M80,'External Gateways'!$C$6:$F$10,4,FALSE),P80)</f>
        <v>6334990</v>
      </c>
      <c r="V80" s="353">
        <f t="shared" si="2"/>
        <v>0</v>
      </c>
      <c r="W80" s="353">
        <f t="shared" si="3"/>
        <v>156</v>
      </c>
    </row>
    <row r="81" spans="1:23" ht="15" customHeight="1" x14ac:dyDescent="0.25">
      <c r="A81" s="128">
        <v>578</v>
      </c>
      <c r="B81" s="129" t="s">
        <v>315</v>
      </c>
      <c r="C81" s="128" t="s">
        <v>68</v>
      </c>
      <c r="D81" s="129" t="s">
        <v>165</v>
      </c>
      <c r="E81" s="129" t="s">
        <v>201</v>
      </c>
      <c r="F81" s="129">
        <v>91913</v>
      </c>
      <c r="G81" s="129">
        <v>91962</v>
      </c>
      <c r="H81" s="130">
        <v>160</v>
      </c>
      <c r="I81" s="129" t="s">
        <v>422</v>
      </c>
      <c r="J81" s="130">
        <v>8</v>
      </c>
      <c r="K81" s="131"/>
      <c r="L81" s="131" t="s">
        <v>68</v>
      </c>
      <c r="M81" s="131" t="s">
        <v>328</v>
      </c>
      <c r="N81" s="131" t="s">
        <v>329</v>
      </c>
      <c r="O81" s="56">
        <f>VLOOKUP($F81,'ZipCode Coordinates'!$A:$E,4,FALSE)</f>
        <v>1810320</v>
      </c>
      <c r="P81" s="56">
        <f>VLOOKUP($F81,'ZipCode Coordinates'!$A:$E,5,FALSE)</f>
        <v>6334990</v>
      </c>
      <c r="Q81" s="56">
        <f>VLOOKUP($G81,'ZipCode Coordinates'!$A:$E,4,FALSE)</f>
        <v>1874980</v>
      </c>
      <c r="R81" s="56">
        <f>VLOOKUP($G81,'ZipCode Coordinates'!$A:$E,5,FALSE)</f>
        <v>6499110</v>
      </c>
      <c r="S81" s="352" t="str">
        <f>IFERROR(VLOOKUP($M81,'External Gateways'!$C$6:$F$10,2,FALSE),"")</f>
        <v/>
      </c>
      <c r="T81" s="56">
        <f>IFERROR(VLOOKUP($M81,'External Gateways'!$C$6:$F$10,3,FALSE),O81)</f>
        <v>1810320</v>
      </c>
      <c r="U81" s="56">
        <f>IFERROR(VLOOKUP($M81,'External Gateways'!$C$6:$F$10,4,FALSE),P81)</f>
        <v>6334990</v>
      </c>
      <c r="V81" s="353">
        <f t="shared" si="2"/>
        <v>0</v>
      </c>
      <c r="W81" s="353">
        <f t="shared" si="3"/>
        <v>160</v>
      </c>
    </row>
    <row r="82" spans="1:23" ht="15" customHeight="1" x14ac:dyDescent="0.25">
      <c r="A82" s="128">
        <v>584</v>
      </c>
      <c r="B82" s="129" t="s">
        <v>267</v>
      </c>
      <c r="C82" s="128" t="s">
        <v>3</v>
      </c>
      <c r="D82" s="129" t="s">
        <v>197</v>
      </c>
      <c r="E82" s="129" t="s">
        <v>162</v>
      </c>
      <c r="F82" s="129">
        <v>92056</v>
      </c>
      <c r="G82" s="129">
        <v>92134</v>
      </c>
      <c r="H82" s="130">
        <v>82</v>
      </c>
      <c r="I82" s="129" t="s">
        <v>401</v>
      </c>
      <c r="J82" s="130">
        <v>7</v>
      </c>
      <c r="K82" s="131">
        <v>1</v>
      </c>
      <c r="L82" s="131" t="s">
        <v>3</v>
      </c>
      <c r="M82" s="131" t="s">
        <v>324</v>
      </c>
      <c r="N82" s="131" t="s">
        <v>323</v>
      </c>
      <c r="O82" s="56">
        <f>VLOOKUP($F82,'ZipCode Coordinates'!$A:$E,4,FALSE)</f>
        <v>2018560</v>
      </c>
      <c r="P82" s="56">
        <f>VLOOKUP($F82,'ZipCode Coordinates'!$A:$E,5,FALSE)</f>
        <v>6243750</v>
      </c>
      <c r="Q82" s="56">
        <f>VLOOKUP($G82,'ZipCode Coordinates'!$A:$E,4,FALSE)</f>
        <v>1845130</v>
      </c>
      <c r="R82" s="56">
        <f>VLOOKUP($G82,'ZipCode Coordinates'!$A:$E,5,FALSE)</f>
        <v>6286040</v>
      </c>
      <c r="S82" s="352" t="str">
        <f>IFERROR(VLOOKUP($M82,'External Gateways'!$C$6:$F$10,2,FALSE),"")</f>
        <v/>
      </c>
      <c r="T82" s="56">
        <f>IFERROR(VLOOKUP($M82,'External Gateways'!$C$6:$F$10,3,FALSE),O82)</f>
        <v>2018560</v>
      </c>
      <c r="U82" s="56">
        <f>IFERROR(VLOOKUP($M82,'External Gateways'!$C$6:$F$10,4,FALSE),P82)</f>
        <v>6243750</v>
      </c>
      <c r="V82" s="353">
        <f t="shared" si="2"/>
        <v>0</v>
      </c>
      <c r="W82" s="353">
        <f t="shared" si="3"/>
        <v>82</v>
      </c>
    </row>
    <row r="83" spans="1:23" ht="15" customHeight="1" x14ac:dyDescent="0.25">
      <c r="A83" s="128">
        <v>594</v>
      </c>
      <c r="B83" s="129" t="s">
        <v>263</v>
      </c>
      <c r="C83" s="128" t="s">
        <v>166</v>
      </c>
      <c r="D83" s="129" t="s">
        <v>161</v>
      </c>
      <c r="E83" s="129" t="s">
        <v>162</v>
      </c>
      <c r="F83" s="129">
        <v>92586</v>
      </c>
      <c r="G83" s="129">
        <v>92113</v>
      </c>
      <c r="H83" s="130">
        <v>183</v>
      </c>
      <c r="I83" s="129" t="s">
        <v>412</v>
      </c>
      <c r="J83" s="130">
        <v>10</v>
      </c>
      <c r="K83" s="131"/>
      <c r="L83" s="131" t="s">
        <v>5</v>
      </c>
      <c r="M83" s="131" t="s">
        <v>402</v>
      </c>
      <c r="N83" s="131" t="s">
        <v>323</v>
      </c>
      <c r="O83" s="56">
        <f>VLOOKUP($F83,'ZipCode Coordinates'!$A:$E,4,FALSE)</f>
        <v>2202010</v>
      </c>
      <c r="P83" s="56">
        <f>VLOOKUP($F83,'ZipCode Coordinates'!$A:$E,5,FALSE)</f>
        <v>6272780</v>
      </c>
      <c r="Q83" s="56">
        <f>VLOOKUP($G83,'ZipCode Coordinates'!$A:$E,4,FALSE)</f>
        <v>1834470</v>
      </c>
      <c r="R83" s="56">
        <f>VLOOKUP($G83,'ZipCode Coordinates'!$A:$E,5,FALSE)</f>
        <v>6294590</v>
      </c>
      <c r="S83" s="352" t="str">
        <f>IFERROR(VLOOKUP($M83,'External Gateways'!$C$6:$F$10,2,FALSE),"")</f>
        <v>I-15</v>
      </c>
      <c r="T83" s="56">
        <f>IFERROR(VLOOKUP($M83,'External Gateways'!$C$6:$F$10,3,FALSE),O83)</f>
        <v>2102195</v>
      </c>
      <c r="U83" s="56">
        <f>IFERROR(VLOOKUP($M83,'External Gateways'!$C$6:$F$10,4,FALSE),P83)</f>
        <v>6289147</v>
      </c>
      <c r="V83" s="353">
        <f t="shared" si="2"/>
        <v>19.156813510070481</v>
      </c>
      <c r="W83" s="353">
        <f t="shared" si="3"/>
        <v>144.68637297985904</v>
      </c>
    </row>
    <row r="84" spans="1:23" ht="15" customHeight="1" x14ac:dyDescent="0.25">
      <c r="A84" s="128">
        <v>598</v>
      </c>
      <c r="B84" s="129" t="s">
        <v>307</v>
      </c>
      <c r="C84" s="128" t="s">
        <v>3</v>
      </c>
      <c r="D84" s="129" t="s">
        <v>156</v>
      </c>
      <c r="E84" s="129" t="s">
        <v>162</v>
      </c>
      <c r="F84" s="129">
        <v>92026</v>
      </c>
      <c r="G84" s="129">
        <v>92152</v>
      </c>
      <c r="H84" s="130">
        <v>80</v>
      </c>
      <c r="I84" s="129" t="s">
        <v>412</v>
      </c>
      <c r="J84" s="130">
        <v>10</v>
      </c>
      <c r="K84" s="131"/>
      <c r="L84" s="131" t="s">
        <v>3</v>
      </c>
      <c r="M84" s="131" t="s">
        <v>325</v>
      </c>
      <c r="N84" s="131" t="s">
        <v>323</v>
      </c>
      <c r="O84" s="56">
        <f>VLOOKUP($F84,'ZipCode Coordinates'!$A:$E,4,FALSE)</f>
        <v>2022480</v>
      </c>
      <c r="P84" s="56">
        <f>VLOOKUP($F84,'ZipCode Coordinates'!$A:$E,5,FALSE)</f>
        <v>6297420</v>
      </c>
      <c r="Q84" s="56">
        <f>VLOOKUP($G84,'ZipCode Coordinates'!$A:$E,4,FALSE)</f>
        <v>1833340</v>
      </c>
      <c r="R84" s="56">
        <f>VLOOKUP($G84,'ZipCode Coordinates'!$A:$E,5,FALSE)</f>
        <v>6255150</v>
      </c>
      <c r="S84" s="352" t="str">
        <f>IFERROR(VLOOKUP($M84,'External Gateways'!$C$6:$F$10,2,FALSE),"")</f>
        <v/>
      </c>
      <c r="T84" s="56">
        <f>IFERROR(VLOOKUP($M84,'External Gateways'!$C$6:$F$10,3,FALSE),O84)</f>
        <v>2022480</v>
      </c>
      <c r="U84" s="56">
        <f>IFERROR(VLOOKUP($M84,'External Gateways'!$C$6:$F$10,4,FALSE),P84)</f>
        <v>6297420</v>
      </c>
      <c r="V84" s="353">
        <f t="shared" si="2"/>
        <v>0</v>
      </c>
      <c r="W84" s="353">
        <f t="shared" si="3"/>
        <v>80</v>
      </c>
    </row>
    <row r="85" spans="1:23" ht="15" customHeight="1" x14ac:dyDescent="0.25">
      <c r="A85" s="128">
        <v>600</v>
      </c>
      <c r="B85" s="129" t="s">
        <v>314</v>
      </c>
      <c r="C85" s="128" t="s">
        <v>68</v>
      </c>
      <c r="D85" s="129" t="s">
        <v>154</v>
      </c>
      <c r="E85" s="129" t="s">
        <v>162</v>
      </c>
      <c r="F85" s="129">
        <v>92592</v>
      </c>
      <c r="G85" s="129">
        <v>92101</v>
      </c>
      <c r="H85" s="130">
        <v>175</v>
      </c>
      <c r="I85" s="129" t="s">
        <v>424</v>
      </c>
      <c r="J85" s="130">
        <v>7</v>
      </c>
      <c r="K85" s="131"/>
      <c r="L85" s="131" t="s">
        <v>68</v>
      </c>
      <c r="M85" s="131" t="s">
        <v>402</v>
      </c>
      <c r="N85" s="131" t="s">
        <v>323</v>
      </c>
      <c r="O85" s="56">
        <f>VLOOKUP($F85,'ZipCode Coordinates'!$A:$E,4,FALSE)</f>
        <v>2128740</v>
      </c>
      <c r="P85" s="56">
        <f>VLOOKUP($F85,'ZipCode Coordinates'!$A:$E,5,FALSE)</f>
        <v>6328900</v>
      </c>
      <c r="Q85" s="56">
        <f>VLOOKUP($G85,'ZipCode Coordinates'!$A:$E,4,FALSE)</f>
        <v>1844080</v>
      </c>
      <c r="R85" s="56">
        <f>VLOOKUP($G85,'ZipCode Coordinates'!$A:$E,5,FALSE)</f>
        <v>6278770</v>
      </c>
      <c r="S85" s="352" t="str">
        <f>IFERROR(VLOOKUP($M85,'External Gateways'!$C$6:$F$10,2,FALSE),"")</f>
        <v>I-15</v>
      </c>
      <c r="T85" s="56">
        <f>IFERROR(VLOOKUP($M85,'External Gateways'!$C$6:$F$10,3,FALSE),O85)</f>
        <v>2102195</v>
      </c>
      <c r="U85" s="56">
        <f>IFERROR(VLOOKUP($M85,'External Gateways'!$C$6:$F$10,4,FALSE),P85)</f>
        <v>6289147</v>
      </c>
      <c r="V85" s="353">
        <f t="shared" si="2"/>
        <v>9.0532245169037147</v>
      </c>
      <c r="W85" s="353">
        <f t="shared" si="3"/>
        <v>156.89355096619258</v>
      </c>
    </row>
    <row r="86" spans="1:23" ht="15" customHeight="1" x14ac:dyDescent="0.25">
      <c r="A86" s="128">
        <v>609</v>
      </c>
      <c r="B86" s="129" t="s">
        <v>213</v>
      </c>
      <c r="C86" s="128" t="s">
        <v>68</v>
      </c>
      <c r="D86" s="129" t="s">
        <v>158</v>
      </c>
      <c r="E86" s="129" t="s">
        <v>214</v>
      </c>
      <c r="F86" s="129">
        <v>92562</v>
      </c>
      <c r="G86" s="129">
        <v>92028</v>
      </c>
      <c r="H86" s="130">
        <v>75</v>
      </c>
      <c r="I86" s="129" t="s">
        <v>448</v>
      </c>
      <c r="J86" s="130">
        <v>10</v>
      </c>
      <c r="K86" s="131"/>
      <c r="L86" s="131" t="s">
        <v>68</v>
      </c>
      <c r="M86" s="131" t="s">
        <v>402</v>
      </c>
      <c r="N86" s="131" t="s">
        <v>325</v>
      </c>
      <c r="O86" s="56">
        <f>VLOOKUP($F86,'ZipCode Coordinates'!$A:$E,4,FALSE)</f>
        <v>2144470</v>
      </c>
      <c r="P86" s="56">
        <f>VLOOKUP($F86,'ZipCode Coordinates'!$A:$E,5,FALSE)</f>
        <v>6251450</v>
      </c>
      <c r="Q86" s="56">
        <f>VLOOKUP($G86,'ZipCode Coordinates'!$A:$E,4,FALSE)</f>
        <v>2092510</v>
      </c>
      <c r="R86" s="56">
        <f>VLOOKUP($G86,'ZipCode Coordinates'!$A:$E,5,FALSE)</f>
        <v>6255990</v>
      </c>
      <c r="S86" s="352" t="str">
        <f>IFERROR(VLOOKUP($M86,'External Gateways'!$C$6:$F$10,2,FALSE),"")</f>
        <v>I-15</v>
      </c>
      <c r="T86" s="56">
        <f>IFERROR(VLOOKUP($M86,'External Gateways'!$C$6:$F$10,3,FALSE),O86)</f>
        <v>2102195</v>
      </c>
      <c r="U86" s="56">
        <f>IFERROR(VLOOKUP($M86,'External Gateways'!$C$6:$F$10,4,FALSE),P86)</f>
        <v>6289147</v>
      </c>
      <c r="V86" s="353">
        <f t="shared" si="2"/>
        <v>10.727523233277124</v>
      </c>
      <c r="W86" s="353">
        <f t="shared" si="3"/>
        <v>53.544953533445749</v>
      </c>
    </row>
    <row r="87" spans="1:23" ht="15" customHeight="1" x14ac:dyDescent="0.25">
      <c r="A87" s="128">
        <v>611</v>
      </c>
      <c r="B87" s="129" t="s">
        <v>433</v>
      </c>
      <c r="C87" s="128" t="s">
        <v>3</v>
      </c>
      <c r="D87" s="129" t="s">
        <v>156</v>
      </c>
      <c r="E87" s="129" t="s">
        <v>162</v>
      </c>
      <c r="F87" s="129">
        <v>92026</v>
      </c>
      <c r="G87" s="129">
        <v>92147</v>
      </c>
      <c r="H87" s="130">
        <v>166</v>
      </c>
      <c r="I87" s="129" t="s">
        <v>441</v>
      </c>
      <c r="J87" s="130">
        <v>8</v>
      </c>
      <c r="K87" s="131"/>
      <c r="L87" s="131" t="s">
        <v>3</v>
      </c>
      <c r="M87" s="131" t="s">
        <v>325</v>
      </c>
      <c r="N87" s="131" t="s">
        <v>323</v>
      </c>
      <c r="O87" s="56">
        <f>VLOOKUP($F87,'ZipCode Coordinates'!$A:$E,4,FALSE)</f>
        <v>2022480</v>
      </c>
      <c r="P87" s="56">
        <f>VLOOKUP($F87,'ZipCode Coordinates'!$A:$E,5,FALSE)</f>
        <v>6297420</v>
      </c>
      <c r="Q87" s="56">
        <f>VLOOKUP($G87,'ZipCode Coordinates'!$A:$E,4,FALSE)</f>
        <v>1844566</v>
      </c>
      <c r="R87" s="56">
        <f>VLOOKUP($G87,'ZipCode Coordinates'!$A:$E,5,FALSE)</f>
        <v>6263742</v>
      </c>
      <c r="S87" s="352" t="str">
        <f>IFERROR(VLOOKUP($M87,'External Gateways'!$C$6:$F$10,2,FALSE),"")</f>
        <v/>
      </c>
      <c r="T87" s="56">
        <f>IFERROR(VLOOKUP($M87,'External Gateways'!$C$6:$F$10,3,FALSE),O87)</f>
        <v>2022480</v>
      </c>
      <c r="U87" s="56">
        <f>IFERROR(VLOOKUP($M87,'External Gateways'!$C$6:$F$10,4,FALSE),P87)</f>
        <v>6297420</v>
      </c>
      <c r="V87" s="353">
        <f t="shared" si="2"/>
        <v>0</v>
      </c>
      <c r="W87" s="353">
        <f t="shared" si="3"/>
        <v>166</v>
      </c>
    </row>
    <row r="88" spans="1:23" ht="15" customHeight="1" x14ac:dyDescent="0.25">
      <c r="A88" s="128">
        <v>620</v>
      </c>
      <c r="B88" s="129" t="s">
        <v>258</v>
      </c>
      <c r="C88" s="128" t="s">
        <v>3</v>
      </c>
      <c r="D88" s="129" t="s">
        <v>154</v>
      </c>
      <c r="E88" s="129" t="s">
        <v>162</v>
      </c>
      <c r="F88" s="129">
        <v>92592</v>
      </c>
      <c r="G88" s="129">
        <v>92135</v>
      </c>
      <c r="H88" s="130">
        <v>92</v>
      </c>
      <c r="I88" s="129" t="s">
        <v>456</v>
      </c>
      <c r="J88" s="130">
        <v>7</v>
      </c>
      <c r="K88" s="131"/>
      <c r="L88" s="131" t="s">
        <v>3</v>
      </c>
      <c r="M88" s="131" t="s">
        <v>402</v>
      </c>
      <c r="N88" s="131" t="s">
        <v>323</v>
      </c>
      <c r="O88" s="56">
        <f>VLOOKUP($F88,'ZipCode Coordinates'!$A:$E,4,FALSE)</f>
        <v>2128740</v>
      </c>
      <c r="P88" s="56">
        <f>VLOOKUP($F88,'ZipCode Coordinates'!$A:$E,5,FALSE)</f>
        <v>6328900</v>
      </c>
      <c r="Q88" s="56">
        <f>VLOOKUP($G88,'ZipCode Coordinates'!$A:$E,4,FALSE)</f>
        <v>1835720</v>
      </c>
      <c r="R88" s="56">
        <f>VLOOKUP($G88,'ZipCode Coordinates'!$A:$E,5,FALSE)</f>
        <v>6266670</v>
      </c>
      <c r="S88" s="352" t="str">
        <f>IFERROR(VLOOKUP($M88,'External Gateways'!$C$6:$F$10,2,FALSE),"")</f>
        <v>I-15</v>
      </c>
      <c r="T88" s="56">
        <f>IFERROR(VLOOKUP($M88,'External Gateways'!$C$6:$F$10,3,FALSE),O88)</f>
        <v>2102195</v>
      </c>
      <c r="U88" s="56">
        <f>IFERROR(VLOOKUP($M88,'External Gateways'!$C$6:$F$10,4,FALSE),P88)</f>
        <v>6289147</v>
      </c>
      <c r="V88" s="353">
        <f t="shared" si="2"/>
        <v>9.0532245169037147</v>
      </c>
      <c r="W88" s="353">
        <f t="shared" si="3"/>
        <v>73.893550966192578</v>
      </c>
    </row>
    <row r="89" spans="1:23" ht="15" customHeight="1" x14ac:dyDescent="0.25">
      <c r="A89" s="128">
        <v>626</v>
      </c>
      <c r="B89" s="129" t="s">
        <v>263</v>
      </c>
      <c r="C89" s="128" t="s">
        <v>166</v>
      </c>
      <c r="D89" s="129" t="s">
        <v>158</v>
      </c>
      <c r="E89" s="129" t="s">
        <v>162</v>
      </c>
      <c r="F89" s="129">
        <v>92563</v>
      </c>
      <c r="G89" s="129">
        <v>92113</v>
      </c>
      <c r="H89" s="130">
        <v>245</v>
      </c>
      <c r="I89" s="129" t="s">
        <v>448</v>
      </c>
      <c r="J89" s="130">
        <v>10</v>
      </c>
      <c r="K89" s="131"/>
      <c r="L89" s="131" t="s">
        <v>5</v>
      </c>
      <c r="M89" s="131" t="s">
        <v>402</v>
      </c>
      <c r="N89" s="131" t="s">
        <v>323</v>
      </c>
      <c r="O89" s="56">
        <f>VLOOKUP($F89,'ZipCode Coordinates'!$A:$E,4,FALSE)</f>
        <v>2156450</v>
      </c>
      <c r="P89" s="56">
        <f>VLOOKUP($F89,'ZipCode Coordinates'!$A:$E,5,FALSE)</f>
        <v>6288710</v>
      </c>
      <c r="Q89" s="56">
        <f>VLOOKUP($G89,'ZipCode Coordinates'!$A:$E,4,FALSE)</f>
        <v>1834470</v>
      </c>
      <c r="R89" s="56">
        <f>VLOOKUP($G89,'ZipCode Coordinates'!$A:$E,5,FALSE)</f>
        <v>6294590</v>
      </c>
      <c r="S89" s="352" t="str">
        <f>IFERROR(VLOOKUP($M89,'External Gateways'!$C$6:$F$10,2,FALSE),"")</f>
        <v>I-15</v>
      </c>
      <c r="T89" s="56">
        <f>IFERROR(VLOOKUP($M89,'External Gateways'!$C$6:$F$10,3,FALSE),O89)</f>
        <v>2102195</v>
      </c>
      <c r="U89" s="56">
        <f>IFERROR(VLOOKUP($M89,'External Gateways'!$C$6:$F$10,4,FALSE),P89)</f>
        <v>6289147</v>
      </c>
      <c r="V89" s="353">
        <f t="shared" si="2"/>
        <v>10.275901494735123</v>
      </c>
      <c r="W89" s="353">
        <f t="shared" si="3"/>
        <v>224.44819701052975</v>
      </c>
    </row>
    <row r="90" spans="1:23" ht="15" customHeight="1" x14ac:dyDescent="0.25">
      <c r="A90" s="128">
        <v>629</v>
      </c>
      <c r="B90" s="129" t="s">
        <v>497</v>
      </c>
      <c r="C90" s="128" t="s">
        <v>411</v>
      </c>
      <c r="D90" s="129" t="s">
        <v>158</v>
      </c>
      <c r="E90" s="129" t="s">
        <v>162</v>
      </c>
      <c r="F90" s="129">
        <v>92563</v>
      </c>
      <c r="G90" s="129">
        <v>92182</v>
      </c>
      <c r="H90" s="130">
        <v>109</v>
      </c>
      <c r="I90" s="129" t="s">
        <v>408</v>
      </c>
      <c r="J90" s="130">
        <v>7</v>
      </c>
      <c r="K90" s="131">
        <v>2</v>
      </c>
      <c r="L90" s="131" t="s">
        <v>5</v>
      </c>
      <c r="M90" s="131" t="s">
        <v>402</v>
      </c>
      <c r="N90" s="131" t="s">
        <v>323</v>
      </c>
      <c r="O90" s="56">
        <f>VLOOKUP($F90,'ZipCode Coordinates'!$A:$E,4,FALSE)</f>
        <v>2156450</v>
      </c>
      <c r="P90" s="56">
        <f>VLOOKUP($F90,'ZipCode Coordinates'!$A:$E,5,FALSE)</f>
        <v>6288710</v>
      </c>
      <c r="Q90" s="56">
        <f>VLOOKUP($G90,'ZipCode Coordinates'!$A:$E,4,FALSE)</f>
        <v>1863050</v>
      </c>
      <c r="R90" s="56">
        <f>VLOOKUP($G90,'ZipCode Coordinates'!$A:$E,5,FALSE)</f>
        <v>6308570</v>
      </c>
      <c r="S90" s="352" t="str">
        <f>IFERROR(VLOOKUP($M90,'External Gateways'!$C$6:$F$10,2,FALSE),"")</f>
        <v>I-15</v>
      </c>
      <c r="T90" s="56">
        <f>IFERROR(VLOOKUP($M90,'External Gateways'!$C$6:$F$10,3,FALSE),O90)</f>
        <v>2102195</v>
      </c>
      <c r="U90" s="56">
        <f>IFERROR(VLOOKUP($M90,'External Gateways'!$C$6:$F$10,4,FALSE),P90)</f>
        <v>6289147</v>
      </c>
      <c r="V90" s="353">
        <f t="shared" si="2"/>
        <v>10.275901494735123</v>
      </c>
      <c r="W90" s="353">
        <f t="shared" si="3"/>
        <v>88.448197010529753</v>
      </c>
    </row>
    <row r="91" spans="1:23" ht="15" customHeight="1" x14ac:dyDescent="0.25">
      <c r="A91" s="128">
        <v>644</v>
      </c>
      <c r="B91" s="129" t="s">
        <v>307</v>
      </c>
      <c r="C91" s="128" t="s">
        <v>3</v>
      </c>
      <c r="D91" s="129" t="s">
        <v>165</v>
      </c>
      <c r="E91" s="129" t="s">
        <v>162</v>
      </c>
      <c r="F91" s="129">
        <v>91914</v>
      </c>
      <c r="G91" s="129">
        <v>92110</v>
      </c>
      <c r="H91" s="130">
        <v>64</v>
      </c>
      <c r="I91" s="129" t="s">
        <v>427</v>
      </c>
      <c r="J91" s="130">
        <v>7</v>
      </c>
      <c r="K91" s="131"/>
      <c r="L91" s="131" t="s">
        <v>3</v>
      </c>
      <c r="M91" s="131" t="s">
        <v>326</v>
      </c>
      <c r="N91" s="131" t="s">
        <v>327</v>
      </c>
      <c r="O91" s="56">
        <f>VLOOKUP($F91,'ZipCode Coordinates'!$A:$E,4,FALSE)</f>
        <v>1823440</v>
      </c>
      <c r="P91" s="56">
        <f>VLOOKUP($F91,'ZipCode Coordinates'!$A:$E,5,FALSE)</f>
        <v>6346410</v>
      </c>
      <c r="Q91" s="56">
        <f>VLOOKUP($G91,'ZipCode Coordinates'!$A:$E,4,FALSE)</f>
        <v>1859050</v>
      </c>
      <c r="R91" s="56">
        <f>VLOOKUP($G91,'ZipCode Coordinates'!$A:$E,5,FALSE)</f>
        <v>6269400</v>
      </c>
      <c r="S91" s="352" t="str">
        <f>IFERROR(VLOOKUP($M91,'External Gateways'!$C$6:$F$10,2,FALSE),"")</f>
        <v/>
      </c>
      <c r="T91" s="56">
        <f>IFERROR(VLOOKUP($M91,'External Gateways'!$C$6:$F$10,3,FALSE),O91)</f>
        <v>1823440</v>
      </c>
      <c r="U91" s="56">
        <f>IFERROR(VLOOKUP($M91,'External Gateways'!$C$6:$F$10,4,FALSE),P91)</f>
        <v>6346410</v>
      </c>
      <c r="V91" s="353">
        <f t="shared" si="2"/>
        <v>0</v>
      </c>
      <c r="W91" s="353">
        <f t="shared" si="3"/>
        <v>64</v>
      </c>
    </row>
    <row r="92" spans="1:23" ht="15" customHeight="1" x14ac:dyDescent="0.25">
      <c r="A92" s="128">
        <v>645</v>
      </c>
      <c r="B92" s="129" t="s">
        <v>258</v>
      </c>
      <c r="C92" s="128" t="s">
        <v>3</v>
      </c>
      <c r="D92" s="129" t="s">
        <v>154</v>
      </c>
      <c r="E92" s="129" t="s">
        <v>162</v>
      </c>
      <c r="F92" s="129">
        <v>92592</v>
      </c>
      <c r="G92" s="129">
        <v>92135</v>
      </c>
      <c r="H92" s="130">
        <v>159</v>
      </c>
      <c r="I92" s="129" t="s">
        <v>409</v>
      </c>
      <c r="J92" s="130">
        <v>8</v>
      </c>
      <c r="K92" s="131">
        <v>2</v>
      </c>
      <c r="L92" s="131" t="s">
        <v>3</v>
      </c>
      <c r="M92" s="131" t="s">
        <v>402</v>
      </c>
      <c r="N92" s="131" t="s">
        <v>323</v>
      </c>
      <c r="O92" s="56">
        <f>VLOOKUP($F92,'ZipCode Coordinates'!$A:$E,4,FALSE)</f>
        <v>2128740</v>
      </c>
      <c r="P92" s="56">
        <f>VLOOKUP($F92,'ZipCode Coordinates'!$A:$E,5,FALSE)</f>
        <v>6328900</v>
      </c>
      <c r="Q92" s="56">
        <f>VLOOKUP($G92,'ZipCode Coordinates'!$A:$E,4,FALSE)</f>
        <v>1835720</v>
      </c>
      <c r="R92" s="56">
        <f>VLOOKUP($G92,'ZipCode Coordinates'!$A:$E,5,FALSE)</f>
        <v>6266670</v>
      </c>
      <c r="S92" s="352" t="str">
        <f>IFERROR(VLOOKUP($M92,'External Gateways'!$C$6:$F$10,2,FALSE),"")</f>
        <v>I-15</v>
      </c>
      <c r="T92" s="56">
        <f>IFERROR(VLOOKUP($M92,'External Gateways'!$C$6:$F$10,3,FALSE),O92)</f>
        <v>2102195</v>
      </c>
      <c r="U92" s="56">
        <f>IFERROR(VLOOKUP($M92,'External Gateways'!$C$6:$F$10,4,FALSE),P92)</f>
        <v>6289147</v>
      </c>
      <c r="V92" s="353">
        <f t="shared" si="2"/>
        <v>9.0532245169037147</v>
      </c>
      <c r="W92" s="353">
        <f t="shared" si="3"/>
        <v>140.89355096619258</v>
      </c>
    </row>
    <row r="93" spans="1:23" ht="15" customHeight="1" x14ac:dyDescent="0.25">
      <c r="A93" s="128">
        <v>652</v>
      </c>
      <c r="B93" s="129" t="s">
        <v>279</v>
      </c>
      <c r="C93" s="128" t="s">
        <v>404</v>
      </c>
      <c r="D93" s="129" t="s">
        <v>162</v>
      </c>
      <c r="E93" s="129" t="s">
        <v>162</v>
      </c>
      <c r="F93" s="129">
        <v>92139</v>
      </c>
      <c r="G93" s="129">
        <v>92179</v>
      </c>
      <c r="H93" s="130">
        <v>83</v>
      </c>
      <c r="I93" s="129" t="s">
        <v>416</v>
      </c>
      <c r="J93" s="130">
        <v>7</v>
      </c>
      <c r="K93" s="131"/>
      <c r="L93" s="131" t="s">
        <v>5</v>
      </c>
      <c r="M93" s="131" t="s">
        <v>323</v>
      </c>
      <c r="N93" s="131" t="s">
        <v>328</v>
      </c>
      <c r="O93" s="56">
        <f>VLOOKUP($F93,'ZipCode Coordinates'!$A:$E,4,FALSE)</f>
        <v>1828110</v>
      </c>
      <c r="P93" s="56">
        <f>VLOOKUP($F93,'ZipCode Coordinates'!$A:$E,5,FALSE)</f>
        <v>6315850</v>
      </c>
      <c r="Q93" s="56">
        <f>VLOOKUP($G93,'ZipCode Coordinates'!$A:$E,4,FALSE)</f>
        <v>1789485</v>
      </c>
      <c r="R93" s="56">
        <f>VLOOKUP($G93,'ZipCode Coordinates'!$A:$E,5,FALSE)</f>
        <v>6349974</v>
      </c>
      <c r="S93" s="352" t="str">
        <f>IFERROR(VLOOKUP($M93,'External Gateways'!$C$6:$F$10,2,FALSE),"")</f>
        <v/>
      </c>
      <c r="T93" s="56">
        <f>IFERROR(VLOOKUP($M93,'External Gateways'!$C$6:$F$10,3,FALSE),O93)</f>
        <v>1828110</v>
      </c>
      <c r="U93" s="56">
        <f>IFERROR(VLOOKUP($M93,'External Gateways'!$C$6:$F$10,4,FALSE),P93)</f>
        <v>6315850</v>
      </c>
      <c r="V93" s="353">
        <f t="shared" si="2"/>
        <v>0</v>
      </c>
      <c r="W93" s="353">
        <f t="shared" si="3"/>
        <v>83</v>
      </c>
    </row>
    <row r="94" spans="1:23" ht="15" customHeight="1" x14ac:dyDescent="0.25">
      <c r="A94" s="128">
        <v>663</v>
      </c>
      <c r="B94" s="129" t="s">
        <v>315</v>
      </c>
      <c r="C94" s="128" t="s">
        <v>68</v>
      </c>
      <c r="D94" s="129" t="s">
        <v>158</v>
      </c>
      <c r="E94" s="129" t="s">
        <v>162</v>
      </c>
      <c r="F94" s="129">
        <v>92562</v>
      </c>
      <c r="G94" s="129">
        <v>92154</v>
      </c>
      <c r="H94" s="130">
        <v>210</v>
      </c>
      <c r="I94" s="129" t="s">
        <v>445</v>
      </c>
      <c r="J94" s="130">
        <v>14</v>
      </c>
      <c r="K94" s="131"/>
      <c r="L94" s="131" t="s">
        <v>68</v>
      </c>
      <c r="M94" s="131" t="s">
        <v>402</v>
      </c>
      <c r="N94" s="131" t="s">
        <v>328</v>
      </c>
      <c r="O94" s="56">
        <f>VLOOKUP($F94,'ZipCode Coordinates'!$A:$E,4,FALSE)</f>
        <v>2144470</v>
      </c>
      <c r="P94" s="56">
        <f>VLOOKUP($F94,'ZipCode Coordinates'!$A:$E,5,FALSE)</f>
        <v>6251450</v>
      </c>
      <c r="Q94" s="56">
        <f>VLOOKUP($G94,'ZipCode Coordinates'!$A:$E,4,FALSE)</f>
        <v>1787080</v>
      </c>
      <c r="R94" s="56">
        <f>VLOOKUP($G94,'ZipCode Coordinates'!$A:$E,5,FALSE)</f>
        <v>6330680</v>
      </c>
      <c r="S94" s="352" t="str">
        <f>IFERROR(VLOOKUP($M94,'External Gateways'!$C$6:$F$10,2,FALSE),"")</f>
        <v>I-15</v>
      </c>
      <c r="T94" s="56">
        <f>IFERROR(VLOOKUP($M94,'External Gateways'!$C$6:$F$10,3,FALSE),O94)</f>
        <v>2102195</v>
      </c>
      <c r="U94" s="56">
        <f>IFERROR(VLOOKUP($M94,'External Gateways'!$C$6:$F$10,4,FALSE),P94)</f>
        <v>6289147</v>
      </c>
      <c r="V94" s="353">
        <f t="shared" si="2"/>
        <v>10.727523233277124</v>
      </c>
      <c r="W94" s="353">
        <f t="shared" si="3"/>
        <v>188.54495353344575</v>
      </c>
    </row>
    <row r="95" spans="1:23" ht="15" customHeight="1" x14ac:dyDescent="0.25">
      <c r="A95" s="128">
        <v>668</v>
      </c>
      <c r="B95" s="129" t="s">
        <v>230</v>
      </c>
      <c r="C95" s="128" t="s">
        <v>181</v>
      </c>
      <c r="D95" s="129" t="s">
        <v>176</v>
      </c>
      <c r="E95" s="129" t="s">
        <v>425</v>
      </c>
      <c r="F95" s="129">
        <v>92243</v>
      </c>
      <c r="G95" s="129">
        <v>91906</v>
      </c>
      <c r="H95" s="130">
        <v>179</v>
      </c>
      <c r="I95" s="129" t="s">
        <v>416</v>
      </c>
      <c r="J95" s="130">
        <v>7</v>
      </c>
      <c r="K95" s="131"/>
      <c r="L95" s="131" t="s">
        <v>5</v>
      </c>
      <c r="M95" s="131" t="s">
        <v>431</v>
      </c>
      <c r="N95" s="131" t="s">
        <v>329</v>
      </c>
      <c r="O95" s="56">
        <f>VLOOKUP($F95,'ZipCode Coordinates'!$A:$E,4,FALSE)</f>
        <v>1861900</v>
      </c>
      <c r="P95" s="56">
        <f>VLOOKUP($F95,'ZipCode Coordinates'!$A:$E,5,FALSE)</f>
        <v>6761000</v>
      </c>
      <c r="Q95" s="56">
        <f>VLOOKUP($G95,'ZipCode Coordinates'!$A:$E,4,FALSE)</f>
        <v>1833150</v>
      </c>
      <c r="R95" s="56">
        <f>VLOOKUP($G95,'ZipCode Coordinates'!$A:$E,5,FALSE)</f>
        <v>6479630</v>
      </c>
      <c r="S95" s="352" t="str">
        <f>IFERROR(VLOOKUP($M95,'External Gateways'!$C$6:$F$10,2,FALSE),"")</f>
        <v>I-8</v>
      </c>
      <c r="T95" s="56">
        <f>IFERROR(VLOOKUP($M95,'External Gateways'!$C$6:$F$10,3,FALSE),O95)</f>
        <v>1814524</v>
      </c>
      <c r="U95" s="56">
        <f>IFERROR(VLOOKUP($M95,'External Gateways'!$C$6:$F$10,4,FALSE),P95)</f>
        <v>6606089</v>
      </c>
      <c r="V95" s="353">
        <f t="shared" si="2"/>
        <v>30.680592531285384</v>
      </c>
      <c r="W95" s="353">
        <f t="shared" si="3"/>
        <v>117.63881493742923</v>
      </c>
    </row>
    <row r="96" spans="1:23" ht="15" customHeight="1" x14ac:dyDescent="0.25">
      <c r="A96" s="128">
        <v>669</v>
      </c>
      <c r="B96" s="129" t="s">
        <v>230</v>
      </c>
      <c r="C96" s="128" t="s">
        <v>181</v>
      </c>
      <c r="D96" s="129" t="s">
        <v>231</v>
      </c>
      <c r="E96" s="129" t="s">
        <v>425</v>
      </c>
      <c r="F96" s="129">
        <v>91934</v>
      </c>
      <c r="G96" s="129">
        <v>91906</v>
      </c>
      <c r="H96" s="130">
        <v>199</v>
      </c>
      <c r="I96" s="129" t="s">
        <v>401</v>
      </c>
      <c r="J96" s="130">
        <v>7</v>
      </c>
      <c r="K96" s="131"/>
      <c r="L96" s="131" t="s">
        <v>5</v>
      </c>
      <c r="M96" s="131" t="s">
        <v>329</v>
      </c>
      <c r="N96" s="131" t="s">
        <v>329</v>
      </c>
      <c r="O96" s="56">
        <f>VLOOKUP($F96,'ZipCode Coordinates'!$A:$E,4,FALSE)</f>
        <v>1809660</v>
      </c>
      <c r="P96" s="56">
        <f>VLOOKUP($F96,'ZipCode Coordinates'!$A:$E,5,FALSE)</f>
        <v>6574380</v>
      </c>
      <c r="Q96" s="56">
        <f>VLOOKUP($G96,'ZipCode Coordinates'!$A:$E,4,FALSE)</f>
        <v>1833150</v>
      </c>
      <c r="R96" s="56">
        <f>VLOOKUP($G96,'ZipCode Coordinates'!$A:$E,5,FALSE)</f>
        <v>6479630</v>
      </c>
      <c r="S96" s="352" t="str">
        <f>IFERROR(VLOOKUP($M96,'External Gateways'!$C$6:$F$10,2,FALSE),"")</f>
        <v/>
      </c>
      <c r="T96" s="56">
        <f>IFERROR(VLOOKUP($M96,'External Gateways'!$C$6:$F$10,3,FALSE),O96)</f>
        <v>1809660</v>
      </c>
      <c r="U96" s="56">
        <f>IFERROR(VLOOKUP($M96,'External Gateways'!$C$6:$F$10,4,FALSE),P96)</f>
        <v>6574380</v>
      </c>
      <c r="V96" s="353">
        <f t="shared" si="2"/>
        <v>0</v>
      </c>
      <c r="W96" s="353">
        <f t="shared" si="3"/>
        <v>199</v>
      </c>
    </row>
    <row r="97" spans="1:23" ht="15" customHeight="1" x14ac:dyDescent="0.25">
      <c r="A97" s="128">
        <v>673</v>
      </c>
      <c r="B97" s="129" t="s">
        <v>307</v>
      </c>
      <c r="C97" s="128" t="s">
        <v>3</v>
      </c>
      <c r="D97" s="129" t="s">
        <v>162</v>
      </c>
      <c r="E97" s="129" t="s">
        <v>162</v>
      </c>
      <c r="F97" s="129">
        <v>92127</v>
      </c>
      <c r="G97" s="129">
        <v>92110</v>
      </c>
      <c r="H97" s="130">
        <v>85</v>
      </c>
      <c r="I97" s="129" t="s">
        <v>468</v>
      </c>
      <c r="J97" s="130">
        <v>7</v>
      </c>
      <c r="K97" s="131">
        <v>1</v>
      </c>
      <c r="L97" s="131" t="s">
        <v>3</v>
      </c>
      <c r="M97" s="131" t="s">
        <v>327</v>
      </c>
      <c r="N97" s="131" t="s">
        <v>327</v>
      </c>
      <c r="O97" s="56">
        <f>VLOOKUP($F97,'ZipCode Coordinates'!$A:$E,4,FALSE)</f>
        <v>1951970</v>
      </c>
      <c r="P97" s="56">
        <f>VLOOKUP($F97,'ZipCode Coordinates'!$A:$E,5,FALSE)</f>
        <v>6293830</v>
      </c>
      <c r="Q97" s="56">
        <f>VLOOKUP($G97,'ZipCode Coordinates'!$A:$E,4,FALSE)</f>
        <v>1859050</v>
      </c>
      <c r="R97" s="56">
        <f>VLOOKUP($G97,'ZipCode Coordinates'!$A:$E,5,FALSE)</f>
        <v>6269400</v>
      </c>
      <c r="S97" s="352" t="str">
        <f>IFERROR(VLOOKUP($M97,'External Gateways'!$C$6:$F$10,2,FALSE),"")</f>
        <v/>
      </c>
      <c r="T97" s="56">
        <f>IFERROR(VLOOKUP($M97,'External Gateways'!$C$6:$F$10,3,FALSE),O97)</f>
        <v>1951970</v>
      </c>
      <c r="U97" s="56">
        <f>IFERROR(VLOOKUP($M97,'External Gateways'!$C$6:$F$10,4,FALSE),P97)</f>
        <v>6293830</v>
      </c>
      <c r="V97" s="353">
        <f t="shared" si="2"/>
        <v>0</v>
      </c>
      <c r="W97" s="353">
        <f t="shared" si="3"/>
        <v>85</v>
      </c>
    </row>
    <row r="98" spans="1:23" ht="15" customHeight="1" x14ac:dyDescent="0.25">
      <c r="A98" s="128">
        <v>674</v>
      </c>
      <c r="B98" s="129" t="s">
        <v>263</v>
      </c>
      <c r="C98" s="128" t="s">
        <v>166</v>
      </c>
      <c r="D98" s="129" t="s">
        <v>175</v>
      </c>
      <c r="E98" s="129" t="s">
        <v>162</v>
      </c>
      <c r="F98" s="129">
        <v>92231</v>
      </c>
      <c r="G98" s="129">
        <v>92113</v>
      </c>
      <c r="H98" s="130">
        <v>233</v>
      </c>
      <c r="I98" s="129" t="s">
        <v>480</v>
      </c>
      <c r="J98" s="130">
        <v>10</v>
      </c>
      <c r="K98" s="131"/>
      <c r="L98" s="131" t="s">
        <v>5</v>
      </c>
      <c r="M98" s="131" t="s">
        <v>431</v>
      </c>
      <c r="N98" s="131" t="s">
        <v>323</v>
      </c>
      <c r="O98" s="56">
        <f>VLOOKUP($F98,'ZipCode Coordinates'!$A:$E,4,FALSE)</f>
        <v>1829680</v>
      </c>
      <c r="P98" s="56">
        <f>VLOOKUP($F98,'ZipCode Coordinates'!$A:$E,5,FALSE)</f>
        <v>6778130</v>
      </c>
      <c r="Q98" s="56">
        <f>VLOOKUP($G98,'ZipCode Coordinates'!$A:$E,4,FALSE)</f>
        <v>1834470</v>
      </c>
      <c r="R98" s="56">
        <f>VLOOKUP($G98,'ZipCode Coordinates'!$A:$E,5,FALSE)</f>
        <v>6294590</v>
      </c>
      <c r="S98" s="352" t="str">
        <f>IFERROR(VLOOKUP($M98,'External Gateways'!$C$6:$F$10,2,FALSE),"")</f>
        <v>I-8</v>
      </c>
      <c r="T98" s="56">
        <f>IFERROR(VLOOKUP($M98,'External Gateways'!$C$6:$F$10,3,FALSE),O98)</f>
        <v>1814524</v>
      </c>
      <c r="U98" s="56">
        <f>IFERROR(VLOOKUP($M98,'External Gateways'!$C$6:$F$10,4,FALSE),P98)</f>
        <v>6606089</v>
      </c>
      <c r="V98" s="353">
        <f t="shared" si="2"/>
        <v>32.709715110593962</v>
      </c>
      <c r="W98" s="353">
        <f t="shared" si="3"/>
        <v>167.58056977881208</v>
      </c>
    </row>
    <row r="99" spans="1:23" ht="15" customHeight="1" x14ac:dyDescent="0.25">
      <c r="A99" s="128">
        <v>678</v>
      </c>
      <c r="B99" s="129" t="s">
        <v>258</v>
      </c>
      <c r="C99" s="128" t="s">
        <v>3</v>
      </c>
      <c r="D99" s="129" t="s">
        <v>240</v>
      </c>
      <c r="E99" s="129" t="s">
        <v>162</v>
      </c>
      <c r="F99" s="129">
        <v>92024</v>
      </c>
      <c r="G99" s="129">
        <v>92135</v>
      </c>
      <c r="H99" s="130">
        <v>57</v>
      </c>
      <c r="I99" s="129" t="s">
        <v>401</v>
      </c>
      <c r="J99" s="130">
        <v>7</v>
      </c>
      <c r="K99" s="131"/>
      <c r="L99" s="131" t="s">
        <v>3</v>
      </c>
      <c r="M99" s="131" t="s">
        <v>324</v>
      </c>
      <c r="N99" s="131" t="s">
        <v>323</v>
      </c>
      <c r="O99" s="56">
        <f>VLOOKUP($F99,'ZipCode Coordinates'!$A:$E,4,FALSE)</f>
        <v>1966410</v>
      </c>
      <c r="P99" s="56">
        <f>VLOOKUP($F99,'ZipCode Coordinates'!$A:$E,5,FALSE)</f>
        <v>6253590</v>
      </c>
      <c r="Q99" s="56">
        <f>VLOOKUP($G99,'ZipCode Coordinates'!$A:$E,4,FALSE)</f>
        <v>1835720</v>
      </c>
      <c r="R99" s="56">
        <f>VLOOKUP($G99,'ZipCode Coordinates'!$A:$E,5,FALSE)</f>
        <v>6266670</v>
      </c>
      <c r="S99" s="352" t="str">
        <f>IFERROR(VLOOKUP($M99,'External Gateways'!$C$6:$F$10,2,FALSE),"")</f>
        <v/>
      </c>
      <c r="T99" s="56">
        <f>IFERROR(VLOOKUP($M99,'External Gateways'!$C$6:$F$10,3,FALSE),O99)</f>
        <v>1966410</v>
      </c>
      <c r="U99" s="56">
        <f>IFERROR(VLOOKUP($M99,'External Gateways'!$C$6:$F$10,4,FALSE),P99)</f>
        <v>6253590</v>
      </c>
      <c r="V99" s="353">
        <f t="shared" si="2"/>
        <v>0</v>
      </c>
      <c r="W99" s="353">
        <f t="shared" si="3"/>
        <v>57</v>
      </c>
    </row>
    <row r="100" spans="1:23" ht="15" customHeight="1" x14ac:dyDescent="0.25">
      <c r="A100" s="128">
        <v>693</v>
      </c>
      <c r="B100" s="129" t="s">
        <v>253</v>
      </c>
      <c r="C100" s="128" t="s">
        <v>3</v>
      </c>
      <c r="D100" s="129" t="s">
        <v>154</v>
      </c>
      <c r="E100" s="129" t="s">
        <v>162</v>
      </c>
      <c r="F100" s="129">
        <v>92592</v>
      </c>
      <c r="G100" s="129">
        <v>92145</v>
      </c>
      <c r="H100" s="130">
        <v>159</v>
      </c>
      <c r="I100" s="129" t="s">
        <v>448</v>
      </c>
      <c r="J100" s="130">
        <v>10</v>
      </c>
      <c r="K100" s="131"/>
      <c r="L100" s="131" t="s">
        <v>3</v>
      </c>
      <c r="M100" s="131" t="s">
        <v>402</v>
      </c>
      <c r="N100" s="131" t="s">
        <v>327</v>
      </c>
      <c r="O100" s="56">
        <f>VLOOKUP($F100,'ZipCode Coordinates'!$A:$E,4,FALSE)</f>
        <v>2128740</v>
      </c>
      <c r="P100" s="56">
        <f>VLOOKUP($F100,'ZipCode Coordinates'!$A:$E,5,FALSE)</f>
        <v>6328900</v>
      </c>
      <c r="Q100" s="56">
        <f>VLOOKUP($G100,'ZipCode Coordinates'!$A:$E,4,FALSE)</f>
        <v>1896720</v>
      </c>
      <c r="R100" s="56">
        <f>VLOOKUP($G100,'ZipCode Coordinates'!$A:$E,5,FALSE)</f>
        <v>6297440</v>
      </c>
      <c r="S100" s="352" t="str">
        <f>IFERROR(VLOOKUP($M100,'External Gateways'!$C$6:$F$10,2,FALSE),"")</f>
        <v>I-15</v>
      </c>
      <c r="T100" s="56">
        <f>IFERROR(VLOOKUP($M100,'External Gateways'!$C$6:$F$10,3,FALSE),O100)</f>
        <v>2102195</v>
      </c>
      <c r="U100" s="56">
        <f>IFERROR(VLOOKUP($M100,'External Gateways'!$C$6:$F$10,4,FALSE),P100)</f>
        <v>6289147</v>
      </c>
      <c r="V100" s="353">
        <f t="shared" si="2"/>
        <v>9.0532245169037147</v>
      </c>
      <c r="W100" s="353">
        <f t="shared" si="3"/>
        <v>140.89355096619258</v>
      </c>
    </row>
    <row r="101" spans="1:23" ht="15" customHeight="1" x14ac:dyDescent="0.25">
      <c r="A101" s="128">
        <v>719</v>
      </c>
      <c r="B101" s="129" t="s">
        <v>306</v>
      </c>
      <c r="C101" s="128" t="s">
        <v>415</v>
      </c>
      <c r="D101" s="129" t="s">
        <v>188</v>
      </c>
      <c r="E101" s="129" t="s">
        <v>162</v>
      </c>
      <c r="F101" s="129">
        <v>92069</v>
      </c>
      <c r="G101" s="129">
        <v>92113</v>
      </c>
      <c r="H101" s="130">
        <v>75</v>
      </c>
      <c r="I101" s="129" t="s">
        <v>408</v>
      </c>
      <c r="J101" s="130">
        <v>7</v>
      </c>
      <c r="K101" s="131"/>
      <c r="L101" s="131" t="s">
        <v>5</v>
      </c>
      <c r="M101" s="131" t="s">
        <v>325</v>
      </c>
      <c r="N101" s="131" t="s">
        <v>323</v>
      </c>
      <c r="O101" s="56">
        <f>VLOOKUP($F101,'ZipCode Coordinates'!$A:$E,4,FALSE)</f>
        <v>2008640</v>
      </c>
      <c r="P101" s="56">
        <f>VLOOKUP($F101,'ZipCode Coordinates'!$A:$E,5,FALSE)</f>
        <v>6283870</v>
      </c>
      <c r="Q101" s="56">
        <f>VLOOKUP($G101,'ZipCode Coordinates'!$A:$E,4,FALSE)</f>
        <v>1834470</v>
      </c>
      <c r="R101" s="56">
        <f>VLOOKUP($G101,'ZipCode Coordinates'!$A:$E,5,FALSE)</f>
        <v>6294590</v>
      </c>
      <c r="S101" s="352" t="str">
        <f>IFERROR(VLOOKUP($M101,'External Gateways'!$C$6:$F$10,2,FALSE),"")</f>
        <v/>
      </c>
      <c r="T101" s="56">
        <f>IFERROR(VLOOKUP($M101,'External Gateways'!$C$6:$F$10,3,FALSE),O101)</f>
        <v>2008640</v>
      </c>
      <c r="U101" s="56">
        <f>IFERROR(VLOOKUP($M101,'External Gateways'!$C$6:$F$10,4,FALSE),P101)</f>
        <v>6283870</v>
      </c>
      <c r="V101" s="353">
        <f t="shared" si="2"/>
        <v>0</v>
      </c>
      <c r="W101" s="353">
        <f t="shared" si="3"/>
        <v>75</v>
      </c>
    </row>
    <row r="102" spans="1:23" ht="15" customHeight="1" x14ac:dyDescent="0.25">
      <c r="A102" s="128">
        <v>726</v>
      </c>
      <c r="B102" s="129" t="s">
        <v>82</v>
      </c>
      <c r="C102" s="128" t="s">
        <v>3</v>
      </c>
      <c r="D102" s="129" t="s">
        <v>158</v>
      </c>
      <c r="E102" s="129" t="s">
        <v>82</v>
      </c>
      <c r="F102" s="129">
        <v>92562</v>
      </c>
      <c r="G102" s="129">
        <v>92055</v>
      </c>
      <c r="H102" s="130">
        <v>83</v>
      </c>
      <c r="I102" s="129" t="s">
        <v>441</v>
      </c>
      <c r="J102" s="130">
        <v>8</v>
      </c>
      <c r="K102" s="131"/>
      <c r="L102" s="131" t="s">
        <v>3</v>
      </c>
      <c r="M102" s="131" t="s">
        <v>402</v>
      </c>
      <c r="N102" s="131" t="s">
        <v>324</v>
      </c>
      <c r="O102" s="56">
        <f>VLOOKUP($F102,'ZipCode Coordinates'!$A:$E,4,FALSE)</f>
        <v>2144470</v>
      </c>
      <c r="P102" s="56">
        <f>VLOOKUP($F102,'ZipCode Coordinates'!$A:$E,5,FALSE)</f>
        <v>6251450</v>
      </c>
      <c r="Q102" s="56">
        <f>VLOOKUP($G102,'ZipCode Coordinates'!$A:$E,4,FALSE)</f>
        <v>2082470</v>
      </c>
      <c r="R102" s="56">
        <f>VLOOKUP($G102,'ZipCode Coordinates'!$A:$E,5,FALSE)</f>
        <v>6206470</v>
      </c>
      <c r="S102" s="352" t="str">
        <f>IFERROR(VLOOKUP($M102,'External Gateways'!$C$6:$F$10,2,FALSE),"")</f>
        <v>I-15</v>
      </c>
      <c r="T102" s="56">
        <f>IFERROR(VLOOKUP($M102,'External Gateways'!$C$6:$F$10,3,FALSE),O102)</f>
        <v>2102195</v>
      </c>
      <c r="U102" s="56">
        <f>IFERROR(VLOOKUP($M102,'External Gateways'!$C$6:$F$10,4,FALSE),P102)</f>
        <v>6289147</v>
      </c>
      <c r="V102" s="353">
        <f t="shared" si="2"/>
        <v>10.727523233277124</v>
      </c>
      <c r="W102" s="353">
        <f t="shared" si="3"/>
        <v>61.544953533445749</v>
      </c>
    </row>
    <row r="103" spans="1:23" ht="15" customHeight="1" x14ac:dyDescent="0.25">
      <c r="A103" s="128">
        <v>727</v>
      </c>
      <c r="B103" s="129" t="s">
        <v>82</v>
      </c>
      <c r="C103" s="128" t="s">
        <v>3</v>
      </c>
      <c r="D103" s="129" t="s">
        <v>157</v>
      </c>
      <c r="E103" s="129" t="s">
        <v>82</v>
      </c>
      <c r="F103" s="129">
        <v>92545</v>
      </c>
      <c r="G103" s="129">
        <v>92055</v>
      </c>
      <c r="H103" s="130">
        <v>81</v>
      </c>
      <c r="I103" s="129" t="s">
        <v>403</v>
      </c>
      <c r="J103" s="130">
        <v>8</v>
      </c>
      <c r="K103" s="131">
        <v>1</v>
      </c>
      <c r="L103" s="131" t="s">
        <v>3</v>
      </c>
      <c r="M103" s="131" t="s">
        <v>402</v>
      </c>
      <c r="N103" s="131" t="s">
        <v>324</v>
      </c>
      <c r="O103" s="56">
        <f>VLOOKUP($F103,'ZipCode Coordinates'!$A:$E,4,FALSE)</f>
        <v>2210660</v>
      </c>
      <c r="P103" s="56">
        <f>VLOOKUP($F103,'ZipCode Coordinates'!$A:$E,5,FALSE)</f>
        <v>6321330</v>
      </c>
      <c r="Q103" s="56">
        <f>VLOOKUP($G103,'ZipCode Coordinates'!$A:$E,4,FALSE)</f>
        <v>2082470</v>
      </c>
      <c r="R103" s="56">
        <f>VLOOKUP($G103,'ZipCode Coordinates'!$A:$E,5,FALSE)</f>
        <v>6206470</v>
      </c>
      <c r="S103" s="352" t="str">
        <f>IFERROR(VLOOKUP($M103,'External Gateways'!$C$6:$F$10,2,FALSE),"")</f>
        <v>I-15</v>
      </c>
      <c r="T103" s="56">
        <f>IFERROR(VLOOKUP($M103,'External Gateways'!$C$6:$F$10,3,FALSE),O103)</f>
        <v>2102195</v>
      </c>
      <c r="U103" s="56">
        <f>IFERROR(VLOOKUP($M103,'External Gateways'!$C$6:$F$10,4,FALSE),P103)</f>
        <v>6289147</v>
      </c>
      <c r="V103" s="353">
        <f t="shared" si="2"/>
        <v>21.427814454119865</v>
      </c>
      <c r="W103" s="353">
        <f t="shared" si="3"/>
        <v>38.14437109176027</v>
      </c>
    </row>
    <row r="104" spans="1:23" ht="15" customHeight="1" x14ac:dyDescent="0.25">
      <c r="A104" s="128">
        <v>728</v>
      </c>
      <c r="B104" s="129" t="s">
        <v>230</v>
      </c>
      <c r="C104" s="128" t="s">
        <v>181</v>
      </c>
      <c r="D104" s="129" t="s">
        <v>175</v>
      </c>
      <c r="E104" s="129" t="s">
        <v>425</v>
      </c>
      <c r="F104" s="129">
        <v>92231</v>
      </c>
      <c r="G104" s="129">
        <v>91906</v>
      </c>
      <c r="H104" s="130">
        <v>133</v>
      </c>
      <c r="I104" s="129" t="s">
        <v>450</v>
      </c>
      <c r="J104" s="130">
        <v>10</v>
      </c>
      <c r="K104" s="131"/>
      <c r="L104" s="131" t="s">
        <v>5</v>
      </c>
      <c r="M104" s="131" t="s">
        <v>431</v>
      </c>
      <c r="N104" s="131" t="s">
        <v>329</v>
      </c>
      <c r="O104" s="56">
        <f>VLOOKUP($F104,'ZipCode Coordinates'!$A:$E,4,FALSE)</f>
        <v>1829680</v>
      </c>
      <c r="P104" s="56">
        <f>VLOOKUP($F104,'ZipCode Coordinates'!$A:$E,5,FALSE)</f>
        <v>6778130</v>
      </c>
      <c r="Q104" s="56">
        <f>VLOOKUP($G104,'ZipCode Coordinates'!$A:$E,4,FALSE)</f>
        <v>1833150</v>
      </c>
      <c r="R104" s="56">
        <f>VLOOKUP($G104,'ZipCode Coordinates'!$A:$E,5,FALSE)</f>
        <v>6479630</v>
      </c>
      <c r="S104" s="352" t="str">
        <f>IFERROR(VLOOKUP($M104,'External Gateways'!$C$6:$F$10,2,FALSE),"")</f>
        <v>I-8</v>
      </c>
      <c r="T104" s="56">
        <f>IFERROR(VLOOKUP($M104,'External Gateways'!$C$6:$F$10,3,FALSE),O104)</f>
        <v>1814524</v>
      </c>
      <c r="U104" s="56">
        <f>IFERROR(VLOOKUP($M104,'External Gateways'!$C$6:$F$10,4,FALSE),P104)</f>
        <v>6606089</v>
      </c>
      <c r="V104" s="353">
        <f t="shared" si="2"/>
        <v>32.709715110593962</v>
      </c>
      <c r="W104" s="353">
        <f t="shared" si="3"/>
        <v>67.580569778812077</v>
      </c>
    </row>
    <row r="105" spans="1:23" ht="15" customHeight="1" x14ac:dyDescent="0.25">
      <c r="A105" s="128">
        <v>730</v>
      </c>
      <c r="B105" s="129" t="s">
        <v>311</v>
      </c>
      <c r="C105" s="128" t="s">
        <v>411</v>
      </c>
      <c r="D105" s="129" t="s">
        <v>156</v>
      </c>
      <c r="E105" s="129" t="s">
        <v>413</v>
      </c>
      <c r="F105" s="129">
        <v>92027</v>
      </c>
      <c r="G105" s="129">
        <v>92093</v>
      </c>
      <c r="H105" s="130">
        <v>77</v>
      </c>
      <c r="I105" s="129" t="s">
        <v>436</v>
      </c>
      <c r="J105" s="130">
        <v>8</v>
      </c>
      <c r="K105" s="131"/>
      <c r="L105" s="131" t="s">
        <v>5</v>
      </c>
      <c r="M105" s="131" t="s">
        <v>325</v>
      </c>
      <c r="N105" s="131" t="s">
        <v>327</v>
      </c>
      <c r="O105" s="56">
        <f>VLOOKUP($F105,'ZipCode Coordinates'!$A:$E,4,FALSE)</f>
        <v>1994010</v>
      </c>
      <c r="P105" s="56">
        <f>VLOOKUP($F105,'ZipCode Coordinates'!$A:$E,5,FALSE)</f>
        <v>6337210</v>
      </c>
      <c r="Q105" s="56">
        <f>VLOOKUP($G105,'ZipCode Coordinates'!$A:$E,4,FALSE)</f>
        <v>1901870</v>
      </c>
      <c r="R105" s="56">
        <f>VLOOKUP($G105,'ZipCode Coordinates'!$A:$E,5,FALSE)</f>
        <v>6259600</v>
      </c>
      <c r="S105" s="352" t="str">
        <f>IFERROR(VLOOKUP($M105,'External Gateways'!$C$6:$F$10,2,FALSE),"")</f>
        <v/>
      </c>
      <c r="T105" s="56">
        <f>IFERROR(VLOOKUP($M105,'External Gateways'!$C$6:$F$10,3,FALSE),O105)</f>
        <v>1994010</v>
      </c>
      <c r="U105" s="56">
        <f>IFERROR(VLOOKUP($M105,'External Gateways'!$C$6:$F$10,4,FALSE),P105)</f>
        <v>6337210</v>
      </c>
      <c r="V105" s="353">
        <f t="shared" si="2"/>
        <v>0</v>
      </c>
      <c r="W105" s="353">
        <f t="shared" si="3"/>
        <v>77</v>
      </c>
    </row>
    <row r="106" spans="1:23" ht="15" customHeight="1" x14ac:dyDescent="0.25">
      <c r="A106" s="128">
        <v>731</v>
      </c>
      <c r="B106" s="129" t="s">
        <v>311</v>
      </c>
      <c r="C106" s="128" t="s">
        <v>411</v>
      </c>
      <c r="D106" s="129" t="s">
        <v>188</v>
      </c>
      <c r="E106" s="129" t="s">
        <v>413</v>
      </c>
      <c r="F106" s="129">
        <v>92078</v>
      </c>
      <c r="G106" s="129">
        <v>92093</v>
      </c>
      <c r="H106" s="130">
        <v>38</v>
      </c>
      <c r="I106" s="129" t="s">
        <v>401</v>
      </c>
      <c r="J106" s="130">
        <v>7</v>
      </c>
      <c r="K106" s="131"/>
      <c r="L106" s="131" t="s">
        <v>5</v>
      </c>
      <c r="M106" s="131" t="s">
        <v>325</v>
      </c>
      <c r="N106" s="131" t="s">
        <v>327</v>
      </c>
      <c r="O106" s="56">
        <f>VLOOKUP($F106,'ZipCode Coordinates'!$A:$E,4,FALSE)</f>
        <v>1988050</v>
      </c>
      <c r="P106" s="56">
        <f>VLOOKUP($F106,'ZipCode Coordinates'!$A:$E,5,FALSE)</f>
        <v>6275270</v>
      </c>
      <c r="Q106" s="56">
        <f>VLOOKUP($G106,'ZipCode Coordinates'!$A:$E,4,FALSE)</f>
        <v>1901870</v>
      </c>
      <c r="R106" s="56">
        <f>VLOOKUP($G106,'ZipCode Coordinates'!$A:$E,5,FALSE)</f>
        <v>6259600</v>
      </c>
      <c r="S106" s="352" t="str">
        <f>IFERROR(VLOOKUP($M106,'External Gateways'!$C$6:$F$10,2,FALSE),"")</f>
        <v/>
      </c>
      <c r="T106" s="56">
        <f>IFERROR(VLOOKUP($M106,'External Gateways'!$C$6:$F$10,3,FALSE),O106)</f>
        <v>1988050</v>
      </c>
      <c r="U106" s="56">
        <f>IFERROR(VLOOKUP($M106,'External Gateways'!$C$6:$F$10,4,FALSE),P106)</f>
        <v>6275270</v>
      </c>
      <c r="V106" s="353">
        <f t="shared" si="2"/>
        <v>0</v>
      </c>
      <c r="W106" s="353">
        <f t="shared" si="3"/>
        <v>38</v>
      </c>
    </row>
    <row r="107" spans="1:23" ht="15" customHeight="1" x14ac:dyDescent="0.25">
      <c r="A107" s="128">
        <v>732</v>
      </c>
      <c r="B107" s="129" t="s">
        <v>311</v>
      </c>
      <c r="C107" s="128" t="s">
        <v>411</v>
      </c>
      <c r="D107" s="129" t="s">
        <v>197</v>
      </c>
      <c r="E107" s="129" t="s">
        <v>162</v>
      </c>
      <c r="F107" s="129">
        <v>92057</v>
      </c>
      <c r="G107" s="129">
        <v>92093</v>
      </c>
      <c r="H107" s="130">
        <v>80</v>
      </c>
      <c r="I107" s="129" t="s">
        <v>418</v>
      </c>
      <c r="J107" s="130">
        <v>9</v>
      </c>
      <c r="K107" s="131"/>
      <c r="L107" s="131" t="s">
        <v>5</v>
      </c>
      <c r="M107" s="131" t="s">
        <v>324</v>
      </c>
      <c r="N107" s="131" t="s">
        <v>327</v>
      </c>
      <c r="O107" s="56">
        <f>VLOOKUP($F107,'ZipCode Coordinates'!$A:$E,4,FALSE)</f>
        <v>2037040</v>
      </c>
      <c r="P107" s="56">
        <f>VLOOKUP($F107,'ZipCode Coordinates'!$A:$E,5,FALSE)</f>
        <v>6243630</v>
      </c>
      <c r="Q107" s="56">
        <f>VLOOKUP($G107,'ZipCode Coordinates'!$A:$E,4,FALSE)</f>
        <v>1901870</v>
      </c>
      <c r="R107" s="56">
        <f>VLOOKUP($G107,'ZipCode Coordinates'!$A:$E,5,FALSE)</f>
        <v>6259600</v>
      </c>
      <c r="S107" s="352" t="str">
        <f>IFERROR(VLOOKUP($M107,'External Gateways'!$C$6:$F$10,2,FALSE),"")</f>
        <v/>
      </c>
      <c r="T107" s="56">
        <f>IFERROR(VLOOKUP($M107,'External Gateways'!$C$6:$F$10,3,FALSE),O107)</f>
        <v>2037040</v>
      </c>
      <c r="U107" s="56">
        <f>IFERROR(VLOOKUP($M107,'External Gateways'!$C$6:$F$10,4,FALSE),P107)</f>
        <v>6243630</v>
      </c>
      <c r="V107" s="353">
        <f t="shared" si="2"/>
        <v>0</v>
      </c>
      <c r="W107" s="353">
        <f t="shared" si="3"/>
        <v>80</v>
      </c>
    </row>
    <row r="108" spans="1:23" ht="15" customHeight="1" x14ac:dyDescent="0.25">
      <c r="A108" s="128">
        <v>735</v>
      </c>
      <c r="B108" s="129" t="s">
        <v>311</v>
      </c>
      <c r="C108" s="128" t="s">
        <v>411</v>
      </c>
      <c r="D108" s="129" t="s">
        <v>165</v>
      </c>
      <c r="E108" s="129" t="s">
        <v>413</v>
      </c>
      <c r="F108" s="129">
        <v>91914</v>
      </c>
      <c r="G108" s="129">
        <v>92093</v>
      </c>
      <c r="H108" s="130">
        <v>65</v>
      </c>
      <c r="I108" s="129" t="s">
        <v>401</v>
      </c>
      <c r="J108" s="130">
        <v>7</v>
      </c>
      <c r="K108" s="131"/>
      <c r="L108" s="131" t="s">
        <v>5</v>
      </c>
      <c r="M108" s="131" t="s">
        <v>326</v>
      </c>
      <c r="N108" s="131" t="s">
        <v>327</v>
      </c>
      <c r="O108" s="56">
        <f>VLOOKUP($F108,'ZipCode Coordinates'!$A:$E,4,FALSE)</f>
        <v>1823440</v>
      </c>
      <c r="P108" s="56">
        <f>VLOOKUP($F108,'ZipCode Coordinates'!$A:$E,5,FALSE)</f>
        <v>6346410</v>
      </c>
      <c r="Q108" s="56">
        <f>VLOOKUP($G108,'ZipCode Coordinates'!$A:$E,4,FALSE)</f>
        <v>1901870</v>
      </c>
      <c r="R108" s="56">
        <f>VLOOKUP($G108,'ZipCode Coordinates'!$A:$E,5,FALSE)</f>
        <v>6259600</v>
      </c>
      <c r="S108" s="352" t="str">
        <f>IFERROR(VLOOKUP($M108,'External Gateways'!$C$6:$F$10,2,FALSE),"")</f>
        <v/>
      </c>
      <c r="T108" s="56">
        <f>IFERROR(VLOOKUP($M108,'External Gateways'!$C$6:$F$10,3,FALSE),O108)</f>
        <v>1823440</v>
      </c>
      <c r="U108" s="56">
        <f>IFERROR(VLOOKUP($M108,'External Gateways'!$C$6:$F$10,4,FALSE),P108)</f>
        <v>6346410</v>
      </c>
      <c r="V108" s="353">
        <f t="shared" si="2"/>
        <v>0</v>
      </c>
      <c r="W108" s="353">
        <f t="shared" si="3"/>
        <v>65</v>
      </c>
    </row>
    <row r="109" spans="1:23" ht="15" customHeight="1" x14ac:dyDescent="0.25">
      <c r="A109" s="128">
        <v>736</v>
      </c>
      <c r="B109" s="129" t="s">
        <v>311</v>
      </c>
      <c r="C109" s="128" t="s">
        <v>411</v>
      </c>
      <c r="D109" s="129" t="s">
        <v>165</v>
      </c>
      <c r="E109" s="129" t="s">
        <v>162</v>
      </c>
      <c r="F109" s="129">
        <v>91910</v>
      </c>
      <c r="G109" s="129">
        <v>92093</v>
      </c>
      <c r="H109" s="130">
        <v>58</v>
      </c>
      <c r="I109" s="129" t="s">
        <v>412</v>
      </c>
      <c r="J109" s="130">
        <v>10</v>
      </c>
      <c r="K109" s="131"/>
      <c r="L109" s="131" t="s">
        <v>5</v>
      </c>
      <c r="M109" s="131" t="s">
        <v>328</v>
      </c>
      <c r="N109" s="131" t="s">
        <v>327</v>
      </c>
      <c r="O109" s="56">
        <f>VLOOKUP($F109,'ZipCode Coordinates'!$A:$E,4,FALSE)</f>
        <v>1812850</v>
      </c>
      <c r="P109" s="56">
        <f>VLOOKUP($F109,'ZipCode Coordinates'!$A:$E,5,FALSE)</f>
        <v>6313650</v>
      </c>
      <c r="Q109" s="56">
        <f>VLOOKUP($G109,'ZipCode Coordinates'!$A:$E,4,FALSE)</f>
        <v>1901870</v>
      </c>
      <c r="R109" s="56">
        <f>VLOOKUP($G109,'ZipCode Coordinates'!$A:$E,5,FALSE)</f>
        <v>6259600</v>
      </c>
      <c r="S109" s="352" t="str">
        <f>IFERROR(VLOOKUP($M109,'External Gateways'!$C$6:$F$10,2,FALSE),"")</f>
        <v/>
      </c>
      <c r="T109" s="56">
        <f>IFERROR(VLOOKUP($M109,'External Gateways'!$C$6:$F$10,3,FALSE),O109)</f>
        <v>1812850</v>
      </c>
      <c r="U109" s="56">
        <f>IFERROR(VLOOKUP($M109,'External Gateways'!$C$6:$F$10,4,FALSE),P109)</f>
        <v>6313650</v>
      </c>
      <c r="V109" s="353">
        <f t="shared" si="2"/>
        <v>0</v>
      </c>
      <c r="W109" s="353">
        <f t="shared" si="3"/>
        <v>58</v>
      </c>
    </row>
    <row r="110" spans="1:23" ht="15" customHeight="1" x14ac:dyDescent="0.25">
      <c r="A110" s="128">
        <v>738</v>
      </c>
      <c r="B110" s="129" t="s">
        <v>311</v>
      </c>
      <c r="C110" s="128" t="s">
        <v>411</v>
      </c>
      <c r="D110" s="129" t="s">
        <v>206</v>
      </c>
      <c r="E110" s="129" t="s">
        <v>413</v>
      </c>
      <c r="F110" s="129">
        <v>92129</v>
      </c>
      <c r="G110" s="129">
        <v>92093</v>
      </c>
      <c r="H110" s="130">
        <v>60</v>
      </c>
      <c r="I110" s="129" t="s">
        <v>401</v>
      </c>
      <c r="J110" s="130">
        <v>7</v>
      </c>
      <c r="K110" s="131">
        <v>1</v>
      </c>
      <c r="L110" s="131" t="s">
        <v>5</v>
      </c>
      <c r="M110" s="131" t="s">
        <v>327</v>
      </c>
      <c r="N110" s="131" t="s">
        <v>327</v>
      </c>
      <c r="O110" s="56">
        <f>VLOOKUP($F110,'ZipCode Coordinates'!$A:$E,4,FALSE)</f>
        <v>1931860</v>
      </c>
      <c r="P110" s="56">
        <f>VLOOKUP($F110,'ZipCode Coordinates'!$A:$E,5,FALSE)</f>
        <v>6293150</v>
      </c>
      <c r="Q110" s="56">
        <f>VLOOKUP($G110,'ZipCode Coordinates'!$A:$E,4,FALSE)</f>
        <v>1901870</v>
      </c>
      <c r="R110" s="56">
        <f>VLOOKUP($G110,'ZipCode Coordinates'!$A:$E,5,FALSE)</f>
        <v>6259600</v>
      </c>
      <c r="S110" s="352" t="str">
        <f>IFERROR(VLOOKUP($M110,'External Gateways'!$C$6:$F$10,2,FALSE),"")</f>
        <v/>
      </c>
      <c r="T110" s="56">
        <f>IFERROR(VLOOKUP($M110,'External Gateways'!$C$6:$F$10,3,FALSE),O110)</f>
        <v>1931860</v>
      </c>
      <c r="U110" s="56">
        <f>IFERROR(VLOOKUP($M110,'External Gateways'!$C$6:$F$10,4,FALSE),P110)</f>
        <v>6293150</v>
      </c>
      <c r="V110" s="353">
        <f t="shared" si="2"/>
        <v>0</v>
      </c>
      <c r="W110" s="353">
        <f t="shared" si="3"/>
        <v>60</v>
      </c>
    </row>
    <row r="111" spans="1:23" ht="15" customHeight="1" x14ac:dyDescent="0.25">
      <c r="A111" s="128">
        <v>739</v>
      </c>
      <c r="B111" s="129" t="s">
        <v>311</v>
      </c>
      <c r="C111" s="128" t="s">
        <v>411</v>
      </c>
      <c r="D111" s="129" t="s">
        <v>240</v>
      </c>
      <c r="E111" s="129" t="s">
        <v>413</v>
      </c>
      <c r="F111" s="129">
        <v>92024</v>
      </c>
      <c r="G111" s="129">
        <v>92093</v>
      </c>
      <c r="H111" s="130">
        <v>38</v>
      </c>
      <c r="I111" s="129" t="s">
        <v>428</v>
      </c>
      <c r="J111" s="130">
        <v>7</v>
      </c>
      <c r="K111" s="131"/>
      <c r="L111" s="131" t="s">
        <v>5</v>
      </c>
      <c r="M111" s="131" t="s">
        <v>324</v>
      </c>
      <c r="N111" s="131" t="s">
        <v>327</v>
      </c>
      <c r="O111" s="56">
        <f>VLOOKUP($F111,'ZipCode Coordinates'!$A:$E,4,FALSE)</f>
        <v>1966410</v>
      </c>
      <c r="P111" s="56">
        <f>VLOOKUP($F111,'ZipCode Coordinates'!$A:$E,5,FALSE)</f>
        <v>6253590</v>
      </c>
      <c r="Q111" s="56">
        <f>VLOOKUP($G111,'ZipCode Coordinates'!$A:$E,4,FALSE)</f>
        <v>1901870</v>
      </c>
      <c r="R111" s="56">
        <f>VLOOKUP($G111,'ZipCode Coordinates'!$A:$E,5,FALSE)</f>
        <v>6259600</v>
      </c>
      <c r="S111" s="352" t="str">
        <f>IFERROR(VLOOKUP($M111,'External Gateways'!$C$6:$F$10,2,FALSE),"")</f>
        <v/>
      </c>
      <c r="T111" s="56">
        <f>IFERROR(VLOOKUP($M111,'External Gateways'!$C$6:$F$10,3,FALSE),O111)</f>
        <v>1966410</v>
      </c>
      <c r="U111" s="56">
        <f>IFERROR(VLOOKUP($M111,'External Gateways'!$C$6:$F$10,4,FALSE),P111)</f>
        <v>6253590</v>
      </c>
      <c r="V111" s="353">
        <f t="shared" si="2"/>
        <v>0</v>
      </c>
      <c r="W111" s="353">
        <f t="shared" si="3"/>
        <v>38</v>
      </c>
    </row>
    <row r="112" spans="1:23" ht="15" customHeight="1" x14ac:dyDescent="0.25">
      <c r="A112" s="128">
        <v>740</v>
      </c>
      <c r="B112" s="129" t="s">
        <v>311</v>
      </c>
      <c r="C112" s="128" t="s">
        <v>411</v>
      </c>
      <c r="D112" s="129" t="s">
        <v>165</v>
      </c>
      <c r="E112" s="129" t="s">
        <v>162</v>
      </c>
      <c r="F112" s="129">
        <v>91915</v>
      </c>
      <c r="G112" s="129">
        <v>92093</v>
      </c>
      <c r="H112" s="130">
        <v>77</v>
      </c>
      <c r="I112" s="129" t="s">
        <v>429</v>
      </c>
      <c r="J112" s="130">
        <v>9</v>
      </c>
      <c r="K112" s="131"/>
      <c r="L112" s="131" t="s">
        <v>5</v>
      </c>
      <c r="M112" s="131" t="s">
        <v>326</v>
      </c>
      <c r="N112" s="131" t="s">
        <v>327</v>
      </c>
      <c r="O112" s="56">
        <f>VLOOKUP($F112,'ZipCode Coordinates'!$A:$E,4,FALSE)</f>
        <v>1804550</v>
      </c>
      <c r="P112" s="56">
        <f>VLOOKUP($F112,'ZipCode Coordinates'!$A:$E,5,FALSE)</f>
        <v>6342300</v>
      </c>
      <c r="Q112" s="56">
        <f>VLOOKUP($G112,'ZipCode Coordinates'!$A:$E,4,FALSE)</f>
        <v>1901870</v>
      </c>
      <c r="R112" s="56">
        <f>VLOOKUP($G112,'ZipCode Coordinates'!$A:$E,5,FALSE)</f>
        <v>6259600</v>
      </c>
      <c r="S112" s="352" t="str">
        <f>IFERROR(VLOOKUP($M112,'External Gateways'!$C$6:$F$10,2,FALSE),"")</f>
        <v/>
      </c>
      <c r="T112" s="56">
        <f>IFERROR(VLOOKUP($M112,'External Gateways'!$C$6:$F$10,3,FALSE),O112)</f>
        <v>1804550</v>
      </c>
      <c r="U112" s="56">
        <f>IFERROR(VLOOKUP($M112,'External Gateways'!$C$6:$F$10,4,FALSE),P112)</f>
        <v>6342300</v>
      </c>
      <c r="V112" s="353">
        <f t="shared" si="2"/>
        <v>0</v>
      </c>
      <c r="W112" s="353">
        <f t="shared" si="3"/>
        <v>77</v>
      </c>
    </row>
    <row r="113" spans="1:23" ht="15" customHeight="1" x14ac:dyDescent="0.25">
      <c r="A113" s="128">
        <v>741</v>
      </c>
      <c r="B113" s="129" t="s">
        <v>311</v>
      </c>
      <c r="C113" s="128" t="s">
        <v>411</v>
      </c>
      <c r="D113" s="129" t="s">
        <v>156</v>
      </c>
      <c r="E113" s="129" t="s">
        <v>413</v>
      </c>
      <c r="F113" s="129">
        <v>92027</v>
      </c>
      <c r="G113" s="129">
        <v>92093</v>
      </c>
      <c r="H113" s="130">
        <v>79</v>
      </c>
      <c r="I113" s="129" t="s">
        <v>403</v>
      </c>
      <c r="J113" s="130">
        <v>8</v>
      </c>
      <c r="K113" s="131"/>
      <c r="L113" s="131" t="s">
        <v>5</v>
      </c>
      <c r="M113" s="131" t="s">
        <v>325</v>
      </c>
      <c r="N113" s="131" t="s">
        <v>327</v>
      </c>
      <c r="O113" s="56">
        <f>VLOOKUP($F113,'ZipCode Coordinates'!$A:$E,4,FALSE)</f>
        <v>1994010</v>
      </c>
      <c r="P113" s="56">
        <f>VLOOKUP($F113,'ZipCode Coordinates'!$A:$E,5,FALSE)</f>
        <v>6337210</v>
      </c>
      <c r="Q113" s="56">
        <f>VLOOKUP($G113,'ZipCode Coordinates'!$A:$E,4,FALSE)</f>
        <v>1901870</v>
      </c>
      <c r="R113" s="56">
        <f>VLOOKUP($G113,'ZipCode Coordinates'!$A:$E,5,FALSE)</f>
        <v>6259600</v>
      </c>
      <c r="S113" s="352" t="str">
        <f>IFERROR(VLOOKUP($M113,'External Gateways'!$C$6:$F$10,2,FALSE),"")</f>
        <v/>
      </c>
      <c r="T113" s="56">
        <f>IFERROR(VLOOKUP($M113,'External Gateways'!$C$6:$F$10,3,FALSE),O113)</f>
        <v>1994010</v>
      </c>
      <c r="U113" s="56">
        <f>IFERROR(VLOOKUP($M113,'External Gateways'!$C$6:$F$10,4,FALSE),P113)</f>
        <v>6337210</v>
      </c>
      <c r="V113" s="353">
        <f t="shared" si="2"/>
        <v>0</v>
      </c>
      <c r="W113" s="353">
        <f t="shared" si="3"/>
        <v>79</v>
      </c>
    </row>
    <row r="114" spans="1:23" ht="15" customHeight="1" x14ac:dyDescent="0.25">
      <c r="A114" s="128">
        <v>744</v>
      </c>
      <c r="B114" s="129" t="s">
        <v>311</v>
      </c>
      <c r="C114" s="128" t="s">
        <v>411</v>
      </c>
      <c r="D114" s="129" t="s">
        <v>162</v>
      </c>
      <c r="E114" s="129" t="s">
        <v>162</v>
      </c>
      <c r="F114" s="129">
        <v>92128</v>
      </c>
      <c r="G114" s="129">
        <v>92093</v>
      </c>
      <c r="H114" s="130">
        <v>58</v>
      </c>
      <c r="I114" s="129" t="s">
        <v>428</v>
      </c>
      <c r="J114" s="130">
        <v>7</v>
      </c>
      <c r="K114" s="131">
        <v>1</v>
      </c>
      <c r="L114" s="131" t="s">
        <v>5</v>
      </c>
      <c r="M114" s="131" t="s">
        <v>327</v>
      </c>
      <c r="N114" s="131" t="s">
        <v>327</v>
      </c>
      <c r="O114" s="56">
        <f>VLOOKUP($F114,'ZipCode Coordinates'!$A:$E,4,FALSE)</f>
        <v>1943580</v>
      </c>
      <c r="P114" s="56">
        <f>VLOOKUP($F114,'ZipCode Coordinates'!$A:$E,5,FALSE)</f>
        <v>6309440</v>
      </c>
      <c r="Q114" s="56">
        <f>VLOOKUP($G114,'ZipCode Coordinates'!$A:$E,4,FALSE)</f>
        <v>1901870</v>
      </c>
      <c r="R114" s="56">
        <f>VLOOKUP($G114,'ZipCode Coordinates'!$A:$E,5,FALSE)</f>
        <v>6259600</v>
      </c>
      <c r="S114" s="352" t="str">
        <f>IFERROR(VLOOKUP($M114,'External Gateways'!$C$6:$F$10,2,FALSE),"")</f>
        <v/>
      </c>
      <c r="T114" s="56">
        <f>IFERROR(VLOOKUP($M114,'External Gateways'!$C$6:$F$10,3,FALSE),O114)</f>
        <v>1943580</v>
      </c>
      <c r="U114" s="56">
        <f>IFERROR(VLOOKUP($M114,'External Gateways'!$C$6:$F$10,4,FALSE),P114)</f>
        <v>6309440</v>
      </c>
      <c r="V114" s="353">
        <f t="shared" si="2"/>
        <v>0</v>
      </c>
      <c r="W114" s="353">
        <f t="shared" si="3"/>
        <v>58</v>
      </c>
    </row>
    <row r="115" spans="1:23" ht="15" customHeight="1" x14ac:dyDescent="0.25">
      <c r="A115" s="128">
        <v>747</v>
      </c>
      <c r="B115" s="129" t="s">
        <v>311</v>
      </c>
      <c r="C115" s="128" t="s">
        <v>411</v>
      </c>
      <c r="D115" s="129" t="s">
        <v>162</v>
      </c>
      <c r="E115" s="129" t="s">
        <v>162</v>
      </c>
      <c r="F115" s="129">
        <v>92126</v>
      </c>
      <c r="G115" s="129">
        <v>92093</v>
      </c>
      <c r="H115" s="130">
        <v>38</v>
      </c>
      <c r="I115" s="129" t="s">
        <v>401</v>
      </c>
      <c r="J115" s="130">
        <v>7</v>
      </c>
      <c r="K115" s="131">
        <v>2</v>
      </c>
      <c r="L115" s="131" t="s">
        <v>5</v>
      </c>
      <c r="M115" s="131" t="s">
        <v>327</v>
      </c>
      <c r="N115" s="131" t="s">
        <v>327</v>
      </c>
      <c r="O115" s="56">
        <f>VLOOKUP($F115,'ZipCode Coordinates'!$A:$E,4,FALSE)</f>
        <v>1913050</v>
      </c>
      <c r="P115" s="56">
        <f>VLOOKUP($F115,'ZipCode Coordinates'!$A:$E,5,FALSE)</f>
        <v>6287520</v>
      </c>
      <c r="Q115" s="56">
        <f>VLOOKUP($G115,'ZipCode Coordinates'!$A:$E,4,FALSE)</f>
        <v>1901870</v>
      </c>
      <c r="R115" s="56">
        <f>VLOOKUP($G115,'ZipCode Coordinates'!$A:$E,5,FALSE)</f>
        <v>6259600</v>
      </c>
      <c r="S115" s="352" t="str">
        <f>IFERROR(VLOOKUP($M115,'External Gateways'!$C$6:$F$10,2,FALSE),"")</f>
        <v/>
      </c>
      <c r="T115" s="56">
        <f>IFERROR(VLOOKUP($M115,'External Gateways'!$C$6:$F$10,3,FALSE),O115)</f>
        <v>1913050</v>
      </c>
      <c r="U115" s="56">
        <f>IFERROR(VLOOKUP($M115,'External Gateways'!$C$6:$F$10,4,FALSE),P115)</f>
        <v>6287520</v>
      </c>
      <c r="V115" s="353">
        <f t="shared" si="2"/>
        <v>0</v>
      </c>
      <c r="W115" s="353">
        <f t="shared" si="3"/>
        <v>38</v>
      </c>
    </row>
    <row r="116" spans="1:23" ht="15" customHeight="1" x14ac:dyDescent="0.25">
      <c r="A116" s="128">
        <v>748</v>
      </c>
      <c r="B116" s="129" t="s">
        <v>311</v>
      </c>
      <c r="C116" s="128" t="s">
        <v>411</v>
      </c>
      <c r="D116" s="129" t="s">
        <v>162</v>
      </c>
      <c r="E116" s="129" t="s">
        <v>413</v>
      </c>
      <c r="F116" s="129">
        <v>92129</v>
      </c>
      <c r="G116" s="129">
        <v>92093</v>
      </c>
      <c r="H116" s="130">
        <v>38</v>
      </c>
      <c r="I116" s="129" t="s">
        <v>441</v>
      </c>
      <c r="J116" s="130">
        <v>8</v>
      </c>
      <c r="K116" s="131">
        <v>2</v>
      </c>
      <c r="L116" s="131" t="s">
        <v>5</v>
      </c>
      <c r="M116" s="131" t="s">
        <v>327</v>
      </c>
      <c r="N116" s="131" t="s">
        <v>327</v>
      </c>
      <c r="O116" s="56">
        <f>VLOOKUP($F116,'ZipCode Coordinates'!$A:$E,4,FALSE)</f>
        <v>1931860</v>
      </c>
      <c r="P116" s="56">
        <f>VLOOKUP($F116,'ZipCode Coordinates'!$A:$E,5,FALSE)</f>
        <v>6293150</v>
      </c>
      <c r="Q116" s="56">
        <f>VLOOKUP($G116,'ZipCode Coordinates'!$A:$E,4,FALSE)</f>
        <v>1901870</v>
      </c>
      <c r="R116" s="56">
        <f>VLOOKUP($G116,'ZipCode Coordinates'!$A:$E,5,FALSE)</f>
        <v>6259600</v>
      </c>
      <c r="S116" s="352" t="str">
        <f>IFERROR(VLOOKUP($M116,'External Gateways'!$C$6:$F$10,2,FALSE),"")</f>
        <v/>
      </c>
      <c r="T116" s="56">
        <f>IFERROR(VLOOKUP($M116,'External Gateways'!$C$6:$F$10,3,FALSE),O116)</f>
        <v>1931860</v>
      </c>
      <c r="U116" s="56">
        <f>IFERROR(VLOOKUP($M116,'External Gateways'!$C$6:$F$10,4,FALSE),P116)</f>
        <v>6293150</v>
      </c>
      <c r="V116" s="353">
        <f t="shared" si="2"/>
        <v>0</v>
      </c>
      <c r="W116" s="353">
        <f t="shared" si="3"/>
        <v>38</v>
      </c>
    </row>
    <row r="117" spans="1:23" ht="15" customHeight="1" x14ac:dyDescent="0.25">
      <c r="A117" s="128">
        <v>750</v>
      </c>
      <c r="B117" s="129" t="s">
        <v>311</v>
      </c>
      <c r="C117" s="128" t="s">
        <v>411</v>
      </c>
      <c r="D117" s="129" t="s">
        <v>162</v>
      </c>
      <c r="E117" s="129" t="s">
        <v>413</v>
      </c>
      <c r="F117" s="129">
        <v>92129</v>
      </c>
      <c r="G117" s="129">
        <v>92093</v>
      </c>
      <c r="H117" s="130">
        <v>46</v>
      </c>
      <c r="I117" s="129" t="s">
        <v>418</v>
      </c>
      <c r="J117" s="130">
        <v>9</v>
      </c>
      <c r="K117" s="131">
        <v>4</v>
      </c>
      <c r="L117" s="131" t="s">
        <v>5</v>
      </c>
      <c r="M117" s="131" t="s">
        <v>327</v>
      </c>
      <c r="N117" s="131" t="s">
        <v>327</v>
      </c>
      <c r="O117" s="56">
        <f>VLOOKUP($F117,'ZipCode Coordinates'!$A:$E,4,FALSE)</f>
        <v>1931860</v>
      </c>
      <c r="P117" s="56">
        <f>VLOOKUP($F117,'ZipCode Coordinates'!$A:$E,5,FALSE)</f>
        <v>6293150</v>
      </c>
      <c r="Q117" s="56">
        <f>VLOOKUP($G117,'ZipCode Coordinates'!$A:$E,4,FALSE)</f>
        <v>1901870</v>
      </c>
      <c r="R117" s="56">
        <f>VLOOKUP($G117,'ZipCode Coordinates'!$A:$E,5,FALSE)</f>
        <v>6259600</v>
      </c>
      <c r="S117" s="352" t="str">
        <f>IFERROR(VLOOKUP($M117,'External Gateways'!$C$6:$F$10,2,FALSE),"")</f>
        <v/>
      </c>
      <c r="T117" s="56">
        <f>IFERROR(VLOOKUP($M117,'External Gateways'!$C$6:$F$10,3,FALSE),O117)</f>
        <v>1931860</v>
      </c>
      <c r="U117" s="56">
        <f>IFERROR(VLOOKUP($M117,'External Gateways'!$C$6:$F$10,4,FALSE),P117)</f>
        <v>6293150</v>
      </c>
      <c r="V117" s="353">
        <f t="shared" si="2"/>
        <v>0</v>
      </c>
      <c r="W117" s="353">
        <f t="shared" si="3"/>
        <v>46</v>
      </c>
    </row>
    <row r="118" spans="1:23" ht="15" customHeight="1" x14ac:dyDescent="0.25">
      <c r="A118" s="128">
        <v>753</v>
      </c>
      <c r="B118" s="129" t="s">
        <v>311</v>
      </c>
      <c r="C118" s="128" t="s">
        <v>411</v>
      </c>
      <c r="D118" s="129" t="s">
        <v>159</v>
      </c>
      <c r="E118" s="129" t="s">
        <v>162</v>
      </c>
      <c r="F118" s="129">
        <v>92065</v>
      </c>
      <c r="G118" s="129">
        <v>92093</v>
      </c>
      <c r="H118" s="130">
        <v>80</v>
      </c>
      <c r="I118" s="129" t="s">
        <v>428</v>
      </c>
      <c r="J118" s="130">
        <v>7</v>
      </c>
      <c r="K118" s="131">
        <v>1</v>
      </c>
      <c r="L118" s="131" t="s">
        <v>5</v>
      </c>
      <c r="M118" s="131" t="s">
        <v>326</v>
      </c>
      <c r="N118" s="131" t="s">
        <v>327</v>
      </c>
      <c r="O118" s="56">
        <f>VLOOKUP($F118,'ZipCode Coordinates'!$A:$E,4,FALSE)</f>
        <v>1959680</v>
      </c>
      <c r="P118" s="56">
        <f>VLOOKUP($F118,'ZipCode Coordinates'!$A:$E,5,FALSE)</f>
        <v>6378530</v>
      </c>
      <c r="Q118" s="56">
        <f>VLOOKUP($G118,'ZipCode Coordinates'!$A:$E,4,FALSE)</f>
        <v>1901870</v>
      </c>
      <c r="R118" s="56">
        <f>VLOOKUP($G118,'ZipCode Coordinates'!$A:$E,5,FALSE)</f>
        <v>6259600</v>
      </c>
      <c r="S118" s="352" t="str">
        <f>IFERROR(VLOOKUP($M118,'External Gateways'!$C$6:$F$10,2,FALSE),"")</f>
        <v/>
      </c>
      <c r="T118" s="56">
        <f>IFERROR(VLOOKUP($M118,'External Gateways'!$C$6:$F$10,3,FALSE),O118)</f>
        <v>1959680</v>
      </c>
      <c r="U118" s="56">
        <f>IFERROR(VLOOKUP($M118,'External Gateways'!$C$6:$F$10,4,FALSE),P118)</f>
        <v>6378530</v>
      </c>
      <c r="V118" s="353">
        <f t="shared" si="2"/>
        <v>0</v>
      </c>
      <c r="W118" s="353">
        <f t="shared" si="3"/>
        <v>80</v>
      </c>
    </row>
    <row r="119" spans="1:23" ht="15" customHeight="1" x14ac:dyDescent="0.25">
      <c r="A119" s="128">
        <v>756</v>
      </c>
      <c r="B119" s="129" t="s">
        <v>311</v>
      </c>
      <c r="C119" s="128" t="s">
        <v>411</v>
      </c>
      <c r="D119" s="129" t="s">
        <v>203</v>
      </c>
      <c r="E119" s="129" t="s">
        <v>413</v>
      </c>
      <c r="F119" s="129">
        <v>91950</v>
      </c>
      <c r="G119" s="129">
        <v>92093</v>
      </c>
      <c r="H119" s="130">
        <v>67</v>
      </c>
      <c r="I119" s="129" t="s">
        <v>436</v>
      </c>
      <c r="J119" s="130">
        <v>8</v>
      </c>
      <c r="K119" s="131">
        <v>1</v>
      </c>
      <c r="L119" s="131" t="s">
        <v>5</v>
      </c>
      <c r="M119" s="131" t="s">
        <v>323</v>
      </c>
      <c r="N119" s="131" t="s">
        <v>327</v>
      </c>
      <c r="O119" s="56">
        <f>VLOOKUP($F119,'ZipCode Coordinates'!$A:$E,4,FALSE)</f>
        <v>1823970</v>
      </c>
      <c r="P119" s="56">
        <f>VLOOKUP($F119,'ZipCode Coordinates'!$A:$E,5,FALSE)</f>
        <v>6302610</v>
      </c>
      <c r="Q119" s="56">
        <f>VLOOKUP($G119,'ZipCode Coordinates'!$A:$E,4,FALSE)</f>
        <v>1901870</v>
      </c>
      <c r="R119" s="56">
        <f>VLOOKUP($G119,'ZipCode Coordinates'!$A:$E,5,FALSE)</f>
        <v>6259600</v>
      </c>
      <c r="S119" s="352" t="str">
        <f>IFERROR(VLOOKUP($M119,'External Gateways'!$C$6:$F$10,2,FALSE),"")</f>
        <v/>
      </c>
      <c r="T119" s="56">
        <f>IFERROR(VLOOKUP($M119,'External Gateways'!$C$6:$F$10,3,FALSE),O119)</f>
        <v>1823970</v>
      </c>
      <c r="U119" s="56">
        <f>IFERROR(VLOOKUP($M119,'External Gateways'!$C$6:$F$10,4,FALSE),P119)</f>
        <v>6302610</v>
      </c>
      <c r="V119" s="353">
        <f t="shared" si="2"/>
        <v>0</v>
      </c>
      <c r="W119" s="353">
        <f t="shared" si="3"/>
        <v>67</v>
      </c>
    </row>
    <row r="120" spans="1:23" ht="15" customHeight="1" x14ac:dyDescent="0.25">
      <c r="A120" s="128">
        <v>757</v>
      </c>
      <c r="B120" s="129" t="s">
        <v>311</v>
      </c>
      <c r="C120" s="128" t="s">
        <v>411</v>
      </c>
      <c r="D120" s="129" t="s">
        <v>194</v>
      </c>
      <c r="E120" s="129" t="s">
        <v>162</v>
      </c>
      <c r="F120" s="129">
        <v>91977</v>
      </c>
      <c r="G120" s="129">
        <v>92093</v>
      </c>
      <c r="H120" s="130">
        <v>60</v>
      </c>
      <c r="I120" s="129" t="s">
        <v>428</v>
      </c>
      <c r="J120" s="130">
        <v>7</v>
      </c>
      <c r="K120" s="131"/>
      <c r="L120" s="131" t="s">
        <v>5</v>
      </c>
      <c r="M120" s="131" t="s">
        <v>326</v>
      </c>
      <c r="N120" s="131" t="s">
        <v>327</v>
      </c>
      <c r="O120" s="56">
        <f>VLOOKUP($F120,'ZipCode Coordinates'!$A:$E,4,FALSE)</f>
        <v>1843860</v>
      </c>
      <c r="P120" s="56">
        <f>VLOOKUP($F120,'ZipCode Coordinates'!$A:$E,5,FALSE)</f>
        <v>6332240</v>
      </c>
      <c r="Q120" s="56">
        <f>VLOOKUP($G120,'ZipCode Coordinates'!$A:$E,4,FALSE)</f>
        <v>1901870</v>
      </c>
      <c r="R120" s="56">
        <f>VLOOKUP($G120,'ZipCode Coordinates'!$A:$E,5,FALSE)</f>
        <v>6259600</v>
      </c>
      <c r="S120" s="352" t="str">
        <f>IFERROR(VLOOKUP($M120,'External Gateways'!$C$6:$F$10,2,FALSE),"")</f>
        <v/>
      </c>
      <c r="T120" s="56">
        <f>IFERROR(VLOOKUP($M120,'External Gateways'!$C$6:$F$10,3,FALSE),O120)</f>
        <v>1843860</v>
      </c>
      <c r="U120" s="56">
        <f>IFERROR(VLOOKUP($M120,'External Gateways'!$C$6:$F$10,4,FALSE),P120)</f>
        <v>6332240</v>
      </c>
      <c r="V120" s="353">
        <f t="shared" si="2"/>
        <v>0</v>
      </c>
      <c r="W120" s="353">
        <f t="shared" si="3"/>
        <v>60</v>
      </c>
    </row>
    <row r="121" spans="1:23" ht="15" customHeight="1" x14ac:dyDescent="0.25">
      <c r="A121" s="128">
        <v>759</v>
      </c>
      <c r="B121" s="129" t="s">
        <v>311</v>
      </c>
      <c r="C121" s="128" t="s">
        <v>411</v>
      </c>
      <c r="D121" s="129" t="s">
        <v>162</v>
      </c>
      <c r="E121" s="129" t="s">
        <v>413</v>
      </c>
      <c r="F121" s="129">
        <v>92126</v>
      </c>
      <c r="G121" s="129">
        <v>92093</v>
      </c>
      <c r="H121" s="130">
        <v>58</v>
      </c>
      <c r="I121" s="129" t="s">
        <v>428</v>
      </c>
      <c r="J121" s="130">
        <v>7</v>
      </c>
      <c r="K121" s="131">
        <v>2</v>
      </c>
      <c r="L121" s="131" t="s">
        <v>5</v>
      </c>
      <c r="M121" s="131" t="s">
        <v>327</v>
      </c>
      <c r="N121" s="131" t="s">
        <v>327</v>
      </c>
      <c r="O121" s="56">
        <f>VLOOKUP($F121,'ZipCode Coordinates'!$A:$E,4,FALSE)</f>
        <v>1913050</v>
      </c>
      <c r="P121" s="56">
        <f>VLOOKUP($F121,'ZipCode Coordinates'!$A:$E,5,FALSE)</f>
        <v>6287520</v>
      </c>
      <c r="Q121" s="56">
        <f>VLOOKUP($G121,'ZipCode Coordinates'!$A:$E,4,FALSE)</f>
        <v>1901870</v>
      </c>
      <c r="R121" s="56">
        <f>VLOOKUP($G121,'ZipCode Coordinates'!$A:$E,5,FALSE)</f>
        <v>6259600</v>
      </c>
      <c r="S121" s="352" t="str">
        <f>IFERROR(VLOOKUP($M121,'External Gateways'!$C$6:$F$10,2,FALSE),"")</f>
        <v/>
      </c>
      <c r="T121" s="56">
        <f>IFERROR(VLOOKUP($M121,'External Gateways'!$C$6:$F$10,3,FALSE),O121)</f>
        <v>1913050</v>
      </c>
      <c r="U121" s="56">
        <f>IFERROR(VLOOKUP($M121,'External Gateways'!$C$6:$F$10,4,FALSE),P121)</f>
        <v>6287520</v>
      </c>
      <c r="V121" s="353">
        <f t="shared" si="2"/>
        <v>0</v>
      </c>
      <c r="W121" s="353">
        <f t="shared" si="3"/>
        <v>58</v>
      </c>
    </row>
    <row r="122" spans="1:23" ht="15" customHeight="1" x14ac:dyDescent="0.25">
      <c r="A122" s="128">
        <v>760</v>
      </c>
      <c r="B122" s="129" t="s">
        <v>311</v>
      </c>
      <c r="C122" s="128" t="s">
        <v>411</v>
      </c>
      <c r="D122" s="129" t="s">
        <v>162</v>
      </c>
      <c r="E122" s="129" t="s">
        <v>162</v>
      </c>
      <c r="F122" s="129">
        <v>92105</v>
      </c>
      <c r="G122" s="129">
        <v>92093</v>
      </c>
      <c r="H122" s="130">
        <v>29</v>
      </c>
      <c r="I122" s="129" t="s">
        <v>418</v>
      </c>
      <c r="J122" s="130">
        <v>9</v>
      </c>
      <c r="K122" s="131"/>
      <c r="L122" s="131" t="s">
        <v>5</v>
      </c>
      <c r="M122" s="131" t="s">
        <v>323</v>
      </c>
      <c r="N122" s="131" t="s">
        <v>327</v>
      </c>
      <c r="O122" s="56">
        <f>VLOOKUP($F122,'ZipCode Coordinates'!$A:$E,4,FALSE)</f>
        <v>1849200</v>
      </c>
      <c r="P122" s="56">
        <f>VLOOKUP($F122,'ZipCode Coordinates'!$A:$E,5,FALSE)</f>
        <v>6302590</v>
      </c>
      <c r="Q122" s="56">
        <f>VLOOKUP($G122,'ZipCode Coordinates'!$A:$E,4,FALSE)</f>
        <v>1901870</v>
      </c>
      <c r="R122" s="56">
        <f>VLOOKUP($G122,'ZipCode Coordinates'!$A:$E,5,FALSE)</f>
        <v>6259600</v>
      </c>
      <c r="S122" s="352" t="str">
        <f>IFERROR(VLOOKUP($M122,'External Gateways'!$C$6:$F$10,2,FALSE),"")</f>
        <v/>
      </c>
      <c r="T122" s="56">
        <f>IFERROR(VLOOKUP($M122,'External Gateways'!$C$6:$F$10,3,FALSE),O122)</f>
        <v>1849200</v>
      </c>
      <c r="U122" s="56">
        <f>IFERROR(VLOOKUP($M122,'External Gateways'!$C$6:$F$10,4,FALSE),P122)</f>
        <v>6302590</v>
      </c>
      <c r="V122" s="353">
        <f t="shared" si="2"/>
        <v>0</v>
      </c>
      <c r="W122" s="353">
        <f t="shared" si="3"/>
        <v>29</v>
      </c>
    </row>
    <row r="123" spans="1:23" ht="15" customHeight="1" x14ac:dyDescent="0.25">
      <c r="A123" s="128">
        <v>762</v>
      </c>
      <c r="B123" s="129" t="s">
        <v>311</v>
      </c>
      <c r="C123" s="128" t="s">
        <v>411</v>
      </c>
      <c r="D123" s="129" t="s">
        <v>281</v>
      </c>
      <c r="E123" s="129" t="s">
        <v>162</v>
      </c>
      <c r="F123" s="129">
        <v>91945</v>
      </c>
      <c r="G123" s="129">
        <v>92093</v>
      </c>
      <c r="H123" s="130">
        <v>57</v>
      </c>
      <c r="I123" s="129" t="s">
        <v>418</v>
      </c>
      <c r="J123" s="130">
        <v>9</v>
      </c>
      <c r="K123" s="131"/>
      <c r="L123" s="131" t="s">
        <v>5</v>
      </c>
      <c r="M123" s="131" t="s">
        <v>326</v>
      </c>
      <c r="N123" s="131" t="s">
        <v>327</v>
      </c>
      <c r="O123" s="56">
        <f>VLOOKUP($F123,'ZipCode Coordinates'!$A:$E,4,FALSE)</f>
        <v>1847470</v>
      </c>
      <c r="P123" s="56">
        <f>VLOOKUP($F123,'ZipCode Coordinates'!$A:$E,5,FALSE)</f>
        <v>6320620</v>
      </c>
      <c r="Q123" s="56">
        <f>VLOOKUP($G123,'ZipCode Coordinates'!$A:$E,4,FALSE)</f>
        <v>1901870</v>
      </c>
      <c r="R123" s="56">
        <f>VLOOKUP($G123,'ZipCode Coordinates'!$A:$E,5,FALSE)</f>
        <v>6259600</v>
      </c>
      <c r="S123" s="352" t="str">
        <f>IFERROR(VLOOKUP($M123,'External Gateways'!$C$6:$F$10,2,FALSE),"")</f>
        <v/>
      </c>
      <c r="T123" s="56">
        <f>IFERROR(VLOOKUP($M123,'External Gateways'!$C$6:$F$10,3,FALSE),O123)</f>
        <v>1847470</v>
      </c>
      <c r="U123" s="56">
        <f>IFERROR(VLOOKUP($M123,'External Gateways'!$C$6:$F$10,4,FALSE),P123)</f>
        <v>6320620</v>
      </c>
      <c r="V123" s="353">
        <f t="shared" si="2"/>
        <v>0</v>
      </c>
      <c r="W123" s="353">
        <f t="shared" si="3"/>
        <v>57</v>
      </c>
    </row>
    <row r="124" spans="1:23" ht="15" customHeight="1" x14ac:dyDescent="0.25">
      <c r="A124" s="128">
        <v>763</v>
      </c>
      <c r="B124" s="129" t="s">
        <v>311</v>
      </c>
      <c r="C124" s="128" t="s">
        <v>411</v>
      </c>
      <c r="D124" s="129" t="s">
        <v>162</v>
      </c>
      <c r="E124" s="129" t="s">
        <v>413</v>
      </c>
      <c r="F124" s="129">
        <v>92119</v>
      </c>
      <c r="G124" s="129">
        <v>92093</v>
      </c>
      <c r="H124" s="130">
        <v>58</v>
      </c>
      <c r="I124" s="129" t="s">
        <v>441</v>
      </c>
      <c r="J124" s="130">
        <v>8</v>
      </c>
      <c r="K124" s="131"/>
      <c r="L124" s="131" t="s">
        <v>5</v>
      </c>
      <c r="M124" s="131" t="s">
        <v>327</v>
      </c>
      <c r="N124" s="131" t="s">
        <v>327</v>
      </c>
      <c r="O124" s="56">
        <f>VLOOKUP($F124,'ZipCode Coordinates'!$A:$E,4,FALSE)</f>
        <v>1874300</v>
      </c>
      <c r="P124" s="56">
        <f>VLOOKUP($F124,'ZipCode Coordinates'!$A:$E,5,FALSE)</f>
        <v>6321800</v>
      </c>
      <c r="Q124" s="56">
        <f>VLOOKUP($G124,'ZipCode Coordinates'!$A:$E,4,FALSE)</f>
        <v>1901870</v>
      </c>
      <c r="R124" s="56">
        <f>VLOOKUP($G124,'ZipCode Coordinates'!$A:$E,5,FALSE)</f>
        <v>6259600</v>
      </c>
      <c r="S124" s="352" t="str">
        <f>IFERROR(VLOOKUP($M124,'External Gateways'!$C$6:$F$10,2,FALSE),"")</f>
        <v/>
      </c>
      <c r="T124" s="56">
        <f>IFERROR(VLOOKUP($M124,'External Gateways'!$C$6:$F$10,3,FALSE),O124)</f>
        <v>1874300</v>
      </c>
      <c r="U124" s="56">
        <f>IFERROR(VLOOKUP($M124,'External Gateways'!$C$6:$F$10,4,FALSE),P124)</f>
        <v>6321800</v>
      </c>
      <c r="V124" s="353">
        <f t="shared" si="2"/>
        <v>0</v>
      </c>
      <c r="W124" s="353">
        <f t="shared" si="3"/>
        <v>58</v>
      </c>
    </row>
    <row r="125" spans="1:23" ht="15" customHeight="1" x14ac:dyDescent="0.25">
      <c r="A125" s="128">
        <v>765</v>
      </c>
      <c r="B125" s="129" t="s">
        <v>311</v>
      </c>
      <c r="C125" s="128" t="s">
        <v>411</v>
      </c>
      <c r="D125" s="129" t="s">
        <v>165</v>
      </c>
      <c r="E125" s="129" t="s">
        <v>413</v>
      </c>
      <c r="F125" s="129">
        <v>91913</v>
      </c>
      <c r="G125" s="129">
        <v>92093</v>
      </c>
      <c r="H125" s="130">
        <v>65</v>
      </c>
      <c r="I125" s="129" t="s">
        <v>412</v>
      </c>
      <c r="J125" s="130">
        <v>10</v>
      </c>
      <c r="K125" s="131"/>
      <c r="L125" s="131" t="s">
        <v>5</v>
      </c>
      <c r="M125" s="131" t="s">
        <v>328</v>
      </c>
      <c r="N125" s="131" t="s">
        <v>327</v>
      </c>
      <c r="O125" s="56">
        <f>VLOOKUP($F125,'ZipCode Coordinates'!$A:$E,4,FALSE)</f>
        <v>1810320</v>
      </c>
      <c r="P125" s="56">
        <f>VLOOKUP($F125,'ZipCode Coordinates'!$A:$E,5,FALSE)</f>
        <v>6334990</v>
      </c>
      <c r="Q125" s="56">
        <f>VLOOKUP($G125,'ZipCode Coordinates'!$A:$E,4,FALSE)</f>
        <v>1901870</v>
      </c>
      <c r="R125" s="56">
        <f>VLOOKUP($G125,'ZipCode Coordinates'!$A:$E,5,FALSE)</f>
        <v>6259600</v>
      </c>
      <c r="S125" s="352" t="str">
        <f>IFERROR(VLOOKUP($M125,'External Gateways'!$C$6:$F$10,2,FALSE),"")</f>
        <v/>
      </c>
      <c r="T125" s="56">
        <f>IFERROR(VLOOKUP($M125,'External Gateways'!$C$6:$F$10,3,FALSE),O125)</f>
        <v>1810320</v>
      </c>
      <c r="U125" s="56">
        <f>IFERROR(VLOOKUP($M125,'External Gateways'!$C$6:$F$10,4,FALSE),P125)</f>
        <v>6334990</v>
      </c>
      <c r="V125" s="353">
        <f t="shared" si="2"/>
        <v>0</v>
      </c>
      <c r="W125" s="353">
        <f t="shared" si="3"/>
        <v>65</v>
      </c>
    </row>
    <row r="126" spans="1:23" ht="15" customHeight="1" x14ac:dyDescent="0.25">
      <c r="A126" s="128">
        <v>766</v>
      </c>
      <c r="B126" s="129" t="s">
        <v>311</v>
      </c>
      <c r="C126" s="128" t="s">
        <v>411</v>
      </c>
      <c r="D126" s="129" t="s">
        <v>161</v>
      </c>
      <c r="E126" s="129" t="s">
        <v>413</v>
      </c>
      <c r="F126" s="129">
        <v>92596</v>
      </c>
      <c r="G126" s="129">
        <v>92093</v>
      </c>
      <c r="H126" s="130">
        <v>138</v>
      </c>
      <c r="I126" s="129" t="s">
        <v>429</v>
      </c>
      <c r="J126" s="130">
        <v>9</v>
      </c>
      <c r="K126" s="131"/>
      <c r="L126" s="131" t="s">
        <v>5</v>
      </c>
      <c r="M126" s="131" t="s">
        <v>402</v>
      </c>
      <c r="N126" s="131" t="s">
        <v>327</v>
      </c>
      <c r="O126" s="56">
        <f>VLOOKUP($F126,'ZipCode Coordinates'!$A:$E,4,FALSE)</f>
        <v>2177700</v>
      </c>
      <c r="P126" s="56">
        <f>VLOOKUP($F126,'ZipCode Coordinates'!$A:$E,5,FALSE)</f>
        <v>6311340</v>
      </c>
      <c r="Q126" s="56">
        <f>VLOOKUP($G126,'ZipCode Coordinates'!$A:$E,4,FALSE)</f>
        <v>1901870</v>
      </c>
      <c r="R126" s="56">
        <f>VLOOKUP($G126,'ZipCode Coordinates'!$A:$E,5,FALSE)</f>
        <v>6259600</v>
      </c>
      <c r="S126" s="352" t="str">
        <f>IFERROR(VLOOKUP($M126,'External Gateways'!$C$6:$F$10,2,FALSE),"")</f>
        <v>I-15</v>
      </c>
      <c r="T126" s="56">
        <f>IFERROR(VLOOKUP($M126,'External Gateways'!$C$6:$F$10,3,FALSE),O126)</f>
        <v>2102195</v>
      </c>
      <c r="U126" s="56">
        <f>IFERROR(VLOOKUP($M126,'External Gateways'!$C$6:$F$10,4,FALSE),P126)</f>
        <v>6289147</v>
      </c>
      <c r="V126" s="353">
        <f t="shared" si="2"/>
        <v>14.905115649451727</v>
      </c>
      <c r="W126" s="353">
        <f t="shared" si="3"/>
        <v>108.18976870109654</v>
      </c>
    </row>
    <row r="127" spans="1:23" ht="15" customHeight="1" x14ac:dyDescent="0.25">
      <c r="A127" s="128">
        <v>767</v>
      </c>
      <c r="B127" s="129" t="s">
        <v>311</v>
      </c>
      <c r="C127" s="128" t="s">
        <v>411</v>
      </c>
      <c r="D127" s="129" t="s">
        <v>162</v>
      </c>
      <c r="E127" s="129" t="s">
        <v>413</v>
      </c>
      <c r="F127" s="129">
        <v>92128</v>
      </c>
      <c r="G127" s="129">
        <v>92093</v>
      </c>
      <c r="H127" s="130">
        <v>58</v>
      </c>
      <c r="I127" s="129" t="s">
        <v>412</v>
      </c>
      <c r="J127" s="130">
        <v>10</v>
      </c>
      <c r="K127" s="131"/>
      <c r="L127" s="131" t="s">
        <v>5</v>
      </c>
      <c r="M127" s="131" t="s">
        <v>327</v>
      </c>
      <c r="N127" s="131" t="s">
        <v>327</v>
      </c>
      <c r="O127" s="56">
        <f>VLOOKUP($F127,'ZipCode Coordinates'!$A:$E,4,FALSE)</f>
        <v>1943580</v>
      </c>
      <c r="P127" s="56">
        <f>VLOOKUP($F127,'ZipCode Coordinates'!$A:$E,5,FALSE)</f>
        <v>6309440</v>
      </c>
      <c r="Q127" s="56">
        <f>VLOOKUP($G127,'ZipCode Coordinates'!$A:$E,4,FALSE)</f>
        <v>1901870</v>
      </c>
      <c r="R127" s="56">
        <f>VLOOKUP($G127,'ZipCode Coordinates'!$A:$E,5,FALSE)</f>
        <v>6259600</v>
      </c>
      <c r="S127" s="352" t="str">
        <f>IFERROR(VLOOKUP($M127,'External Gateways'!$C$6:$F$10,2,FALSE),"")</f>
        <v/>
      </c>
      <c r="T127" s="56">
        <f>IFERROR(VLOOKUP($M127,'External Gateways'!$C$6:$F$10,3,FALSE),O127)</f>
        <v>1943580</v>
      </c>
      <c r="U127" s="56">
        <f>IFERROR(VLOOKUP($M127,'External Gateways'!$C$6:$F$10,4,FALSE),P127)</f>
        <v>6309440</v>
      </c>
      <c r="V127" s="353">
        <f t="shared" si="2"/>
        <v>0</v>
      </c>
      <c r="W127" s="353">
        <f t="shared" si="3"/>
        <v>58</v>
      </c>
    </row>
    <row r="128" spans="1:23" ht="15" customHeight="1" x14ac:dyDescent="0.25">
      <c r="A128" s="128">
        <v>769</v>
      </c>
      <c r="B128" s="129" t="s">
        <v>311</v>
      </c>
      <c r="C128" s="128" t="s">
        <v>411</v>
      </c>
      <c r="D128" s="129" t="s">
        <v>162</v>
      </c>
      <c r="E128" s="129" t="s">
        <v>162</v>
      </c>
      <c r="F128" s="129">
        <v>92139</v>
      </c>
      <c r="G128" s="129">
        <v>92093</v>
      </c>
      <c r="H128" s="130">
        <v>40</v>
      </c>
      <c r="I128" s="129" t="s">
        <v>472</v>
      </c>
      <c r="J128" s="130">
        <v>7</v>
      </c>
      <c r="K128" s="131"/>
      <c r="L128" s="131" t="s">
        <v>5</v>
      </c>
      <c r="M128" s="131" t="s">
        <v>323</v>
      </c>
      <c r="N128" s="131" t="s">
        <v>327</v>
      </c>
      <c r="O128" s="56">
        <f>VLOOKUP($F128,'ZipCode Coordinates'!$A:$E,4,FALSE)</f>
        <v>1828110</v>
      </c>
      <c r="P128" s="56">
        <f>VLOOKUP($F128,'ZipCode Coordinates'!$A:$E,5,FALSE)</f>
        <v>6315850</v>
      </c>
      <c r="Q128" s="56">
        <f>VLOOKUP($G128,'ZipCode Coordinates'!$A:$E,4,FALSE)</f>
        <v>1901870</v>
      </c>
      <c r="R128" s="56">
        <f>VLOOKUP($G128,'ZipCode Coordinates'!$A:$E,5,FALSE)</f>
        <v>6259600</v>
      </c>
      <c r="S128" s="352" t="str">
        <f>IFERROR(VLOOKUP($M128,'External Gateways'!$C$6:$F$10,2,FALSE),"")</f>
        <v/>
      </c>
      <c r="T128" s="56">
        <f>IFERROR(VLOOKUP($M128,'External Gateways'!$C$6:$F$10,3,FALSE),O128)</f>
        <v>1828110</v>
      </c>
      <c r="U128" s="56">
        <f>IFERROR(VLOOKUP($M128,'External Gateways'!$C$6:$F$10,4,FALSE),P128)</f>
        <v>6315850</v>
      </c>
      <c r="V128" s="353">
        <f t="shared" si="2"/>
        <v>0</v>
      </c>
      <c r="W128" s="353">
        <f t="shared" si="3"/>
        <v>40</v>
      </c>
    </row>
    <row r="129" spans="1:23" ht="15" customHeight="1" x14ac:dyDescent="0.25">
      <c r="A129" s="128">
        <v>770</v>
      </c>
      <c r="B129" s="129" t="s">
        <v>311</v>
      </c>
      <c r="C129" s="128" t="s">
        <v>411</v>
      </c>
      <c r="D129" s="129" t="s">
        <v>206</v>
      </c>
      <c r="E129" s="129" t="s">
        <v>413</v>
      </c>
      <c r="F129" s="129">
        <v>92064</v>
      </c>
      <c r="G129" s="129">
        <v>92093</v>
      </c>
      <c r="H129" s="130">
        <v>46</v>
      </c>
      <c r="I129" s="129" t="s">
        <v>401</v>
      </c>
      <c r="J129" s="130">
        <v>7</v>
      </c>
      <c r="K129" s="131"/>
      <c r="L129" s="131" t="s">
        <v>5</v>
      </c>
      <c r="M129" s="131" t="s">
        <v>327</v>
      </c>
      <c r="N129" s="131" t="s">
        <v>327</v>
      </c>
      <c r="O129" s="56">
        <f>VLOOKUP($F129,'ZipCode Coordinates'!$A:$E,4,FALSE)</f>
        <v>1939040</v>
      </c>
      <c r="P129" s="56">
        <f>VLOOKUP($F129,'ZipCode Coordinates'!$A:$E,5,FALSE)</f>
        <v>6325350</v>
      </c>
      <c r="Q129" s="56">
        <f>VLOOKUP($G129,'ZipCode Coordinates'!$A:$E,4,FALSE)</f>
        <v>1901870</v>
      </c>
      <c r="R129" s="56">
        <f>VLOOKUP($G129,'ZipCode Coordinates'!$A:$E,5,FALSE)</f>
        <v>6259600</v>
      </c>
      <c r="S129" s="352" t="str">
        <f>IFERROR(VLOOKUP($M129,'External Gateways'!$C$6:$F$10,2,FALSE),"")</f>
        <v/>
      </c>
      <c r="T129" s="56">
        <f>IFERROR(VLOOKUP($M129,'External Gateways'!$C$6:$F$10,3,FALSE),O129)</f>
        <v>1939040</v>
      </c>
      <c r="U129" s="56">
        <f>IFERROR(VLOOKUP($M129,'External Gateways'!$C$6:$F$10,4,FALSE),P129)</f>
        <v>6325350</v>
      </c>
      <c r="V129" s="353">
        <f t="shared" si="2"/>
        <v>0</v>
      </c>
      <c r="W129" s="353">
        <f t="shared" si="3"/>
        <v>46</v>
      </c>
    </row>
    <row r="130" spans="1:23" ht="15" customHeight="1" x14ac:dyDescent="0.25">
      <c r="A130" s="128">
        <v>773</v>
      </c>
      <c r="B130" s="129" t="s">
        <v>311</v>
      </c>
      <c r="C130" s="128" t="s">
        <v>411</v>
      </c>
      <c r="D130" s="129" t="s">
        <v>194</v>
      </c>
      <c r="E130" s="129" t="s">
        <v>162</v>
      </c>
      <c r="F130" s="129">
        <v>91977</v>
      </c>
      <c r="G130" s="129">
        <v>92093</v>
      </c>
      <c r="H130" s="130">
        <v>57</v>
      </c>
      <c r="I130" s="129" t="s">
        <v>429</v>
      </c>
      <c r="J130" s="130">
        <v>9</v>
      </c>
      <c r="K130" s="131"/>
      <c r="L130" s="131" t="s">
        <v>5</v>
      </c>
      <c r="M130" s="131" t="s">
        <v>326</v>
      </c>
      <c r="N130" s="131" t="s">
        <v>327</v>
      </c>
      <c r="O130" s="56">
        <f>VLOOKUP($F130,'ZipCode Coordinates'!$A:$E,4,FALSE)</f>
        <v>1843860</v>
      </c>
      <c r="P130" s="56">
        <f>VLOOKUP($F130,'ZipCode Coordinates'!$A:$E,5,FALSE)</f>
        <v>6332240</v>
      </c>
      <c r="Q130" s="56">
        <f>VLOOKUP($G130,'ZipCode Coordinates'!$A:$E,4,FALSE)</f>
        <v>1901870</v>
      </c>
      <c r="R130" s="56">
        <f>VLOOKUP($G130,'ZipCode Coordinates'!$A:$E,5,FALSE)</f>
        <v>6259600</v>
      </c>
      <c r="S130" s="352" t="str">
        <f>IFERROR(VLOOKUP($M130,'External Gateways'!$C$6:$F$10,2,FALSE),"")</f>
        <v/>
      </c>
      <c r="T130" s="56">
        <f>IFERROR(VLOOKUP($M130,'External Gateways'!$C$6:$F$10,3,FALSE),O130)</f>
        <v>1843860</v>
      </c>
      <c r="U130" s="56">
        <f>IFERROR(VLOOKUP($M130,'External Gateways'!$C$6:$F$10,4,FALSE),P130)</f>
        <v>6332240</v>
      </c>
      <c r="V130" s="353">
        <f t="shared" si="2"/>
        <v>0</v>
      </c>
      <c r="W130" s="353">
        <f t="shared" si="3"/>
        <v>57</v>
      </c>
    </row>
    <row r="131" spans="1:23" ht="15" customHeight="1" x14ac:dyDescent="0.25">
      <c r="A131" s="128">
        <v>774</v>
      </c>
      <c r="B131" s="129" t="s">
        <v>311</v>
      </c>
      <c r="C131" s="128" t="s">
        <v>411</v>
      </c>
      <c r="D131" s="129" t="s">
        <v>154</v>
      </c>
      <c r="E131" s="129" t="s">
        <v>413</v>
      </c>
      <c r="F131" s="129">
        <v>92592</v>
      </c>
      <c r="G131" s="129">
        <v>92093</v>
      </c>
      <c r="H131" s="130">
        <v>37</v>
      </c>
      <c r="I131" s="129" t="s">
        <v>429</v>
      </c>
      <c r="J131" s="130">
        <v>9</v>
      </c>
      <c r="K131" s="131"/>
      <c r="L131" s="131" t="s">
        <v>5</v>
      </c>
      <c r="M131" s="131" t="s">
        <v>402</v>
      </c>
      <c r="N131" s="131" t="s">
        <v>327</v>
      </c>
      <c r="O131" s="56">
        <f>VLOOKUP($F131,'ZipCode Coordinates'!$A:$E,4,FALSE)</f>
        <v>2128740</v>
      </c>
      <c r="P131" s="56">
        <f>VLOOKUP($F131,'ZipCode Coordinates'!$A:$E,5,FALSE)</f>
        <v>6328900</v>
      </c>
      <c r="Q131" s="56">
        <f>VLOOKUP($G131,'ZipCode Coordinates'!$A:$E,4,FALSE)</f>
        <v>1901870</v>
      </c>
      <c r="R131" s="56">
        <f>VLOOKUP($G131,'ZipCode Coordinates'!$A:$E,5,FALSE)</f>
        <v>6259600</v>
      </c>
      <c r="S131" s="352" t="str">
        <f>IFERROR(VLOOKUP($M131,'External Gateways'!$C$6:$F$10,2,FALSE),"")</f>
        <v>I-15</v>
      </c>
      <c r="T131" s="56">
        <f>IFERROR(VLOOKUP($M131,'External Gateways'!$C$6:$F$10,3,FALSE),O131)</f>
        <v>2102195</v>
      </c>
      <c r="U131" s="56">
        <f>IFERROR(VLOOKUP($M131,'External Gateways'!$C$6:$F$10,4,FALSE),P131)</f>
        <v>6289147</v>
      </c>
      <c r="V131" s="353">
        <f t="shared" ref="V131:V194" si="4">SQRT((T131-O131)^2+(U131-P131)^2)/5280</f>
        <v>9.0532245169037147</v>
      </c>
      <c r="W131" s="353">
        <f t="shared" ref="W131:W194" si="5">MAX(H131-2*V131,0)</f>
        <v>18.893550966192571</v>
      </c>
    </row>
    <row r="132" spans="1:23" ht="15" customHeight="1" x14ac:dyDescent="0.25">
      <c r="A132" s="128">
        <v>786</v>
      </c>
      <c r="B132" s="129" t="s">
        <v>258</v>
      </c>
      <c r="C132" s="128" t="s">
        <v>3</v>
      </c>
      <c r="D132" s="129" t="s">
        <v>162</v>
      </c>
      <c r="E132" s="129" t="s">
        <v>162</v>
      </c>
      <c r="F132" s="129">
        <v>92129</v>
      </c>
      <c r="G132" s="129">
        <v>92135</v>
      </c>
      <c r="H132" s="130">
        <v>84</v>
      </c>
      <c r="I132" s="129" t="s">
        <v>401</v>
      </c>
      <c r="J132" s="130">
        <v>7</v>
      </c>
      <c r="K132" s="131"/>
      <c r="L132" s="131" t="s">
        <v>3</v>
      </c>
      <c r="M132" s="131" t="s">
        <v>327</v>
      </c>
      <c r="N132" s="131" t="s">
        <v>323</v>
      </c>
      <c r="O132" s="56">
        <f>VLOOKUP($F132,'ZipCode Coordinates'!$A:$E,4,FALSE)</f>
        <v>1931860</v>
      </c>
      <c r="P132" s="56">
        <f>VLOOKUP($F132,'ZipCode Coordinates'!$A:$E,5,FALSE)</f>
        <v>6293150</v>
      </c>
      <c r="Q132" s="56">
        <f>VLOOKUP($G132,'ZipCode Coordinates'!$A:$E,4,FALSE)</f>
        <v>1835720</v>
      </c>
      <c r="R132" s="56">
        <f>VLOOKUP($G132,'ZipCode Coordinates'!$A:$E,5,FALSE)</f>
        <v>6266670</v>
      </c>
      <c r="S132" s="352" t="str">
        <f>IFERROR(VLOOKUP($M132,'External Gateways'!$C$6:$F$10,2,FALSE),"")</f>
        <v/>
      </c>
      <c r="T132" s="56">
        <f>IFERROR(VLOOKUP($M132,'External Gateways'!$C$6:$F$10,3,FALSE),O132)</f>
        <v>1931860</v>
      </c>
      <c r="U132" s="56">
        <f>IFERROR(VLOOKUP($M132,'External Gateways'!$C$6:$F$10,4,FALSE),P132)</f>
        <v>6293150</v>
      </c>
      <c r="V132" s="353">
        <f t="shared" si="4"/>
        <v>0</v>
      </c>
      <c r="W132" s="353">
        <f t="shared" si="5"/>
        <v>84</v>
      </c>
    </row>
    <row r="133" spans="1:23" ht="15" customHeight="1" x14ac:dyDescent="0.25">
      <c r="A133" s="128">
        <v>794</v>
      </c>
      <c r="B133" s="129" t="s">
        <v>512</v>
      </c>
      <c r="C133" s="128" t="s">
        <v>166</v>
      </c>
      <c r="D133" s="129" t="s">
        <v>154</v>
      </c>
      <c r="E133" s="129" t="s">
        <v>165</v>
      </c>
      <c r="F133" s="129">
        <v>92592</v>
      </c>
      <c r="G133" s="129">
        <v>91910</v>
      </c>
      <c r="H133" s="130">
        <v>125</v>
      </c>
      <c r="I133" s="129" t="s">
        <v>401</v>
      </c>
      <c r="J133" s="130">
        <v>7</v>
      </c>
      <c r="K133" s="131">
        <v>2</v>
      </c>
      <c r="L133" s="131" t="s">
        <v>5</v>
      </c>
      <c r="M133" s="131" t="s">
        <v>402</v>
      </c>
      <c r="N133" s="131" t="s">
        <v>328</v>
      </c>
      <c r="O133" s="56">
        <f>VLOOKUP($F133,'ZipCode Coordinates'!$A:$E,4,FALSE)</f>
        <v>2128740</v>
      </c>
      <c r="P133" s="56">
        <f>VLOOKUP($F133,'ZipCode Coordinates'!$A:$E,5,FALSE)</f>
        <v>6328900</v>
      </c>
      <c r="Q133" s="56">
        <f>VLOOKUP($G133,'ZipCode Coordinates'!$A:$E,4,FALSE)</f>
        <v>1812850</v>
      </c>
      <c r="R133" s="56">
        <f>VLOOKUP($G133,'ZipCode Coordinates'!$A:$E,5,FALSE)</f>
        <v>6313650</v>
      </c>
      <c r="S133" s="352" t="str">
        <f>IFERROR(VLOOKUP($M133,'External Gateways'!$C$6:$F$10,2,FALSE),"")</f>
        <v>I-15</v>
      </c>
      <c r="T133" s="56">
        <f>IFERROR(VLOOKUP($M133,'External Gateways'!$C$6:$F$10,3,FALSE),O133)</f>
        <v>2102195</v>
      </c>
      <c r="U133" s="56">
        <f>IFERROR(VLOOKUP($M133,'External Gateways'!$C$6:$F$10,4,FALSE),P133)</f>
        <v>6289147</v>
      </c>
      <c r="V133" s="353">
        <f t="shared" si="4"/>
        <v>9.0532245169037147</v>
      </c>
      <c r="W133" s="353">
        <f t="shared" si="5"/>
        <v>106.89355096619258</v>
      </c>
    </row>
    <row r="134" spans="1:23" ht="15" customHeight="1" x14ac:dyDescent="0.25">
      <c r="A134" s="128">
        <v>803</v>
      </c>
      <c r="B134" s="129" t="s">
        <v>307</v>
      </c>
      <c r="C134" s="128" t="s">
        <v>3</v>
      </c>
      <c r="D134" s="129" t="s">
        <v>156</v>
      </c>
      <c r="E134" s="129" t="s">
        <v>162</v>
      </c>
      <c r="F134" s="129">
        <v>92026</v>
      </c>
      <c r="G134" s="129">
        <v>92152</v>
      </c>
      <c r="H134" s="130">
        <v>84</v>
      </c>
      <c r="I134" s="129" t="s">
        <v>449</v>
      </c>
      <c r="J134" s="130">
        <v>8</v>
      </c>
      <c r="K134" s="131"/>
      <c r="L134" s="131" t="s">
        <v>3</v>
      </c>
      <c r="M134" s="131" t="s">
        <v>325</v>
      </c>
      <c r="N134" s="131" t="s">
        <v>323</v>
      </c>
      <c r="O134" s="56">
        <f>VLOOKUP($F134,'ZipCode Coordinates'!$A:$E,4,FALSE)</f>
        <v>2022480</v>
      </c>
      <c r="P134" s="56">
        <f>VLOOKUP($F134,'ZipCode Coordinates'!$A:$E,5,FALSE)</f>
        <v>6297420</v>
      </c>
      <c r="Q134" s="56">
        <f>VLOOKUP($G134,'ZipCode Coordinates'!$A:$E,4,FALSE)</f>
        <v>1833340</v>
      </c>
      <c r="R134" s="56">
        <f>VLOOKUP($G134,'ZipCode Coordinates'!$A:$E,5,FALSE)</f>
        <v>6255150</v>
      </c>
      <c r="S134" s="352" t="str">
        <f>IFERROR(VLOOKUP($M134,'External Gateways'!$C$6:$F$10,2,FALSE),"")</f>
        <v/>
      </c>
      <c r="T134" s="56">
        <f>IFERROR(VLOOKUP($M134,'External Gateways'!$C$6:$F$10,3,FALSE),O134)</f>
        <v>2022480</v>
      </c>
      <c r="U134" s="56">
        <f>IFERROR(VLOOKUP($M134,'External Gateways'!$C$6:$F$10,4,FALSE),P134)</f>
        <v>6297420</v>
      </c>
      <c r="V134" s="353">
        <f t="shared" si="4"/>
        <v>0</v>
      </c>
      <c r="W134" s="353">
        <f t="shared" si="5"/>
        <v>84</v>
      </c>
    </row>
    <row r="135" spans="1:23" ht="15" customHeight="1" x14ac:dyDescent="0.25">
      <c r="A135" s="128">
        <v>820</v>
      </c>
      <c r="B135" s="129" t="s">
        <v>315</v>
      </c>
      <c r="C135" s="128" t="s">
        <v>68</v>
      </c>
      <c r="D135" s="129" t="s">
        <v>158</v>
      </c>
      <c r="E135" s="129" t="s">
        <v>162</v>
      </c>
      <c r="F135" s="129">
        <v>92562</v>
      </c>
      <c r="G135" s="129">
        <v>92154</v>
      </c>
      <c r="H135" s="130">
        <v>166</v>
      </c>
      <c r="I135" s="129" t="s">
        <v>480</v>
      </c>
      <c r="J135" s="130">
        <v>10</v>
      </c>
      <c r="K135" s="131"/>
      <c r="L135" s="131" t="s">
        <v>68</v>
      </c>
      <c r="M135" s="131" t="s">
        <v>402</v>
      </c>
      <c r="N135" s="131" t="s">
        <v>328</v>
      </c>
      <c r="O135" s="56">
        <f>VLOOKUP($F135,'ZipCode Coordinates'!$A:$E,4,FALSE)</f>
        <v>2144470</v>
      </c>
      <c r="P135" s="56">
        <f>VLOOKUP($F135,'ZipCode Coordinates'!$A:$E,5,FALSE)</f>
        <v>6251450</v>
      </c>
      <c r="Q135" s="56">
        <f>VLOOKUP($G135,'ZipCode Coordinates'!$A:$E,4,FALSE)</f>
        <v>1787080</v>
      </c>
      <c r="R135" s="56">
        <f>VLOOKUP($G135,'ZipCode Coordinates'!$A:$E,5,FALSE)</f>
        <v>6330680</v>
      </c>
      <c r="S135" s="352" t="str">
        <f>IFERROR(VLOOKUP($M135,'External Gateways'!$C$6:$F$10,2,FALSE),"")</f>
        <v>I-15</v>
      </c>
      <c r="T135" s="56">
        <f>IFERROR(VLOOKUP($M135,'External Gateways'!$C$6:$F$10,3,FALSE),O135)</f>
        <v>2102195</v>
      </c>
      <c r="U135" s="56">
        <f>IFERROR(VLOOKUP($M135,'External Gateways'!$C$6:$F$10,4,FALSE),P135)</f>
        <v>6289147</v>
      </c>
      <c r="V135" s="353">
        <f t="shared" si="4"/>
        <v>10.727523233277124</v>
      </c>
      <c r="W135" s="353">
        <f t="shared" si="5"/>
        <v>144.54495353344575</v>
      </c>
    </row>
    <row r="136" spans="1:23" ht="15" customHeight="1" x14ac:dyDescent="0.25">
      <c r="A136" s="128">
        <v>823</v>
      </c>
      <c r="B136" s="129" t="s">
        <v>226</v>
      </c>
      <c r="C136" s="128" t="s">
        <v>198</v>
      </c>
      <c r="D136" s="129" t="s">
        <v>162</v>
      </c>
      <c r="E136" s="129" t="s">
        <v>197</v>
      </c>
      <c r="F136" s="129">
        <v>92129</v>
      </c>
      <c r="G136" s="129">
        <v>92056</v>
      </c>
      <c r="H136" s="130">
        <v>62</v>
      </c>
      <c r="I136" s="129" t="s">
        <v>401</v>
      </c>
      <c r="J136" s="130">
        <v>7</v>
      </c>
      <c r="K136" s="131"/>
      <c r="L136" s="131" t="s">
        <v>5</v>
      </c>
      <c r="M136" s="131" t="s">
        <v>327</v>
      </c>
      <c r="N136" s="131" t="s">
        <v>324</v>
      </c>
      <c r="O136" s="56">
        <f>VLOOKUP($F136,'ZipCode Coordinates'!$A:$E,4,FALSE)</f>
        <v>1931860</v>
      </c>
      <c r="P136" s="56">
        <f>VLOOKUP($F136,'ZipCode Coordinates'!$A:$E,5,FALSE)</f>
        <v>6293150</v>
      </c>
      <c r="Q136" s="56">
        <f>VLOOKUP($G136,'ZipCode Coordinates'!$A:$E,4,FALSE)</f>
        <v>2018560</v>
      </c>
      <c r="R136" s="56">
        <f>VLOOKUP($G136,'ZipCode Coordinates'!$A:$E,5,FALSE)</f>
        <v>6243750</v>
      </c>
      <c r="S136" s="352" t="str">
        <f>IFERROR(VLOOKUP($M136,'External Gateways'!$C$6:$F$10,2,FALSE),"")</f>
        <v/>
      </c>
      <c r="T136" s="56">
        <f>IFERROR(VLOOKUP($M136,'External Gateways'!$C$6:$F$10,3,FALSE),O136)</f>
        <v>1931860</v>
      </c>
      <c r="U136" s="56">
        <f>IFERROR(VLOOKUP($M136,'External Gateways'!$C$6:$F$10,4,FALSE),P136)</f>
        <v>6293150</v>
      </c>
      <c r="V136" s="353">
        <f t="shared" si="4"/>
        <v>0</v>
      </c>
      <c r="W136" s="353">
        <f t="shared" si="5"/>
        <v>62</v>
      </c>
    </row>
    <row r="137" spans="1:23" ht="15" customHeight="1" x14ac:dyDescent="0.25">
      <c r="A137" s="128">
        <v>847</v>
      </c>
      <c r="B137" s="129" t="s">
        <v>218</v>
      </c>
      <c r="C137" s="128" t="s">
        <v>68</v>
      </c>
      <c r="D137" s="129" t="s">
        <v>154</v>
      </c>
      <c r="E137" s="129" t="s">
        <v>162</v>
      </c>
      <c r="F137" s="129">
        <v>92592</v>
      </c>
      <c r="G137" s="129">
        <v>92161</v>
      </c>
      <c r="H137" s="130">
        <v>138</v>
      </c>
      <c r="I137" s="129" t="s">
        <v>401</v>
      </c>
      <c r="J137" s="130">
        <v>7</v>
      </c>
      <c r="K137" s="131">
        <v>2</v>
      </c>
      <c r="L137" s="131" t="s">
        <v>68</v>
      </c>
      <c r="M137" s="131" t="s">
        <v>402</v>
      </c>
      <c r="N137" s="131" t="s">
        <v>327</v>
      </c>
      <c r="O137" s="56">
        <f>VLOOKUP($F137,'ZipCode Coordinates'!$A:$E,4,FALSE)</f>
        <v>2128740</v>
      </c>
      <c r="P137" s="56">
        <f>VLOOKUP($F137,'ZipCode Coordinates'!$A:$E,5,FALSE)</f>
        <v>6328900</v>
      </c>
      <c r="Q137" s="56">
        <f>VLOOKUP($G137,'ZipCode Coordinates'!$A:$E,4,FALSE)</f>
        <v>1899477</v>
      </c>
      <c r="R137" s="56">
        <f>VLOOKUP($G137,'ZipCode Coordinates'!$A:$E,5,FALSE)</f>
        <v>6258957</v>
      </c>
      <c r="S137" s="352" t="str">
        <f>IFERROR(VLOOKUP($M137,'External Gateways'!$C$6:$F$10,2,FALSE),"")</f>
        <v>I-15</v>
      </c>
      <c r="T137" s="56">
        <f>IFERROR(VLOOKUP($M137,'External Gateways'!$C$6:$F$10,3,FALSE),O137)</f>
        <v>2102195</v>
      </c>
      <c r="U137" s="56">
        <f>IFERROR(VLOOKUP($M137,'External Gateways'!$C$6:$F$10,4,FALSE),P137)</f>
        <v>6289147</v>
      </c>
      <c r="V137" s="353">
        <f t="shared" si="4"/>
        <v>9.0532245169037147</v>
      </c>
      <c r="W137" s="353">
        <f t="shared" si="5"/>
        <v>119.89355096619258</v>
      </c>
    </row>
    <row r="138" spans="1:23" ht="15" customHeight="1" x14ac:dyDescent="0.25">
      <c r="A138" s="128">
        <v>870</v>
      </c>
      <c r="B138" s="129" t="s">
        <v>271</v>
      </c>
      <c r="C138" s="128" t="s">
        <v>166</v>
      </c>
      <c r="D138" s="129" t="s">
        <v>158</v>
      </c>
      <c r="E138" s="129" t="s">
        <v>162</v>
      </c>
      <c r="F138" s="129">
        <v>92563</v>
      </c>
      <c r="G138" s="129">
        <v>92128</v>
      </c>
      <c r="H138" s="130">
        <v>110</v>
      </c>
      <c r="I138" s="129" t="s">
        <v>498</v>
      </c>
      <c r="J138" s="130">
        <v>8</v>
      </c>
      <c r="K138" s="131"/>
      <c r="L138" s="131" t="s">
        <v>5</v>
      </c>
      <c r="M138" s="131" t="s">
        <v>402</v>
      </c>
      <c r="N138" s="131" t="s">
        <v>327</v>
      </c>
      <c r="O138" s="56">
        <f>VLOOKUP($F138,'ZipCode Coordinates'!$A:$E,4,FALSE)</f>
        <v>2156450</v>
      </c>
      <c r="P138" s="56">
        <f>VLOOKUP($F138,'ZipCode Coordinates'!$A:$E,5,FALSE)</f>
        <v>6288710</v>
      </c>
      <c r="Q138" s="56">
        <f>VLOOKUP($G138,'ZipCode Coordinates'!$A:$E,4,FALSE)</f>
        <v>1943580</v>
      </c>
      <c r="R138" s="56">
        <f>VLOOKUP($G138,'ZipCode Coordinates'!$A:$E,5,FALSE)</f>
        <v>6309440</v>
      </c>
      <c r="S138" s="352" t="str">
        <f>IFERROR(VLOOKUP($M138,'External Gateways'!$C$6:$F$10,2,FALSE),"")</f>
        <v>I-15</v>
      </c>
      <c r="T138" s="56">
        <f>IFERROR(VLOOKUP($M138,'External Gateways'!$C$6:$F$10,3,FALSE),O138)</f>
        <v>2102195</v>
      </c>
      <c r="U138" s="56">
        <f>IFERROR(VLOOKUP($M138,'External Gateways'!$C$6:$F$10,4,FALSE),P138)</f>
        <v>6289147</v>
      </c>
      <c r="V138" s="353">
        <f t="shared" si="4"/>
        <v>10.275901494735123</v>
      </c>
      <c r="W138" s="353">
        <f t="shared" si="5"/>
        <v>89.448197010529753</v>
      </c>
    </row>
    <row r="139" spans="1:23" ht="15" customHeight="1" x14ac:dyDescent="0.25">
      <c r="A139" s="128">
        <v>874</v>
      </c>
      <c r="B139" s="129" t="s">
        <v>307</v>
      </c>
      <c r="C139" s="128" t="s">
        <v>3</v>
      </c>
      <c r="D139" s="129" t="s">
        <v>158</v>
      </c>
      <c r="E139" s="129" t="s">
        <v>162</v>
      </c>
      <c r="F139" s="129">
        <v>92562</v>
      </c>
      <c r="G139" s="129">
        <v>92152</v>
      </c>
      <c r="H139" s="130">
        <v>120</v>
      </c>
      <c r="I139" s="129" t="s">
        <v>448</v>
      </c>
      <c r="J139" s="130">
        <v>10</v>
      </c>
      <c r="K139" s="131">
        <v>2</v>
      </c>
      <c r="L139" s="131" t="s">
        <v>3</v>
      </c>
      <c r="M139" s="131" t="s">
        <v>402</v>
      </c>
      <c r="N139" s="131" t="s">
        <v>323</v>
      </c>
      <c r="O139" s="56">
        <f>VLOOKUP($F139,'ZipCode Coordinates'!$A:$E,4,FALSE)</f>
        <v>2144470</v>
      </c>
      <c r="P139" s="56">
        <f>VLOOKUP($F139,'ZipCode Coordinates'!$A:$E,5,FALSE)</f>
        <v>6251450</v>
      </c>
      <c r="Q139" s="56">
        <f>VLOOKUP($G139,'ZipCode Coordinates'!$A:$E,4,FALSE)</f>
        <v>1833340</v>
      </c>
      <c r="R139" s="56">
        <f>VLOOKUP($G139,'ZipCode Coordinates'!$A:$E,5,FALSE)</f>
        <v>6255150</v>
      </c>
      <c r="S139" s="352" t="str">
        <f>IFERROR(VLOOKUP($M139,'External Gateways'!$C$6:$F$10,2,FALSE),"")</f>
        <v>I-15</v>
      </c>
      <c r="T139" s="56">
        <f>IFERROR(VLOOKUP($M139,'External Gateways'!$C$6:$F$10,3,FALSE),O139)</f>
        <v>2102195</v>
      </c>
      <c r="U139" s="56">
        <f>IFERROR(VLOOKUP($M139,'External Gateways'!$C$6:$F$10,4,FALSE),P139)</f>
        <v>6289147</v>
      </c>
      <c r="V139" s="353">
        <f t="shared" si="4"/>
        <v>10.727523233277124</v>
      </c>
      <c r="W139" s="353">
        <f t="shared" si="5"/>
        <v>98.544953533445749</v>
      </c>
    </row>
    <row r="140" spans="1:23" ht="15" customHeight="1" x14ac:dyDescent="0.25">
      <c r="A140" s="128">
        <v>875</v>
      </c>
      <c r="B140" s="129" t="s">
        <v>451</v>
      </c>
      <c r="C140" s="128" t="s">
        <v>3</v>
      </c>
      <c r="D140" s="129" t="s">
        <v>154</v>
      </c>
      <c r="E140" s="129" t="s">
        <v>162</v>
      </c>
      <c r="F140" s="129">
        <v>92592</v>
      </c>
      <c r="G140" s="129">
        <v>92136</v>
      </c>
      <c r="H140" s="130">
        <v>160</v>
      </c>
      <c r="I140" s="129" t="s">
        <v>408</v>
      </c>
      <c r="J140" s="130">
        <v>7</v>
      </c>
      <c r="K140" s="131"/>
      <c r="L140" s="131" t="s">
        <v>3</v>
      </c>
      <c r="M140" s="131" t="s">
        <v>402</v>
      </c>
      <c r="N140" s="131" t="s">
        <v>323</v>
      </c>
      <c r="O140" s="56">
        <f>VLOOKUP($F140,'ZipCode Coordinates'!$A:$E,4,FALSE)</f>
        <v>2128740</v>
      </c>
      <c r="P140" s="56">
        <f>VLOOKUP($F140,'ZipCode Coordinates'!$A:$E,5,FALSE)</f>
        <v>6328900</v>
      </c>
      <c r="Q140" s="56">
        <f>VLOOKUP($G140,'ZipCode Coordinates'!$A:$E,4,FALSE)</f>
        <v>1828370</v>
      </c>
      <c r="R140" s="56">
        <f>VLOOKUP($G140,'ZipCode Coordinates'!$A:$E,5,FALSE)</f>
        <v>6293940</v>
      </c>
      <c r="S140" s="352" t="str">
        <f>IFERROR(VLOOKUP($M140,'External Gateways'!$C$6:$F$10,2,FALSE),"")</f>
        <v>I-15</v>
      </c>
      <c r="T140" s="56">
        <f>IFERROR(VLOOKUP($M140,'External Gateways'!$C$6:$F$10,3,FALSE),O140)</f>
        <v>2102195</v>
      </c>
      <c r="U140" s="56">
        <f>IFERROR(VLOOKUP($M140,'External Gateways'!$C$6:$F$10,4,FALSE),P140)</f>
        <v>6289147</v>
      </c>
      <c r="V140" s="353">
        <f t="shared" si="4"/>
        <v>9.0532245169037147</v>
      </c>
      <c r="W140" s="353">
        <f t="shared" si="5"/>
        <v>141.89355096619258</v>
      </c>
    </row>
    <row r="141" spans="1:23" ht="15" customHeight="1" x14ac:dyDescent="0.25">
      <c r="A141" s="128">
        <v>893</v>
      </c>
      <c r="B141" s="129" t="s">
        <v>82</v>
      </c>
      <c r="C141" s="128" t="s">
        <v>3</v>
      </c>
      <c r="D141" s="129" t="s">
        <v>161</v>
      </c>
      <c r="E141" s="129" t="s">
        <v>82</v>
      </c>
      <c r="F141" s="129">
        <v>92596</v>
      </c>
      <c r="G141" s="129">
        <v>92055</v>
      </c>
      <c r="H141" s="130">
        <v>119</v>
      </c>
      <c r="I141" s="129" t="s">
        <v>423</v>
      </c>
      <c r="J141" s="130">
        <v>8</v>
      </c>
      <c r="K141" s="131"/>
      <c r="L141" s="131" t="s">
        <v>3</v>
      </c>
      <c r="M141" s="131" t="s">
        <v>402</v>
      </c>
      <c r="N141" s="131" t="s">
        <v>324</v>
      </c>
      <c r="O141" s="56">
        <f>VLOOKUP($F141,'ZipCode Coordinates'!$A:$E,4,FALSE)</f>
        <v>2177700</v>
      </c>
      <c r="P141" s="56">
        <f>VLOOKUP($F141,'ZipCode Coordinates'!$A:$E,5,FALSE)</f>
        <v>6311340</v>
      </c>
      <c r="Q141" s="56">
        <f>VLOOKUP($G141,'ZipCode Coordinates'!$A:$E,4,FALSE)</f>
        <v>2082470</v>
      </c>
      <c r="R141" s="56">
        <f>VLOOKUP($G141,'ZipCode Coordinates'!$A:$E,5,FALSE)</f>
        <v>6206470</v>
      </c>
      <c r="S141" s="352" t="str">
        <f>IFERROR(VLOOKUP($M141,'External Gateways'!$C$6:$F$10,2,FALSE),"")</f>
        <v>I-15</v>
      </c>
      <c r="T141" s="56">
        <f>IFERROR(VLOOKUP($M141,'External Gateways'!$C$6:$F$10,3,FALSE),O141)</f>
        <v>2102195</v>
      </c>
      <c r="U141" s="56">
        <f>IFERROR(VLOOKUP($M141,'External Gateways'!$C$6:$F$10,4,FALSE),P141)</f>
        <v>6289147</v>
      </c>
      <c r="V141" s="353">
        <f t="shared" si="4"/>
        <v>14.905115649451727</v>
      </c>
      <c r="W141" s="353">
        <f t="shared" si="5"/>
        <v>89.18976870109654</v>
      </c>
    </row>
    <row r="142" spans="1:23" ht="15" customHeight="1" x14ac:dyDescent="0.25">
      <c r="A142" s="128">
        <v>896</v>
      </c>
      <c r="B142" s="129" t="s">
        <v>315</v>
      </c>
      <c r="C142" s="128" t="s">
        <v>68</v>
      </c>
      <c r="D142" s="129" t="s">
        <v>154</v>
      </c>
      <c r="E142" s="129" t="s">
        <v>174</v>
      </c>
      <c r="F142" s="129">
        <v>92592</v>
      </c>
      <c r="G142" s="129">
        <v>92173</v>
      </c>
      <c r="H142" s="130">
        <v>224</v>
      </c>
      <c r="I142" s="129" t="s">
        <v>419</v>
      </c>
      <c r="J142" s="130">
        <v>7</v>
      </c>
      <c r="K142" s="131"/>
      <c r="L142" s="131" t="s">
        <v>68</v>
      </c>
      <c r="M142" s="131" t="s">
        <v>402</v>
      </c>
      <c r="N142" s="131" t="s">
        <v>328</v>
      </c>
      <c r="O142" s="56">
        <f>VLOOKUP($F142,'ZipCode Coordinates'!$A:$E,4,FALSE)</f>
        <v>2128740</v>
      </c>
      <c r="P142" s="56">
        <f>VLOOKUP($F142,'ZipCode Coordinates'!$A:$E,5,FALSE)</f>
        <v>6328900</v>
      </c>
      <c r="Q142" s="56">
        <f>VLOOKUP($G142,'ZipCode Coordinates'!$A:$E,4,FALSE)</f>
        <v>1782600</v>
      </c>
      <c r="R142" s="56">
        <f>VLOOKUP($G142,'ZipCode Coordinates'!$A:$E,5,FALSE)</f>
        <v>6315070</v>
      </c>
      <c r="S142" s="352" t="str">
        <f>IFERROR(VLOOKUP($M142,'External Gateways'!$C$6:$F$10,2,FALSE),"")</f>
        <v>I-15</v>
      </c>
      <c r="T142" s="56">
        <f>IFERROR(VLOOKUP($M142,'External Gateways'!$C$6:$F$10,3,FALSE),O142)</f>
        <v>2102195</v>
      </c>
      <c r="U142" s="56">
        <f>IFERROR(VLOOKUP($M142,'External Gateways'!$C$6:$F$10,4,FALSE),P142)</f>
        <v>6289147</v>
      </c>
      <c r="V142" s="353">
        <f t="shared" si="4"/>
        <v>9.0532245169037147</v>
      </c>
      <c r="W142" s="353">
        <f t="shared" si="5"/>
        <v>205.89355096619258</v>
      </c>
    </row>
    <row r="143" spans="1:23" ht="15" customHeight="1" x14ac:dyDescent="0.25">
      <c r="A143" s="128">
        <v>902</v>
      </c>
      <c r="B143" s="129" t="s">
        <v>263</v>
      </c>
      <c r="C143" s="128" t="s">
        <v>166</v>
      </c>
      <c r="D143" s="129" t="s">
        <v>160</v>
      </c>
      <c r="E143" s="129" t="s">
        <v>162</v>
      </c>
      <c r="F143" s="129">
        <v>92583</v>
      </c>
      <c r="G143" s="129">
        <v>92113</v>
      </c>
      <c r="H143" s="130">
        <v>185</v>
      </c>
      <c r="I143" s="129" t="s">
        <v>475</v>
      </c>
      <c r="J143" s="130">
        <v>10</v>
      </c>
      <c r="K143" s="131"/>
      <c r="L143" s="131" t="s">
        <v>5</v>
      </c>
      <c r="M143" s="131" t="s">
        <v>402</v>
      </c>
      <c r="N143" s="131" t="s">
        <v>323</v>
      </c>
      <c r="O143" s="56">
        <f>VLOOKUP($F143,'ZipCode Coordinates'!$A:$E,4,FALSE)</f>
        <v>2232550</v>
      </c>
      <c r="P143" s="56">
        <f>VLOOKUP($F143,'ZipCode Coordinates'!$A:$E,5,FALSE)</f>
        <v>6358050</v>
      </c>
      <c r="Q143" s="56">
        <f>VLOOKUP($G143,'ZipCode Coordinates'!$A:$E,4,FALSE)</f>
        <v>1834470</v>
      </c>
      <c r="R143" s="56">
        <f>VLOOKUP($G143,'ZipCode Coordinates'!$A:$E,5,FALSE)</f>
        <v>6294590</v>
      </c>
      <c r="S143" s="352" t="str">
        <f>IFERROR(VLOOKUP($M143,'External Gateways'!$C$6:$F$10,2,FALSE),"")</f>
        <v>I-15</v>
      </c>
      <c r="T143" s="56">
        <f>IFERROR(VLOOKUP($M143,'External Gateways'!$C$6:$F$10,3,FALSE),O143)</f>
        <v>2102195</v>
      </c>
      <c r="U143" s="56">
        <f>IFERROR(VLOOKUP($M143,'External Gateways'!$C$6:$F$10,4,FALSE),P143)</f>
        <v>6289147</v>
      </c>
      <c r="V143" s="353">
        <f t="shared" si="4"/>
        <v>27.925203143927018</v>
      </c>
      <c r="W143" s="353">
        <f t="shared" si="5"/>
        <v>129.14959371214596</v>
      </c>
    </row>
    <row r="144" spans="1:23" ht="15" customHeight="1" x14ac:dyDescent="0.25">
      <c r="A144" s="128">
        <v>919</v>
      </c>
      <c r="B144" s="129" t="s">
        <v>258</v>
      </c>
      <c r="C144" s="128" t="s">
        <v>3</v>
      </c>
      <c r="D144" s="129" t="s">
        <v>158</v>
      </c>
      <c r="E144" s="129" t="s">
        <v>162</v>
      </c>
      <c r="F144" s="129">
        <v>92563</v>
      </c>
      <c r="G144" s="129">
        <v>92135</v>
      </c>
      <c r="H144" s="130">
        <v>162</v>
      </c>
      <c r="I144" s="129" t="s">
        <v>446</v>
      </c>
      <c r="J144" s="130">
        <v>10</v>
      </c>
      <c r="K144" s="131"/>
      <c r="L144" s="131" t="s">
        <v>3</v>
      </c>
      <c r="M144" s="131" t="s">
        <v>402</v>
      </c>
      <c r="N144" s="131" t="s">
        <v>323</v>
      </c>
      <c r="O144" s="56">
        <f>VLOOKUP($F144,'ZipCode Coordinates'!$A:$E,4,FALSE)</f>
        <v>2156450</v>
      </c>
      <c r="P144" s="56">
        <f>VLOOKUP($F144,'ZipCode Coordinates'!$A:$E,5,FALSE)</f>
        <v>6288710</v>
      </c>
      <c r="Q144" s="56">
        <f>VLOOKUP($G144,'ZipCode Coordinates'!$A:$E,4,FALSE)</f>
        <v>1835720</v>
      </c>
      <c r="R144" s="56">
        <f>VLOOKUP($G144,'ZipCode Coordinates'!$A:$E,5,FALSE)</f>
        <v>6266670</v>
      </c>
      <c r="S144" s="352" t="str">
        <f>IFERROR(VLOOKUP($M144,'External Gateways'!$C$6:$F$10,2,FALSE),"")</f>
        <v>I-15</v>
      </c>
      <c r="T144" s="56">
        <f>IFERROR(VLOOKUP($M144,'External Gateways'!$C$6:$F$10,3,FALSE),O144)</f>
        <v>2102195</v>
      </c>
      <c r="U144" s="56">
        <f>IFERROR(VLOOKUP($M144,'External Gateways'!$C$6:$F$10,4,FALSE),P144)</f>
        <v>6289147</v>
      </c>
      <c r="V144" s="353">
        <f t="shared" si="4"/>
        <v>10.275901494735123</v>
      </c>
      <c r="W144" s="353">
        <f t="shared" si="5"/>
        <v>141.44819701052975</v>
      </c>
    </row>
    <row r="145" spans="1:23" ht="15" customHeight="1" x14ac:dyDescent="0.25">
      <c r="A145" s="128">
        <v>921</v>
      </c>
      <c r="B145" s="129" t="s">
        <v>199</v>
      </c>
      <c r="C145" s="128" t="s">
        <v>198</v>
      </c>
      <c r="D145" s="129" t="s">
        <v>154</v>
      </c>
      <c r="E145" s="129" t="s">
        <v>162</v>
      </c>
      <c r="F145" s="129">
        <v>92592</v>
      </c>
      <c r="G145" s="129">
        <v>92121</v>
      </c>
      <c r="H145" s="130">
        <v>135</v>
      </c>
      <c r="I145" s="129" t="s">
        <v>468</v>
      </c>
      <c r="J145" s="130">
        <v>7</v>
      </c>
      <c r="K145" s="131"/>
      <c r="L145" s="131" t="s">
        <v>5</v>
      </c>
      <c r="M145" s="131" t="s">
        <v>402</v>
      </c>
      <c r="N145" s="131" t="s">
        <v>327</v>
      </c>
      <c r="O145" s="56">
        <f>VLOOKUP($F145,'ZipCode Coordinates'!$A:$E,4,FALSE)</f>
        <v>2128740</v>
      </c>
      <c r="P145" s="56">
        <f>VLOOKUP($F145,'ZipCode Coordinates'!$A:$E,5,FALSE)</f>
        <v>6328900</v>
      </c>
      <c r="Q145" s="56">
        <f>VLOOKUP($G145,'ZipCode Coordinates'!$A:$E,4,FALSE)</f>
        <v>1907910</v>
      </c>
      <c r="R145" s="56">
        <f>VLOOKUP($G145,'ZipCode Coordinates'!$A:$E,5,FALSE)</f>
        <v>6269540</v>
      </c>
      <c r="S145" s="352" t="str">
        <f>IFERROR(VLOOKUP($M145,'External Gateways'!$C$6:$F$10,2,FALSE),"")</f>
        <v>I-15</v>
      </c>
      <c r="T145" s="56">
        <f>IFERROR(VLOOKUP($M145,'External Gateways'!$C$6:$F$10,3,FALSE),O145)</f>
        <v>2102195</v>
      </c>
      <c r="U145" s="56">
        <f>IFERROR(VLOOKUP($M145,'External Gateways'!$C$6:$F$10,4,FALSE),P145)</f>
        <v>6289147</v>
      </c>
      <c r="V145" s="353">
        <f t="shared" si="4"/>
        <v>9.0532245169037147</v>
      </c>
      <c r="W145" s="353">
        <f t="shared" si="5"/>
        <v>116.89355096619258</v>
      </c>
    </row>
    <row r="146" spans="1:23" ht="15" customHeight="1" x14ac:dyDescent="0.25">
      <c r="A146" s="128">
        <v>930</v>
      </c>
      <c r="B146" s="129" t="s">
        <v>315</v>
      </c>
      <c r="C146" s="128" t="s">
        <v>68</v>
      </c>
      <c r="D146" s="129" t="s">
        <v>196</v>
      </c>
      <c r="E146" s="129" t="s">
        <v>425</v>
      </c>
      <c r="F146" s="129">
        <v>92021</v>
      </c>
      <c r="G146" s="129">
        <v>91906</v>
      </c>
      <c r="H146" s="130">
        <v>148</v>
      </c>
      <c r="I146" s="129" t="s">
        <v>441</v>
      </c>
      <c r="J146" s="130">
        <v>8</v>
      </c>
      <c r="K146" s="131"/>
      <c r="L146" s="131" t="s">
        <v>68</v>
      </c>
      <c r="M146" s="131" t="s">
        <v>326</v>
      </c>
      <c r="N146" s="131" t="s">
        <v>329</v>
      </c>
      <c r="O146" s="56">
        <f>VLOOKUP($F146,'ZipCode Coordinates'!$A:$E,4,FALSE)</f>
        <v>1885700</v>
      </c>
      <c r="P146" s="56">
        <f>VLOOKUP($F146,'ZipCode Coordinates'!$A:$E,5,FALSE)</f>
        <v>6371420</v>
      </c>
      <c r="Q146" s="56">
        <f>VLOOKUP($G146,'ZipCode Coordinates'!$A:$E,4,FALSE)</f>
        <v>1833150</v>
      </c>
      <c r="R146" s="56">
        <f>VLOOKUP($G146,'ZipCode Coordinates'!$A:$E,5,FALSE)</f>
        <v>6479630</v>
      </c>
      <c r="S146" s="352" t="str">
        <f>IFERROR(VLOOKUP($M146,'External Gateways'!$C$6:$F$10,2,FALSE),"")</f>
        <v/>
      </c>
      <c r="T146" s="56">
        <f>IFERROR(VLOOKUP($M146,'External Gateways'!$C$6:$F$10,3,FALSE),O146)</f>
        <v>1885700</v>
      </c>
      <c r="U146" s="56">
        <f>IFERROR(VLOOKUP($M146,'External Gateways'!$C$6:$F$10,4,FALSE),P146)</f>
        <v>6371420</v>
      </c>
      <c r="V146" s="353">
        <f t="shared" si="4"/>
        <v>0</v>
      </c>
      <c r="W146" s="353">
        <f t="shared" si="5"/>
        <v>148</v>
      </c>
    </row>
    <row r="147" spans="1:23" ht="15" customHeight="1" x14ac:dyDescent="0.25">
      <c r="A147" s="128">
        <v>963</v>
      </c>
      <c r="B147" s="129" t="s">
        <v>270</v>
      </c>
      <c r="C147" s="128" t="s">
        <v>3</v>
      </c>
      <c r="D147" s="129" t="s">
        <v>154</v>
      </c>
      <c r="E147" s="129" t="s">
        <v>162</v>
      </c>
      <c r="F147" s="129">
        <v>92592</v>
      </c>
      <c r="G147" s="129">
        <v>92132</v>
      </c>
      <c r="H147" s="130">
        <v>119</v>
      </c>
      <c r="I147" s="129" t="s">
        <v>412</v>
      </c>
      <c r="J147" s="130">
        <v>10</v>
      </c>
      <c r="K147" s="131">
        <v>2</v>
      </c>
      <c r="L147" s="131" t="s">
        <v>3</v>
      </c>
      <c r="M147" s="131" t="s">
        <v>402</v>
      </c>
      <c r="N147" s="131" t="s">
        <v>323</v>
      </c>
      <c r="O147" s="56">
        <f>VLOOKUP($F147,'ZipCode Coordinates'!$A:$E,4,FALSE)</f>
        <v>2128740</v>
      </c>
      <c r="P147" s="56">
        <f>VLOOKUP($F147,'ZipCode Coordinates'!$A:$E,5,FALSE)</f>
        <v>6328900</v>
      </c>
      <c r="Q147" s="56">
        <f>VLOOKUP($G147,'ZipCode Coordinates'!$A:$E,4,FALSE)</f>
        <v>1842732</v>
      </c>
      <c r="R147" s="56">
        <f>VLOOKUP($G147,'ZipCode Coordinates'!$A:$E,5,FALSE)</f>
        <v>6278505</v>
      </c>
      <c r="S147" s="352" t="str">
        <f>IFERROR(VLOOKUP($M147,'External Gateways'!$C$6:$F$10,2,FALSE),"")</f>
        <v>I-15</v>
      </c>
      <c r="T147" s="56">
        <f>IFERROR(VLOOKUP($M147,'External Gateways'!$C$6:$F$10,3,FALSE),O147)</f>
        <v>2102195</v>
      </c>
      <c r="U147" s="56">
        <f>IFERROR(VLOOKUP($M147,'External Gateways'!$C$6:$F$10,4,FALSE),P147)</f>
        <v>6289147</v>
      </c>
      <c r="V147" s="353">
        <f t="shared" si="4"/>
        <v>9.0532245169037147</v>
      </c>
      <c r="W147" s="353">
        <f t="shared" si="5"/>
        <v>100.89355096619258</v>
      </c>
    </row>
    <row r="148" spans="1:23" ht="15" customHeight="1" x14ac:dyDescent="0.25">
      <c r="A148" s="128">
        <v>967</v>
      </c>
      <c r="B148" s="129" t="s">
        <v>307</v>
      </c>
      <c r="C148" s="128" t="s">
        <v>3</v>
      </c>
      <c r="D148" s="129" t="s">
        <v>158</v>
      </c>
      <c r="E148" s="129" t="s">
        <v>162</v>
      </c>
      <c r="F148" s="129">
        <v>92563</v>
      </c>
      <c r="G148" s="129">
        <v>92152</v>
      </c>
      <c r="H148" s="130">
        <v>143</v>
      </c>
      <c r="I148" s="129" t="s">
        <v>422</v>
      </c>
      <c r="J148" s="130">
        <v>8</v>
      </c>
      <c r="K148" s="131"/>
      <c r="L148" s="131" t="s">
        <v>3</v>
      </c>
      <c r="M148" s="131" t="s">
        <v>402</v>
      </c>
      <c r="N148" s="131" t="s">
        <v>323</v>
      </c>
      <c r="O148" s="56">
        <f>VLOOKUP($F148,'ZipCode Coordinates'!$A:$E,4,FALSE)</f>
        <v>2156450</v>
      </c>
      <c r="P148" s="56">
        <f>VLOOKUP($F148,'ZipCode Coordinates'!$A:$E,5,FALSE)</f>
        <v>6288710</v>
      </c>
      <c r="Q148" s="56">
        <f>VLOOKUP($G148,'ZipCode Coordinates'!$A:$E,4,FALSE)</f>
        <v>1833340</v>
      </c>
      <c r="R148" s="56">
        <f>VLOOKUP($G148,'ZipCode Coordinates'!$A:$E,5,FALSE)</f>
        <v>6255150</v>
      </c>
      <c r="S148" s="352" t="str">
        <f>IFERROR(VLOOKUP($M148,'External Gateways'!$C$6:$F$10,2,FALSE),"")</f>
        <v>I-15</v>
      </c>
      <c r="T148" s="56">
        <f>IFERROR(VLOOKUP($M148,'External Gateways'!$C$6:$F$10,3,FALSE),O148)</f>
        <v>2102195</v>
      </c>
      <c r="U148" s="56">
        <f>IFERROR(VLOOKUP($M148,'External Gateways'!$C$6:$F$10,4,FALSE),P148)</f>
        <v>6289147</v>
      </c>
      <c r="V148" s="353">
        <f t="shared" si="4"/>
        <v>10.275901494735123</v>
      </c>
      <c r="W148" s="353">
        <f t="shared" si="5"/>
        <v>122.44819701052975</v>
      </c>
    </row>
    <row r="149" spans="1:23" ht="15" customHeight="1" x14ac:dyDescent="0.25">
      <c r="A149" s="128">
        <v>970</v>
      </c>
      <c r="B149" s="129" t="s">
        <v>218</v>
      </c>
      <c r="C149" s="128" t="s">
        <v>68</v>
      </c>
      <c r="D149" s="129" t="s">
        <v>154</v>
      </c>
      <c r="E149" s="129" t="s">
        <v>162</v>
      </c>
      <c r="F149" s="129">
        <v>92591</v>
      </c>
      <c r="G149" s="129">
        <v>92161</v>
      </c>
      <c r="H149" s="130">
        <v>135</v>
      </c>
      <c r="I149" s="129" t="s">
        <v>468</v>
      </c>
      <c r="J149" s="130">
        <v>7</v>
      </c>
      <c r="K149" s="131"/>
      <c r="L149" s="131" t="s">
        <v>68</v>
      </c>
      <c r="M149" s="131" t="s">
        <v>402</v>
      </c>
      <c r="N149" s="131" t="s">
        <v>327</v>
      </c>
      <c r="O149" s="56">
        <f>VLOOKUP($F149,'ZipCode Coordinates'!$A:$E,4,FALSE)</f>
        <v>2138420</v>
      </c>
      <c r="P149" s="56">
        <f>VLOOKUP($F149,'ZipCode Coordinates'!$A:$E,5,FALSE)</f>
        <v>6299220</v>
      </c>
      <c r="Q149" s="56">
        <f>VLOOKUP($G149,'ZipCode Coordinates'!$A:$E,4,FALSE)</f>
        <v>1899477</v>
      </c>
      <c r="R149" s="56">
        <f>VLOOKUP($G149,'ZipCode Coordinates'!$A:$E,5,FALSE)</f>
        <v>6258957</v>
      </c>
      <c r="S149" s="352" t="str">
        <f>IFERROR(VLOOKUP($M149,'External Gateways'!$C$6:$F$10,2,FALSE),"")</f>
        <v>I-15</v>
      </c>
      <c r="T149" s="56">
        <f>IFERROR(VLOOKUP($M149,'External Gateways'!$C$6:$F$10,3,FALSE),O149)</f>
        <v>2102195</v>
      </c>
      <c r="U149" s="56">
        <f>IFERROR(VLOOKUP($M149,'External Gateways'!$C$6:$F$10,4,FALSE),P149)</f>
        <v>6289147</v>
      </c>
      <c r="V149" s="353">
        <f t="shared" si="4"/>
        <v>7.1211011888925713</v>
      </c>
      <c r="W149" s="353">
        <f t="shared" si="5"/>
        <v>120.75779762221485</v>
      </c>
    </row>
    <row r="150" spans="1:23" ht="15" customHeight="1" x14ac:dyDescent="0.25">
      <c r="A150" s="128">
        <v>979</v>
      </c>
      <c r="B150" s="129" t="s">
        <v>315</v>
      </c>
      <c r="C150" s="128" t="s">
        <v>68</v>
      </c>
      <c r="D150" s="129" t="s">
        <v>154</v>
      </c>
      <c r="E150" s="129" t="s">
        <v>196</v>
      </c>
      <c r="F150" s="129">
        <v>92592</v>
      </c>
      <c r="G150" s="129">
        <v>92020</v>
      </c>
      <c r="H150" s="130">
        <v>171</v>
      </c>
      <c r="I150" s="129" t="s">
        <v>422</v>
      </c>
      <c r="J150" s="130">
        <v>8</v>
      </c>
      <c r="K150" s="131"/>
      <c r="L150" s="131" t="s">
        <v>68</v>
      </c>
      <c r="M150" s="131" t="s">
        <v>402</v>
      </c>
      <c r="N150" s="131" t="s">
        <v>326</v>
      </c>
      <c r="O150" s="56">
        <f>VLOOKUP($F150,'ZipCode Coordinates'!$A:$E,4,FALSE)</f>
        <v>2128740</v>
      </c>
      <c r="P150" s="56">
        <f>VLOOKUP($F150,'ZipCode Coordinates'!$A:$E,5,FALSE)</f>
        <v>6328900</v>
      </c>
      <c r="Q150" s="56">
        <f>VLOOKUP($G150,'ZipCode Coordinates'!$A:$E,4,FALSE)</f>
        <v>1870340</v>
      </c>
      <c r="R150" s="56">
        <f>VLOOKUP($G150,'ZipCode Coordinates'!$A:$E,5,FALSE)</f>
        <v>6340260</v>
      </c>
      <c r="S150" s="352" t="str">
        <f>IFERROR(VLOOKUP($M150,'External Gateways'!$C$6:$F$10,2,FALSE),"")</f>
        <v>I-15</v>
      </c>
      <c r="T150" s="56">
        <f>IFERROR(VLOOKUP($M150,'External Gateways'!$C$6:$F$10,3,FALSE),O150)</f>
        <v>2102195</v>
      </c>
      <c r="U150" s="56">
        <f>IFERROR(VLOOKUP($M150,'External Gateways'!$C$6:$F$10,4,FALSE),P150)</f>
        <v>6289147</v>
      </c>
      <c r="V150" s="353">
        <f t="shared" si="4"/>
        <v>9.0532245169037147</v>
      </c>
      <c r="W150" s="353">
        <f t="shared" si="5"/>
        <v>152.89355096619258</v>
      </c>
    </row>
    <row r="151" spans="1:23" ht="15" customHeight="1" x14ac:dyDescent="0.25">
      <c r="A151" s="128">
        <v>992</v>
      </c>
      <c r="B151" s="129" t="s">
        <v>451</v>
      </c>
      <c r="C151" s="128" t="s">
        <v>3</v>
      </c>
      <c r="D151" s="129" t="s">
        <v>170</v>
      </c>
      <c r="E151" s="129" t="s">
        <v>162</v>
      </c>
      <c r="F151" s="129">
        <v>92584</v>
      </c>
      <c r="G151" s="129">
        <v>92136</v>
      </c>
      <c r="H151" s="130">
        <v>170</v>
      </c>
      <c r="I151" s="129" t="s">
        <v>460</v>
      </c>
      <c r="J151" s="130">
        <v>7</v>
      </c>
      <c r="K151" s="131"/>
      <c r="L151" s="131" t="s">
        <v>3</v>
      </c>
      <c r="M151" s="131" t="s">
        <v>402</v>
      </c>
      <c r="N151" s="131" t="s">
        <v>323</v>
      </c>
      <c r="O151" s="56">
        <f>VLOOKUP($F151,'ZipCode Coordinates'!$A:$E,4,FALSE)</f>
        <v>2185160</v>
      </c>
      <c r="P151" s="56">
        <f>VLOOKUP($F151,'ZipCode Coordinates'!$A:$E,5,FALSE)</f>
        <v>6280270</v>
      </c>
      <c r="Q151" s="56">
        <f>VLOOKUP($G151,'ZipCode Coordinates'!$A:$E,4,FALSE)</f>
        <v>1828370</v>
      </c>
      <c r="R151" s="56">
        <f>VLOOKUP($G151,'ZipCode Coordinates'!$A:$E,5,FALSE)</f>
        <v>6293940</v>
      </c>
      <c r="S151" s="352" t="str">
        <f>IFERROR(VLOOKUP($M151,'External Gateways'!$C$6:$F$10,2,FALSE),"")</f>
        <v>I-15</v>
      </c>
      <c r="T151" s="56">
        <f>IFERROR(VLOOKUP($M151,'External Gateways'!$C$6:$F$10,3,FALSE),O151)</f>
        <v>2102195</v>
      </c>
      <c r="U151" s="56">
        <f>IFERROR(VLOOKUP($M151,'External Gateways'!$C$6:$F$10,4,FALSE),P151)</f>
        <v>6289147</v>
      </c>
      <c r="V151" s="353">
        <f t="shared" si="4"/>
        <v>15.802756507931361</v>
      </c>
      <c r="W151" s="353">
        <f t="shared" si="5"/>
        <v>138.39448698413727</v>
      </c>
    </row>
    <row r="152" spans="1:23" ht="15" customHeight="1" x14ac:dyDescent="0.25">
      <c r="A152" s="128">
        <v>1005</v>
      </c>
      <c r="B152" s="129" t="s">
        <v>257</v>
      </c>
      <c r="C152" s="128" t="s">
        <v>3</v>
      </c>
      <c r="D152" s="129" t="s">
        <v>154</v>
      </c>
      <c r="E152" s="129" t="s">
        <v>162</v>
      </c>
      <c r="F152" s="129">
        <v>92592</v>
      </c>
      <c r="G152" s="129">
        <v>92155</v>
      </c>
      <c r="H152" s="130">
        <v>175</v>
      </c>
      <c r="I152" s="129" t="s">
        <v>513</v>
      </c>
      <c r="J152" s="130">
        <v>10</v>
      </c>
      <c r="K152" s="131"/>
      <c r="L152" s="131" t="s">
        <v>3</v>
      </c>
      <c r="M152" s="131" t="s">
        <v>402</v>
      </c>
      <c r="N152" s="131" t="s">
        <v>323</v>
      </c>
      <c r="O152" s="56">
        <f>VLOOKUP($F152,'ZipCode Coordinates'!$A:$E,4,FALSE)</f>
        <v>2128740</v>
      </c>
      <c r="P152" s="56">
        <f>VLOOKUP($F152,'ZipCode Coordinates'!$A:$E,5,FALSE)</f>
        <v>6328900</v>
      </c>
      <c r="Q152" s="56">
        <f>VLOOKUP($G152,'ZipCode Coordinates'!$A:$E,4,FALSE)</f>
        <v>1826710</v>
      </c>
      <c r="R152" s="56">
        <f>VLOOKUP($G152,'ZipCode Coordinates'!$A:$E,5,FALSE)</f>
        <v>6281240</v>
      </c>
      <c r="S152" s="352" t="str">
        <f>IFERROR(VLOOKUP($M152,'External Gateways'!$C$6:$F$10,2,FALSE),"")</f>
        <v>I-15</v>
      </c>
      <c r="T152" s="56">
        <f>IFERROR(VLOOKUP($M152,'External Gateways'!$C$6:$F$10,3,FALSE),O152)</f>
        <v>2102195</v>
      </c>
      <c r="U152" s="56">
        <f>IFERROR(VLOOKUP($M152,'External Gateways'!$C$6:$F$10,4,FALSE),P152)</f>
        <v>6289147</v>
      </c>
      <c r="V152" s="353">
        <f t="shared" si="4"/>
        <v>9.0532245169037147</v>
      </c>
      <c r="W152" s="353">
        <f t="shared" si="5"/>
        <v>156.89355096619258</v>
      </c>
    </row>
    <row r="153" spans="1:23" ht="15" customHeight="1" x14ac:dyDescent="0.25">
      <c r="A153" s="128">
        <v>1015</v>
      </c>
      <c r="B153" s="129" t="s">
        <v>82</v>
      </c>
      <c r="C153" s="128" t="s">
        <v>3</v>
      </c>
      <c r="D153" s="129" t="s">
        <v>158</v>
      </c>
      <c r="E153" s="129" t="s">
        <v>82</v>
      </c>
      <c r="F153" s="129">
        <v>92563</v>
      </c>
      <c r="G153" s="129">
        <v>92055</v>
      </c>
      <c r="H153" s="130">
        <v>109</v>
      </c>
      <c r="I153" s="129" t="s">
        <v>499</v>
      </c>
      <c r="J153" s="130">
        <v>9</v>
      </c>
      <c r="K153" s="131"/>
      <c r="L153" s="131" t="s">
        <v>3</v>
      </c>
      <c r="M153" s="131" t="s">
        <v>402</v>
      </c>
      <c r="N153" s="131" t="s">
        <v>324</v>
      </c>
      <c r="O153" s="56">
        <f>VLOOKUP($F153,'ZipCode Coordinates'!$A:$E,4,FALSE)</f>
        <v>2156450</v>
      </c>
      <c r="P153" s="56">
        <f>VLOOKUP($F153,'ZipCode Coordinates'!$A:$E,5,FALSE)</f>
        <v>6288710</v>
      </c>
      <c r="Q153" s="56">
        <f>VLOOKUP($G153,'ZipCode Coordinates'!$A:$E,4,FALSE)</f>
        <v>2082470</v>
      </c>
      <c r="R153" s="56">
        <f>VLOOKUP($G153,'ZipCode Coordinates'!$A:$E,5,FALSE)</f>
        <v>6206470</v>
      </c>
      <c r="S153" s="352" t="str">
        <f>IFERROR(VLOOKUP($M153,'External Gateways'!$C$6:$F$10,2,FALSE),"")</f>
        <v>I-15</v>
      </c>
      <c r="T153" s="56">
        <f>IFERROR(VLOOKUP($M153,'External Gateways'!$C$6:$F$10,3,FALSE),O153)</f>
        <v>2102195</v>
      </c>
      <c r="U153" s="56">
        <f>IFERROR(VLOOKUP($M153,'External Gateways'!$C$6:$F$10,4,FALSE),P153)</f>
        <v>6289147</v>
      </c>
      <c r="V153" s="353">
        <f t="shared" si="4"/>
        <v>10.275901494735123</v>
      </c>
      <c r="W153" s="353">
        <f t="shared" si="5"/>
        <v>88.448197010529753</v>
      </c>
    </row>
    <row r="154" spans="1:23" ht="15" customHeight="1" x14ac:dyDescent="0.25">
      <c r="A154" s="128">
        <v>1028</v>
      </c>
      <c r="B154" s="129" t="s">
        <v>263</v>
      </c>
      <c r="C154" s="128" t="s">
        <v>166</v>
      </c>
      <c r="D154" s="129" t="s">
        <v>175</v>
      </c>
      <c r="E154" s="129" t="s">
        <v>162</v>
      </c>
      <c r="F154" s="129">
        <v>92231</v>
      </c>
      <c r="G154" s="129">
        <v>92113</v>
      </c>
      <c r="H154" s="130">
        <v>277</v>
      </c>
      <c r="I154" s="129" t="s">
        <v>481</v>
      </c>
      <c r="J154" s="130">
        <v>12</v>
      </c>
      <c r="K154" s="131"/>
      <c r="L154" s="131" t="s">
        <v>5</v>
      </c>
      <c r="M154" s="131" t="s">
        <v>431</v>
      </c>
      <c r="N154" s="131" t="s">
        <v>323</v>
      </c>
      <c r="O154" s="56">
        <f>VLOOKUP($F154,'ZipCode Coordinates'!$A:$E,4,FALSE)</f>
        <v>1829680</v>
      </c>
      <c r="P154" s="56">
        <f>VLOOKUP($F154,'ZipCode Coordinates'!$A:$E,5,FALSE)</f>
        <v>6778130</v>
      </c>
      <c r="Q154" s="56">
        <f>VLOOKUP($G154,'ZipCode Coordinates'!$A:$E,4,FALSE)</f>
        <v>1834470</v>
      </c>
      <c r="R154" s="56">
        <f>VLOOKUP($G154,'ZipCode Coordinates'!$A:$E,5,FALSE)</f>
        <v>6294590</v>
      </c>
      <c r="S154" s="352" t="str">
        <f>IFERROR(VLOOKUP($M154,'External Gateways'!$C$6:$F$10,2,FALSE),"")</f>
        <v>I-8</v>
      </c>
      <c r="T154" s="56">
        <f>IFERROR(VLOOKUP($M154,'External Gateways'!$C$6:$F$10,3,FALSE),O154)</f>
        <v>1814524</v>
      </c>
      <c r="U154" s="56">
        <f>IFERROR(VLOOKUP($M154,'External Gateways'!$C$6:$F$10,4,FALSE),P154)</f>
        <v>6606089</v>
      </c>
      <c r="V154" s="353">
        <f t="shared" si="4"/>
        <v>32.709715110593962</v>
      </c>
      <c r="W154" s="353">
        <f t="shared" si="5"/>
        <v>211.58056977881208</v>
      </c>
    </row>
    <row r="155" spans="1:23" ht="15" customHeight="1" x14ac:dyDescent="0.25">
      <c r="A155" s="128">
        <v>1029</v>
      </c>
      <c r="B155" s="129" t="s">
        <v>307</v>
      </c>
      <c r="C155" s="128" t="s">
        <v>3</v>
      </c>
      <c r="D155" s="129" t="s">
        <v>159</v>
      </c>
      <c r="E155" s="129" t="s">
        <v>162</v>
      </c>
      <c r="F155" s="129">
        <v>92065</v>
      </c>
      <c r="G155" s="129">
        <v>92152</v>
      </c>
      <c r="H155" s="130">
        <v>55</v>
      </c>
      <c r="I155" s="129" t="s">
        <v>408</v>
      </c>
      <c r="J155" s="130">
        <v>7</v>
      </c>
      <c r="K155" s="131">
        <v>1</v>
      </c>
      <c r="L155" s="131" t="s">
        <v>3</v>
      </c>
      <c r="M155" s="131" t="s">
        <v>326</v>
      </c>
      <c r="N155" s="131" t="s">
        <v>323</v>
      </c>
      <c r="O155" s="56">
        <f>VLOOKUP($F155,'ZipCode Coordinates'!$A:$E,4,FALSE)</f>
        <v>1959680</v>
      </c>
      <c r="P155" s="56">
        <f>VLOOKUP($F155,'ZipCode Coordinates'!$A:$E,5,FALSE)</f>
        <v>6378530</v>
      </c>
      <c r="Q155" s="56">
        <f>VLOOKUP($G155,'ZipCode Coordinates'!$A:$E,4,FALSE)</f>
        <v>1833340</v>
      </c>
      <c r="R155" s="56">
        <f>VLOOKUP($G155,'ZipCode Coordinates'!$A:$E,5,FALSE)</f>
        <v>6255150</v>
      </c>
      <c r="S155" s="352" t="str">
        <f>IFERROR(VLOOKUP($M155,'External Gateways'!$C$6:$F$10,2,FALSE),"")</f>
        <v/>
      </c>
      <c r="T155" s="56">
        <f>IFERROR(VLOOKUP($M155,'External Gateways'!$C$6:$F$10,3,FALSE),O155)</f>
        <v>1959680</v>
      </c>
      <c r="U155" s="56">
        <f>IFERROR(VLOOKUP($M155,'External Gateways'!$C$6:$F$10,4,FALSE),P155)</f>
        <v>6378530</v>
      </c>
      <c r="V155" s="353">
        <f t="shared" si="4"/>
        <v>0</v>
      </c>
      <c r="W155" s="353">
        <f t="shared" si="5"/>
        <v>55</v>
      </c>
    </row>
    <row r="156" spans="1:23" ht="15" customHeight="1" x14ac:dyDescent="0.25">
      <c r="A156" s="128">
        <v>1038</v>
      </c>
      <c r="B156" s="129" t="s">
        <v>311</v>
      </c>
      <c r="C156" s="128" t="s">
        <v>411</v>
      </c>
      <c r="D156" s="129" t="s">
        <v>165</v>
      </c>
      <c r="E156" s="129" t="s">
        <v>413</v>
      </c>
      <c r="F156" s="129">
        <v>91910</v>
      </c>
      <c r="G156" s="129">
        <v>92093</v>
      </c>
      <c r="H156" s="130">
        <v>60</v>
      </c>
      <c r="I156" s="129" t="s">
        <v>414</v>
      </c>
      <c r="J156" s="130">
        <v>8</v>
      </c>
      <c r="K156" s="131">
        <v>4</v>
      </c>
      <c r="L156" s="131" t="s">
        <v>5</v>
      </c>
      <c r="M156" s="131" t="s">
        <v>328</v>
      </c>
      <c r="N156" s="131" t="s">
        <v>327</v>
      </c>
      <c r="O156" s="56">
        <f>VLOOKUP($F156,'ZipCode Coordinates'!$A:$E,4,FALSE)</f>
        <v>1812850</v>
      </c>
      <c r="P156" s="56">
        <f>VLOOKUP($F156,'ZipCode Coordinates'!$A:$E,5,FALSE)</f>
        <v>6313650</v>
      </c>
      <c r="Q156" s="56">
        <f>VLOOKUP($G156,'ZipCode Coordinates'!$A:$E,4,FALSE)</f>
        <v>1901870</v>
      </c>
      <c r="R156" s="56">
        <f>VLOOKUP($G156,'ZipCode Coordinates'!$A:$E,5,FALSE)</f>
        <v>6259600</v>
      </c>
      <c r="S156" s="352" t="str">
        <f>IFERROR(VLOOKUP($M156,'External Gateways'!$C$6:$F$10,2,FALSE),"")</f>
        <v/>
      </c>
      <c r="T156" s="56">
        <f>IFERROR(VLOOKUP($M156,'External Gateways'!$C$6:$F$10,3,FALSE),O156)</f>
        <v>1812850</v>
      </c>
      <c r="U156" s="56">
        <f>IFERROR(VLOOKUP($M156,'External Gateways'!$C$6:$F$10,4,FALSE),P156)</f>
        <v>6313650</v>
      </c>
      <c r="V156" s="353">
        <f t="shared" si="4"/>
        <v>0</v>
      </c>
      <c r="W156" s="353">
        <f t="shared" si="5"/>
        <v>60</v>
      </c>
    </row>
    <row r="157" spans="1:23" ht="15" customHeight="1" x14ac:dyDescent="0.25">
      <c r="A157" s="128">
        <v>1041</v>
      </c>
      <c r="B157" s="129" t="s">
        <v>302</v>
      </c>
      <c r="C157" s="128" t="s">
        <v>294</v>
      </c>
      <c r="D157" s="129" t="s">
        <v>197</v>
      </c>
      <c r="E157" s="129" t="s">
        <v>454</v>
      </c>
      <c r="F157" s="129">
        <v>92056</v>
      </c>
      <c r="G157" s="129">
        <v>92672</v>
      </c>
      <c r="H157" s="130">
        <v>109</v>
      </c>
      <c r="I157" s="129" t="s">
        <v>408</v>
      </c>
      <c r="J157" s="130">
        <v>7</v>
      </c>
      <c r="K157" s="131"/>
      <c r="L157" s="131" t="s">
        <v>5</v>
      </c>
      <c r="M157" s="131" t="s">
        <v>324</v>
      </c>
      <c r="N157" s="131" t="s">
        <v>324</v>
      </c>
      <c r="O157" s="56">
        <f>VLOOKUP($F157,'ZipCode Coordinates'!$A:$E,4,FALSE)</f>
        <v>2018560</v>
      </c>
      <c r="P157" s="56">
        <f>VLOOKUP($F157,'ZipCode Coordinates'!$A:$E,5,FALSE)</f>
        <v>6243750</v>
      </c>
      <c r="Q157" s="56">
        <f>VLOOKUP($G157,'ZipCode Coordinates'!$A:$E,4,FALSE)</f>
        <v>2090210</v>
      </c>
      <c r="R157" s="56">
        <f>VLOOKUP($G157,'ZipCode Coordinates'!$A:$E,5,FALSE)</f>
        <v>6163720</v>
      </c>
      <c r="S157" s="352" t="str">
        <f>IFERROR(VLOOKUP($M157,'External Gateways'!$C$6:$F$10,2,FALSE),"")</f>
        <v/>
      </c>
      <c r="T157" s="56">
        <f>IFERROR(VLOOKUP($M157,'External Gateways'!$C$6:$F$10,3,FALSE),O157)</f>
        <v>2018560</v>
      </c>
      <c r="U157" s="56">
        <f>IFERROR(VLOOKUP($M157,'External Gateways'!$C$6:$F$10,4,FALSE),P157)</f>
        <v>6243750</v>
      </c>
      <c r="V157" s="353">
        <f t="shared" si="4"/>
        <v>0</v>
      </c>
      <c r="W157" s="353">
        <f t="shared" si="5"/>
        <v>109</v>
      </c>
    </row>
    <row r="158" spans="1:23" ht="15" customHeight="1" x14ac:dyDescent="0.25">
      <c r="A158" s="128">
        <v>1042</v>
      </c>
      <c r="B158" s="129" t="s">
        <v>311</v>
      </c>
      <c r="C158" s="128" t="s">
        <v>411</v>
      </c>
      <c r="D158" s="129" t="s">
        <v>162</v>
      </c>
      <c r="E158" s="129" t="s">
        <v>162</v>
      </c>
      <c r="F158" s="129">
        <v>92154</v>
      </c>
      <c r="G158" s="129">
        <v>92093</v>
      </c>
      <c r="H158" s="130">
        <v>79</v>
      </c>
      <c r="I158" s="129" t="s">
        <v>441</v>
      </c>
      <c r="J158" s="130">
        <v>8</v>
      </c>
      <c r="K158" s="131"/>
      <c r="L158" s="131" t="s">
        <v>5</v>
      </c>
      <c r="M158" s="131" t="s">
        <v>328</v>
      </c>
      <c r="N158" s="131" t="s">
        <v>327</v>
      </c>
      <c r="O158" s="56">
        <f>VLOOKUP($F158,'ZipCode Coordinates'!$A:$E,4,FALSE)</f>
        <v>1787080</v>
      </c>
      <c r="P158" s="56">
        <f>VLOOKUP($F158,'ZipCode Coordinates'!$A:$E,5,FALSE)</f>
        <v>6330680</v>
      </c>
      <c r="Q158" s="56">
        <f>VLOOKUP($G158,'ZipCode Coordinates'!$A:$E,4,FALSE)</f>
        <v>1901870</v>
      </c>
      <c r="R158" s="56">
        <f>VLOOKUP($G158,'ZipCode Coordinates'!$A:$E,5,FALSE)</f>
        <v>6259600</v>
      </c>
      <c r="S158" s="352" t="str">
        <f>IFERROR(VLOOKUP($M158,'External Gateways'!$C$6:$F$10,2,FALSE),"")</f>
        <v/>
      </c>
      <c r="T158" s="56">
        <f>IFERROR(VLOOKUP($M158,'External Gateways'!$C$6:$F$10,3,FALSE),O158)</f>
        <v>1787080</v>
      </c>
      <c r="U158" s="56">
        <f>IFERROR(VLOOKUP($M158,'External Gateways'!$C$6:$F$10,4,FALSE),P158)</f>
        <v>6330680</v>
      </c>
      <c r="V158" s="353">
        <f t="shared" si="4"/>
        <v>0</v>
      </c>
      <c r="W158" s="353">
        <f t="shared" si="5"/>
        <v>79</v>
      </c>
    </row>
    <row r="159" spans="1:23" ht="15" customHeight="1" x14ac:dyDescent="0.25">
      <c r="A159" s="128">
        <v>1047</v>
      </c>
      <c r="B159" s="129" t="s">
        <v>307</v>
      </c>
      <c r="C159" s="128" t="s">
        <v>3</v>
      </c>
      <c r="D159" s="129" t="s">
        <v>161</v>
      </c>
      <c r="E159" s="129" t="s">
        <v>162</v>
      </c>
      <c r="F159" s="129">
        <v>92596</v>
      </c>
      <c r="G159" s="129">
        <v>92110</v>
      </c>
      <c r="H159" s="130">
        <v>210</v>
      </c>
      <c r="I159" s="129" t="s">
        <v>406</v>
      </c>
      <c r="J159" s="130">
        <v>7</v>
      </c>
      <c r="K159" s="131"/>
      <c r="L159" s="131" t="s">
        <v>3</v>
      </c>
      <c r="M159" s="131" t="s">
        <v>402</v>
      </c>
      <c r="N159" s="131" t="s">
        <v>327</v>
      </c>
      <c r="O159" s="56">
        <f>VLOOKUP($F159,'ZipCode Coordinates'!$A:$E,4,FALSE)</f>
        <v>2177700</v>
      </c>
      <c r="P159" s="56">
        <f>VLOOKUP($F159,'ZipCode Coordinates'!$A:$E,5,FALSE)</f>
        <v>6311340</v>
      </c>
      <c r="Q159" s="56">
        <f>VLOOKUP($G159,'ZipCode Coordinates'!$A:$E,4,FALSE)</f>
        <v>1859050</v>
      </c>
      <c r="R159" s="56">
        <f>VLOOKUP($G159,'ZipCode Coordinates'!$A:$E,5,FALSE)</f>
        <v>6269400</v>
      </c>
      <c r="S159" s="352" t="str">
        <f>IFERROR(VLOOKUP($M159,'External Gateways'!$C$6:$F$10,2,FALSE),"")</f>
        <v>I-15</v>
      </c>
      <c r="T159" s="56">
        <f>IFERROR(VLOOKUP($M159,'External Gateways'!$C$6:$F$10,3,FALSE),O159)</f>
        <v>2102195</v>
      </c>
      <c r="U159" s="56">
        <f>IFERROR(VLOOKUP($M159,'External Gateways'!$C$6:$F$10,4,FALSE),P159)</f>
        <v>6289147</v>
      </c>
      <c r="V159" s="353">
        <f t="shared" si="4"/>
        <v>14.905115649451727</v>
      </c>
      <c r="W159" s="353">
        <f t="shared" si="5"/>
        <v>180.18976870109654</v>
      </c>
    </row>
    <row r="160" spans="1:23" ht="15" customHeight="1" x14ac:dyDescent="0.25">
      <c r="A160" s="128">
        <v>1054</v>
      </c>
      <c r="B160" s="129" t="s">
        <v>82</v>
      </c>
      <c r="C160" s="128" t="s">
        <v>3</v>
      </c>
      <c r="D160" s="129" t="s">
        <v>190</v>
      </c>
      <c r="E160" s="129" t="s">
        <v>82</v>
      </c>
      <c r="F160" s="129">
        <v>92082</v>
      </c>
      <c r="G160" s="129">
        <v>92055</v>
      </c>
      <c r="H160" s="130">
        <v>106</v>
      </c>
      <c r="I160" s="129" t="s">
        <v>427</v>
      </c>
      <c r="J160" s="130">
        <v>7</v>
      </c>
      <c r="K160" s="131"/>
      <c r="L160" s="131" t="s">
        <v>3</v>
      </c>
      <c r="M160" s="131" t="s">
        <v>325</v>
      </c>
      <c r="N160" s="131" t="s">
        <v>324</v>
      </c>
      <c r="O160" s="56">
        <f>VLOOKUP($F160,'ZipCode Coordinates'!$A:$E,4,FALSE)</f>
        <v>2036530</v>
      </c>
      <c r="P160" s="56">
        <f>VLOOKUP($F160,'ZipCode Coordinates'!$A:$E,5,FALSE)</f>
        <v>6333920</v>
      </c>
      <c r="Q160" s="56">
        <f>VLOOKUP($G160,'ZipCode Coordinates'!$A:$E,4,FALSE)</f>
        <v>2082470</v>
      </c>
      <c r="R160" s="56">
        <f>VLOOKUP($G160,'ZipCode Coordinates'!$A:$E,5,FALSE)</f>
        <v>6206470</v>
      </c>
      <c r="S160" s="352" t="str">
        <f>IFERROR(VLOOKUP($M160,'External Gateways'!$C$6:$F$10,2,FALSE),"")</f>
        <v/>
      </c>
      <c r="T160" s="56">
        <f>IFERROR(VLOOKUP($M160,'External Gateways'!$C$6:$F$10,3,FALSE),O160)</f>
        <v>2036530</v>
      </c>
      <c r="U160" s="56">
        <f>IFERROR(VLOOKUP($M160,'External Gateways'!$C$6:$F$10,4,FALSE),P160)</f>
        <v>6333920</v>
      </c>
      <c r="V160" s="353">
        <f t="shared" si="4"/>
        <v>0</v>
      </c>
      <c r="W160" s="353">
        <f t="shared" si="5"/>
        <v>106</v>
      </c>
    </row>
    <row r="161" spans="1:23" ht="15" customHeight="1" x14ac:dyDescent="0.25">
      <c r="A161" s="128">
        <v>1071</v>
      </c>
      <c r="B161" s="129" t="s">
        <v>253</v>
      </c>
      <c r="C161" s="128" t="s">
        <v>3</v>
      </c>
      <c r="D161" s="129" t="s">
        <v>158</v>
      </c>
      <c r="E161" s="129" t="s">
        <v>197</v>
      </c>
      <c r="F161" s="129">
        <v>92562</v>
      </c>
      <c r="G161" s="129">
        <v>92145</v>
      </c>
      <c r="H161" s="130">
        <v>159</v>
      </c>
      <c r="I161" s="129" t="s">
        <v>492</v>
      </c>
      <c r="J161" s="130">
        <v>7</v>
      </c>
      <c r="K161" s="131"/>
      <c r="L161" s="131" t="s">
        <v>3</v>
      </c>
      <c r="M161" s="131" t="s">
        <v>402</v>
      </c>
      <c r="N161" s="131" t="s">
        <v>327</v>
      </c>
      <c r="O161" s="56">
        <f>VLOOKUP($F161,'ZipCode Coordinates'!$A:$E,4,FALSE)</f>
        <v>2144470</v>
      </c>
      <c r="P161" s="56">
        <f>VLOOKUP($F161,'ZipCode Coordinates'!$A:$E,5,FALSE)</f>
        <v>6251450</v>
      </c>
      <c r="Q161" s="56">
        <f>VLOOKUP($G161,'ZipCode Coordinates'!$A:$E,4,FALSE)</f>
        <v>1896720</v>
      </c>
      <c r="R161" s="56">
        <f>VLOOKUP($G161,'ZipCode Coordinates'!$A:$E,5,FALSE)</f>
        <v>6297440</v>
      </c>
      <c r="S161" s="352" t="str">
        <f>IFERROR(VLOOKUP($M161,'External Gateways'!$C$6:$F$10,2,FALSE),"")</f>
        <v>I-15</v>
      </c>
      <c r="T161" s="56">
        <f>IFERROR(VLOOKUP($M161,'External Gateways'!$C$6:$F$10,3,FALSE),O161)</f>
        <v>2102195</v>
      </c>
      <c r="U161" s="56">
        <f>IFERROR(VLOOKUP($M161,'External Gateways'!$C$6:$F$10,4,FALSE),P161)</f>
        <v>6289147</v>
      </c>
      <c r="V161" s="353">
        <f t="shared" si="4"/>
        <v>10.727523233277124</v>
      </c>
      <c r="W161" s="353">
        <f t="shared" si="5"/>
        <v>137.54495353344575</v>
      </c>
    </row>
    <row r="162" spans="1:23" ht="15" customHeight="1" x14ac:dyDescent="0.25">
      <c r="A162" s="335">
        <v>1075</v>
      </c>
      <c r="B162" s="336" t="s">
        <v>267</v>
      </c>
      <c r="C162" s="56" t="s">
        <v>3</v>
      </c>
      <c r="D162" s="336" t="s">
        <v>193</v>
      </c>
      <c r="E162" s="336" t="s">
        <v>162</v>
      </c>
      <c r="F162" s="336">
        <v>92883</v>
      </c>
      <c r="G162" s="336">
        <v>92134</v>
      </c>
      <c r="H162" s="336">
        <v>135</v>
      </c>
      <c r="I162" s="336" t="s">
        <v>408</v>
      </c>
      <c r="J162" s="336">
        <v>7</v>
      </c>
      <c r="K162" s="336"/>
      <c r="L162" s="336" t="s">
        <v>3</v>
      </c>
      <c r="M162" s="337" t="s">
        <v>402</v>
      </c>
      <c r="N162" s="337" t="s">
        <v>323</v>
      </c>
      <c r="O162" s="56">
        <f>VLOOKUP($F162,'ZipCode Coordinates'!$A:$E,4,FALSE)</f>
        <v>2224090</v>
      </c>
      <c r="P162" s="56">
        <f>VLOOKUP($F162,'ZipCode Coordinates'!$A:$E,5,FALSE)</f>
        <v>6184010</v>
      </c>
      <c r="Q162" s="56">
        <f>VLOOKUP($G162,'ZipCode Coordinates'!$A:$E,4,FALSE)</f>
        <v>1845130</v>
      </c>
      <c r="R162" s="56">
        <f>VLOOKUP($G162,'ZipCode Coordinates'!$A:$E,5,FALSE)</f>
        <v>6286040</v>
      </c>
      <c r="S162" s="352" t="str">
        <f>IFERROR(VLOOKUP($M162,'External Gateways'!$C$6:$F$10,2,FALSE),"")</f>
        <v>I-15</v>
      </c>
      <c r="T162" s="56">
        <f>IFERROR(VLOOKUP($M162,'External Gateways'!$C$6:$F$10,3,FALSE),O162)</f>
        <v>2102195</v>
      </c>
      <c r="U162" s="56">
        <f>IFERROR(VLOOKUP($M162,'External Gateways'!$C$6:$F$10,4,FALSE),P162)</f>
        <v>6289147</v>
      </c>
      <c r="V162" s="353">
        <f t="shared" si="4"/>
        <v>30.487235932826152</v>
      </c>
      <c r="W162" s="353">
        <f t="shared" si="5"/>
        <v>74.025528134347695</v>
      </c>
    </row>
    <row r="163" spans="1:23" ht="15" customHeight="1" x14ac:dyDescent="0.25">
      <c r="A163" s="128">
        <v>1079</v>
      </c>
      <c r="B163" s="129" t="s">
        <v>267</v>
      </c>
      <c r="C163" s="128" t="s">
        <v>3</v>
      </c>
      <c r="D163" s="129" t="s">
        <v>158</v>
      </c>
      <c r="E163" s="129" t="s">
        <v>162</v>
      </c>
      <c r="F163" s="129">
        <v>92591</v>
      </c>
      <c r="G163" s="129">
        <v>92134</v>
      </c>
      <c r="H163" s="130">
        <v>152</v>
      </c>
      <c r="I163" s="129" t="s">
        <v>440</v>
      </c>
      <c r="J163" s="130">
        <v>12</v>
      </c>
      <c r="K163" s="131"/>
      <c r="L163" s="131" t="s">
        <v>3</v>
      </c>
      <c r="M163" s="131" t="s">
        <v>402</v>
      </c>
      <c r="N163" s="131" t="s">
        <v>323</v>
      </c>
      <c r="O163" s="56">
        <f>VLOOKUP($F163,'ZipCode Coordinates'!$A:$E,4,FALSE)</f>
        <v>2138420</v>
      </c>
      <c r="P163" s="56">
        <f>VLOOKUP($F163,'ZipCode Coordinates'!$A:$E,5,FALSE)</f>
        <v>6299220</v>
      </c>
      <c r="Q163" s="56">
        <f>VLOOKUP($G163,'ZipCode Coordinates'!$A:$E,4,FALSE)</f>
        <v>1845130</v>
      </c>
      <c r="R163" s="56">
        <f>VLOOKUP($G163,'ZipCode Coordinates'!$A:$E,5,FALSE)</f>
        <v>6286040</v>
      </c>
      <c r="S163" s="352" t="str">
        <f>IFERROR(VLOOKUP($M163,'External Gateways'!$C$6:$F$10,2,FALSE),"")</f>
        <v>I-15</v>
      </c>
      <c r="T163" s="56">
        <f>IFERROR(VLOOKUP($M163,'External Gateways'!$C$6:$F$10,3,FALSE),O163)</f>
        <v>2102195</v>
      </c>
      <c r="U163" s="56">
        <f>IFERROR(VLOOKUP($M163,'External Gateways'!$C$6:$F$10,4,FALSE),P163)</f>
        <v>6289147</v>
      </c>
      <c r="V163" s="353">
        <f t="shared" si="4"/>
        <v>7.1211011888925713</v>
      </c>
      <c r="W163" s="353">
        <f t="shared" si="5"/>
        <v>137.75779762221487</v>
      </c>
    </row>
    <row r="164" spans="1:23" ht="15" customHeight="1" x14ac:dyDescent="0.25">
      <c r="A164" s="128">
        <v>1082</v>
      </c>
      <c r="B164" s="129" t="s">
        <v>451</v>
      </c>
      <c r="C164" s="128" t="s">
        <v>3</v>
      </c>
      <c r="D164" s="129" t="s">
        <v>155</v>
      </c>
      <c r="E164" s="129" t="s">
        <v>162</v>
      </c>
      <c r="F164" s="129">
        <v>92056</v>
      </c>
      <c r="G164" s="129">
        <v>92136</v>
      </c>
      <c r="H164" s="130">
        <v>160</v>
      </c>
      <c r="I164" s="129" t="s">
        <v>455</v>
      </c>
      <c r="J164" s="130">
        <v>7</v>
      </c>
      <c r="K164" s="131">
        <v>3</v>
      </c>
      <c r="L164" s="131" t="s">
        <v>3</v>
      </c>
      <c r="M164" s="131" t="s">
        <v>324</v>
      </c>
      <c r="N164" s="131" t="s">
        <v>323</v>
      </c>
      <c r="O164" s="56">
        <f>VLOOKUP($F164,'ZipCode Coordinates'!$A:$E,4,FALSE)</f>
        <v>2018560</v>
      </c>
      <c r="P164" s="56">
        <f>VLOOKUP($F164,'ZipCode Coordinates'!$A:$E,5,FALSE)</f>
        <v>6243750</v>
      </c>
      <c r="Q164" s="56">
        <f>VLOOKUP($G164,'ZipCode Coordinates'!$A:$E,4,FALSE)</f>
        <v>1828370</v>
      </c>
      <c r="R164" s="56">
        <f>VLOOKUP($G164,'ZipCode Coordinates'!$A:$E,5,FALSE)</f>
        <v>6293940</v>
      </c>
      <c r="S164" s="352" t="str">
        <f>IFERROR(VLOOKUP($M164,'External Gateways'!$C$6:$F$10,2,FALSE),"")</f>
        <v/>
      </c>
      <c r="T164" s="56">
        <f>IFERROR(VLOOKUP($M164,'External Gateways'!$C$6:$F$10,3,FALSE),O164)</f>
        <v>2018560</v>
      </c>
      <c r="U164" s="56">
        <f>IFERROR(VLOOKUP($M164,'External Gateways'!$C$6:$F$10,4,FALSE),P164)</f>
        <v>6243750</v>
      </c>
      <c r="V164" s="353">
        <f t="shared" si="4"/>
        <v>0</v>
      </c>
      <c r="W164" s="353">
        <f t="shared" si="5"/>
        <v>160</v>
      </c>
    </row>
    <row r="165" spans="1:23" ht="15" customHeight="1" x14ac:dyDescent="0.25">
      <c r="A165" s="128">
        <v>1084</v>
      </c>
      <c r="B165" s="129" t="s">
        <v>263</v>
      </c>
      <c r="C165" s="128" t="s">
        <v>166</v>
      </c>
      <c r="D165" s="129" t="s">
        <v>156</v>
      </c>
      <c r="E165" s="129" t="s">
        <v>162</v>
      </c>
      <c r="F165" s="129">
        <v>92026</v>
      </c>
      <c r="G165" s="129">
        <v>92113</v>
      </c>
      <c r="H165" s="130">
        <v>229</v>
      </c>
      <c r="I165" s="129" t="s">
        <v>450</v>
      </c>
      <c r="J165" s="130">
        <v>10</v>
      </c>
      <c r="K165" s="131"/>
      <c r="L165" s="131" t="s">
        <v>5</v>
      </c>
      <c r="M165" s="131" t="s">
        <v>325</v>
      </c>
      <c r="N165" s="131" t="s">
        <v>323</v>
      </c>
      <c r="O165" s="56">
        <f>VLOOKUP($F165,'ZipCode Coordinates'!$A:$E,4,FALSE)</f>
        <v>2022480</v>
      </c>
      <c r="P165" s="56">
        <f>VLOOKUP($F165,'ZipCode Coordinates'!$A:$E,5,FALSE)</f>
        <v>6297420</v>
      </c>
      <c r="Q165" s="56">
        <f>VLOOKUP($G165,'ZipCode Coordinates'!$A:$E,4,FALSE)</f>
        <v>1834470</v>
      </c>
      <c r="R165" s="56">
        <f>VLOOKUP($G165,'ZipCode Coordinates'!$A:$E,5,FALSE)</f>
        <v>6294590</v>
      </c>
      <c r="S165" s="352" t="str">
        <f>IFERROR(VLOOKUP($M165,'External Gateways'!$C$6:$F$10,2,FALSE),"")</f>
        <v/>
      </c>
      <c r="T165" s="56">
        <f>IFERROR(VLOOKUP($M165,'External Gateways'!$C$6:$F$10,3,FALSE),O165)</f>
        <v>2022480</v>
      </c>
      <c r="U165" s="56">
        <f>IFERROR(VLOOKUP($M165,'External Gateways'!$C$6:$F$10,4,FALSE),P165)</f>
        <v>6297420</v>
      </c>
      <c r="V165" s="353">
        <f t="shared" si="4"/>
        <v>0</v>
      </c>
      <c r="W165" s="353">
        <f t="shared" si="5"/>
        <v>229</v>
      </c>
    </row>
    <row r="166" spans="1:23" ht="15" customHeight="1" x14ac:dyDescent="0.25">
      <c r="A166" s="128">
        <v>1112</v>
      </c>
      <c r="B166" s="129" t="s">
        <v>300</v>
      </c>
      <c r="C166" s="128" t="s">
        <v>166</v>
      </c>
      <c r="D166" s="129" t="s">
        <v>172</v>
      </c>
      <c r="E166" s="129" t="s">
        <v>162</v>
      </c>
      <c r="F166" s="129">
        <v>92595</v>
      </c>
      <c r="G166" s="129">
        <v>92123</v>
      </c>
      <c r="H166" s="130">
        <v>136</v>
      </c>
      <c r="I166" s="129" t="s">
        <v>416</v>
      </c>
      <c r="J166" s="130">
        <v>7</v>
      </c>
      <c r="K166" s="131"/>
      <c r="L166" s="131" t="s">
        <v>5</v>
      </c>
      <c r="M166" s="131" t="s">
        <v>402</v>
      </c>
      <c r="N166" s="131" t="s">
        <v>327</v>
      </c>
      <c r="O166" s="56">
        <f>VLOOKUP($F166,'ZipCode Coordinates'!$A:$E,4,FALSE)</f>
        <v>2170100</v>
      </c>
      <c r="P166" s="56">
        <f>VLOOKUP($F166,'ZipCode Coordinates'!$A:$E,5,FALSE)</f>
        <v>6254090</v>
      </c>
      <c r="Q166" s="56">
        <f>VLOOKUP($G166,'ZipCode Coordinates'!$A:$E,4,FALSE)</f>
        <v>1874700</v>
      </c>
      <c r="R166" s="56">
        <f>VLOOKUP($G166,'ZipCode Coordinates'!$A:$E,5,FALSE)</f>
        <v>6289760</v>
      </c>
      <c r="S166" s="352" t="str">
        <f>IFERROR(VLOOKUP($M166,'External Gateways'!$C$6:$F$10,2,FALSE),"")</f>
        <v>I-15</v>
      </c>
      <c r="T166" s="56">
        <f>IFERROR(VLOOKUP($M166,'External Gateways'!$C$6:$F$10,3,FALSE),O166)</f>
        <v>2102195</v>
      </c>
      <c r="U166" s="56">
        <f>IFERROR(VLOOKUP($M166,'External Gateways'!$C$6:$F$10,4,FALSE),P166)</f>
        <v>6289147</v>
      </c>
      <c r="V166" s="353">
        <f t="shared" si="4"/>
        <v>14.473566476992975</v>
      </c>
      <c r="W166" s="353">
        <f t="shared" si="5"/>
        <v>107.05286704601406</v>
      </c>
    </row>
    <row r="167" spans="1:23" ht="15" customHeight="1" x14ac:dyDescent="0.25">
      <c r="A167" s="128">
        <v>1113</v>
      </c>
      <c r="B167" s="129" t="s">
        <v>82</v>
      </c>
      <c r="C167" s="128" t="s">
        <v>3</v>
      </c>
      <c r="D167" s="129" t="s">
        <v>170</v>
      </c>
      <c r="E167" s="129" t="s">
        <v>82</v>
      </c>
      <c r="F167" s="129">
        <v>92592</v>
      </c>
      <c r="G167" s="129">
        <v>92055</v>
      </c>
      <c r="H167" s="130">
        <v>76</v>
      </c>
      <c r="I167" s="129" t="s">
        <v>427</v>
      </c>
      <c r="J167" s="130">
        <v>7</v>
      </c>
      <c r="K167" s="131"/>
      <c r="L167" s="131" t="s">
        <v>3</v>
      </c>
      <c r="M167" s="131" t="s">
        <v>402</v>
      </c>
      <c r="N167" s="131" t="s">
        <v>324</v>
      </c>
      <c r="O167" s="56">
        <f>VLOOKUP($F167,'ZipCode Coordinates'!$A:$E,4,FALSE)</f>
        <v>2128740</v>
      </c>
      <c r="P167" s="56">
        <f>VLOOKUP($F167,'ZipCode Coordinates'!$A:$E,5,FALSE)</f>
        <v>6328900</v>
      </c>
      <c r="Q167" s="56">
        <f>VLOOKUP($G167,'ZipCode Coordinates'!$A:$E,4,FALSE)</f>
        <v>2082470</v>
      </c>
      <c r="R167" s="56">
        <f>VLOOKUP($G167,'ZipCode Coordinates'!$A:$E,5,FALSE)</f>
        <v>6206470</v>
      </c>
      <c r="S167" s="352" t="str">
        <f>IFERROR(VLOOKUP($M167,'External Gateways'!$C$6:$F$10,2,FALSE),"")</f>
        <v>I-15</v>
      </c>
      <c r="T167" s="56">
        <f>IFERROR(VLOOKUP($M167,'External Gateways'!$C$6:$F$10,3,FALSE),O167)</f>
        <v>2102195</v>
      </c>
      <c r="U167" s="56">
        <f>IFERROR(VLOOKUP($M167,'External Gateways'!$C$6:$F$10,4,FALSE),P167)</f>
        <v>6289147</v>
      </c>
      <c r="V167" s="353">
        <f t="shared" si="4"/>
        <v>9.0532245169037147</v>
      </c>
      <c r="W167" s="353">
        <f t="shared" si="5"/>
        <v>57.893550966192571</v>
      </c>
    </row>
    <row r="168" spans="1:23" ht="15" customHeight="1" x14ac:dyDescent="0.25">
      <c r="A168" s="128">
        <v>1120</v>
      </c>
      <c r="B168" s="129" t="s">
        <v>277</v>
      </c>
      <c r="C168" s="128" t="s">
        <v>198</v>
      </c>
      <c r="D168" s="129" t="s">
        <v>154</v>
      </c>
      <c r="E168" s="129" t="s">
        <v>162</v>
      </c>
      <c r="F168" s="129">
        <v>92591</v>
      </c>
      <c r="G168" s="129">
        <v>92121</v>
      </c>
      <c r="H168" s="130">
        <v>125</v>
      </c>
      <c r="I168" s="129" t="s">
        <v>461</v>
      </c>
      <c r="J168" s="130">
        <v>12</v>
      </c>
      <c r="K168" s="131">
        <v>1</v>
      </c>
      <c r="L168" s="131" t="s">
        <v>5</v>
      </c>
      <c r="M168" s="131" t="s">
        <v>402</v>
      </c>
      <c r="N168" s="131" t="s">
        <v>327</v>
      </c>
      <c r="O168" s="56">
        <f>VLOOKUP($F168,'ZipCode Coordinates'!$A:$E,4,FALSE)</f>
        <v>2138420</v>
      </c>
      <c r="P168" s="56">
        <f>VLOOKUP($F168,'ZipCode Coordinates'!$A:$E,5,FALSE)</f>
        <v>6299220</v>
      </c>
      <c r="Q168" s="56">
        <f>VLOOKUP($G168,'ZipCode Coordinates'!$A:$E,4,FALSE)</f>
        <v>1907910</v>
      </c>
      <c r="R168" s="56">
        <f>VLOOKUP($G168,'ZipCode Coordinates'!$A:$E,5,FALSE)</f>
        <v>6269540</v>
      </c>
      <c r="S168" s="352" t="str">
        <f>IFERROR(VLOOKUP($M168,'External Gateways'!$C$6:$F$10,2,FALSE),"")</f>
        <v>I-15</v>
      </c>
      <c r="T168" s="56">
        <f>IFERROR(VLOOKUP($M168,'External Gateways'!$C$6:$F$10,3,FALSE),O168)</f>
        <v>2102195</v>
      </c>
      <c r="U168" s="56">
        <f>IFERROR(VLOOKUP($M168,'External Gateways'!$C$6:$F$10,4,FALSE),P168)</f>
        <v>6289147</v>
      </c>
      <c r="V168" s="353">
        <f t="shared" si="4"/>
        <v>7.1211011888925713</v>
      </c>
      <c r="W168" s="353">
        <f t="shared" si="5"/>
        <v>110.75779762221485</v>
      </c>
    </row>
    <row r="169" spans="1:23" ht="15" customHeight="1" x14ac:dyDescent="0.25">
      <c r="A169" s="128">
        <v>1125</v>
      </c>
      <c r="B169" s="129" t="s">
        <v>82</v>
      </c>
      <c r="C169" s="128" t="s">
        <v>3</v>
      </c>
      <c r="D169" s="129" t="s">
        <v>191</v>
      </c>
      <c r="E169" s="129" t="s">
        <v>82</v>
      </c>
      <c r="F169" s="129">
        <v>92571</v>
      </c>
      <c r="G169" s="129">
        <v>92055</v>
      </c>
      <c r="H169" s="130">
        <v>110</v>
      </c>
      <c r="I169" s="129" t="s">
        <v>455</v>
      </c>
      <c r="J169" s="130">
        <v>7</v>
      </c>
      <c r="K169" s="131"/>
      <c r="L169" s="131" t="s">
        <v>3</v>
      </c>
      <c r="M169" s="131" t="s">
        <v>402</v>
      </c>
      <c r="N169" s="131" t="s">
        <v>324</v>
      </c>
      <c r="O169" s="56">
        <f>VLOOKUP($F169,'ZipCode Coordinates'!$A:$E,4,FALSE)</f>
        <v>2247520</v>
      </c>
      <c r="P169" s="56">
        <f>VLOOKUP($F169,'ZipCode Coordinates'!$A:$E,5,FALSE)</f>
        <v>6276380</v>
      </c>
      <c r="Q169" s="56">
        <f>VLOOKUP($G169,'ZipCode Coordinates'!$A:$E,4,FALSE)</f>
        <v>2082470</v>
      </c>
      <c r="R169" s="56">
        <f>VLOOKUP($G169,'ZipCode Coordinates'!$A:$E,5,FALSE)</f>
        <v>6206470</v>
      </c>
      <c r="S169" s="352" t="str">
        <f>IFERROR(VLOOKUP($M169,'External Gateways'!$C$6:$F$10,2,FALSE),"")</f>
        <v>I-15</v>
      </c>
      <c r="T169" s="56">
        <f>IFERROR(VLOOKUP($M169,'External Gateways'!$C$6:$F$10,3,FALSE),O169)</f>
        <v>2102195</v>
      </c>
      <c r="U169" s="56">
        <f>IFERROR(VLOOKUP($M169,'External Gateways'!$C$6:$F$10,4,FALSE),P169)</f>
        <v>6289147</v>
      </c>
      <c r="V169" s="353">
        <f t="shared" si="4"/>
        <v>27.629682067783218</v>
      </c>
      <c r="W169" s="353">
        <f t="shared" si="5"/>
        <v>54.740635864433564</v>
      </c>
    </row>
    <row r="170" spans="1:23" ht="15" customHeight="1" x14ac:dyDescent="0.25">
      <c r="A170" s="128">
        <v>1144</v>
      </c>
      <c r="B170" s="129" t="s">
        <v>252</v>
      </c>
      <c r="C170" s="128" t="s">
        <v>3</v>
      </c>
      <c r="D170" s="129" t="s">
        <v>162</v>
      </c>
      <c r="E170" s="129" t="s">
        <v>252</v>
      </c>
      <c r="F170" s="129">
        <v>92116</v>
      </c>
      <c r="G170" s="129">
        <v>92518</v>
      </c>
      <c r="H170" s="130">
        <v>164</v>
      </c>
      <c r="I170" s="129" t="s">
        <v>441</v>
      </c>
      <c r="J170" s="130">
        <v>8</v>
      </c>
      <c r="K170" s="131"/>
      <c r="L170" s="131" t="s">
        <v>3</v>
      </c>
      <c r="M170" s="131" t="s">
        <v>323</v>
      </c>
      <c r="N170" s="131" t="s">
        <v>402</v>
      </c>
      <c r="O170" s="56">
        <f>VLOOKUP($F170,'ZipCode Coordinates'!$A:$E,4,FALSE)</f>
        <v>1859210</v>
      </c>
      <c r="P170" s="56">
        <f>VLOOKUP($F170,'ZipCode Coordinates'!$A:$E,5,FALSE)</f>
        <v>6293300</v>
      </c>
      <c r="Q170" s="56">
        <f>VLOOKUP($G170,'ZipCode Coordinates'!$A:$E,4,FALSE)</f>
        <v>2267200</v>
      </c>
      <c r="R170" s="56">
        <f>VLOOKUP($G170,'ZipCode Coordinates'!$A:$E,5,FALSE)</f>
        <v>6251130</v>
      </c>
      <c r="S170" s="352" t="str">
        <f>IFERROR(VLOOKUP($M170,'External Gateways'!$C$6:$F$10,2,FALSE),"")</f>
        <v/>
      </c>
      <c r="T170" s="56">
        <f>IFERROR(VLOOKUP($M170,'External Gateways'!$C$6:$F$10,3,FALSE),O170)</f>
        <v>1859210</v>
      </c>
      <c r="U170" s="56">
        <f>IFERROR(VLOOKUP($M170,'External Gateways'!$C$6:$F$10,4,FALSE),P170)</f>
        <v>6293300</v>
      </c>
      <c r="V170" s="353">
        <f t="shared" si="4"/>
        <v>0</v>
      </c>
      <c r="W170" s="353">
        <f t="shared" si="5"/>
        <v>164</v>
      </c>
    </row>
    <row r="171" spans="1:23" ht="15" customHeight="1" x14ac:dyDescent="0.25">
      <c r="A171" s="128">
        <v>1147</v>
      </c>
      <c r="B171" s="129" t="s">
        <v>230</v>
      </c>
      <c r="C171" s="128" t="s">
        <v>181</v>
      </c>
      <c r="D171" s="129" t="s">
        <v>232</v>
      </c>
      <c r="E171" s="129" t="s">
        <v>425</v>
      </c>
      <c r="F171" s="129">
        <v>91963</v>
      </c>
      <c r="G171" s="129">
        <v>91906</v>
      </c>
      <c r="H171" s="130">
        <v>74</v>
      </c>
      <c r="I171" s="129" t="s">
        <v>401</v>
      </c>
      <c r="J171" s="130">
        <v>7</v>
      </c>
      <c r="K171" s="131"/>
      <c r="L171" s="131" t="s">
        <v>5</v>
      </c>
      <c r="M171" s="131" t="s">
        <v>329</v>
      </c>
      <c r="N171" s="131" t="s">
        <v>329</v>
      </c>
      <c r="O171" s="56">
        <f>VLOOKUP($F171,'ZipCode Coordinates'!$A:$E,4,FALSE)</f>
        <v>1812290</v>
      </c>
      <c r="P171" s="56">
        <f>VLOOKUP($F171,'ZipCode Coordinates'!$A:$E,5,FALSE)</f>
        <v>6449320</v>
      </c>
      <c r="Q171" s="56">
        <f>VLOOKUP($G171,'ZipCode Coordinates'!$A:$E,4,FALSE)</f>
        <v>1833150</v>
      </c>
      <c r="R171" s="56">
        <f>VLOOKUP($G171,'ZipCode Coordinates'!$A:$E,5,FALSE)</f>
        <v>6479630</v>
      </c>
      <c r="S171" s="352" t="str">
        <f>IFERROR(VLOOKUP($M171,'External Gateways'!$C$6:$F$10,2,FALSE),"")</f>
        <v/>
      </c>
      <c r="T171" s="56">
        <f>IFERROR(VLOOKUP($M171,'External Gateways'!$C$6:$F$10,3,FALSE),O171)</f>
        <v>1812290</v>
      </c>
      <c r="U171" s="56">
        <f>IFERROR(VLOOKUP($M171,'External Gateways'!$C$6:$F$10,4,FALSE),P171)</f>
        <v>6449320</v>
      </c>
      <c r="V171" s="353">
        <f t="shared" si="4"/>
        <v>0</v>
      </c>
      <c r="W171" s="353">
        <f t="shared" si="5"/>
        <v>74</v>
      </c>
    </row>
    <row r="172" spans="1:23" ht="15" customHeight="1" x14ac:dyDescent="0.25">
      <c r="A172" s="128">
        <v>1149</v>
      </c>
      <c r="B172" s="129" t="s">
        <v>307</v>
      </c>
      <c r="C172" s="128" t="s">
        <v>3</v>
      </c>
      <c r="D172" s="129" t="s">
        <v>154</v>
      </c>
      <c r="E172" s="129" t="s">
        <v>162</v>
      </c>
      <c r="F172" s="129">
        <v>92592</v>
      </c>
      <c r="G172" s="129">
        <v>92110</v>
      </c>
      <c r="H172" s="130">
        <v>134</v>
      </c>
      <c r="I172" s="129" t="s">
        <v>455</v>
      </c>
      <c r="J172" s="130">
        <v>7</v>
      </c>
      <c r="K172" s="131"/>
      <c r="L172" s="131" t="s">
        <v>3</v>
      </c>
      <c r="M172" s="131" t="s">
        <v>402</v>
      </c>
      <c r="N172" s="131" t="s">
        <v>327</v>
      </c>
      <c r="O172" s="56">
        <f>VLOOKUP($F172,'ZipCode Coordinates'!$A:$E,4,FALSE)</f>
        <v>2128740</v>
      </c>
      <c r="P172" s="56">
        <f>VLOOKUP($F172,'ZipCode Coordinates'!$A:$E,5,FALSE)</f>
        <v>6328900</v>
      </c>
      <c r="Q172" s="56">
        <f>VLOOKUP($G172,'ZipCode Coordinates'!$A:$E,4,FALSE)</f>
        <v>1859050</v>
      </c>
      <c r="R172" s="56">
        <f>VLOOKUP($G172,'ZipCode Coordinates'!$A:$E,5,FALSE)</f>
        <v>6269400</v>
      </c>
      <c r="S172" s="352" t="str">
        <f>IFERROR(VLOOKUP($M172,'External Gateways'!$C$6:$F$10,2,FALSE),"")</f>
        <v>I-15</v>
      </c>
      <c r="T172" s="56">
        <f>IFERROR(VLOOKUP($M172,'External Gateways'!$C$6:$F$10,3,FALSE),O172)</f>
        <v>2102195</v>
      </c>
      <c r="U172" s="56">
        <f>IFERROR(VLOOKUP($M172,'External Gateways'!$C$6:$F$10,4,FALSE),P172)</f>
        <v>6289147</v>
      </c>
      <c r="V172" s="353">
        <f t="shared" si="4"/>
        <v>9.0532245169037147</v>
      </c>
      <c r="W172" s="353">
        <f t="shared" si="5"/>
        <v>115.89355096619258</v>
      </c>
    </row>
    <row r="173" spans="1:23" ht="15" customHeight="1" x14ac:dyDescent="0.25">
      <c r="A173" s="128">
        <v>1159</v>
      </c>
      <c r="B173" s="129" t="s">
        <v>263</v>
      </c>
      <c r="C173" s="128" t="s">
        <v>166</v>
      </c>
      <c r="D173" s="129" t="s">
        <v>264</v>
      </c>
      <c r="E173" s="129" t="s">
        <v>162</v>
      </c>
      <c r="F173" s="129">
        <v>91901</v>
      </c>
      <c r="G173" s="129">
        <v>92113</v>
      </c>
      <c r="H173" s="130">
        <v>70</v>
      </c>
      <c r="I173" s="129" t="s">
        <v>403</v>
      </c>
      <c r="J173" s="130">
        <v>8</v>
      </c>
      <c r="K173" s="131"/>
      <c r="L173" s="131" t="s">
        <v>5</v>
      </c>
      <c r="M173" s="131" t="s">
        <v>329</v>
      </c>
      <c r="N173" s="131" t="s">
        <v>323</v>
      </c>
      <c r="O173" s="56">
        <f>VLOOKUP($F173,'ZipCode Coordinates'!$A:$E,4,FALSE)</f>
        <v>1874070</v>
      </c>
      <c r="P173" s="56">
        <f>VLOOKUP($F173,'ZipCode Coordinates'!$A:$E,5,FALSE)</f>
        <v>6418790</v>
      </c>
      <c r="Q173" s="56">
        <f>VLOOKUP($G173,'ZipCode Coordinates'!$A:$E,4,FALSE)</f>
        <v>1834470</v>
      </c>
      <c r="R173" s="56">
        <f>VLOOKUP($G173,'ZipCode Coordinates'!$A:$E,5,FALSE)</f>
        <v>6294590</v>
      </c>
      <c r="S173" s="352" t="str">
        <f>IFERROR(VLOOKUP($M173,'External Gateways'!$C$6:$F$10,2,FALSE),"")</f>
        <v/>
      </c>
      <c r="T173" s="56">
        <f>IFERROR(VLOOKUP($M173,'External Gateways'!$C$6:$F$10,3,FALSE),O173)</f>
        <v>1874070</v>
      </c>
      <c r="U173" s="56">
        <f>IFERROR(VLOOKUP($M173,'External Gateways'!$C$6:$F$10,4,FALSE),P173)</f>
        <v>6418790</v>
      </c>
      <c r="V173" s="353">
        <f t="shared" si="4"/>
        <v>0</v>
      </c>
      <c r="W173" s="353">
        <f t="shared" si="5"/>
        <v>70</v>
      </c>
    </row>
    <row r="174" spans="1:23" ht="15" customHeight="1" x14ac:dyDescent="0.25">
      <c r="A174" s="128">
        <v>1160</v>
      </c>
      <c r="B174" s="129" t="s">
        <v>263</v>
      </c>
      <c r="C174" s="128" t="s">
        <v>166</v>
      </c>
      <c r="D174" s="129" t="s">
        <v>196</v>
      </c>
      <c r="E174" s="129" t="s">
        <v>162</v>
      </c>
      <c r="F174" s="129">
        <v>92021</v>
      </c>
      <c r="G174" s="129">
        <v>92113</v>
      </c>
      <c r="H174" s="130">
        <v>88</v>
      </c>
      <c r="I174" s="129" t="s">
        <v>442</v>
      </c>
      <c r="J174" s="130">
        <v>10</v>
      </c>
      <c r="K174" s="131"/>
      <c r="L174" s="131" t="s">
        <v>5</v>
      </c>
      <c r="M174" s="131" t="s">
        <v>326</v>
      </c>
      <c r="N174" s="131" t="s">
        <v>323</v>
      </c>
      <c r="O174" s="56">
        <f>VLOOKUP($F174,'ZipCode Coordinates'!$A:$E,4,FALSE)</f>
        <v>1885700</v>
      </c>
      <c r="P174" s="56">
        <f>VLOOKUP($F174,'ZipCode Coordinates'!$A:$E,5,FALSE)</f>
        <v>6371420</v>
      </c>
      <c r="Q174" s="56">
        <f>VLOOKUP($G174,'ZipCode Coordinates'!$A:$E,4,FALSE)</f>
        <v>1834470</v>
      </c>
      <c r="R174" s="56">
        <f>VLOOKUP($G174,'ZipCode Coordinates'!$A:$E,5,FALSE)</f>
        <v>6294590</v>
      </c>
      <c r="S174" s="352" t="str">
        <f>IFERROR(VLOOKUP($M174,'External Gateways'!$C$6:$F$10,2,FALSE),"")</f>
        <v/>
      </c>
      <c r="T174" s="56">
        <f>IFERROR(VLOOKUP($M174,'External Gateways'!$C$6:$F$10,3,FALSE),O174)</f>
        <v>1885700</v>
      </c>
      <c r="U174" s="56">
        <f>IFERROR(VLOOKUP($M174,'External Gateways'!$C$6:$F$10,4,FALSE),P174)</f>
        <v>6371420</v>
      </c>
      <c r="V174" s="353">
        <f t="shared" si="4"/>
        <v>0</v>
      </c>
      <c r="W174" s="353">
        <f t="shared" si="5"/>
        <v>88</v>
      </c>
    </row>
    <row r="175" spans="1:23" ht="15" customHeight="1" x14ac:dyDescent="0.25">
      <c r="A175" s="128">
        <v>1161</v>
      </c>
      <c r="B175" s="129" t="s">
        <v>263</v>
      </c>
      <c r="C175" s="128" t="s">
        <v>166</v>
      </c>
      <c r="D175" s="129" t="s">
        <v>162</v>
      </c>
      <c r="E175" s="129" t="s">
        <v>162</v>
      </c>
      <c r="F175" s="129">
        <v>92129</v>
      </c>
      <c r="G175" s="129">
        <v>92113</v>
      </c>
      <c r="H175" s="130">
        <v>109</v>
      </c>
      <c r="I175" s="129" t="s">
        <v>470</v>
      </c>
      <c r="J175" s="130">
        <v>10</v>
      </c>
      <c r="K175" s="131"/>
      <c r="L175" s="131" t="s">
        <v>5</v>
      </c>
      <c r="M175" s="131" t="s">
        <v>327</v>
      </c>
      <c r="N175" s="131" t="s">
        <v>323</v>
      </c>
      <c r="O175" s="56">
        <f>VLOOKUP($F175,'ZipCode Coordinates'!$A:$E,4,FALSE)</f>
        <v>1931860</v>
      </c>
      <c r="P175" s="56">
        <f>VLOOKUP($F175,'ZipCode Coordinates'!$A:$E,5,FALSE)</f>
        <v>6293150</v>
      </c>
      <c r="Q175" s="56">
        <f>VLOOKUP($G175,'ZipCode Coordinates'!$A:$E,4,FALSE)</f>
        <v>1834470</v>
      </c>
      <c r="R175" s="56">
        <f>VLOOKUP($G175,'ZipCode Coordinates'!$A:$E,5,FALSE)</f>
        <v>6294590</v>
      </c>
      <c r="S175" s="352" t="str">
        <f>IFERROR(VLOOKUP($M175,'External Gateways'!$C$6:$F$10,2,FALSE),"")</f>
        <v/>
      </c>
      <c r="T175" s="56">
        <f>IFERROR(VLOOKUP($M175,'External Gateways'!$C$6:$F$10,3,FALSE),O175)</f>
        <v>1931860</v>
      </c>
      <c r="U175" s="56">
        <f>IFERROR(VLOOKUP($M175,'External Gateways'!$C$6:$F$10,4,FALSE),P175)</f>
        <v>6293150</v>
      </c>
      <c r="V175" s="353">
        <f t="shared" si="4"/>
        <v>0</v>
      </c>
      <c r="W175" s="353">
        <f t="shared" si="5"/>
        <v>109</v>
      </c>
    </row>
    <row r="176" spans="1:23" ht="15" customHeight="1" x14ac:dyDescent="0.25">
      <c r="A176" s="128">
        <v>1164</v>
      </c>
      <c r="B176" s="129" t="s">
        <v>311</v>
      </c>
      <c r="C176" s="128" t="s">
        <v>411</v>
      </c>
      <c r="D176" s="129" t="s">
        <v>156</v>
      </c>
      <c r="E176" s="129" t="s">
        <v>413</v>
      </c>
      <c r="F176" s="129">
        <v>92026</v>
      </c>
      <c r="G176" s="129">
        <v>92093</v>
      </c>
      <c r="H176" s="130">
        <v>135</v>
      </c>
      <c r="I176" s="129" t="s">
        <v>401</v>
      </c>
      <c r="J176" s="130">
        <v>7</v>
      </c>
      <c r="K176" s="131"/>
      <c r="L176" s="131" t="s">
        <v>5</v>
      </c>
      <c r="M176" s="131" t="s">
        <v>325</v>
      </c>
      <c r="N176" s="131" t="s">
        <v>327</v>
      </c>
      <c r="O176" s="56">
        <f>VLOOKUP($F176,'ZipCode Coordinates'!$A:$E,4,FALSE)</f>
        <v>2022480</v>
      </c>
      <c r="P176" s="56">
        <f>VLOOKUP($F176,'ZipCode Coordinates'!$A:$E,5,FALSE)</f>
        <v>6297420</v>
      </c>
      <c r="Q176" s="56">
        <f>VLOOKUP($G176,'ZipCode Coordinates'!$A:$E,4,FALSE)</f>
        <v>1901870</v>
      </c>
      <c r="R176" s="56">
        <f>VLOOKUP($G176,'ZipCode Coordinates'!$A:$E,5,FALSE)</f>
        <v>6259600</v>
      </c>
      <c r="S176" s="352" t="str">
        <f>IFERROR(VLOOKUP($M176,'External Gateways'!$C$6:$F$10,2,FALSE),"")</f>
        <v/>
      </c>
      <c r="T176" s="56">
        <f>IFERROR(VLOOKUP($M176,'External Gateways'!$C$6:$F$10,3,FALSE),O176)</f>
        <v>2022480</v>
      </c>
      <c r="U176" s="56">
        <f>IFERROR(VLOOKUP($M176,'External Gateways'!$C$6:$F$10,4,FALSE),P176)</f>
        <v>6297420</v>
      </c>
      <c r="V176" s="353">
        <f t="shared" si="4"/>
        <v>0</v>
      </c>
      <c r="W176" s="353">
        <f t="shared" si="5"/>
        <v>135</v>
      </c>
    </row>
    <row r="177" spans="1:23" ht="15" customHeight="1" x14ac:dyDescent="0.25">
      <c r="A177" s="128">
        <v>1167</v>
      </c>
      <c r="B177" s="129" t="s">
        <v>271</v>
      </c>
      <c r="C177" s="128" t="s">
        <v>166</v>
      </c>
      <c r="D177" s="129" t="s">
        <v>172</v>
      </c>
      <c r="E177" s="129" t="s">
        <v>162</v>
      </c>
      <c r="F177" s="129">
        <v>92595</v>
      </c>
      <c r="G177" s="129">
        <v>92127</v>
      </c>
      <c r="H177" s="130">
        <v>87</v>
      </c>
      <c r="I177" s="129" t="s">
        <v>470</v>
      </c>
      <c r="J177" s="130">
        <v>10</v>
      </c>
      <c r="K177" s="131"/>
      <c r="L177" s="131" t="s">
        <v>5</v>
      </c>
      <c r="M177" s="131" t="s">
        <v>402</v>
      </c>
      <c r="N177" s="131" t="s">
        <v>327</v>
      </c>
      <c r="O177" s="56">
        <f>VLOOKUP($F177,'ZipCode Coordinates'!$A:$E,4,FALSE)</f>
        <v>2170100</v>
      </c>
      <c r="P177" s="56">
        <f>VLOOKUP($F177,'ZipCode Coordinates'!$A:$E,5,FALSE)</f>
        <v>6254090</v>
      </c>
      <c r="Q177" s="56">
        <f>VLOOKUP($G177,'ZipCode Coordinates'!$A:$E,4,FALSE)</f>
        <v>1951970</v>
      </c>
      <c r="R177" s="56">
        <f>VLOOKUP($G177,'ZipCode Coordinates'!$A:$E,5,FALSE)</f>
        <v>6293830</v>
      </c>
      <c r="S177" s="352" t="str">
        <f>IFERROR(VLOOKUP($M177,'External Gateways'!$C$6:$F$10,2,FALSE),"")</f>
        <v>I-15</v>
      </c>
      <c r="T177" s="56">
        <f>IFERROR(VLOOKUP($M177,'External Gateways'!$C$6:$F$10,3,FALSE),O177)</f>
        <v>2102195</v>
      </c>
      <c r="U177" s="56">
        <f>IFERROR(VLOOKUP($M177,'External Gateways'!$C$6:$F$10,4,FALSE),P177)</f>
        <v>6289147</v>
      </c>
      <c r="V177" s="353">
        <f t="shared" si="4"/>
        <v>14.473566476992975</v>
      </c>
      <c r="W177" s="353">
        <f t="shared" si="5"/>
        <v>58.05286704601405</v>
      </c>
    </row>
    <row r="178" spans="1:23" ht="15" customHeight="1" x14ac:dyDescent="0.25">
      <c r="A178" s="128">
        <v>1179</v>
      </c>
      <c r="B178" s="129" t="s">
        <v>277</v>
      </c>
      <c r="C178" s="128" t="s">
        <v>198</v>
      </c>
      <c r="D178" s="129" t="s">
        <v>154</v>
      </c>
      <c r="E178" s="129" t="s">
        <v>162</v>
      </c>
      <c r="F178" s="129">
        <v>92592</v>
      </c>
      <c r="G178" s="129">
        <v>92121</v>
      </c>
      <c r="H178" s="130">
        <v>119</v>
      </c>
      <c r="I178" s="129" t="s">
        <v>416</v>
      </c>
      <c r="J178" s="130">
        <v>7</v>
      </c>
      <c r="K178" s="131"/>
      <c r="L178" s="131" t="s">
        <v>5</v>
      </c>
      <c r="M178" s="131" t="s">
        <v>402</v>
      </c>
      <c r="N178" s="131" t="s">
        <v>327</v>
      </c>
      <c r="O178" s="56">
        <f>VLOOKUP($F178,'ZipCode Coordinates'!$A:$E,4,FALSE)</f>
        <v>2128740</v>
      </c>
      <c r="P178" s="56">
        <f>VLOOKUP($F178,'ZipCode Coordinates'!$A:$E,5,FALSE)</f>
        <v>6328900</v>
      </c>
      <c r="Q178" s="56">
        <f>VLOOKUP($G178,'ZipCode Coordinates'!$A:$E,4,FALSE)</f>
        <v>1907910</v>
      </c>
      <c r="R178" s="56">
        <f>VLOOKUP($G178,'ZipCode Coordinates'!$A:$E,5,FALSE)</f>
        <v>6269540</v>
      </c>
      <c r="S178" s="352" t="str">
        <f>IFERROR(VLOOKUP($M178,'External Gateways'!$C$6:$F$10,2,FALSE),"")</f>
        <v>I-15</v>
      </c>
      <c r="T178" s="56">
        <f>IFERROR(VLOOKUP($M178,'External Gateways'!$C$6:$F$10,3,FALSE),O178)</f>
        <v>2102195</v>
      </c>
      <c r="U178" s="56">
        <f>IFERROR(VLOOKUP($M178,'External Gateways'!$C$6:$F$10,4,FALSE),P178)</f>
        <v>6289147</v>
      </c>
      <c r="V178" s="353">
        <f t="shared" si="4"/>
        <v>9.0532245169037147</v>
      </c>
      <c r="W178" s="353">
        <f t="shared" si="5"/>
        <v>100.89355096619258</v>
      </c>
    </row>
    <row r="179" spans="1:23" ht="15" customHeight="1" x14ac:dyDescent="0.25">
      <c r="A179" s="128">
        <v>1190</v>
      </c>
      <c r="B179" s="129" t="s">
        <v>225</v>
      </c>
      <c r="C179" s="128" t="s">
        <v>198</v>
      </c>
      <c r="D179" s="129" t="s">
        <v>158</v>
      </c>
      <c r="E179" s="129" t="s">
        <v>162</v>
      </c>
      <c r="F179" s="129">
        <v>92563</v>
      </c>
      <c r="G179" s="129">
        <v>92121</v>
      </c>
      <c r="H179" s="130">
        <v>134</v>
      </c>
      <c r="I179" s="129" t="s">
        <v>408</v>
      </c>
      <c r="J179" s="130">
        <v>7</v>
      </c>
      <c r="K179" s="131"/>
      <c r="L179" s="131" t="s">
        <v>5</v>
      </c>
      <c r="M179" s="131" t="s">
        <v>402</v>
      </c>
      <c r="N179" s="131" t="s">
        <v>327</v>
      </c>
      <c r="O179" s="56">
        <f>VLOOKUP($F179,'ZipCode Coordinates'!$A:$E,4,FALSE)</f>
        <v>2156450</v>
      </c>
      <c r="P179" s="56">
        <f>VLOOKUP($F179,'ZipCode Coordinates'!$A:$E,5,FALSE)</f>
        <v>6288710</v>
      </c>
      <c r="Q179" s="56">
        <f>VLOOKUP($G179,'ZipCode Coordinates'!$A:$E,4,FALSE)</f>
        <v>1907910</v>
      </c>
      <c r="R179" s="56">
        <f>VLOOKUP($G179,'ZipCode Coordinates'!$A:$E,5,FALSE)</f>
        <v>6269540</v>
      </c>
      <c r="S179" s="352" t="str">
        <f>IFERROR(VLOOKUP($M179,'External Gateways'!$C$6:$F$10,2,FALSE),"")</f>
        <v>I-15</v>
      </c>
      <c r="T179" s="56">
        <f>IFERROR(VLOOKUP($M179,'External Gateways'!$C$6:$F$10,3,FALSE),O179)</f>
        <v>2102195</v>
      </c>
      <c r="U179" s="56">
        <f>IFERROR(VLOOKUP($M179,'External Gateways'!$C$6:$F$10,4,FALSE),P179)</f>
        <v>6289147</v>
      </c>
      <c r="V179" s="353">
        <f t="shared" si="4"/>
        <v>10.275901494735123</v>
      </c>
      <c r="W179" s="353">
        <f t="shared" si="5"/>
        <v>113.44819701052975</v>
      </c>
    </row>
    <row r="180" spans="1:23" ht="15" customHeight="1" x14ac:dyDescent="0.25">
      <c r="A180" s="128">
        <v>1201</v>
      </c>
      <c r="B180" s="129" t="s">
        <v>263</v>
      </c>
      <c r="C180" s="128" t="s">
        <v>166</v>
      </c>
      <c r="D180" s="129" t="s">
        <v>175</v>
      </c>
      <c r="E180" s="129" t="s">
        <v>162</v>
      </c>
      <c r="F180" s="129">
        <v>92231</v>
      </c>
      <c r="G180" s="129">
        <v>92113</v>
      </c>
      <c r="H180" s="130">
        <v>250</v>
      </c>
      <c r="I180" s="129" t="s">
        <v>441</v>
      </c>
      <c r="J180" s="130">
        <v>8</v>
      </c>
      <c r="K180" s="131"/>
      <c r="L180" s="131" t="s">
        <v>5</v>
      </c>
      <c r="M180" s="131" t="s">
        <v>431</v>
      </c>
      <c r="N180" s="131" t="s">
        <v>323</v>
      </c>
      <c r="O180" s="56">
        <f>VLOOKUP($F180,'ZipCode Coordinates'!$A:$E,4,FALSE)</f>
        <v>1829680</v>
      </c>
      <c r="P180" s="56">
        <f>VLOOKUP($F180,'ZipCode Coordinates'!$A:$E,5,FALSE)</f>
        <v>6778130</v>
      </c>
      <c r="Q180" s="56">
        <f>VLOOKUP($G180,'ZipCode Coordinates'!$A:$E,4,FALSE)</f>
        <v>1834470</v>
      </c>
      <c r="R180" s="56">
        <f>VLOOKUP($G180,'ZipCode Coordinates'!$A:$E,5,FALSE)</f>
        <v>6294590</v>
      </c>
      <c r="S180" s="352" t="str">
        <f>IFERROR(VLOOKUP($M180,'External Gateways'!$C$6:$F$10,2,FALSE),"")</f>
        <v>I-8</v>
      </c>
      <c r="T180" s="56">
        <f>IFERROR(VLOOKUP($M180,'External Gateways'!$C$6:$F$10,3,FALSE),O180)</f>
        <v>1814524</v>
      </c>
      <c r="U180" s="56">
        <f>IFERROR(VLOOKUP($M180,'External Gateways'!$C$6:$F$10,4,FALSE),P180)</f>
        <v>6606089</v>
      </c>
      <c r="V180" s="353">
        <f t="shared" si="4"/>
        <v>32.709715110593962</v>
      </c>
      <c r="W180" s="353">
        <f t="shared" si="5"/>
        <v>184.58056977881208</v>
      </c>
    </row>
    <row r="181" spans="1:23" ht="15" customHeight="1" x14ac:dyDescent="0.25">
      <c r="A181" s="128">
        <v>1203</v>
      </c>
      <c r="B181" s="129" t="s">
        <v>307</v>
      </c>
      <c r="C181" s="128" t="s">
        <v>3</v>
      </c>
      <c r="D181" s="129" t="s">
        <v>154</v>
      </c>
      <c r="E181" s="129" t="s">
        <v>162</v>
      </c>
      <c r="F181" s="129">
        <v>92592</v>
      </c>
      <c r="G181" s="129">
        <v>92110</v>
      </c>
      <c r="H181" s="130">
        <v>135</v>
      </c>
      <c r="I181" s="129" t="s">
        <v>422</v>
      </c>
      <c r="J181" s="130">
        <v>8</v>
      </c>
      <c r="K181" s="131"/>
      <c r="L181" s="131" t="s">
        <v>3</v>
      </c>
      <c r="M181" s="131" t="s">
        <v>402</v>
      </c>
      <c r="N181" s="131" t="s">
        <v>327</v>
      </c>
      <c r="O181" s="56">
        <f>VLOOKUP($F181,'ZipCode Coordinates'!$A:$E,4,FALSE)</f>
        <v>2128740</v>
      </c>
      <c r="P181" s="56">
        <f>VLOOKUP($F181,'ZipCode Coordinates'!$A:$E,5,FALSE)</f>
        <v>6328900</v>
      </c>
      <c r="Q181" s="56">
        <f>VLOOKUP($G181,'ZipCode Coordinates'!$A:$E,4,FALSE)</f>
        <v>1859050</v>
      </c>
      <c r="R181" s="56">
        <f>VLOOKUP($G181,'ZipCode Coordinates'!$A:$E,5,FALSE)</f>
        <v>6269400</v>
      </c>
      <c r="S181" s="352" t="str">
        <f>IFERROR(VLOOKUP($M181,'External Gateways'!$C$6:$F$10,2,FALSE),"")</f>
        <v>I-15</v>
      </c>
      <c r="T181" s="56">
        <f>IFERROR(VLOOKUP($M181,'External Gateways'!$C$6:$F$10,3,FALSE),O181)</f>
        <v>2102195</v>
      </c>
      <c r="U181" s="56">
        <f>IFERROR(VLOOKUP($M181,'External Gateways'!$C$6:$F$10,4,FALSE),P181)</f>
        <v>6289147</v>
      </c>
      <c r="V181" s="353">
        <f t="shared" si="4"/>
        <v>9.0532245169037147</v>
      </c>
      <c r="W181" s="353">
        <f t="shared" si="5"/>
        <v>116.89355096619258</v>
      </c>
    </row>
    <row r="182" spans="1:23" ht="15" customHeight="1" x14ac:dyDescent="0.25">
      <c r="A182" s="128">
        <v>1205</v>
      </c>
      <c r="B182" s="129" t="s">
        <v>171</v>
      </c>
      <c r="C182" s="128" t="s">
        <v>166</v>
      </c>
      <c r="D182" s="129" t="s">
        <v>173</v>
      </c>
      <c r="E182" s="129" t="s">
        <v>162</v>
      </c>
      <c r="F182" s="129">
        <v>92553</v>
      </c>
      <c r="G182" s="129">
        <v>92113</v>
      </c>
      <c r="H182" s="130">
        <v>189</v>
      </c>
      <c r="I182" s="129" t="s">
        <v>441</v>
      </c>
      <c r="J182" s="130">
        <v>8</v>
      </c>
      <c r="K182" s="131"/>
      <c r="L182" s="131" t="s">
        <v>5</v>
      </c>
      <c r="M182" s="131" t="s">
        <v>402</v>
      </c>
      <c r="N182" s="131" t="s">
        <v>323</v>
      </c>
      <c r="O182" s="56">
        <f>VLOOKUP($F182,'ZipCode Coordinates'!$A:$E,4,FALSE)</f>
        <v>2280950</v>
      </c>
      <c r="P182" s="56">
        <f>VLOOKUP($F182,'ZipCode Coordinates'!$A:$E,5,FALSE)</f>
        <v>6259720</v>
      </c>
      <c r="Q182" s="56">
        <f>VLOOKUP($G182,'ZipCode Coordinates'!$A:$E,4,FALSE)</f>
        <v>1834470</v>
      </c>
      <c r="R182" s="56">
        <f>VLOOKUP($G182,'ZipCode Coordinates'!$A:$E,5,FALSE)</f>
        <v>6294590</v>
      </c>
      <c r="S182" s="352" t="str">
        <f>IFERROR(VLOOKUP($M182,'External Gateways'!$C$6:$F$10,2,FALSE),"")</f>
        <v>I-15</v>
      </c>
      <c r="T182" s="56">
        <f>IFERROR(VLOOKUP($M182,'External Gateways'!$C$6:$F$10,3,FALSE),O182)</f>
        <v>2102195</v>
      </c>
      <c r="U182" s="56">
        <f>IFERROR(VLOOKUP($M182,'External Gateways'!$C$6:$F$10,4,FALSE),P182)</f>
        <v>6289147</v>
      </c>
      <c r="V182" s="353">
        <f t="shared" si="4"/>
        <v>34.310790453656878</v>
      </c>
      <c r="W182" s="353">
        <f t="shared" si="5"/>
        <v>120.37841909268624</v>
      </c>
    </row>
    <row r="183" spans="1:23" ht="15" customHeight="1" x14ac:dyDescent="0.25">
      <c r="A183" s="128">
        <v>1209</v>
      </c>
      <c r="B183" s="129" t="s">
        <v>200</v>
      </c>
      <c r="C183" s="128" t="s">
        <v>404</v>
      </c>
      <c r="D183" s="129" t="s">
        <v>165</v>
      </c>
      <c r="E183" s="129" t="s">
        <v>162</v>
      </c>
      <c r="F183" s="129">
        <v>91915</v>
      </c>
      <c r="G183" s="129">
        <v>92101</v>
      </c>
      <c r="H183" s="130">
        <v>58</v>
      </c>
      <c r="I183" s="129" t="s">
        <v>430</v>
      </c>
      <c r="J183" s="130">
        <v>14</v>
      </c>
      <c r="K183" s="131">
        <v>4</v>
      </c>
      <c r="L183" s="131" t="s">
        <v>5</v>
      </c>
      <c r="M183" s="131" t="s">
        <v>326</v>
      </c>
      <c r="N183" s="131" t="s">
        <v>323</v>
      </c>
      <c r="O183" s="56">
        <f>VLOOKUP($F183,'ZipCode Coordinates'!$A:$E,4,FALSE)</f>
        <v>1804550</v>
      </c>
      <c r="P183" s="56">
        <f>VLOOKUP($F183,'ZipCode Coordinates'!$A:$E,5,FALSE)</f>
        <v>6342300</v>
      </c>
      <c r="Q183" s="56">
        <f>VLOOKUP($G183,'ZipCode Coordinates'!$A:$E,4,FALSE)</f>
        <v>1844080</v>
      </c>
      <c r="R183" s="56">
        <f>VLOOKUP($G183,'ZipCode Coordinates'!$A:$E,5,FALSE)</f>
        <v>6278770</v>
      </c>
      <c r="S183" s="352" t="str">
        <f>IFERROR(VLOOKUP($M183,'External Gateways'!$C$6:$F$10,2,FALSE),"")</f>
        <v/>
      </c>
      <c r="T183" s="56">
        <f>IFERROR(VLOOKUP($M183,'External Gateways'!$C$6:$F$10,3,FALSE),O183)</f>
        <v>1804550</v>
      </c>
      <c r="U183" s="56">
        <f>IFERROR(VLOOKUP($M183,'External Gateways'!$C$6:$F$10,4,FALSE),P183)</f>
        <v>6342300</v>
      </c>
      <c r="V183" s="353">
        <f t="shared" si="4"/>
        <v>0</v>
      </c>
      <c r="W183" s="353">
        <f t="shared" si="5"/>
        <v>58</v>
      </c>
    </row>
    <row r="184" spans="1:23" ht="15" customHeight="1" x14ac:dyDescent="0.25">
      <c r="A184" s="128">
        <v>1214</v>
      </c>
      <c r="B184" s="129" t="s">
        <v>300</v>
      </c>
      <c r="C184" s="128" t="s">
        <v>166</v>
      </c>
      <c r="D184" s="129" t="s">
        <v>165</v>
      </c>
      <c r="E184" s="129" t="s">
        <v>162</v>
      </c>
      <c r="F184" s="129">
        <v>91910</v>
      </c>
      <c r="G184" s="129">
        <v>92123</v>
      </c>
      <c r="H184" s="130">
        <v>55</v>
      </c>
      <c r="I184" s="129" t="s">
        <v>401</v>
      </c>
      <c r="J184" s="130">
        <v>7</v>
      </c>
      <c r="K184" s="131">
        <v>1</v>
      </c>
      <c r="L184" s="131" t="s">
        <v>5</v>
      </c>
      <c r="M184" s="131" t="s">
        <v>328</v>
      </c>
      <c r="N184" s="131" t="s">
        <v>327</v>
      </c>
      <c r="O184" s="56">
        <f>VLOOKUP($F184,'ZipCode Coordinates'!$A:$E,4,FALSE)</f>
        <v>1812850</v>
      </c>
      <c r="P184" s="56">
        <f>VLOOKUP($F184,'ZipCode Coordinates'!$A:$E,5,FALSE)</f>
        <v>6313650</v>
      </c>
      <c r="Q184" s="56">
        <f>VLOOKUP($G184,'ZipCode Coordinates'!$A:$E,4,FALSE)</f>
        <v>1874700</v>
      </c>
      <c r="R184" s="56">
        <f>VLOOKUP($G184,'ZipCode Coordinates'!$A:$E,5,FALSE)</f>
        <v>6289760</v>
      </c>
      <c r="S184" s="352" t="str">
        <f>IFERROR(VLOOKUP($M184,'External Gateways'!$C$6:$F$10,2,FALSE),"")</f>
        <v/>
      </c>
      <c r="T184" s="56">
        <f>IFERROR(VLOOKUP($M184,'External Gateways'!$C$6:$F$10,3,FALSE),O184)</f>
        <v>1812850</v>
      </c>
      <c r="U184" s="56">
        <f>IFERROR(VLOOKUP($M184,'External Gateways'!$C$6:$F$10,4,FALSE),P184)</f>
        <v>6313650</v>
      </c>
      <c r="V184" s="353">
        <f t="shared" si="4"/>
        <v>0</v>
      </c>
      <c r="W184" s="353">
        <f t="shared" si="5"/>
        <v>55</v>
      </c>
    </row>
    <row r="185" spans="1:23" ht="15" customHeight="1" x14ac:dyDescent="0.25">
      <c r="A185" s="128">
        <v>1224</v>
      </c>
      <c r="B185" s="129" t="s">
        <v>267</v>
      </c>
      <c r="C185" s="128" t="s">
        <v>3</v>
      </c>
      <c r="D185" s="129" t="s">
        <v>154</v>
      </c>
      <c r="E185" s="129" t="s">
        <v>162</v>
      </c>
      <c r="F185" s="129">
        <v>92592</v>
      </c>
      <c r="G185" s="129">
        <v>92134</v>
      </c>
      <c r="H185" s="130">
        <v>134</v>
      </c>
      <c r="I185" s="129" t="s">
        <v>406</v>
      </c>
      <c r="J185" s="130">
        <v>7</v>
      </c>
      <c r="K185" s="131"/>
      <c r="L185" s="131" t="s">
        <v>3</v>
      </c>
      <c r="M185" s="131" t="s">
        <v>402</v>
      </c>
      <c r="N185" s="131" t="s">
        <v>323</v>
      </c>
      <c r="O185" s="56">
        <f>VLOOKUP($F185,'ZipCode Coordinates'!$A:$E,4,FALSE)</f>
        <v>2128740</v>
      </c>
      <c r="P185" s="56">
        <f>VLOOKUP($F185,'ZipCode Coordinates'!$A:$E,5,FALSE)</f>
        <v>6328900</v>
      </c>
      <c r="Q185" s="56">
        <f>VLOOKUP($G185,'ZipCode Coordinates'!$A:$E,4,FALSE)</f>
        <v>1845130</v>
      </c>
      <c r="R185" s="56">
        <f>VLOOKUP($G185,'ZipCode Coordinates'!$A:$E,5,FALSE)</f>
        <v>6286040</v>
      </c>
      <c r="S185" s="352" t="str">
        <f>IFERROR(VLOOKUP($M185,'External Gateways'!$C$6:$F$10,2,FALSE),"")</f>
        <v>I-15</v>
      </c>
      <c r="T185" s="56">
        <f>IFERROR(VLOOKUP($M185,'External Gateways'!$C$6:$F$10,3,FALSE),O185)</f>
        <v>2102195</v>
      </c>
      <c r="U185" s="56">
        <f>IFERROR(VLOOKUP($M185,'External Gateways'!$C$6:$F$10,4,FALSE),P185)</f>
        <v>6289147</v>
      </c>
      <c r="V185" s="353">
        <f t="shared" si="4"/>
        <v>9.0532245169037147</v>
      </c>
      <c r="W185" s="353">
        <f t="shared" si="5"/>
        <v>115.89355096619258</v>
      </c>
    </row>
    <row r="186" spans="1:23" ht="15" customHeight="1" x14ac:dyDescent="0.25">
      <c r="A186" s="128">
        <v>1242</v>
      </c>
      <c r="B186" s="129" t="s">
        <v>433</v>
      </c>
      <c r="C186" s="128" t="s">
        <v>3</v>
      </c>
      <c r="D186" s="129" t="s">
        <v>154</v>
      </c>
      <c r="E186" s="129" t="s">
        <v>162</v>
      </c>
      <c r="F186" s="129">
        <v>92592</v>
      </c>
      <c r="G186" s="129">
        <v>92147</v>
      </c>
      <c r="H186" s="130">
        <v>151</v>
      </c>
      <c r="I186" s="129" t="s">
        <v>488</v>
      </c>
      <c r="J186" s="130">
        <v>7</v>
      </c>
      <c r="K186" s="131"/>
      <c r="L186" s="131" t="s">
        <v>3</v>
      </c>
      <c r="M186" s="131" t="s">
        <v>402</v>
      </c>
      <c r="N186" s="131" t="s">
        <v>323</v>
      </c>
      <c r="O186" s="56">
        <f>VLOOKUP($F186,'ZipCode Coordinates'!$A:$E,4,FALSE)</f>
        <v>2128740</v>
      </c>
      <c r="P186" s="56">
        <f>VLOOKUP($F186,'ZipCode Coordinates'!$A:$E,5,FALSE)</f>
        <v>6328900</v>
      </c>
      <c r="Q186" s="56">
        <f>VLOOKUP($G186,'ZipCode Coordinates'!$A:$E,4,FALSE)</f>
        <v>1844566</v>
      </c>
      <c r="R186" s="56">
        <f>VLOOKUP($G186,'ZipCode Coordinates'!$A:$E,5,FALSE)</f>
        <v>6263742</v>
      </c>
      <c r="S186" s="352" t="str">
        <f>IFERROR(VLOOKUP($M186,'External Gateways'!$C$6:$F$10,2,FALSE),"")</f>
        <v>I-15</v>
      </c>
      <c r="T186" s="56">
        <f>IFERROR(VLOOKUP($M186,'External Gateways'!$C$6:$F$10,3,FALSE),O186)</f>
        <v>2102195</v>
      </c>
      <c r="U186" s="56">
        <f>IFERROR(VLOOKUP($M186,'External Gateways'!$C$6:$F$10,4,FALSE),P186)</f>
        <v>6289147</v>
      </c>
      <c r="V186" s="353">
        <f t="shared" si="4"/>
        <v>9.0532245169037147</v>
      </c>
      <c r="W186" s="353">
        <f t="shared" si="5"/>
        <v>132.89355096619258</v>
      </c>
    </row>
    <row r="187" spans="1:23" ht="15" customHeight="1" x14ac:dyDescent="0.25">
      <c r="A187" s="128">
        <v>1244</v>
      </c>
      <c r="B187" s="129" t="s">
        <v>219</v>
      </c>
      <c r="C187" s="128" t="s">
        <v>68</v>
      </c>
      <c r="D187" s="129" t="s">
        <v>197</v>
      </c>
      <c r="E187" s="129" t="s">
        <v>216</v>
      </c>
      <c r="F187" s="129">
        <v>92056</v>
      </c>
      <c r="G187" s="129">
        <v>92677</v>
      </c>
      <c r="H187" s="130">
        <v>95</v>
      </c>
      <c r="I187" s="129" t="s">
        <v>408</v>
      </c>
      <c r="J187" s="130">
        <v>7</v>
      </c>
      <c r="K187" s="131">
        <v>2</v>
      </c>
      <c r="L187" s="131" t="s">
        <v>68</v>
      </c>
      <c r="M187" s="131" t="s">
        <v>324</v>
      </c>
      <c r="N187" s="131" t="s">
        <v>439</v>
      </c>
      <c r="O187" s="56">
        <f>VLOOKUP($F187,'ZipCode Coordinates'!$A:$E,4,FALSE)</f>
        <v>2018560</v>
      </c>
      <c r="P187" s="56">
        <f>VLOOKUP($F187,'ZipCode Coordinates'!$A:$E,5,FALSE)</f>
        <v>6243750</v>
      </c>
      <c r="Q187" s="56">
        <f>VLOOKUP($G187,'ZipCode Coordinates'!$A:$E,4,FALSE)</f>
        <v>2138740</v>
      </c>
      <c r="R187" s="56">
        <f>VLOOKUP($G187,'ZipCode Coordinates'!$A:$E,5,FALSE)</f>
        <v>6118470</v>
      </c>
      <c r="S187" s="352" t="str">
        <f>IFERROR(VLOOKUP($M187,'External Gateways'!$C$6:$F$10,2,FALSE),"")</f>
        <v/>
      </c>
      <c r="T187" s="56">
        <f>IFERROR(VLOOKUP($M187,'External Gateways'!$C$6:$F$10,3,FALSE),O187)</f>
        <v>2018560</v>
      </c>
      <c r="U187" s="56">
        <f>IFERROR(VLOOKUP($M187,'External Gateways'!$C$6:$F$10,4,FALSE),P187)</f>
        <v>6243750</v>
      </c>
      <c r="V187" s="353">
        <f t="shared" si="4"/>
        <v>0</v>
      </c>
      <c r="W187" s="353">
        <f t="shared" si="5"/>
        <v>95</v>
      </c>
    </row>
    <row r="188" spans="1:23" ht="15" customHeight="1" x14ac:dyDescent="0.25">
      <c r="A188" s="128">
        <v>1251</v>
      </c>
      <c r="B188" s="129" t="s">
        <v>273</v>
      </c>
      <c r="C188" s="128" t="s">
        <v>179</v>
      </c>
      <c r="D188" s="129" t="s">
        <v>155</v>
      </c>
      <c r="E188" s="129" t="s">
        <v>274</v>
      </c>
      <c r="F188" s="129">
        <v>92010</v>
      </c>
      <c r="G188" s="129">
        <v>92660</v>
      </c>
      <c r="H188" s="130">
        <v>121</v>
      </c>
      <c r="I188" s="129" t="s">
        <v>418</v>
      </c>
      <c r="J188" s="130">
        <v>9</v>
      </c>
      <c r="K188" s="131"/>
      <c r="L188" s="131" t="s">
        <v>5</v>
      </c>
      <c r="M188" s="131" t="s">
        <v>324</v>
      </c>
      <c r="N188" s="131" t="s">
        <v>439</v>
      </c>
      <c r="O188" s="56">
        <f>VLOOKUP($F188,'ZipCode Coordinates'!$A:$E,4,FALSE)</f>
        <v>2002190</v>
      </c>
      <c r="P188" s="56">
        <f>VLOOKUP($F188,'ZipCode Coordinates'!$A:$E,5,FALSE)</f>
        <v>6245090</v>
      </c>
      <c r="Q188" s="56">
        <f>VLOOKUP($G188,'ZipCode Coordinates'!$A:$E,4,FALSE)</f>
        <v>2177840</v>
      </c>
      <c r="R188" s="56">
        <f>VLOOKUP($G188,'ZipCode Coordinates'!$A:$E,5,FALSE)</f>
        <v>6067190</v>
      </c>
      <c r="S188" s="352" t="str">
        <f>IFERROR(VLOOKUP($M188,'External Gateways'!$C$6:$F$10,2,FALSE),"")</f>
        <v/>
      </c>
      <c r="T188" s="56">
        <f>IFERROR(VLOOKUP($M188,'External Gateways'!$C$6:$F$10,3,FALSE),O188)</f>
        <v>2002190</v>
      </c>
      <c r="U188" s="56">
        <f>IFERROR(VLOOKUP($M188,'External Gateways'!$C$6:$F$10,4,FALSE),P188)</f>
        <v>6245090</v>
      </c>
      <c r="V188" s="353">
        <f t="shared" si="4"/>
        <v>0</v>
      </c>
      <c r="W188" s="353">
        <f t="shared" si="5"/>
        <v>121</v>
      </c>
    </row>
    <row r="189" spans="1:23" ht="15" customHeight="1" x14ac:dyDescent="0.25">
      <c r="A189" s="128">
        <v>1255</v>
      </c>
      <c r="B189" s="129" t="s">
        <v>258</v>
      </c>
      <c r="C189" s="128" t="s">
        <v>3</v>
      </c>
      <c r="D189" s="129" t="s">
        <v>162</v>
      </c>
      <c r="E189" s="129" t="s">
        <v>162</v>
      </c>
      <c r="F189" s="129">
        <v>92114</v>
      </c>
      <c r="G189" s="129">
        <v>92135</v>
      </c>
      <c r="H189" s="130">
        <v>37</v>
      </c>
      <c r="I189" s="129" t="s">
        <v>401</v>
      </c>
      <c r="J189" s="130">
        <v>7</v>
      </c>
      <c r="K189" s="131"/>
      <c r="L189" s="131" t="s">
        <v>3</v>
      </c>
      <c r="M189" s="131" t="s">
        <v>323</v>
      </c>
      <c r="N189" s="131" t="s">
        <v>323</v>
      </c>
      <c r="O189" s="56">
        <f>VLOOKUP($F189,'ZipCode Coordinates'!$A:$E,4,FALSE)</f>
        <v>1838250</v>
      </c>
      <c r="P189" s="56">
        <f>VLOOKUP($F189,'ZipCode Coordinates'!$A:$E,5,FALSE)</f>
        <v>6314020</v>
      </c>
      <c r="Q189" s="56">
        <f>VLOOKUP($G189,'ZipCode Coordinates'!$A:$E,4,FALSE)</f>
        <v>1835720</v>
      </c>
      <c r="R189" s="56">
        <f>VLOOKUP($G189,'ZipCode Coordinates'!$A:$E,5,FALSE)</f>
        <v>6266670</v>
      </c>
      <c r="S189" s="352" t="str">
        <f>IFERROR(VLOOKUP($M189,'External Gateways'!$C$6:$F$10,2,FALSE),"")</f>
        <v/>
      </c>
      <c r="T189" s="56">
        <f>IFERROR(VLOOKUP($M189,'External Gateways'!$C$6:$F$10,3,FALSE),O189)</f>
        <v>1838250</v>
      </c>
      <c r="U189" s="56">
        <f>IFERROR(VLOOKUP($M189,'External Gateways'!$C$6:$F$10,4,FALSE),P189)</f>
        <v>6314020</v>
      </c>
      <c r="V189" s="353">
        <f t="shared" si="4"/>
        <v>0</v>
      </c>
      <c r="W189" s="353">
        <f t="shared" si="5"/>
        <v>37</v>
      </c>
    </row>
    <row r="190" spans="1:23" ht="15" customHeight="1" x14ac:dyDescent="0.25">
      <c r="A190" s="128">
        <v>1261</v>
      </c>
      <c r="B190" s="129" t="s">
        <v>433</v>
      </c>
      <c r="C190" s="128" t="s">
        <v>3</v>
      </c>
      <c r="D190" s="129" t="s">
        <v>154</v>
      </c>
      <c r="E190" s="129" t="s">
        <v>162</v>
      </c>
      <c r="F190" s="129">
        <v>92591</v>
      </c>
      <c r="G190" s="129">
        <v>92147</v>
      </c>
      <c r="H190" s="130">
        <v>160</v>
      </c>
      <c r="I190" s="129" t="s">
        <v>416</v>
      </c>
      <c r="J190" s="130">
        <v>7</v>
      </c>
      <c r="K190" s="131"/>
      <c r="L190" s="131" t="s">
        <v>3</v>
      </c>
      <c r="M190" s="131" t="s">
        <v>402</v>
      </c>
      <c r="N190" s="131" t="s">
        <v>323</v>
      </c>
      <c r="O190" s="56">
        <f>VLOOKUP($F190,'ZipCode Coordinates'!$A:$E,4,FALSE)</f>
        <v>2138420</v>
      </c>
      <c r="P190" s="56">
        <f>VLOOKUP($F190,'ZipCode Coordinates'!$A:$E,5,FALSE)</f>
        <v>6299220</v>
      </c>
      <c r="Q190" s="56">
        <f>VLOOKUP($G190,'ZipCode Coordinates'!$A:$E,4,FALSE)</f>
        <v>1844566</v>
      </c>
      <c r="R190" s="56">
        <f>VLOOKUP($G190,'ZipCode Coordinates'!$A:$E,5,FALSE)</f>
        <v>6263742</v>
      </c>
      <c r="S190" s="352" t="str">
        <f>IFERROR(VLOOKUP($M190,'External Gateways'!$C$6:$F$10,2,FALSE),"")</f>
        <v>I-15</v>
      </c>
      <c r="T190" s="56">
        <f>IFERROR(VLOOKUP($M190,'External Gateways'!$C$6:$F$10,3,FALSE),O190)</f>
        <v>2102195</v>
      </c>
      <c r="U190" s="56">
        <f>IFERROR(VLOOKUP($M190,'External Gateways'!$C$6:$F$10,4,FALSE),P190)</f>
        <v>6289147</v>
      </c>
      <c r="V190" s="353">
        <f t="shared" si="4"/>
        <v>7.1211011888925713</v>
      </c>
      <c r="W190" s="353">
        <f t="shared" si="5"/>
        <v>145.75779762221487</v>
      </c>
    </row>
    <row r="191" spans="1:23" ht="15" customHeight="1" x14ac:dyDescent="0.25">
      <c r="A191" s="128">
        <v>1270</v>
      </c>
      <c r="B191" s="129" t="s">
        <v>315</v>
      </c>
      <c r="C191" s="128" t="s">
        <v>68</v>
      </c>
      <c r="D191" s="129" t="s">
        <v>220</v>
      </c>
      <c r="E191" s="129" t="s">
        <v>201</v>
      </c>
      <c r="F191" s="129">
        <v>92071</v>
      </c>
      <c r="G191" s="129">
        <v>91962</v>
      </c>
      <c r="H191" s="130">
        <v>147</v>
      </c>
      <c r="I191" s="129" t="s">
        <v>461</v>
      </c>
      <c r="J191" s="130">
        <v>12</v>
      </c>
      <c r="K191" s="131"/>
      <c r="L191" s="131" t="s">
        <v>68</v>
      </c>
      <c r="M191" s="131" t="s">
        <v>326</v>
      </c>
      <c r="N191" s="131" t="s">
        <v>329</v>
      </c>
      <c r="O191" s="56">
        <f>VLOOKUP($F191,'ZipCode Coordinates'!$A:$E,4,FALSE)</f>
        <v>1895600</v>
      </c>
      <c r="P191" s="56">
        <f>VLOOKUP($F191,'ZipCode Coordinates'!$A:$E,5,FALSE)</f>
        <v>6327040</v>
      </c>
      <c r="Q191" s="56">
        <f>VLOOKUP($G191,'ZipCode Coordinates'!$A:$E,4,FALSE)</f>
        <v>1874980</v>
      </c>
      <c r="R191" s="56">
        <f>VLOOKUP($G191,'ZipCode Coordinates'!$A:$E,5,FALSE)</f>
        <v>6499110</v>
      </c>
      <c r="S191" s="352" t="str">
        <f>IFERROR(VLOOKUP($M191,'External Gateways'!$C$6:$F$10,2,FALSE),"")</f>
        <v/>
      </c>
      <c r="T191" s="56">
        <f>IFERROR(VLOOKUP($M191,'External Gateways'!$C$6:$F$10,3,FALSE),O191)</f>
        <v>1895600</v>
      </c>
      <c r="U191" s="56">
        <f>IFERROR(VLOOKUP($M191,'External Gateways'!$C$6:$F$10,4,FALSE),P191)</f>
        <v>6327040</v>
      </c>
      <c r="V191" s="353">
        <f t="shared" si="4"/>
        <v>0</v>
      </c>
      <c r="W191" s="353">
        <f t="shared" si="5"/>
        <v>147</v>
      </c>
    </row>
    <row r="192" spans="1:23" ht="15" customHeight="1" x14ac:dyDescent="0.25">
      <c r="A192" s="128">
        <v>1279</v>
      </c>
      <c r="B192" s="129" t="s">
        <v>253</v>
      </c>
      <c r="C192" s="128" t="s">
        <v>3</v>
      </c>
      <c r="D192" s="129" t="s">
        <v>165</v>
      </c>
      <c r="E192" s="129" t="s">
        <v>162</v>
      </c>
      <c r="F192" s="129">
        <v>91914</v>
      </c>
      <c r="G192" s="129">
        <v>92145</v>
      </c>
      <c r="H192" s="130">
        <v>79</v>
      </c>
      <c r="I192" s="129" t="s">
        <v>416</v>
      </c>
      <c r="J192" s="130">
        <v>7</v>
      </c>
      <c r="K192" s="131"/>
      <c r="L192" s="131" t="s">
        <v>3</v>
      </c>
      <c r="M192" s="131" t="s">
        <v>326</v>
      </c>
      <c r="N192" s="131" t="s">
        <v>327</v>
      </c>
      <c r="O192" s="56">
        <f>VLOOKUP($F192,'ZipCode Coordinates'!$A:$E,4,FALSE)</f>
        <v>1823440</v>
      </c>
      <c r="P192" s="56">
        <f>VLOOKUP($F192,'ZipCode Coordinates'!$A:$E,5,FALSE)</f>
        <v>6346410</v>
      </c>
      <c r="Q192" s="56">
        <f>VLOOKUP($G192,'ZipCode Coordinates'!$A:$E,4,FALSE)</f>
        <v>1896720</v>
      </c>
      <c r="R192" s="56">
        <f>VLOOKUP($G192,'ZipCode Coordinates'!$A:$E,5,FALSE)</f>
        <v>6297440</v>
      </c>
      <c r="S192" s="352" t="str">
        <f>IFERROR(VLOOKUP($M192,'External Gateways'!$C$6:$F$10,2,FALSE),"")</f>
        <v/>
      </c>
      <c r="T192" s="56">
        <f>IFERROR(VLOOKUP($M192,'External Gateways'!$C$6:$F$10,3,FALSE),O192)</f>
        <v>1823440</v>
      </c>
      <c r="U192" s="56">
        <f>IFERROR(VLOOKUP($M192,'External Gateways'!$C$6:$F$10,4,FALSE),P192)</f>
        <v>6346410</v>
      </c>
      <c r="V192" s="353">
        <f t="shared" si="4"/>
        <v>0</v>
      </c>
      <c r="W192" s="353">
        <f t="shared" si="5"/>
        <v>79</v>
      </c>
    </row>
    <row r="193" spans="1:23" ht="15" customHeight="1" x14ac:dyDescent="0.25">
      <c r="A193" s="128">
        <v>1288</v>
      </c>
      <c r="B193" s="129" t="s">
        <v>302</v>
      </c>
      <c r="C193" s="128" t="s">
        <v>294</v>
      </c>
      <c r="D193" s="129" t="s">
        <v>303</v>
      </c>
      <c r="E193" s="129" t="s">
        <v>454</v>
      </c>
      <c r="F193" s="129">
        <v>92530</v>
      </c>
      <c r="G193" s="129">
        <v>92672</v>
      </c>
      <c r="H193" s="130">
        <v>57</v>
      </c>
      <c r="I193" s="129" t="s">
        <v>487</v>
      </c>
      <c r="J193" s="130">
        <v>9</v>
      </c>
      <c r="K193" s="131"/>
      <c r="L193" s="131" t="s">
        <v>5</v>
      </c>
      <c r="M193" s="131" t="s">
        <v>402</v>
      </c>
      <c r="N193" s="131" t="s">
        <v>324</v>
      </c>
      <c r="O193" s="56">
        <f>VLOOKUP($F193,'ZipCode Coordinates'!$A:$E,4,FALSE)</f>
        <v>2166440</v>
      </c>
      <c r="P193" s="56">
        <f>VLOOKUP($F193,'ZipCode Coordinates'!$A:$E,5,FALSE)</f>
        <v>6212730</v>
      </c>
      <c r="Q193" s="56">
        <f>VLOOKUP($G193,'ZipCode Coordinates'!$A:$E,4,FALSE)</f>
        <v>2090210</v>
      </c>
      <c r="R193" s="56">
        <f>VLOOKUP($G193,'ZipCode Coordinates'!$A:$E,5,FALSE)</f>
        <v>6163720</v>
      </c>
      <c r="S193" s="352" t="str">
        <f>IFERROR(VLOOKUP($M193,'External Gateways'!$C$6:$F$10,2,FALSE),"")</f>
        <v>I-15</v>
      </c>
      <c r="T193" s="56">
        <f>IFERROR(VLOOKUP($M193,'External Gateways'!$C$6:$F$10,3,FALSE),O193)</f>
        <v>2102195</v>
      </c>
      <c r="U193" s="56">
        <f>IFERROR(VLOOKUP($M193,'External Gateways'!$C$6:$F$10,4,FALSE),P193)</f>
        <v>6289147</v>
      </c>
      <c r="V193" s="353">
        <f t="shared" si="4"/>
        <v>18.908097166137583</v>
      </c>
      <c r="W193" s="353">
        <f t="shared" si="5"/>
        <v>19.183805667724833</v>
      </c>
    </row>
    <row r="194" spans="1:23" ht="15" customHeight="1" x14ac:dyDescent="0.25">
      <c r="A194" s="128">
        <v>1293</v>
      </c>
      <c r="B194" s="129" t="s">
        <v>222</v>
      </c>
      <c r="C194" s="128" t="s">
        <v>163</v>
      </c>
      <c r="D194" s="129" t="s">
        <v>196</v>
      </c>
      <c r="E194" s="129" t="s">
        <v>162</v>
      </c>
      <c r="F194" s="129">
        <v>92021</v>
      </c>
      <c r="G194" s="129">
        <v>92101</v>
      </c>
      <c r="H194" s="130">
        <v>99</v>
      </c>
      <c r="I194" s="129" t="s">
        <v>443</v>
      </c>
      <c r="J194" s="130">
        <v>15</v>
      </c>
      <c r="K194" s="131"/>
      <c r="L194" s="131" t="s">
        <v>5</v>
      </c>
      <c r="M194" s="131" t="s">
        <v>326</v>
      </c>
      <c r="N194" s="131" t="s">
        <v>323</v>
      </c>
      <c r="O194" s="56">
        <f>VLOOKUP($F194,'ZipCode Coordinates'!$A:$E,4,FALSE)</f>
        <v>1885700</v>
      </c>
      <c r="P194" s="56">
        <f>VLOOKUP($F194,'ZipCode Coordinates'!$A:$E,5,FALSE)</f>
        <v>6371420</v>
      </c>
      <c r="Q194" s="56">
        <f>VLOOKUP($G194,'ZipCode Coordinates'!$A:$E,4,FALSE)</f>
        <v>1844080</v>
      </c>
      <c r="R194" s="56">
        <f>VLOOKUP($G194,'ZipCode Coordinates'!$A:$E,5,FALSE)</f>
        <v>6278770</v>
      </c>
      <c r="S194" s="352" t="str">
        <f>IFERROR(VLOOKUP($M194,'External Gateways'!$C$6:$F$10,2,FALSE),"")</f>
        <v/>
      </c>
      <c r="T194" s="56">
        <f>IFERROR(VLOOKUP($M194,'External Gateways'!$C$6:$F$10,3,FALSE),O194)</f>
        <v>1885700</v>
      </c>
      <c r="U194" s="56">
        <f>IFERROR(VLOOKUP($M194,'External Gateways'!$C$6:$F$10,4,FALSE),P194)</f>
        <v>6371420</v>
      </c>
      <c r="V194" s="353">
        <f t="shared" si="4"/>
        <v>0</v>
      </c>
      <c r="W194" s="353">
        <f t="shared" si="5"/>
        <v>99</v>
      </c>
    </row>
    <row r="195" spans="1:23" ht="15" customHeight="1" x14ac:dyDescent="0.25">
      <c r="A195" s="128">
        <v>1294</v>
      </c>
      <c r="B195" s="129" t="s">
        <v>222</v>
      </c>
      <c r="C195" s="128" t="s">
        <v>163</v>
      </c>
      <c r="D195" s="129" t="s">
        <v>196</v>
      </c>
      <c r="E195" s="129" t="s">
        <v>162</v>
      </c>
      <c r="F195" s="129">
        <v>92021</v>
      </c>
      <c r="G195" s="129">
        <v>92101</v>
      </c>
      <c r="H195" s="130">
        <v>99</v>
      </c>
      <c r="I195" s="129" t="s">
        <v>444</v>
      </c>
      <c r="J195" s="130">
        <v>15</v>
      </c>
      <c r="K195" s="131"/>
      <c r="L195" s="131" t="s">
        <v>5</v>
      </c>
      <c r="M195" s="131" t="s">
        <v>326</v>
      </c>
      <c r="N195" s="131" t="s">
        <v>323</v>
      </c>
      <c r="O195" s="56">
        <f>VLOOKUP($F195,'ZipCode Coordinates'!$A:$E,4,FALSE)</f>
        <v>1885700</v>
      </c>
      <c r="P195" s="56">
        <f>VLOOKUP($F195,'ZipCode Coordinates'!$A:$E,5,FALSE)</f>
        <v>6371420</v>
      </c>
      <c r="Q195" s="56">
        <f>VLOOKUP($G195,'ZipCode Coordinates'!$A:$E,4,FALSE)</f>
        <v>1844080</v>
      </c>
      <c r="R195" s="56">
        <f>VLOOKUP($G195,'ZipCode Coordinates'!$A:$E,5,FALSE)</f>
        <v>6278770</v>
      </c>
      <c r="S195" s="352" t="str">
        <f>IFERROR(VLOOKUP($M195,'External Gateways'!$C$6:$F$10,2,FALSE),"")</f>
        <v/>
      </c>
      <c r="T195" s="56">
        <f>IFERROR(VLOOKUP($M195,'External Gateways'!$C$6:$F$10,3,FALSE),O195)</f>
        <v>1885700</v>
      </c>
      <c r="U195" s="56">
        <f>IFERROR(VLOOKUP($M195,'External Gateways'!$C$6:$F$10,4,FALSE),P195)</f>
        <v>6371420</v>
      </c>
      <c r="V195" s="353">
        <f t="shared" ref="V195:V258" si="6">SQRT((T195-O195)^2+(U195-P195)^2)/5280</f>
        <v>0</v>
      </c>
      <c r="W195" s="353">
        <f t="shared" ref="W195:W258" si="7">MAX(H195-2*V195,0)</f>
        <v>99</v>
      </c>
    </row>
    <row r="196" spans="1:23" ht="15" customHeight="1" x14ac:dyDescent="0.25">
      <c r="A196" s="128">
        <v>1295</v>
      </c>
      <c r="B196" s="129" t="s">
        <v>187</v>
      </c>
      <c r="C196" s="128" t="s">
        <v>404</v>
      </c>
      <c r="D196" s="129" t="s">
        <v>158</v>
      </c>
      <c r="E196" s="129" t="s">
        <v>162</v>
      </c>
      <c r="F196" s="129">
        <v>92563</v>
      </c>
      <c r="G196" s="129">
        <v>92110</v>
      </c>
      <c r="H196" s="130">
        <v>136</v>
      </c>
      <c r="I196" s="129" t="s">
        <v>422</v>
      </c>
      <c r="J196" s="130">
        <v>8</v>
      </c>
      <c r="K196" s="131">
        <v>1</v>
      </c>
      <c r="L196" s="131" t="s">
        <v>5</v>
      </c>
      <c r="M196" s="131" t="s">
        <v>402</v>
      </c>
      <c r="N196" s="131" t="s">
        <v>327</v>
      </c>
      <c r="O196" s="56">
        <f>VLOOKUP($F196,'ZipCode Coordinates'!$A:$E,4,FALSE)</f>
        <v>2156450</v>
      </c>
      <c r="P196" s="56">
        <f>VLOOKUP($F196,'ZipCode Coordinates'!$A:$E,5,FALSE)</f>
        <v>6288710</v>
      </c>
      <c r="Q196" s="56">
        <f>VLOOKUP($G196,'ZipCode Coordinates'!$A:$E,4,FALSE)</f>
        <v>1859050</v>
      </c>
      <c r="R196" s="56">
        <f>VLOOKUP($G196,'ZipCode Coordinates'!$A:$E,5,FALSE)</f>
        <v>6269400</v>
      </c>
      <c r="S196" s="352" t="str">
        <f>IFERROR(VLOOKUP($M196,'External Gateways'!$C$6:$F$10,2,FALSE),"")</f>
        <v>I-15</v>
      </c>
      <c r="T196" s="56">
        <f>IFERROR(VLOOKUP($M196,'External Gateways'!$C$6:$F$10,3,FALSE),O196)</f>
        <v>2102195</v>
      </c>
      <c r="U196" s="56">
        <f>IFERROR(VLOOKUP($M196,'External Gateways'!$C$6:$F$10,4,FALSE),P196)</f>
        <v>6289147</v>
      </c>
      <c r="V196" s="353">
        <f t="shared" si="6"/>
        <v>10.275901494735123</v>
      </c>
      <c r="W196" s="353">
        <f t="shared" si="7"/>
        <v>115.44819701052975</v>
      </c>
    </row>
    <row r="197" spans="1:23" ht="15" customHeight="1" x14ac:dyDescent="0.25">
      <c r="A197" s="128">
        <v>1296</v>
      </c>
      <c r="B197" s="129" t="s">
        <v>187</v>
      </c>
      <c r="C197" s="128" t="s">
        <v>404</v>
      </c>
      <c r="D197" s="129" t="s">
        <v>188</v>
      </c>
      <c r="E197" s="129" t="s">
        <v>162</v>
      </c>
      <c r="F197" s="129">
        <v>92069</v>
      </c>
      <c r="G197" s="129">
        <v>92110</v>
      </c>
      <c r="H197" s="130">
        <v>70</v>
      </c>
      <c r="I197" s="129" t="s">
        <v>403</v>
      </c>
      <c r="J197" s="130">
        <v>8</v>
      </c>
      <c r="K197" s="131"/>
      <c r="L197" s="131" t="s">
        <v>5</v>
      </c>
      <c r="M197" s="131" t="s">
        <v>325</v>
      </c>
      <c r="N197" s="131" t="s">
        <v>327</v>
      </c>
      <c r="O197" s="56">
        <f>VLOOKUP($F197,'ZipCode Coordinates'!$A:$E,4,FALSE)</f>
        <v>2008640</v>
      </c>
      <c r="P197" s="56">
        <f>VLOOKUP($F197,'ZipCode Coordinates'!$A:$E,5,FALSE)</f>
        <v>6283870</v>
      </c>
      <c r="Q197" s="56">
        <f>VLOOKUP($G197,'ZipCode Coordinates'!$A:$E,4,FALSE)</f>
        <v>1859050</v>
      </c>
      <c r="R197" s="56">
        <f>VLOOKUP($G197,'ZipCode Coordinates'!$A:$E,5,FALSE)</f>
        <v>6269400</v>
      </c>
      <c r="S197" s="352" t="str">
        <f>IFERROR(VLOOKUP($M197,'External Gateways'!$C$6:$F$10,2,FALSE),"")</f>
        <v/>
      </c>
      <c r="T197" s="56">
        <f>IFERROR(VLOOKUP($M197,'External Gateways'!$C$6:$F$10,3,FALSE),O197)</f>
        <v>2008640</v>
      </c>
      <c r="U197" s="56">
        <f>IFERROR(VLOOKUP($M197,'External Gateways'!$C$6:$F$10,4,FALSE),P197)</f>
        <v>6283870</v>
      </c>
      <c r="V197" s="353">
        <f t="shared" si="6"/>
        <v>0</v>
      </c>
      <c r="W197" s="353">
        <f t="shared" si="7"/>
        <v>70</v>
      </c>
    </row>
    <row r="198" spans="1:23" ht="15" customHeight="1" x14ac:dyDescent="0.25">
      <c r="A198" s="128">
        <v>1306</v>
      </c>
      <c r="B198" s="129" t="s">
        <v>82</v>
      </c>
      <c r="C198" s="128" t="s">
        <v>3</v>
      </c>
      <c r="D198" s="129" t="s">
        <v>154</v>
      </c>
      <c r="E198" s="129" t="s">
        <v>82</v>
      </c>
      <c r="F198" s="129">
        <v>92592</v>
      </c>
      <c r="G198" s="129">
        <v>92055</v>
      </c>
      <c r="H198" s="130">
        <v>89</v>
      </c>
      <c r="I198" s="129" t="s">
        <v>514</v>
      </c>
      <c r="J198" s="130">
        <v>7</v>
      </c>
      <c r="K198" s="131"/>
      <c r="L198" s="131" t="s">
        <v>3</v>
      </c>
      <c r="M198" s="131" t="s">
        <v>402</v>
      </c>
      <c r="N198" s="131" t="s">
        <v>324</v>
      </c>
      <c r="O198" s="56">
        <f>VLOOKUP($F198,'ZipCode Coordinates'!$A:$E,4,FALSE)</f>
        <v>2128740</v>
      </c>
      <c r="P198" s="56">
        <f>VLOOKUP($F198,'ZipCode Coordinates'!$A:$E,5,FALSE)</f>
        <v>6328900</v>
      </c>
      <c r="Q198" s="56">
        <f>VLOOKUP($G198,'ZipCode Coordinates'!$A:$E,4,FALSE)</f>
        <v>2082470</v>
      </c>
      <c r="R198" s="56">
        <f>VLOOKUP($G198,'ZipCode Coordinates'!$A:$E,5,FALSE)</f>
        <v>6206470</v>
      </c>
      <c r="S198" s="352" t="str">
        <f>IFERROR(VLOOKUP($M198,'External Gateways'!$C$6:$F$10,2,FALSE),"")</f>
        <v>I-15</v>
      </c>
      <c r="T198" s="56">
        <f>IFERROR(VLOOKUP($M198,'External Gateways'!$C$6:$F$10,3,FALSE),O198)</f>
        <v>2102195</v>
      </c>
      <c r="U198" s="56">
        <f>IFERROR(VLOOKUP($M198,'External Gateways'!$C$6:$F$10,4,FALSE),P198)</f>
        <v>6289147</v>
      </c>
      <c r="V198" s="353">
        <f t="shared" si="6"/>
        <v>9.0532245169037147</v>
      </c>
      <c r="W198" s="353">
        <f t="shared" si="7"/>
        <v>70.893550966192578</v>
      </c>
    </row>
    <row r="199" spans="1:23" ht="15" customHeight="1" x14ac:dyDescent="0.25">
      <c r="A199" s="128">
        <v>1308</v>
      </c>
      <c r="B199" s="129" t="s">
        <v>230</v>
      </c>
      <c r="C199" s="128" t="s">
        <v>181</v>
      </c>
      <c r="D199" s="129" t="s">
        <v>175</v>
      </c>
      <c r="E199" s="129" t="s">
        <v>425</v>
      </c>
      <c r="F199" s="129">
        <v>92231</v>
      </c>
      <c r="G199" s="129">
        <v>91906</v>
      </c>
      <c r="H199" s="130">
        <v>161</v>
      </c>
      <c r="I199" s="129" t="s">
        <v>412</v>
      </c>
      <c r="J199" s="130">
        <v>10</v>
      </c>
      <c r="K199" s="131"/>
      <c r="L199" s="131" t="s">
        <v>5</v>
      </c>
      <c r="M199" s="131" t="s">
        <v>431</v>
      </c>
      <c r="N199" s="131" t="s">
        <v>329</v>
      </c>
      <c r="O199" s="56">
        <f>VLOOKUP($F199,'ZipCode Coordinates'!$A:$E,4,FALSE)</f>
        <v>1829680</v>
      </c>
      <c r="P199" s="56">
        <f>VLOOKUP($F199,'ZipCode Coordinates'!$A:$E,5,FALSE)</f>
        <v>6778130</v>
      </c>
      <c r="Q199" s="56">
        <f>VLOOKUP($G199,'ZipCode Coordinates'!$A:$E,4,FALSE)</f>
        <v>1833150</v>
      </c>
      <c r="R199" s="56">
        <f>VLOOKUP($G199,'ZipCode Coordinates'!$A:$E,5,FALSE)</f>
        <v>6479630</v>
      </c>
      <c r="S199" s="352" t="str">
        <f>IFERROR(VLOOKUP($M199,'External Gateways'!$C$6:$F$10,2,FALSE),"")</f>
        <v>I-8</v>
      </c>
      <c r="T199" s="56">
        <f>IFERROR(VLOOKUP($M199,'External Gateways'!$C$6:$F$10,3,FALSE),O199)</f>
        <v>1814524</v>
      </c>
      <c r="U199" s="56">
        <f>IFERROR(VLOOKUP($M199,'External Gateways'!$C$6:$F$10,4,FALSE),P199)</f>
        <v>6606089</v>
      </c>
      <c r="V199" s="353">
        <f t="shared" si="6"/>
        <v>32.709715110593962</v>
      </c>
      <c r="W199" s="353">
        <f t="shared" si="7"/>
        <v>95.580569778812077</v>
      </c>
    </row>
    <row r="200" spans="1:23" ht="15" customHeight="1" x14ac:dyDescent="0.25">
      <c r="A200" s="128">
        <v>1309</v>
      </c>
      <c r="B200" s="129" t="s">
        <v>230</v>
      </c>
      <c r="C200" s="128" t="s">
        <v>181</v>
      </c>
      <c r="D200" s="129" t="s">
        <v>176</v>
      </c>
      <c r="E200" s="129" t="s">
        <v>425</v>
      </c>
      <c r="F200" s="129">
        <v>92243</v>
      </c>
      <c r="G200" s="129">
        <v>91906</v>
      </c>
      <c r="H200" s="130">
        <v>159</v>
      </c>
      <c r="I200" s="129" t="s">
        <v>440</v>
      </c>
      <c r="J200" s="130">
        <v>12</v>
      </c>
      <c r="K200" s="131"/>
      <c r="L200" s="131" t="s">
        <v>5</v>
      </c>
      <c r="M200" s="131" t="s">
        <v>431</v>
      </c>
      <c r="N200" s="131" t="s">
        <v>329</v>
      </c>
      <c r="O200" s="56">
        <f>VLOOKUP($F200,'ZipCode Coordinates'!$A:$E,4,FALSE)</f>
        <v>1861900</v>
      </c>
      <c r="P200" s="56">
        <f>VLOOKUP($F200,'ZipCode Coordinates'!$A:$E,5,FALSE)</f>
        <v>6761000</v>
      </c>
      <c r="Q200" s="56">
        <f>VLOOKUP($G200,'ZipCode Coordinates'!$A:$E,4,FALSE)</f>
        <v>1833150</v>
      </c>
      <c r="R200" s="56">
        <f>VLOOKUP($G200,'ZipCode Coordinates'!$A:$E,5,FALSE)</f>
        <v>6479630</v>
      </c>
      <c r="S200" s="352" t="str">
        <f>IFERROR(VLOOKUP($M200,'External Gateways'!$C$6:$F$10,2,FALSE),"")</f>
        <v>I-8</v>
      </c>
      <c r="T200" s="56">
        <f>IFERROR(VLOOKUP($M200,'External Gateways'!$C$6:$F$10,3,FALSE),O200)</f>
        <v>1814524</v>
      </c>
      <c r="U200" s="56">
        <f>IFERROR(VLOOKUP($M200,'External Gateways'!$C$6:$F$10,4,FALSE),P200)</f>
        <v>6606089</v>
      </c>
      <c r="V200" s="353">
        <f t="shared" si="6"/>
        <v>30.680592531285384</v>
      </c>
      <c r="W200" s="353">
        <f t="shared" si="7"/>
        <v>97.638814937429231</v>
      </c>
    </row>
    <row r="201" spans="1:23" ht="15" customHeight="1" x14ac:dyDescent="0.25">
      <c r="A201" s="128">
        <v>1319</v>
      </c>
      <c r="B201" s="129" t="s">
        <v>277</v>
      </c>
      <c r="C201" s="128" t="s">
        <v>198</v>
      </c>
      <c r="D201" s="129" t="s">
        <v>188</v>
      </c>
      <c r="E201" s="129" t="s">
        <v>162</v>
      </c>
      <c r="F201" s="129">
        <v>92078</v>
      </c>
      <c r="G201" s="129">
        <v>92121</v>
      </c>
      <c r="H201" s="130">
        <v>84</v>
      </c>
      <c r="I201" s="129" t="s">
        <v>401</v>
      </c>
      <c r="J201" s="130">
        <v>7</v>
      </c>
      <c r="K201" s="131">
        <v>2</v>
      </c>
      <c r="L201" s="131" t="s">
        <v>5</v>
      </c>
      <c r="M201" s="131" t="s">
        <v>325</v>
      </c>
      <c r="N201" s="131" t="s">
        <v>327</v>
      </c>
      <c r="O201" s="56">
        <f>VLOOKUP($F201,'ZipCode Coordinates'!$A:$E,4,FALSE)</f>
        <v>1988050</v>
      </c>
      <c r="P201" s="56">
        <f>VLOOKUP($F201,'ZipCode Coordinates'!$A:$E,5,FALSE)</f>
        <v>6275270</v>
      </c>
      <c r="Q201" s="56">
        <f>VLOOKUP($G201,'ZipCode Coordinates'!$A:$E,4,FALSE)</f>
        <v>1907910</v>
      </c>
      <c r="R201" s="56">
        <f>VLOOKUP($G201,'ZipCode Coordinates'!$A:$E,5,FALSE)</f>
        <v>6269540</v>
      </c>
      <c r="S201" s="352" t="str">
        <f>IFERROR(VLOOKUP($M201,'External Gateways'!$C$6:$F$10,2,FALSE),"")</f>
        <v/>
      </c>
      <c r="T201" s="56">
        <f>IFERROR(VLOOKUP($M201,'External Gateways'!$C$6:$F$10,3,FALSE),O201)</f>
        <v>1988050</v>
      </c>
      <c r="U201" s="56">
        <f>IFERROR(VLOOKUP($M201,'External Gateways'!$C$6:$F$10,4,FALSE),P201)</f>
        <v>6275270</v>
      </c>
      <c r="V201" s="353">
        <f t="shared" si="6"/>
        <v>0</v>
      </c>
      <c r="W201" s="353">
        <f t="shared" si="7"/>
        <v>84</v>
      </c>
    </row>
    <row r="202" spans="1:23" ht="15" customHeight="1" x14ac:dyDescent="0.25">
      <c r="A202" s="128">
        <v>1326</v>
      </c>
      <c r="B202" s="129" t="s">
        <v>263</v>
      </c>
      <c r="C202" s="128" t="s">
        <v>166</v>
      </c>
      <c r="D202" s="129" t="s">
        <v>162</v>
      </c>
      <c r="E202" s="129" t="s">
        <v>162</v>
      </c>
      <c r="F202" s="129">
        <v>92139</v>
      </c>
      <c r="G202" s="129">
        <v>92135</v>
      </c>
      <c r="H202" s="130">
        <v>40</v>
      </c>
      <c r="I202" s="129" t="s">
        <v>416</v>
      </c>
      <c r="J202" s="130">
        <v>7</v>
      </c>
      <c r="K202" s="131"/>
      <c r="L202" s="131" t="s">
        <v>5</v>
      </c>
      <c r="M202" s="131" t="s">
        <v>323</v>
      </c>
      <c r="N202" s="131" t="s">
        <v>323</v>
      </c>
      <c r="O202" s="56">
        <f>VLOOKUP($F202,'ZipCode Coordinates'!$A:$E,4,FALSE)</f>
        <v>1828110</v>
      </c>
      <c r="P202" s="56">
        <f>VLOOKUP($F202,'ZipCode Coordinates'!$A:$E,5,FALSE)</f>
        <v>6315850</v>
      </c>
      <c r="Q202" s="56">
        <f>VLOOKUP($G202,'ZipCode Coordinates'!$A:$E,4,FALSE)</f>
        <v>1835720</v>
      </c>
      <c r="R202" s="56">
        <f>VLOOKUP($G202,'ZipCode Coordinates'!$A:$E,5,FALSE)</f>
        <v>6266670</v>
      </c>
      <c r="S202" s="352" t="str">
        <f>IFERROR(VLOOKUP($M202,'External Gateways'!$C$6:$F$10,2,FALSE),"")</f>
        <v/>
      </c>
      <c r="T202" s="56">
        <f>IFERROR(VLOOKUP($M202,'External Gateways'!$C$6:$F$10,3,FALSE),O202)</f>
        <v>1828110</v>
      </c>
      <c r="U202" s="56">
        <f>IFERROR(VLOOKUP($M202,'External Gateways'!$C$6:$F$10,4,FALSE),P202)</f>
        <v>6315850</v>
      </c>
      <c r="V202" s="353">
        <f t="shared" si="6"/>
        <v>0</v>
      </c>
      <c r="W202" s="353">
        <f t="shared" si="7"/>
        <v>40</v>
      </c>
    </row>
    <row r="203" spans="1:23" ht="15" customHeight="1" x14ac:dyDescent="0.25">
      <c r="A203" s="128">
        <v>1328</v>
      </c>
      <c r="B203" s="129" t="s">
        <v>267</v>
      </c>
      <c r="C203" s="128" t="s">
        <v>3</v>
      </c>
      <c r="D203" s="129" t="s">
        <v>158</v>
      </c>
      <c r="E203" s="129" t="s">
        <v>162</v>
      </c>
      <c r="F203" s="129">
        <v>92563</v>
      </c>
      <c r="G203" s="129">
        <v>92134</v>
      </c>
      <c r="H203" s="130">
        <v>130</v>
      </c>
      <c r="I203" s="129" t="s">
        <v>427</v>
      </c>
      <c r="J203" s="130">
        <v>7</v>
      </c>
      <c r="K203" s="131"/>
      <c r="L203" s="131" t="s">
        <v>3</v>
      </c>
      <c r="M203" s="131" t="s">
        <v>402</v>
      </c>
      <c r="N203" s="131" t="s">
        <v>323</v>
      </c>
      <c r="O203" s="56">
        <f>VLOOKUP($F203,'ZipCode Coordinates'!$A:$E,4,FALSE)</f>
        <v>2156450</v>
      </c>
      <c r="P203" s="56">
        <f>VLOOKUP($F203,'ZipCode Coordinates'!$A:$E,5,FALSE)</f>
        <v>6288710</v>
      </c>
      <c r="Q203" s="56">
        <f>VLOOKUP($G203,'ZipCode Coordinates'!$A:$E,4,FALSE)</f>
        <v>1845130</v>
      </c>
      <c r="R203" s="56">
        <f>VLOOKUP($G203,'ZipCode Coordinates'!$A:$E,5,FALSE)</f>
        <v>6286040</v>
      </c>
      <c r="S203" s="352" t="str">
        <f>IFERROR(VLOOKUP($M203,'External Gateways'!$C$6:$F$10,2,FALSE),"")</f>
        <v>I-15</v>
      </c>
      <c r="T203" s="56">
        <f>IFERROR(VLOOKUP($M203,'External Gateways'!$C$6:$F$10,3,FALSE),O203)</f>
        <v>2102195</v>
      </c>
      <c r="U203" s="56">
        <f>IFERROR(VLOOKUP($M203,'External Gateways'!$C$6:$F$10,4,FALSE),P203)</f>
        <v>6289147</v>
      </c>
      <c r="V203" s="353">
        <f t="shared" si="6"/>
        <v>10.275901494735123</v>
      </c>
      <c r="W203" s="353">
        <f t="shared" si="7"/>
        <v>109.44819701052975</v>
      </c>
    </row>
    <row r="204" spans="1:23" ht="15" customHeight="1" x14ac:dyDescent="0.25">
      <c r="A204" s="128">
        <v>1329</v>
      </c>
      <c r="B204" s="129" t="s">
        <v>304</v>
      </c>
      <c r="C204" s="128" t="s">
        <v>198</v>
      </c>
      <c r="D204" s="129" t="s">
        <v>154</v>
      </c>
      <c r="E204" s="129" t="s">
        <v>162</v>
      </c>
      <c r="F204" s="129">
        <v>92592</v>
      </c>
      <c r="G204" s="129">
        <v>92127</v>
      </c>
      <c r="H204" s="130">
        <v>85</v>
      </c>
      <c r="I204" s="129" t="s">
        <v>401</v>
      </c>
      <c r="J204" s="130">
        <v>7</v>
      </c>
      <c r="K204" s="131">
        <v>1</v>
      </c>
      <c r="L204" s="131" t="s">
        <v>5</v>
      </c>
      <c r="M204" s="131" t="s">
        <v>402</v>
      </c>
      <c r="N204" s="131" t="s">
        <v>327</v>
      </c>
      <c r="O204" s="56">
        <f>VLOOKUP($F204,'ZipCode Coordinates'!$A:$E,4,FALSE)</f>
        <v>2128740</v>
      </c>
      <c r="P204" s="56">
        <f>VLOOKUP($F204,'ZipCode Coordinates'!$A:$E,5,FALSE)</f>
        <v>6328900</v>
      </c>
      <c r="Q204" s="56">
        <f>VLOOKUP($G204,'ZipCode Coordinates'!$A:$E,4,FALSE)</f>
        <v>1951970</v>
      </c>
      <c r="R204" s="56">
        <f>VLOOKUP($G204,'ZipCode Coordinates'!$A:$E,5,FALSE)</f>
        <v>6293830</v>
      </c>
      <c r="S204" s="352" t="str">
        <f>IFERROR(VLOOKUP($M204,'External Gateways'!$C$6:$F$10,2,FALSE),"")</f>
        <v>I-15</v>
      </c>
      <c r="T204" s="56">
        <f>IFERROR(VLOOKUP($M204,'External Gateways'!$C$6:$F$10,3,FALSE),O204)</f>
        <v>2102195</v>
      </c>
      <c r="U204" s="56">
        <f>IFERROR(VLOOKUP($M204,'External Gateways'!$C$6:$F$10,4,FALSE),P204)</f>
        <v>6289147</v>
      </c>
      <c r="V204" s="353">
        <f t="shared" si="6"/>
        <v>9.0532245169037147</v>
      </c>
      <c r="W204" s="353">
        <f t="shared" si="7"/>
        <v>66.893550966192578</v>
      </c>
    </row>
    <row r="205" spans="1:23" ht="15" customHeight="1" x14ac:dyDescent="0.25">
      <c r="A205" s="128">
        <v>1340</v>
      </c>
      <c r="B205" s="129" t="s">
        <v>310</v>
      </c>
      <c r="C205" s="128" t="s">
        <v>68</v>
      </c>
      <c r="D205" s="129" t="s">
        <v>156</v>
      </c>
      <c r="E205" s="129" t="s">
        <v>162</v>
      </c>
      <c r="F205" s="129">
        <v>92026</v>
      </c>
      <c r="G205" s="129">
        <v>92101</v>
      </c>
      <c r="H205" s="130">
        <v>189</v>
      </c>
      <c r="I205" s="129" t="s">
        <v>428</v>
      </c>
      <c r="J205" s="130">
        <v>7</v>
      </c>
      <c r="K205" s="131"/>
      <c r="L205" s="131" t="s">
        <v>68</v>
      </c>
      <c r="M205" s="131" t="s">
        <v>325</v>
      </c>
      <c r="N205" s="131" t="s">
        <v>323</v>
      </c>
      <c r="O205" s="56">
        <f>VLOOKUP($F205,'ZipCode Coordinates'!$A:$E,4,FALSE)</f>
        <v>2022480</v>
      </c>
      <c r="P205" s="56">
        <f>VLOOKUP($F205,'ZipCode Coordinates'!$A:$E,5,FALSE)</f>
        <v>6297420</v>
      </c>
      <c r="Q205" s="56">
        <f>VLOOKUP($G205,'ZipCode Coordinates'!$A:$E,4,FALSE)</f>
        <v>1844080</v>
      </c>
      <c r="R205" s="56">
        <f>VLOOKUP($G205,'ZipCode Coordinates'!$A:$E,5,FALSE)</f>
        <v>6278770</v>
      </c>
      <c r="S205" s="352" t="str">
        <f>IFERROR(VLOOKUP($M205,'External Gateways'!$C$6:$F$10,2,FALSE),"")</f>
        <v/>
      </c>
      <c r="T205" s="56">
        <f>IFERROR(VLOOKUP($M205,'External Gateways'!$C$6:$F$10,3,FALSE),O205)</f>
        <v>2022480</v>
      </c>
      <c r="U205" s="56">
        <f>IFERROR(VLOOKUP($M205,'External Gateways'!$C$6:$F$10,4,FALSE),P205)</f>
        <v>6297420</v>
      </c>
      <c r="V205" s="353">
        <f t="shared" si="6"/>
        <v>0</v>
      </c>
      <c r="W205" s="353">
        <f t="shared" si="7"/>
        <v>189</v>
      </c>
    </row>
    <row r="206" spans="1:23" ht="15" customHeight="1" x14ac:dyDescent="0.25">
      <c r="A206" s="128">
        <v>1345</v>
      </c>
      <c r="B206" s="129" t="s">
        <v>311</v>
      </c>
      <c r="C206" s="128" t="s">
        <v>411</v>
      </c>
      <c r="D206" s="129" t="s">
        <v>165</v>
      </c>
      <c r="E206" s="129" t="s">
        <v>413</v>
      </c>
      <c r="F206" s="129">
        <v>91913</v>
      </c>
      <c r="G206" s="129">
        <v>92093</v>
      </c>
      <c r="H206" s="130">
        <v>80</v>
      </c>
      <c r="I206" s="129" t="s">
        <v>403</v>
      </c>
      <c r="J206" s="130">
        <v>8</v>
      </c>
      <c r="K206" s="131"/>
      <c r="L206" s="131" t="s">
        <v>5</v>
      </c>
      <c r="M206" s="131" t="s">
        <v>328</v>
      </c>
      <c r="N206" s="131" t="s">
        <v>327</v>
      </c>
      <c r="O206" s="56">
        <f>VLOOKUP($F206,'ZipCode Coordinates'!$A:$E,4,FALSE)</f>
        <v>1810320</v>
      </c>
      <c r="P206" s="56">
        <f>VLOOKUP($F206,'ZipCode Coordinates'!$A:$E,5,FALSE)</f>
        <v>6334990</v>
      </c>
      <c r="Q206" s="56">
        <f>VLOOKUP($G206,'ZipCode Coordinates'!$A:$E,4,FALSE)</f>
        <v>1901870</v>
      </c>
      <c r="R206" s="56">
        <f>VLOOKUP($G206,'ZipCode Coordinates'!$A:$E,5,FALSE)</f>
        <v>6259600</v>
      </c>
      <c r="S206" s="352" t="str">
        <f>IFERROR(VLOOKUP($M206,'External Gateways'!$C$6:$F$10,2,FALSE),"")</f>
        <v/>
      </c>
      <c r="T206" s="56">
        <f>IFERROR(VLOOKUP($M206,'External Gateways'!$C$6:$F$10,3,FALSE),O206)</f>
        <v>1810320</v>
      </c>
      <c r="U206" s="56">
        <f>IFERROR(VLOOKUP($M206,'External Gateways'!$C$6:$F$10,4,FALSE),P206)</f>
        <v>6334990</v>
      </c>
      <c r="V206" s="353">
        <f t="shared" si="6"/>
        <v>0</v>
      </c>
      <c r="W206" s="353">
        <f t="shared" si="7"/>
        <v>80</v>
      </c>
    </row>
    <row r="207" spans="1:23" ht="15" customHeight="1" x14ac:dyDescent="0.25">
      <c r="A207" s="128">
        <v>1347</v>
      </c>
      <c r="B207" s="129" t="s">
        <v>263</v>
      </c>
      <c r="C207" s="128" t="s">
        <v>166</v>
      </c>
      <c r="D207" s="129" t="s">
        <v>210</v>
      </c>
      <c r="E207" s="129" t="s">
        <v>162</v>
      </c>
      <c r="F207" s="129">
        <v>92081</v>
      </c>
      <c r="G207" s="129">
        <v>92113</v>
      </c>
      <c r="H207" s="130">
        <v>114</v>
      </c>
      <c r="I207" s="129" t="s">
        <v>406</v>
      </c>
      <c r="J207" s="130">
        <v>7</v>
      </c>
      <c r="K207" s="131"/>
      <c r="L207" s="131" t="s">
        <v>5</v>
      </c>
      <c r="M207" s="131" t="s">
        <v>325</v>
      </c>
      <c r="N207" s="131" t="s">
        <v>323</v>
      </c>
      <c r="O207" s="56">
        <f>VLOOKUP($F207,'ZipCode Coordinates'!$A:$E,4,FALSE)</f>
        <v>2005090</v>
      </c>
      <c r="P207" s="56">
        <f>VLOOKUP($F207,'ZipCode Coordinates'!$A:$E,5,FALSE)</f>
        <v>6258440</v>
      </c>
      <c r="Q207" s="56">
        <f>VLOOKUP($G207,'ZipCode Coordinates'!$A:$E,4,FALSE)</f>
        <v>1834470</v>
      </c>
      <c r="R207" s="56">
        <f>VLOOKUP($G207,'ZipCode Coordinates'!$A:$E,5,FALSE)</f>
        <v>6294590</v>
      </c>
      <c r="S207" s="352" t="str">
        <f>IFERROR(VLOOKUP($M207,'External Gateways'!$C$6:$F$10,2,FALSE),"")</f>
        <v/>
      </c>
      <c r="T207" s="56">
        <f>IFERROR(VLOOKUP($M207,'External Gateways'!$C$6:$F$10,3,FALSE),O207)</f>
        <v>2005090</v>
      </c>
      <c r="U207" s="56">
        <f>IFERROR(VLOOKUP($M207,'External Gateways'!$C$6:$F$10,4,FALSE),P207)</f>
        <v>6258440</v>
      </c>
      <c r="V207" s="353">
        <f t="shared" si="6"/>
        <v>0</v>
      </c>
      <c r="W207" s="353">
        <f t="shared" si="7"/>
        <v>114</v>
      </c>
    </row>
    <row r="208" spans="1:23" ht="15" customHeight="1" x14ac:dyDescent="0.25">
      <c r="A208" s="128">
        <v>1350</v>
      </c>
      <c r="B208" s="129" t="s">
        <v>304</v>
      </c>
      <c r="C208" s="128" t="s">
        <v>198</v>
      </c>
      <c r="D208" s="129" t="s">
        <v>165</v>
      </c>
      <c r="E208" s="129" t="s">
        <v>162</v>
      </c>
      <c r="F208" s="129">
        <v>91910</v>
      </c>
      <c r="G208" s="129">
        <v>92127</v>
      </c>
      <c r="H208" s="130">
        <v>120</v>
      </c>
      <c r="I208" s="129" t="s">
        <v>401</v>
      </c>
      <c r="J208" s="130">
        <v>7</v>
      </c>
      <c r="K208" s="131"/>
      <c r="L208" s="131" t="s">
        <v>5</v>
      </c>
      <c r="M208" s="131" t="s">
        <v>328</v>
      </c>
      <c r="N208" s="131" t="s">
        <v>327</v>
      </c>
      <c r="O208" s="56">
        <f>VLOOKUP($F208,'ZipCode Coordinates'!$A:$E,4,FALSE)</f>
        <v>1812850</v>
      </c>
      <c r="P208" s="56">
        <f>VLOOKUP($F208,'ZipCode Coordinates'!$A:$E,5,FALSE)</f>
        <v>6313650</v>
      </c>
      <c r="Q208" s="56">
        <f>VLOOKUP($G208,'ZipCode Coordinates'!$A:$E,4,FALSE)</f>
        <v>1951970</v>
      </c>
      <c r="R208" s="56">
        <f>VLOOKUP($G208,'ZipCode Coordinates'!$A:$E,5,FALSE)</f>
        <v>6293830</v>
      </c>
      <c r="S208" s="352" t="str">
        <f>IFERROR(VLOOKUP($M208,'External Gateways'!$C$6:$F$10,2,FALSE),"")</f>
        <v/>
      </c>
      <c r="T208" s="56">
        <f>IFERROR(VLOOKUP($M208,'External Gateways'!$C$6:$F$10,3,FALSE),O208)</f>
        <v>1812850</v>
      </c>
      <c r="U208" s="56">
        <f>IFERROR(VLOOKUP($M208,'External Gateways'!$C$6:$F$10,4,FALSE),P208)</f>
        <v>6313650</v>
      </c>
      <c r="V208" s="353">
        <f t="shared" si="6"/>
        <v>0</v>
      </c>
      <c r="W208" s="353">
        <f t="shared" si="7"/>
        <v>120</v>
      </c>
    </row>
    <row r="209" spans="1:23" ht="15" customHeight="1" x14ac:dyDescent="0.25">
      <c r="A209" s="128">
        <v>1356</v>
      </c>
      <c r="B209" s="129" t="s">
        <v>451</v>
      </c>
      <c r="C209" s="128" t="s">
        <v>3</v>
      </c>
      <c r="D209" s="129" t="s">
        <v>156</v>
      </c>
      <c r="E209" s="129" t="s">
        <v>162</v>
      </c>
      <c r="F209" s="129">
        <v>92026</v>
      </c>
      <c r="G209" s="129">
        <v>92136</v>
      </c>
      <c r="H209" s="130">
        <v>110</v>
      </c>
      <c r="I209" s="129" t="s">
        <v>422</v>
      </c>
      <c r="J209" s="130">
        <v>8</v>
      </c>
      <c r="K209" s="131"/>
      <c r="L209" s="131" t="s">
        <v>3</v>
      </c>
      <c r="M209" s="131" t="s">
        <v>325</v>
      </c>
      <c r="N209" s="131" t="s">
        <v>323</v>
      </c>
      <c r="O209" s="56">
        <f>VLOOKUP($F209,'ZipCode Coordinates'!$A:$E,4,FALSE)</f>
        <v>2022480</v>
      </c>
      <c r="P209" s="56">
        <f>VLOOKUP($F209,'ZipCode Coordinates'!$A:$E,5,FALSE)</f>
        <v>6297420</v>
      </c>
      <c r="Q209" s="56">
        <f>VLOOKUP($G209,'ZipCode Coordinates'!$A:$E,4,FALSE)</f>
        <v>1828370</v>
      </c>
      <c r="R209" s="56">
        <f>VLOOKUP($G209,'ZipCode Coordinates'!$A:$E,5,FALSE)</f>
        <v>6293940</v>
      </c>
      <c r="S209" s="352" t="str">
        <f>IFERROR(VLOOKUP($M209,'External Gateways'!$C$6:$F$10,2,FALSE),"")</f>
        <v/>
      </c>
      <c r="T209" s="56">
        <f>IFERROR(VLOOKUP($M209,'External Gateways'!$C$6:$F$10,3,FALSE),O209)</f>
        <v>2022480</v>
      </c>
      <c r="U209" s="56">
        <f>IFERROR(VLOOKUP($M209,'External Gateways'!$C$6:$F$10,4,FALSE),P209)</f>
        <v>6297420</v>
      </c>
      <c r="V209" s="353">
        <f t="shared" si="6"/>
        <v>0</v>
      </c>
      <c r="W209" s="353">
        <f t="shared" si="7"/>
        <v>110</v>
      </c>
    </row>
    <row r="210" spans="1:23" ht="15" customHeight="1" x14ac:dyDescent="0.25">
      <c r="A210" s="128">
        <v>1358</v>
      </c>
      <c r="B210" s="129" t="s">
        <v>215</v>
      </c>
      <c r="C210" s="128" t="s">
        <v>68</v>
      </c>
      <c r="D210" s="129" t="s">
        <v>160</v>
      </c>
      <c r="E210" s="129" t="s">
        <v>162</v>
      </c>
      <c r="F210" s="129">
        <v>92582</v>
      </c>
      <c r="G210" s="129">
        <v>92108</v>
      </c>
      <c r="H210" s="130">
        <v>110</v>
      </c>
      <c r="I210" s="129" t="s">
        <v>416</v>
      </c>
      <c r="J210" s="130">
        <v>7</v>
      </c>
      <c r="K210" s="131"/>
      <c r="L210" s="131" t="s">
        <v>68</v>
      </c>
      <c r="M210" s="131" t="s">
        <v>402</v>
      </c>
      <c r="N210" s="131" t="s">
        <v>327</v>
      </c>
      <c r="O210" s="56">
        <f>VLOOKUP($F210,'ZipCode Coordinates'!$A:$E,4,FALSE)</f>
        <v>2238560</v>
      </c>
      <c r="P210" s="56">
        <f>VLOOKUP($F210,'ZipCode Coordinates'!$A:$E,5,FALSE)</f>
        <v>6328720</v>
      </c>
      <c r="Q210" s="56">
        <f>VLOOKUP($G210,'ZipCode Coordinates'!$A:$E,4,FALSE)</f>
        <v>1862470</v>
      </c>
      <c r="R210" s="56">
        <f>VLOOKUP($G210,'ZipCode Coordinates'!$A:$E,5,FALSE)</f>
        <v>6286860</v>
      </c>
      <c r="S210" s="352" t="str">
        <f>IFERROR(VLOOKUP($M210,'External Gateways'!$C$6:$F$10,2,FALSE),"")</f>
        <v>I-15</v>
      </c>
      <c r="T210" s="56">
        <f>IFERROR(VLOOKUP($M210,'External Gateways'!$C$6:$F$10,3,FALSE),O210)</f>
        <v>2102195</v>
      </c>
      <c r="U210" s="56">
        <f>IFERROR(VLOOKUP($M210,'External Gateways'!$C$6:$F$10,4,FALSE),P210)</f>
        <v>6289147</v>
      </c>
      <c r="V210" s="353">
        <f t="shared" si="6"/>
        <v>26.89222916163747</v>
      </c>
      <c r="W210" s="353">
        <f t="shared" si="7"/>
        <v>56.21554167672506</v>
      </c>
    </row>
    <row r="211" spans="1:23" ht="15" customHeight="1" x14ac:dyDescent="0.25">
      <c r="A211" s="128">
        <v>1359</v>
      </c>
      <c r="B211" s="129" t="s">
        <v>302</v>
      </c>
      <c r="C211" s="128" t="s">
        <v>294</v>
      </c>
      <c r="D211" s="129" t="s">
        <v>158</v>
      </c>
      <c r="E211" s="129" t="s">
        <v>454</v>
      </c>
      <c r="F211" s="129">
        <v>92562</v>
      </c>
      <c r="G211" s="129">
        <v>92672</v>
      </c>
      <c r="H211" s="130">
        <v>106</v>
      </c>
      <c r="I211" s="129" t="s">
        <v>434</v>
      </c>
      <c r="J211" s="130">
        <v>7</v>
      </c>
      <c r="K211" s="131"/>
      <c r="L211" s="131" t="s">
        <v>5</v>
      </c>
      <c r="M211" s="131" t="s">
        <v>402</v>
      </c>
      <c r="N211" s="131" t="s">
        <v>324</v>
      </c>
      <c r="O211" s="56">
        <f>VLOOKUP($F211,'ZipCode Coordinates'!$A:$E,4,FALSE)</f>
        <v>2144470</v>
      </c>
      <c r="P211" s="56">
        <f>VLOOKUP($F211,'ZipCode Coordinates'!$A:$E,5,FALSE)</f>
        <v>6251450</v>
      </c>
      <c r="Q211" s="56">
        <f>VLOOKUP($G211,'ZipCode Coordinates'!$A:$E,4,FALSE)</f>
        <v>2090210</v>
      </c>
      <c r="R211" s="56">
        <f>VLOOKUP($G211,'ZipCode Coordinates'!$A:$E,5,FALSE)</f>
        <v>6163720</v>
      </c>
      <c r="S211" s="352" t="str">
        <f>IFERROR(VLOOKUP($M211,'External Gateways'!$C$6:$F$10,2,FALSE),"")</f>
        <v>I-15</v>
      </c>
      <c r="T211" s="56">
        <f>IFERROR(VLOOKUP($M211,'External Gateways'!$C$6:$F$10,3,FALSE),O211)</f>
        <v>2102195</v>
      </c>
      <c r="U211" s="56">
        <f>IFERROR(VLOOKUP($M211,'External Gateways'!$C$6:$F$10,4,FALSE),P211)</f>
        <v>6289147</v>
      </c>
      <c r="V211" s="353">
        <f t="shared" si="6"/>
        <v>10.727523233277124</v>
      </c>
      <c r="W211" s="353">
        <f t="shared" si="7"/>
        <v>84.544953533445749</v>
      </c>
    </row>
    <row r="212" spans="1:23" ht="15" customHeight="1" x14ac:dyDescent="0.25">
      <c r="A212" s="128">
        <v>1360</v>
      </c>
      <c r="B212" s="129" t="s">
        <v>285</v>
      </c>
      <c r="C212" s="128" t="s">
        <v>404</v>
      </c>
      <c r="D212" s="129" t="s">
        <v>154</v>
      </c>
      <c r="E212" s="129" t="s">
        <v>210</v>
      </c>
      <c r="F212" s="129">
        <v>92591</v>
      </c>
      <c r="G212" s="129">
        <v>92081</v>
      </c>
      <c r="H212" s="130">
        <v>60</v>
      </c>
      <c r="I212" s="129" t="s">
        <v>487</v>
      </c>
      <c r="J212" s="130">
        <v>9</v>
      </c>
      <c r="K212" s="131"/>
      <c r="L212" s="131" t="s">
        <v>5</v>
      </c>
      <c r="M212" s="131" t="s">
        <v>402</v>
      </c>
      <c r="N212" s="131" t="s">
        <v>325</v>
      </c>
      <c r="O212" s="56">
        <f>VLOOKUP($F212,'ZipCode Coordinates'!$A:$E,4,FALSE)</f>
        <v>2138420</v>
      </c>
      <c r="P212" s="56">
        <f>VLOOKUP($F212,'ZipCode Coordinates'!$A:$E,5,FALSE)</f>
        <v>6299220</v>
      </c>
      <c r="Q212" s="56">
        <f>VLOOKUP($G212,'ZipCode Coordinates'!$A:$E,4,FALSE)</f>
        <v>2005090</v>
      </c>
      <c r="R212" s="56">
        <f>VLOOKUP($G212,'ZipCode Coordinates'!$A:$E,5,FALSE)</f>
        <v>6258440</v>
      </c>
      <c r="S212" s="352" t="str">
        <f>IFERROR(VLOOKUP($M212,'External Gateways'!$C$6:$F$10,2,FALSE),"")</f>
        <v>I-15</v>
      </c>
      <c r="T212" s="56">
        <f>IFERROR(VLOOKUP($M212,'External Gateways'!$C$6:$F$10,3,FALSE),O212)</f>
        <v>2102195</v>
      </c>
      <c r="U212" s="56">
        <f>IFERROR(VLOOKUP($M212,'External Gateways'!$C$6:$F$10,4,FALSE),P212)</f>
        <v>6289147</v>
      </c>
      <c r="V212" s="353">
        <f t="shared" si="6"/>
        <v>7.1211011888925713</v>
      </c>
      <c r="W212" s="353">
        <f t="shared" si="7"/>
        <v>45.757797622214859</v>
      </c>
    </row>
    <row r="213" spans="1:23" ht="15" customHeight="1" x14ac:dyDescent="0.25">
      <c r="A213" s="128">
        <v>1365</v>
      </c>
      <c r="B213" s="129" t="s">
        <v>204</v>
      </c>
      <c r="C213" s="128" t="s">
        <v>415</v>
      </c>
      <c r="D213" s="129" t="s">
        <v>205</v>
      </c>
      <c r="E213" s="129" t="s">
        <v>162</v>
      </c>
      <c r="F213" s="129">
        <v>91941</v>
      </c>
      <c r="G213" s="129">
        <v>92117</v>
      </c>
      <c r="H213" s="130">
        <v>46</v>
      </c>
      <c r="I213" s="129" t="s">
        <v>429</v>
      </c>
      <c r="J213" s="130">
        <v>9</v>
      </c>
      <c r="K213" s="131"/>
      <c r="L213" s="131" t="s">
        <v>5</v>
      </c>
      <c r="M213" s="131" t="s">
        <v>326</v>
      </c>
      <c r="N213" s="131" t="s">
        <v>327</v>
      </c>
      <c r="O213" s="56">
        <f>VLOOKUP($F213,'ZipCode Coordinates'!$A:$E,4,FALSE)</f>
        <v>1857090</v>
      </c>
      <c r="P213" s="56">
        <f>VLOOKUP($F213,'ZipCode Coordinates'!$A:$E,5,FALSE)</f>
        <v>6332960</v>
      </c>
      <c r="Q213" s="56">
        <f>VLOOKUP($G213,'ZipCode Coordinates'!$A:$E,4,FALSE)</f>
        <v>1881200</v>
      </c>
      <c r="R213" s="56">
        <f>VLOOKUP($G213,'ZipCode Coordinates'!$A:$E,5,FALSE)</f>
        <v>6269850</v>
      </c>
      <c r="S213" s="352" t="str">
        <f>IFERROR(VLOOKUP($M213,'External Gateways'!$C$6:$F$10,2,FALSE),"")</f>
        <v/>
      </c>
      <c r="T213" s="56">
        <f>IFERROR(VLOOKUP($M213,'External Gateways'!$C$6:$F$10,3,FALSE),O213)</f>
        <v>1857090</v>
      </c>
      <c r="U213" s="56">
        <f>IFERROR(VLOOKUP($M213,'External Gateways'!$C$6:$F$10,4,FALSE),P213)</f>
        <v>6332960</v>
      </c>
      <c r="V213" s="353">
        <f t="shared" si="6"/>
        <v>0</v>
      </c>
      <c r="W213" s="353">
        <f t="shared" si="7"/>
        <v>46</v>
      </c>
    </row>
    <row r="214" spans="1:23" ht="15" customHeight="1" x14ac:dyDescent="0.25">
      <c r="A214" s="128">
        <v>1366</v>
      </c>
      <c r="B214" s="129" t="s">
        <v>311</v>
      </c>
      <c r="C214" s="128" t="s">
        <v>411</v>
      </c>
      <c r="D214" s="129" t="s">
        <v>161</v>
      </c>
      <c r="E214" s="129" t="s">
        <v>413</v>
      </c>
      <c r="F214" s="129">
        <v>92596</v>
      </c>
      <c r="G214" s="129">
        <v>92093</v>
      </c>
      <c r="H214" s="130">
        <v>135</v>
      </c>
      <c r="I214" s="129" t="s">
        <v>441</v>
      </c>
      <c r="J214" s="130">
        <v>8</v>
      </c>
      <c r="K214" s="131"/>
      <c r="L214" s="131" t="s">
        <v>5</v>
      </c>
      <c r="M214" s="131" t="s">
        <v>402</v>
      </c>
      <c r="N214" s="131" t="s">
        <v>327</v>
      </c>
      <c r="O214" s="56">
        <f>VLOOKUP($F214,'ZipCode Coordinates'!$A:$E,4,FALSE)</f>
        <v>2177700</v>
      </c>
      <c r="P214" s="56">
        <f>VLOOKUP($F214,'ZipCode Coordinates'!$A:$E,5,FALSE)</f>
        <v>6311340</v>
      </c>
      <c r="Q214" s="56">
        <f>VLOOKUP($G214,'ZipCode Coordinates'!$A:$E,4,FALSE)</f>
        <v>1901870</v>
      </c>
      <c r="R214" s="56">
        <f>VLOOKUP($G214,'ZipCode Coordinates'!$A:$E,5,FALSE)</f>
        <v>6259600</v>
      </c>
      <c r="S214" s="352" t="str">
        <f>IFERROR(VLOOKUP($M214,'External Gateways'!$C$6:$F$10,2,FALSE),"")</f>
        <v>I-15</v>
      </c>
      <c r="T214" s="56">
        <f>IFERROR(VLOOKUP($M214,'External Gateways'!$C$6:$F$10,3,FALSE),O214)</f>
        <v>2102195</v>
      </c>
      <c r="U214" s="56">
        <f>IFERROR(VLOOKUP($M214,'External Gateways'!$C$6:$F$10,4,FALSE),P214)</f>
        <v>6289147</v>
      </c>
      <c r="V214" s="353">
        <f t="shared" si="6"/>
        <v>14.905115649451727</v>
      </c>
      <c r="W214" s="353">
        <f t="shared" si="7"/>
        <v>105.18976870109654</v>
      </c>
    </row>
    <row r="215" spans="1:23" ht="15" customHeight="1" x14ac:dyDescent="0.25">
      <c r="A215" s="128">
        <v>1370</v>
      </c>
      <c r="B215" s="129" t="s">
        <v>204</v>
      </c>
      <c r="C215" s="128" t="s">
        <v>415</v>
      </c>
      <c r="D215" s="129" t="s">
        <v>165</v>
      </c>
      <c r="E215" s="129" t="s">
        <v>162</v>
      </c>
      <c r="F215" s="129">
        <v>91910</v>
      </c>
      <c r="G215" s="129">
        <v>92117</v>
      </c>
      <c r="H215" s="130">
        <v>43</v>
      </c>
      <c r="I215" s="129" t="s">
        <v>416</v>
      </c>
      <c r="J215" s="130">
        <v>7</v>
      </c>
      <c r="K215" s="131"/>
      <c r="L215" s="131" t="s">
        <v>5</v>
      </c>
      <c r="M215" s="131" t="s">
        <v>328</v>
      </c>
      <c r="N215" s="131" t="s">
        <v>327</v>
      </c>
      <c r="O215" s="56">
        <f>VLOOKUP($F215,'ZipCode Coordinates'!$A:$E,4,FALSE)</f>
        <v>1812850</v>
      </c>
      <c r="P215" s="56">
        <f>VLOOKUP($F215,'ZipCode Coordinates'!$A:$E,5,FALSE)</f>
        <v>6313650</v>
      </c>
      <c r="Q215" s="56">
        <f>VLOOKUP($G215,'ZipCode Coordinates'!$A:$E,4,FALSE)</f>
        <v>1881200</v>
      </c>
      <c r="R215" s="56">
        <f>VLOOKUP($G215,'ZipCode Coordinates'!$A:$E,5,FALSE)</f>
        <v>6269850</v>
      </c>
      <c r="S215" s="352" t="str">
        <f>IFERROR(VLOOKUP($M215,'External Gateways'!$C$6:$F$10,2,FALSE),"")</f>
        <v/>
      </c>
      <c r="T215" s="56">
        <f>IFERROR(VLOOKUP($M215,'External Gateways'!$C$6:$F$10,3,FALSE),O215)</f>
        <v>1812850</v>
      </c>
      <c r="U215" s="56">
        <f>IFERROR(VLOOKUP($M215,'External Gateways'!$C$6:$F$10,4,FALSE),P215)</f>
        <v>6313650</v>
      </c>
      <c r="V215" s="353">
        <f t="shared" si="6"/>
        <v>0</v>
      </c>
      <c r="W215" s="353">
        <f t="shared" si="7"/>
        <v>43</v>
      </c>
    </row>
    <row r="216" spans="1:23" ht="15" customHeight="1" x14ac:dyDescent="0.25">
      <c r="A216" s="128">
        <v>1381</v>
      </c>
      <c r="B216" s="129" t="s">
        <v>285</v>
      </c>
      <c r="C216" s="128" t="s">
        <v>404</v>
      </c>
      <c r="D216" s="129" t="s">
        <v>165</v>
      </c>
      <c r="E216" s="129" t="s">
        <v>162</v>
      </c>
      <c r="F216" s="129">
        <v>91913</v>
      </c>
      <c r="G216" s="129">
        <v>92101</v>
      </c>
      <c r="H216" s="130">
        <v>65</v>
      </c>
      <c r="I216" s="129" t="s">
        <v>419</v>
      </c>
      <c r="J216" s="130">
        <v>7</v>
      </c>
      <c r="K216" s="131">
        <v>2</v>
      </c>
      <c r="L216" s="131" t="s">
        <v>5</v>
      </c>
      <c r="M216" s="131" t="s">
        <v>328</v>
      </c>
      <c r="N216" s="131" t="s">
        <v>323</v>
      </c>
      <c r="O216" s="56">
        <f>VLOOKUP($F216,'ZipCode Coordinates'!$A:$E,4,FALSE)</f>
        <v>1810320</v>
      </c>
      <c r="P216" s="56">
        <f>VLOOKUP($F216,'ZipCode Coordinates'!$A:$E,5,FALSE)</f>
        <v>6334990</v>
      </c>
      <c r="Q216" s="56">
        <f>VLOOKUP($G216,'ZipCode Coordinates'!$A:$E,4,FALSE)</f>
        <v>1844080</v>
      </c>
      <c r="R216" s="56">
        <f>VLOOKUP($G216,'ZipCode Coordinates'!$A:$E,5,FALSE)</f>
        <v>6278770</v>
      </c>
      <c r="S216" s="352" t="str">
        <f>IFERROR(VLOOKUP($M216,'External Gateways'!$C$6:$F$10,2,FALSE),"")</f>
        <v/>
      </c>
      <c r="T216" s="56">
        <f>IFERROR(VLOOKUP($M216,'External Gateways'!$C$6:$F$10,3,FALSE),O216)</f>
        <v>1810320</v>
      </c>
      <c r="U216" s="56">
        <f>IFERROR(VLOOKUP($M216,'External Gateways'!$C$6:$F$10,4,FALSE),P216)</f>
        <v>6334990</v>
      </c>
      <c r="V216" s="353">
        <f t="shared" si="6"/>
        <v>0</v>
      </c>
      <c r="W216" s="353">
        <f t="shared" si="7"/>
        <v>65</v>
      </c>
    </row>
    <row r="217" spans="1:23" ht="15" customHeight="1" x14ac:dyDescent="0.25">
      <c r="A217" s="128">
        <v>1382</v>
      </c>
      <c r="B217" s="129" t="s">
        <v>204</v>
      </c>
      <c r="C217" s="128" t="s">
        <v>415</v>
      </c>
      <c r="D217" s="129" t="s">
        <v>206</v>
      </c>
      <c r="E217" s="129" t="s">
        <v>162</v>
      </c>
      <c r="F217" s="129">
        <v>92064</v>
      </c>
      <c r="G217" s="129">
        <v>92117</v>
      </c>
      <c r="H217" s="130">
        <v>55</v>
      </c>
      <c r="I217" s="129" t="s">
        <v>401</v>
      </c>
      <c r="J217" s="130">
        <v>7</v>
      </c>
      <c r="K217" s="131"/>
      <c r="L217" s="131" t="s">
        <v>5</v>
      </c>
      <c r="M217" s="131" t="s">
        <v>327</v>
      </c>
      <c r="N217" s="131" t="s">
        <v>327</v>
      </c>
      <c r="O217" s="56">
        <f>VLOOKUP($F217,'ZipCode Coordinates'!$A:$E,4,FALSE)</f>
        <v>1939040</v>
      </c>
      <c r="P217" s="56">
        <f>VLOOKUP($F217,'ZipCode Coordinates'!$A:$E,5,FALSE)</f>
        <v>6325350</v>
      </c>
      <c r="Q217" s="56">
        <f>VLOOKUP($G217,'ZipCode Coordinates'!$A:$E,4,FALSE)</f>
        <v>1881200</v>
      </c>
      <c r="R217" s="56">
        <f>VLOOKUP($G217,'ZipCode Coordinates'!$A:$E,5,FALSE)</f>
        <v>6269850</v>
      </c>
      <c r="S217" s="352" t="str">
        <f>IFERROR(VLOOKUP($M217,'External Gateways'!$C$6:$F$10,2,FALSE),"")</f>
        <v/>
      </c>
      <c r="T217" s="56">
        <f>IFERROR(VLOOKUP($M217,'External Gateways'!$C$6:$F$10,3,FALSE),O217)</f>
        <v>1939040</v>
      </c>
      <c r="U217" s="56">
        <f>IFERROR(VLOOKUP($M217,'External Gateways'!$C$6:$F$10,4,FALSE),P217)</f>
        <v>6325350</v>
      </c>
      <c r="V217" s="353">
        <f t="shared" si="6"/>
        <v>0</v>
      </c>
      <c r="W217" s="353">
        <f t="shared" si="7"/>
        <v>55</v>
      </c>
    </row>
    <row r="218" spans="1:23" ht="15" customHeight="1" x14ac:dyDescent="0.25">
      <c r="A218" s="128">
        <v>1383</v>
      </c>
      <c r="B218" s="129" t="s">
        <v>82</v>
      </c>
      <c r="C218" s="128" t="s">
        <v>3</v>
      </c>
      <c r="D218" s="129" t="s">
        <v>197</v>
      </c>
      <c r="E218" s="129" t="s">
        <v>82</v>
      </c>
      <c r="F218" s="129">
        <v>92058</v>
      </c>
      <c r="G218" s="129">
        <v>92055</v>
      </c>
      <c r="H218" s="130">
        <v>60</v>
      </c>
      <c r="I218" s="129" t="s">
        <v>401</v>
      </c>
      <c r="J218" s="130">
        <v>7</v>
      </c>
      <c r="K218" s="131"/>
      <c r="L218" s="131" t="s">
        <v>3</v>
      </c>
      <c r="M218" s="131" t="s">
        <v>324</v>
      </c>
      <c r="N218" s="131" t="s">
        <v>324</v>
      </c>
      <c r="O218" s="56">
        <f>VLOOKUP($F218,'ZipCode Coordinates'!$A:$E,4,FALSE)</f>
        <v>2042580</v>
      </c>
      <c r="P218" s="56">
        <f>VLOOKUP($F218,'ZipCode Coordinates'!$A:$E,5,FALSE)</f>
        <v>6223930</v>
      </c>
      <c r="Q218" s="56">
        <f>VLOOKUP($G218,'ZipCode Coordinates'!$A:$E,4,FALSE)</f>
        <v>2082470</v>
      </c>
      <c r="R218" s="56">
        <f>VLOOKUP($G218,'ZipCode Coordinates'!$A:$E,5,FALSE)</f>
        <v>6206470</v>
      </c>
      <c r="S218" s="352" t="str">
        <f>IFERROR(VLOOKUP($M218,'External Gateways'!$C$6:$F$10,2,FALSE),"")</f>
        <v/>
      </c>
      <c r="T218" s="56">
        <f>IFERROR(VLOOKUP($M218,'External Gateways'!$C$6:$F$10,3,FALSE),O218)</f>
        <v>2042580</v>
      </c>
      <c r="U218" s="56">
        <f>IFERROR(VLOOKUP($M218,'External Gateways'!$C$6:$F$10,4,FALSE),P218)</f>
        <v>6223930</v>
      </c>
      <c r="V218" s="353">
        <f t="shared" si="6"/>
        <v>0</v>
      </c>
      <c r="W218" s="353">
        <f t="shared" si="7"/>
        <v>60</v>
      </c>
    </row>
    <row r="219" spans="1:23" ht="15" customHeight="1" x14ac:dyDescent="0.25">
      <c r="A219" s="128">
        <v>1384</v>
      </c>
      <c r="B219" s="129" t="s">
        <v>200</v>
      </c>
      <c r="C219" s="128" t="s">
        <v>404</v>
      </c>
      <c r="D219" s="129" t="s">
        <v>201</v>
      </c>
      <c r="E219" s="129" t="s">
        <v>162</v>
      </c>
      <c r="F219" s="129">
        <v>91962</v>
      </c>
      <c r="G219" s="129">
        <v>92123</v>
      </c>
      <c r="H219" s="130">
        <v>114</v>
      </c>
      <c r="I219" s="129" t="s">
        <v>408</v>
      </c>
      <c r="J219" s="130">
        <v>7</v>
      </c>
      <c r="K219" s="131">
        <v>2</v>
      </c>
      <c r="L219" s="131" t="s">
        <v>5</v>
      </c>
      <c r="M219" s="131" t="s">
        <v>329</v>
      </c>
      <c r="N219" s="131" t="s">
        <v>327</v>
      </c>
      <c r="O219" s="56">
        <f>VLOOKUP($F219,'ZipCode Coordinates'!$A:$E,4,FALSE)</f>
        <v>1874980</v>
      </c>
      <c r="P219" s="56">
        <f>VLOOKUP($F219,'ZipCode Coordinates'!$A:$E,5,FALSE)</f>
        <v>6499110</v>
      </c>
      <c r="Q219" s="56">
        <f>VLOOKUP($G219,'ZipCode Coordinates'!$A:$E,4,FALSE)</f>
        <v>1874700</v>
      </c>
      <c r="R219" s="56">
        <f>VLOOKUP($G219,'ZipCode Coordinates'!$A:$E,5,FALSE)</f>
        <v>6289760</v>
      </c>
      <c r="S219" s="352" t="str">
        <f>IFERROR(VLOOKUP($M219,'External Gateways'!$C$6:$F$10,2,FALSE),"")</f>
        <v/>
      </c>
      <c r="T219" s="56">
        <f>IFERROR(VLOOKUP($M219,'External Gateways'!$C$6:$F$10,3,FALSE),O219)</f>
        <v>1874980</v>
      </c>
      <c r="U219" s="56">
        <f>IFERROR(VLOOKUP($M219,'External Gateways'!$C$6:$F$10,4,FALSE),P219)</f>
        <v>6499110</v>
      </c>
      <c r="V219" s="353">
        <f t="shared" si="6"/>
        <v>0</v>
      </c>
      <c r="W219" s="353">
        <f t="shared" si="7"/>
        <v>114</v>
      </c>
    </row>
    <row r="220" spans="1:23" ht="15" customHeight="1" x14ac:dyDescent="0.25">
      <c r="A220" s="128">
        <v>1385</v>
      </c>
      <c r="B220" s="129" t="s">
        <v>268</v>
      </c>
      <c r="C220" s="128" t="s">
        <v>3</v>
      </c>
      <c r="D220" s="129" t="s">
        <v>165</v>
      </c>
      <c r="E220" s="129" t="s">
        <v>162</v>
      </c>
      <c r="F220" s="129">
        <v>91914</v>
      </c>
      <c r="G220" s="129">
        <v>92132</v>
      </c>
      <c r="H220" s="130">
        <v>68</v>
      </c>
      <c r="I220" s="129" t="s">
        <v>401</v>
      </c>
      <c r="J220" s="130">
        <v>7</v>
      </c>
      <c r="K220" s="131"/>
      <c r="L220" s="131" t="s">
        <v>3</v>
      </c>
      <c r="M220" s="131" t="s">
        <v>326</v>
      </c>
      <c r="N220" s="131" t="s">
        <v>323</v>
      </c>
      <c r="O220" s="56">
        <f>VLOOKUP($F220,'ZipCode Coordinates'!$A:$E,4,FALSE)</f>
        <v>1823440</v>
      </c>
      <c r="P220" s="56">
        <f>VLOOKUP($F220,'ZipCode Coordinates'!$A:$E,5,FALSE)</f>
        <v>6346410</v>
      </c>
      <c r="Q220" s="56">
        <f>VLOOKUP($G220,'ZipCode Coordinates'!$A:$E,4,FALSE)</f>
        <v>1842732</v>
      </c>
      <c r="R220" s="56">
        <f>VLOOKUP($G220,'ZipCode Coordinates'!$A:$E,5,FALSE)</f>
        <v>6278505</v>
      </c>
      <c r="S220" s="352" t="str">
        <f>IFERROR(VLOOKUP($M220,'External Gateways'!$C$6:$F$10,2,FALSE),"")</f>
        <v/>
      </c>
      <c r="T220" s="56">
        <f>IFERROR(VLOOKUP($M220,'External Gateways'!$C$6:$F$10,3,FALSE),O220)</f>
        <v>1823440</v>
      </c>
      <c r="U220" s="56">
        <f>IFERROR(VLOOKUP($M220,'External Gateways'!$C$6:$F$10,4,FALSE),P220)</f>
        <v>6346410</v>
      </c>
      <c r="V220" s="353">
        <f t="shared" si="6"/>
        <v>0</v>
      </c>
      <c r="W220" s="353">
        <f t="shared" si="7"/>
        <v>68</v>
      </c>
    </row>
    <row r="221" spans="1:23" ht="15" customHeight="1" x14ac:dyDescent="0.25">
      <c r="A221" s="128">
        <v>1390</v>
      </c>
      <c r="B221" s="129" t="s">
        <v>199</v>
      </c>
      <c r="C221" s="128" t="s">
        <v>198</v>
      </c>
      <c r="D221" s="129" t="s">
        <v>154</v>
      </c>
      <c r="E221" s="129" t="s">
        <v>162</v>
      </c>
      <c r="F221" s="129">
        <v>92592</v>
      </c>
      <c r="G221" s="129">
        <v>92121</v>
      </c>
      <c r="H221" s="130">
        <v>126</v>
      </c>
      <c r="I221" s="129" t="s">
        <v>455</v>
      </c>
      <c r="J221" s="130">
        <v>7</v>
      </c>
      <c r="K221" s="131"/>
      <c r="L221" s="131" t="s">
        <v>5</v>
      </c>
      <c r="M221" s="131" t="s">
        <v>402</v>
      </c>
      <c r="N221" s="131" t="s">
        <v>327</v>
      </c>
      <c r="O221" s="56">
        <f>VLOOKUP($F221,'ZipCode Coordinates'!$A:$E,4,FALSE)</f>
        <v>2128740</v>
      </c>
      <c r="P221" s="56">
        <f>VLOOKUP($F221,'ZipCode Coordinates'!$A:$E,5,FALSE)</f>
        <v>6328900</v>
      </c>
      <c r="Q221" s="56">
        <f>VLOOKUP($G221,'ZipCode Coordinates'!$A:$E,4,FALSE)</f>
        <v>1907910</v>
      </c>
      <c r="R221" s="56">
        <f>VLOOKUP($G221,'ZipCode Coordinates'!$A:$E,5,FALSE)</f>
        <v>6269540</v>
      </c>
      <c r="S221" s="352" t="str">
        <f>IFERROR(VLOOKUP($M221,'External Gateways'!$C$6:$F$10,2,FALSE),"")</f>
        <v>I-15</v>
      </c>
      <c r="T221" s="56">
        <f>IFERROR(VLOOKUP($M221,'External Gateways'!$C$6:$F$10,3,FALSE),O221)</f>
        <v>2102195</v>
      </c>
      <c r="U221" s="56">
        <f>IFERROR(VLOOKUP($M221,'External Gateways'!$C$6:$F$10,4,FALSE),P221)</f>
        <v>6289147</v>
      </c>
      <c r="V221" s="353">
        <f t="shared" si="6"/>
        <v>9.0532245169037147</v>
      </c>
      <c r="W221" s="353">
        <f t="shared" si="7"/>
        <v>107.89355096619258</v>
      </c>
    </row>
    <row r="222" spans="1:23" ht="15" customHeight="1" x14ac:dyDescent="0.25">
      <c r="A222" s="128">
        <v>1406</v>
      </c>
      <c r="B222" s="129" t="s">
        <v>258</v>
      </c>
      <c r="C222" s="128" t="s">
        <v>3</v>
      </c>
      <c r="D222" s="129" t="s">
        <v>170</v>
      </c>
      <c r="E222" s="129" t="s">
        <v>162</v>
      </c>
      <c r="F222" s="129">
        <v>92584</v>
      </c>
      <c r="G222" s="129">
        <v>92135</v>
      </c>
      <c r="H222" s="130">
        <v>162</v>
      </c>
      <c r="I222" s="129" t="s">
        <v>418</v>
      </c>
      <c r="J222" s="130">
        <v>9</v>
      </c>
      <c r="K222" s="131"/>
      <c r="L222" s="131" t="s">
        <v>3</v>
      </c>
      <c r="M222" s="131" t="s">
        <v>402</v>
      </c>
      <c r="N222" s="131" t="s">
        <v>323</v>
      </c>
      <c r="O222" s="56">
        <f>VLOOKUP($F222,'ZipCode Coordinates'!$A:$E,4,FALSE)</f>
        <v>2185160</v>
      </c>
      <c r="P222" s="56">
        <f>VLOOKUP($F222,'ZipCode Coordinates'!$A:$E,5,FALSE)</f>
        <v>6280270</v>
      </c>
      <c r="Q222" s="56">
        <f>VLOOKUP($G222,'ZipCode Coordinates'!$A:$E,4,FALSE)</f>
        <v>1835720</v>
      </c>
      <c r="R222" s="56">
        <f>VLOOKUP($G222,'ZipCode Coordinates'!$A:$E,5,FALSE)</f>
        <v>6266670</v>
      </c>
      <c r="S222" s="352" t="str">
        <f>IFERROR(VLOOKUP($M222,'External Gateways'!$C$6:$F$10,2,FALSE),"")</f>
        <v>I-15</v>
      </c>
      <c r="T222" s="56">
        <f>IFERROR(VLOOKUP($M222,'External Gateways'!$C$6:$F$10,3,FALSE),O222)</f>
        <v>2102195</v>
      </c>
      <c r="U222" s="56">
        <f>IFERROR(VLOOKUP($M222,'External Gateways'!$C$6:$F$10,4,FALSE),P222)</f>
        <v>6289147</v>
      </c>
      <c r="V222" s="353">
        <f t="shared" si="6"/>
        <v>15.802756507931361</v>
      </c>
      <c r="W222" s="353">
        <f t="shared" si="7"/>
        <v>130.39448698413727</v>
      </c>
    </row>
    <row r="223" spans="1:23" ht="15" customHeight="1" x14ac:dyDescent="0.25">
      <c r="A223" s="128">
        <v>1407</v>
      </c>
      <c r="B223" s="129" t="s">
        <v>180</v>
      </c>
      <c r="C223" s="128" t="s">
        <v>181</v>
      </c>
      <c r="D223" s="129" t="s">
        <v>165</v>
      </c>
      <c r="E223" s="129" t="s">
        <v>260</v>
      </c>
      <c r="F223" s="129">
        <v>91911</v>
      </c>
      <c r="G223" s="129">
        <v>92040</v>
      </c>
      <c r="H223" s="130">
        <v>117</v>
      </c>
      <c r="I223" s="129" t="s">
        <v>406</v>
      </c>
      <c r="J223" s="130">
        <v>7</v>
      </c>
      <c r="K223" s="131"/>
      <c r="L223" s="131" t="s">
        <v>5</v>
      </c>
      <c r="M223" s="131" t="s">
        <v>328</v>
      </c>
      <c r="N223" s="131" t="s">
        <v>326</v>
      </c>
      <c r="O223" s="56">
        <f>VLOOKUP($F223,'ZipCode Coordinates'!$A:$E,4,FALSE)</f>
        <v>1801570</v>
      </c>
      <c r="P223" s="56">
        <f>VLOOKUP($F223,'ZipCode Coordinates'!$A:$E,5,FALSE)</f>
        <v>6315270</v>
      </c>
      <c r="Q223" s="56">
        <f>VLOOKUP($G223,'ZipCode Coordinates'!$A:$E,4,FALSE)</f>
        <v>1912600</v>
      </c>
      <c r="R223" s="56">
        <f>VLOOKUP($G223,'ZipCode Coordinates'!$A:$E,5,FALSE)</f>
        <v>6367510</v>
      </c>
      <c r="S223" s="352" t="str">
        <f>IFERROR(VLOOKUP($M223,'External Gateways'!$C$6:$F$10,2,FALSE),"")</f>
        <v/>
      </c>
      <c r="T223" s="56">
        <f>IFERROR(VLOOKUP($M223,'External Gateways'!$C$6:$F$10,3,FALSE),O223)</f>
        <v>1801570</v>
      </c>
      <c r="U223" s="56">
        <f>IFERROR(VLOOKUP($M223,'External Gateways'!$C$6:$F$10,4,FALSE),P223)</f>
        <v>6315270</v>
      </c>
      <c r="V223" s="353">
        <f t="shared" si="6"/>
        <v>0</v>
      </c>
      <c r="W223" s="353">
        <f t="shared" si="7"/>
        <v>117</v>
      </c>
    </row>
    <row r="224" spans="1:23" ht="15" customHeight="1" x14ac:dyDescent="0.25">
      <c r="A224" s="128">
        <v>1408</v>
      </c>
      <c r="B224" s="129" t="s">
        <v>180</v>
      </c>
      <c r="C224" s="128" t="s">
        <v>181</v>
      </c>
      <c r="D224" s="129" t="s">
        <v>165</v>
      </c>
      <c r="E224" s="129" t="s">
        <v>260</v>
      </c>
      <c r="F224" s="129">
        <v>91910</v>
      </c>
      <c r="G224" s="129">
        <v>92040</v>
      </c>
      <c r="H224" s="130">
        <v>64</v>
      </c>
      <c r="I224" s="129" t="s">
        <v>401</v>
      </c>
      <c r="J224" s="130">
        <v>7</v>
      </c>
      <c r="K224" s="131"/>
      <c r="L224" s="131" t="s">
        <v>5</v>
      </c>
      <c r="M224" s="131" t="s">
        <v>328</v>
      </c>
      <c r="N224" s="131" t="s">
        <v>326</v>
      </c>
      <c r="O224" s="56">
        <f>VLOOKUP($F224,'ZipCode Coordinates'!$A:$E,4,FALSE)</f>
        <v>1812850</v>
      </c>
      <c r="P224" s="56">
        <f>VLOOKUP($F224,'ZipCode Coordinates'!$A:$E,5,FALSE)</f>
        <v>6313650</v>
      </c>
      <c r="Q224" s="56">
        <f>VLOOKUP($G224,'ZipCode Coordinates'!$A:$E,4,FALSE)</f>
        <v>1912600</v>
      </c>
      <c r="R224" s="56">
        <f>VLOOKUP($G224,'ZipCode Coordinates'!$A:$E,5,FALSE)</f>
        <v>6367510</v>
      </c>
      <c r="S224" s="352" t="str">
        <f>IFERROR(VLOOKUP($M224,'External Gateways'!$C$6:$F$10,2,FALSE),"")</f>
        <v/>
      </c>
      <c r="T224" s="56">
        <f>IFERROR(VLOOKUP($M224,'External Gateways'!$C$6:$F$10,3,FALSE),O224)</f>
        <v>1812850</v>
      </c>
      <c r="U224" s="56">
        <f>IFERROR(VLOOKUP($M224,'External Gateways'!$C$6:$F$10,4,FALSE),P224)</f>
        <v>6313650</v>
      </c>
      <c r="V224" s="353">
        <f t="shared" si="6"/>
        <v>0</v>
      </c>
      <c r="W224" s="353">
        <f t="shared" si="7"/>
        <v>64</v>
      </c>
    </row>
    <row r="225" spans="1:23" ht="15" customHeight="1" x14ac:dyDescent="0.25">
      <c r="A225" s="128">
        <v>1416</v>
      </c>
      <c r="B225" s="129" t="s">
        <v>82</v>
      </c>
      <c r="C225" s="128" t="s">
        <v>3</v>
      </c>
      <c r="D225" s="129" t="s">
        <v>192</v>
      </c>
      <c r="E225" s="129" t="s">
        <v>82</v>
      </c>
      <c r="F225" s="129">
        <v>92586</v>
      </c>
      <c r="G225" s="129">
        <v>92055</v>
      </c>
      <c r="H225" s="130">
        <v>100</v>
      </c>
      <c r="I225" s="129" t="s">
        <v>441</v>
      </c>
      <c r="J225" s="130">
        <v>8</v>
      </c>
      <c r="K225" s="131">
        <v>2</v>
      </c>
      <c r="L225" s="131" t="s">
        <v>3</v>
      </c>
      <c r="M225" s="131" t="s">
        <v>402</v>
      </c>
      <c r="N225" s="131" t="s">
        <v>324</v>
      </c>
      <c r="O225" s="56">
        <f>VLOOKUP($F225,'ZipCode Coordinates'!$A:$E,4,FALSE)</f>
        <v>2202010</v>
      </c>
      <c r="P225" s="56">
        <f>VLOOKUP($F225,'ZipCode Coordinates'!$A:$E,5,FALSE)</f>
        <v>6272780</v>
      </c>
      <c r="Q225" s="56">
        <f>VLOOKUP($G225,'ZipCode Coordinates'!$A:$E,4,FALSE)</f>
        <v>2082470</v>
      </c>
      <c r="R225" s="56">
        <f>VLOOKUP($G225,'ZipCode Coordinates'!$A:$E,5,FALSE)</f>
        <v>6206470</v>
      </c>
      <c r="S225" s="352" t="str">
        <f>IFERROR(VLOOKUP($M225,'External Gateways'!$C$6:$F$10,2,FALSE),"")</f>
        <v>I-15</v>
      </c>
      <c r="T225" s="56">
        <f>IFERROR(VLOOKUP($M225,'External Gateways'!$C$6:$F$10,3,FALSE),O225)</f>
        <v>2102195</v>
      </c>
      <c r="U225" s="56">
        <f>IFERROR(VLOOKUP($M225,'External Gateways'!$C$6:$F$10,4,FALSE),P225)</f>
        <v>6289147</v>
      </c>
      <c r="V225" s="353">
        <f t="shared" si="6"/>
        <v>19.156813510070481</v>
      </c>
      <c r="W225" s="353">
        <f t="shared" si="7"/>
        <v>61.686372979859037</v>
      </c>
    </row>
    <row r="226" spans="1:23" ht="15" customHeight="1" x14ac:dyDescent="0.25">
      <c r="A226" s="128">
        <v>1418</v>
      </c>
      <c r="B226" s="129" t="s">
        <v>258</v>
      </c>
      <c r="C226" s="128" t="s">
        <v>3</v>
      </c>
      <c r="D226" s="129" t="s">
        <v>162</v>
      </c>
      <c r="E226" s="129" t="s">
        <v>162</v>
      </c>
      <c r="F226" s="129">
        <v>92126</v>
      </c>
      <c r="G226" s="129">
        <v>92135</v>
      </c>
      <c r="H226" s="130">
        <v>55</v>
      </c>
      <c r="I226" s="129" t="s">
        <v>455</v>
      </c>
      <c r="J226" s="130">
        <v>7</v>
      </c>
      <c r="K226" s="131"/>
      <c r="L226" s="131" t="s">
        <v>3</v>
      </c>
      <c r="M226" s="131" t="s">
        <v>327</v>
      </c>
      <c r="N226" s="131" t="s">
        <v>323</v>
      </c>
      <c r="O226" s="56">
        <f>VLOOKUP($F226,'ZipCode Coordinates'!$A:$E,4,FALSE)</f>
        <v>1913050</v>
      </c>
      <c r="P226" s="56">
        <f>VLOOKUP($F226,'ZipCode Coordinates'!$A:$E,5,FALSE)</f>
        <v>6287520</v>
      </c>
      <c r="Q226" s="56">
        <f>VLOOKUP($G226,'ZipCode Coordinates'!$A:$E,4,FALSE)</f>
        <v>1835720</v>
      </c>
      <c r="R226" s="56">
        <f>VLOOKUP($G226,'ZipCode Coordinates'!$A:$E,5,FALSE)</f>
        <v>6266670</v>
      </c>
      <c r="S226" s="352" t="str">
        <f>IFERROR(VLOOKUP($M226,'External Gateways'!$C$6:$F$10,2,FALSE),"")</f>
        <v/>
      </c>
      <c r="T226" s="56">
        <f>IFERROR(VLOOKUP($M226,'External Gateways'!$C$6:$F$10,3,FALSE),O226)</f>
        <v>1913050</v>
      </c>
      <c r="U226" s="56">
        <f>IFERROR(VLOOKUP($M226,'External Gateways'!$C$6:$F$10,4,FALSE),P226)</f>
        <v>6287520</v>
      </c>
      <c r="V226" s="353">
        <f t="shared" si="6"/>
        <v>0</v>
      </c>
      <c r="W226" s="353">
        <f t="shared" si="7"/>
        <v>55</v>
      </c>
    </row>
    <row r="227" spans="1:23" ht="15" customHeight="1" x14ac:dyDescent="0.25">
      <c r="A227" s="128">
        <v>1421</v>
      </c>
      <c r="B227" s="129" t="s">
        <v>315</v>
      </c>
      <c r="C227" s="128" t="s">
        <v>68</v>
      </c>
      <c r="D227" s="129" t="s">
        <v>264</v>
      </c>
      <c r="E227" s="129" t="s">
        <v>405</v>
      </c>
      <c r="F227" s="129">
        <v>91901</v>
      </c>
      <c r="G227" s="129">
        <v>91905</v>
      </c>
      <c r="H227" s="130">
        <v>76</v>
      </c>
      <c r="I227" s="129" t="s">
        <v>406</v>
      </c>
      <c r="J227" s="130">
        <v>7</v>
      </c>
      <c r="K227" s="131"/>
      <c r="L227" s="131" t="s">
        <v>68</v>
      </c>
      <c r="M227" s="131" t="s">
        <v>329</v>
      </c>
      <c r="N227" s="131" t="s">
        <v>329</v>
      </c>
      <c r="O227" s="56">
        <f>VLOOKUP($F227,'ZipCode Coordinates'!$A:$E,4,FALSE)</f>
        <v>1874070</v>
      </c>
      <c r="P227" s="56">
        <f>VLOOKUP($F227,'ZipCode Coordinates'!$A:$E,5,FALSE)</f>
        <v>6418790</v>
      </c>
      <c r="Q227" s="56">
        <f>VLOOKUP($G227,'ZipCode Coordinates'!$A:$E,4,FALSE)</f>
        <v>1844120</v>
      </c>
      <c r="R227" s="56">
        <f>VLOOKUP($G227,'ZipCode Coordinates'!$A:$E,5,FALSE)</f>
        <v>6545720</v>
      </c>
      <c r="S227" s="352" t="str">
        <f>IFERROR(VLOOKUP($M227,'External Gateways'!$C$6:$F$10,2,FALSE),"")</f>
        <v/>
      </c>
      <c r="T227" s="56">
        <f>IFERROR(VLOOKUP($M227,'External Gateways'!$C$6:$F$10,3,FALSE),O227)</f>
        <v>1874070</v>
      </c>
      <c r="U227" s="56">
        <f>IFERROR(VLOOKUP($M227,'External Gateways'!$C$6:$F$10,4,FALSE),P227)</f>
        <v>6418790</v>
      </c>
      <c r="V227" s="353">
        <f t="shared" si="6"/>
        <v>0</v>
      </c>
      <c r="W227" s="353">
        <f t="shared" si="7"/>
        <v>76</v>
      </c>
    </row>
    <row r="228" spans="1:23" ht="15" customHeight="1" x14ac:dyDescent="0.25">
      <c r="A228" s="128">
        <v>1436</v>
      </c>
      <c r="B228" s="129" t="s">
        <v>258</v>
      </c>
      <c r="C228" s="128" t="s">
        <v>3</v>
      </c>
      <c r="D228" s="129" t="s">
        <v>159</v>
      </c>
      <c r="E228" s="129" t="s">
        <v>162</v>
      </c>
      <c r="F228" s="129">
        <v>92065</v>
      </c>
      <c r="G228" s="129">
        <v>92135</v>
      </c>
      <c r="H228" s="130">
        <v>100</v>
      </c>
      <c r="I228" s="129" t="s">
        <v>448</v>
      </c>
      <c r="J228" s="130">
        <v>10</v>
      </c>
      <c r="K228" s="131"/>
      <c r="L228" s="131" t="s">
        <v>3</v>
      </c>
      <c r="M228" s="131" t="s">
        <v>326</v>
      </c>
      <c r="N228" s="131" t="s">
        <v>323</v>
      </c>
      <c r="O228" s="56">
        <f>VLOOKUP($F228,'ZipCode Coordinates'!$A:$E,4,FALSE)</f>
        <v>1959680</v>
      </c>
      <c r="P228" s="56">
        <f>VLOOKUP($F228,'ZipCode Coordinates'!$A:$E,5,FALSE)</f>
        <v>6378530</v>
      </c>
      <c r="Q228" s="56">
        <f>VLOOKUP($G228,'ZipCode Coordinates'!$A:$E,4,FALSE)</f>
        <v>1835720</v>
      </c>
      <c r="R228" s="56">
        <f>VLOOKUP($G228,'ZipCode Coordinates'!$A:$E,5,FALSE)</f>
        <v>6266670</v>
      </c>
      <c r="S228" s="352" t="str">
        <f>IFERROR(VLOOKUP($M228,'External Gateways'!$C$6:$F$10,2,FALSE),"")</f>
        <v/>
      </c>
      <c r="T228" s="56">
        <f>IFERROR(VLOOKUP($M228,'External Gateways'!$C$6:$F$10,3,FALSE),O228)</f>
        <v>1959680</v>
      </c>
      <c r="U228" s="56">
        <f>IFERROR(VLOOKUP($M228,'External Gateways'!$C$6:$F$10,4,FALSE),P228)</f>
        <v>6378530</v>
      </c>
      <c r="V228" s="353">
        <f t="shared" si="6"/>
        <v>0</v>
      </c>
      <c r="W228" s="353">
        <f t="shared" si="7"/>
        <v>100</v>
      </c>
    </row>
    <row r="229" spans="1:23" ht="15" customHeight="1" x14ac:dyDescent="0.25">
      <c r="A229" s="128">
        <v>1442</v>
      </c>
      <c r="B229" s="129" t="s">
        <v>277</v>
      </c>
      <c r="C229" s="128" t="s">
        <v>198</v>
      </c>
      <c r="D229" s="129" t="s">
        <v>278</v>
      </c>
      <c r="E229" s="129" t="s">
        <v>162</v>
      </c>
      <c r="F229" s="129">
        <v>92620</v>
      </c>
      <c r="G229" s="129">
        <v>92121</v>
      </c>
      <c r="H229" s="130">
        <v>166</v>
      </c>
      <c r="I229" s="129" t="s">
        <v>416</v>
      </c>
      <c r="J229" s="130">
        <v>7</v>
      </c>
      <c r="K229" s="131"/>
      <c r="L229" s="131" t="s">
        <v>5</v>
      </c>
      <c r="M229" s="131" t="s">
        <v>439</v>
      </c>
      <c r="N229" s="131" t="s">
        <v>327</v>
      </c>
      <c r="O229" s="56">
        <f>VLOOKUP($F229,'ZipCode Coordinates'!$A:$E,4,FALSE)</f>
        <v>2204860</v>
      </c>
      <c r="P229" s="56">
        <f>VLOOKUP($F229,'ZipCode Coordinates'!$A:$E,5,FALSE)</f>
        <v>6103570</v>
      </c>
      <c r="Q229" s="56">
        <f>VLOOKUP($G229,'ZipCode Coordinates'!$A:$E,4,FALSE)</f>
        <v>1907910</v>
      </c>
      <c r="R229" s="56">
        <f>VLOOKUP($G229,'ZipCode Coordinates'!$A:$E,5,FALSE)</f>
        <v>6269540</v>
      </c>
      <c r="S229" s="352" t="str">
        <f>IFERROR(VLOOKUP($M229,'External Gateways'!$C$6:$F$10,2,FALSE),"")</f>
        <v>I-5</v>
      </c>
      <c r="T229" s="56">
        <f>IFERROR(VLOOKUP($M229,'External Gateways'!$C$6:$F$10,3,FALSE),O229)</f>
        <v>2090594</v>
      </c>
      <c r="U229" s="56">
        <f>IFERROR(VLOOKUP($M229,'External Gateways'!$C$6:$F$10,4,FALSE),P229)</f>
        <v>6151524</v>
      </c>
      <c r="V229" s="353">
        <f t="shared" si="6"/>
        <v>23.469802786750126</v>
      </c>
      <c r="W229" s="353">
        <f t="shared" si="7"/>
        <v>119.06039442649976</v>
      </c>
    </row>
    <row r="230" spans="1:23" ht="15" customHeight="1" x14ac:dyDescent="0.25">
      <c r="A230" s="128">
        <v>1449</v>
      </c>
      <c r="B230" s="129" t="s">
        <v>217</v>
      </c>
      <c r="C230" s="128" t="s">
        <v>68</v>
      </c>
      <c r="D230" s="129" t="s">
        <v>173</v>
      </c>
      <c r="E230" s="129" t="s">
        <v>162</v>
      </c>
      <c r="F230" s="129">
        <v>92551</v>
      </c>
      <c r="G230" s="129">
        <v>92101</v>
      </c>
      <c r="H230" s="130">
        <v>159</v>
      </c>
      <c r="I230" s="129" t="s">
        <v>408</v>
      </c>
      <c r="J230" s="130">
        <v>7</v>
      </c>
      <c r="K230" s="131">
        <v>2</v>
      </c>
      <c r="L230" s="131" t="s">
        <v>68</v>
      </c>
      <c r="M230" s="131" t="s">
        <v>402</v>
      </c>
      <c r="N230" s="131" t="s">
        <v>323</v>
      </c>
      <c r="O230" s="56">
        <f>VLOOKUP($F230,'ZipCode Coordinates'!$A:$E,4,FALSE)</f>
        <v>2265640</v>
      </c>
      <c r="P230" s="56">
        <f>VLOOKUP($F230,'ZipCode Coordinates'!$A:$E,5,FALSE)</f>
        <v>6265400</v>
      </c>
      <c r="Q230" s="56">
        <f>VLOOKUP($G230,'ZipCode Coordinates'!$A:$E,4,FALSE)</f>
        <v>1844080</v>
      </c>
      <c r="R230" s="56">
        <f>VLOOKUP($G230,'ZipCode Coordinates'!$A:$E,5,FALSE)</f>
        <v>6278770</v>
      </c>
      <c r="S230" s="352" t="str">
        <f>IFERROR(VLOOKUP($M230,'External Gateways'!$C$6:$F$10,2,FALSE),"")</f>
        <v>I-15</v>
      </c>
      <c r="T230" s="56">
        <f>IFERROR(VLOOKUP($M230,'External Gateways'!$C$6:$F$10,3,FALSE),O230)</f>
        <v>2102195</v>
      </c>
      <c r="U230" s="56">
        <f>IFERROR(VLOOKUP($M230,'External Gateways'!$C$6:$F$10,4,FALSE),P230)</f>
        <v>6289147</v>
      </c>
      <c r="V230" s="353">
        <f t="shared" si="6"/>
        <v>31.280510836596996</v>
      </c>
      <c r="W230" s="353">
        <f t="shared" si="7"/>
        <v>96.438978326806009</v>
      </c>
    </row>
    <row r="231" spans="1:23" ht="15" customHeight="1" x14ac:dyDescent="0.25">
      <c r="A231" s="128">
        <v>1459</v>
      </c>
      <c r="B231" s="129" t="s">
        <v>263</v>
      </c>
      <c r="C231" s="128" t="s">
        <v>166</v>
      </c>
      <c r="D231" s="129" t="s">
        <v>175</v>
      </c>
      <c r="E231" s="129" t="s">
        <v>162</v>
      </c>
      <c r="F231" s="129">
        <v>92231</v>
      </c>
      <c r="G231" s="129">
        <v>92113</v>
      </c>
      <c r="H231" s="130">
        <v>256</v>
      </c>
      <c r="I231" s="129" t="s">
        <v>441</v>
      </c>
      <c r="J231" s="130">
        <v>8</v>
      </c>
      <c r="K231" s="131"/>
      <c r="L231" s="131" t="s">
        <v>5</v>
      </c>
      <c r="M231" s="131" t="s">
        <v>431</v>
      </c>
      <c r="N231" s="131" t="s">
        <v>323</v>
      </c>
      <c r="O231" s="56">
        <f>VLOOKUP($F231,'ZipCode Coordinates'!$A:$E,4,FALSE)</f>
        <v>1829680</v>
      </c>
      <c r="P231" s="56">
        <f>VLOOKUP($F231,'ZipCode Coordinates'!$A:$E,5,FALSE)</f>
        <v>6778130</v>
      </c>
      <c r="Q231" s="56">
        <f>VLOOKUP($G231,'ZipCode Coordinates'!$A:$E,4,FALSE)</f>
        <v>1834470</v>
      </c>
      <c r="R231" s="56">
        <f>VLOOKUP($G231,'ZipCode Coordinates'!$A:$E,5,FALSE)</f>
        <v>6294590</v>
      </c>
      <c r="S231" s="352" t="str">
        <f>IFERROR(VLOOKUP($M231,'External Gateways'!$C$6:$F$10,2,FALSE),"")</f>
        <v>I-8</v>
      </c>
      <c r="T231" s="56">
        <f>IFERROR(VLOOKUP($M231,'External Gateways'!$C$6:$F$10,3,FALSE),O231)</f>
        <v>1814524</v>
      </c>
      <c r="U231" s="56">
        <f>IFERROR(VLOOKUP($M231,'External Gateways'!$C$6:$F$10,4,FALSE),P231)</f>
        <v>6606089</v>
      </c>
      <c r="V231" s="353">
        <f t="shared" si="6"/>
        <v>32.709715110593962</v>
      </c>
      <c r="W231" s="353">
        <f t="shared" si="7"/>
        <v>190.58056977881208</v>
      </c>
    </row>
    <row r="232" spans="1:23" ht="15" customHeight="1" x14ac:dyDescent="0.25">
      <c r="A232" s="128">
        <v>1460</v>
      </c>
      <c r="B232" s="129" t="s">
        <v>315</v>
      </c>
      <c r="C232" s="128" t="s">
        <v>68</v>
      </c>
      <c r="D232" s="129" t="s">
        <v>162</v>
      </c>
      <c r="E232" s="129" t="s">
        <v>201</v>
      </c>
      <c r="F232" s="129">
        <v>92116</v>
      </c>
      <c r="G232" s="129">
        <v>91962</v>
      </c>
      <c r="H232" s="130">
        <v>143</v>
      </c>
      <c r="I232" s="129" t="s">
        <v>416</v>
      </c>
      <c r="J232" s="130">
        <v>7</v>
      </c>
      <c r="K232" s="131"/>
      <c r="L232" s="131" t="s">
        <v>68</v>
      </c>
      <c r="M232" s="131" t="s">
        <v>323</v>
      </c>
      <c r="N232" s="131" t="s">
        <v>329</v>
      </c>
      <c r="O232" s="56">
        <f>VLOOKUP($F232,'ZipCode Coordinates'!$A:$E,4,FALSE)</f>
        <v>1859210</v>
      </c>
      <c r="P232" s="56">
        <f>VLOOKUP($F232,'ZipCode Coordinates'!$A:$E,5,FALSE)</f>
        <v>6293300</v>
      </c>
      <c r="Q232" s="56">
        <f>VLOOKUP($G232,'ZipCode Coordinates'!$A:$E,4,FALSE)</f>
        <v>1874980</v>
      </c>
      <c r="R232" s="56">
        <f>VLOOKUP($G232,'ZipCode Coordinates'!$A:$E,5,FALSE)</f>
        <v>6499110</v>
      </c>
      <c r="S232" s="352" t="str">
        <f>IFERROR(VLOOKUP($M232,'External Gateways'!$C$6:$F$10,2,FALSE),"")</f>
        <v/>
      </c>
      <c r="T232" s="56">
        <f>IFERROR(VLOOKUP($M232,'External Gateways'!$C$6:$F$10,3,FALSE),O232)</f>
        <v>1859210</v>
      </c>
      <c r="U232" s="56">
        <f>IFERROR(VLOOKUP($M232,'External Gateways'!$C$6:$F$10,4,FALSE),P232)</f>
        <v>6293300</v>
      </c>
      <c r="V232" s="353">
        <f t="shared" si="6"/>
        <v>0</v>
      </c>
      <c r="W232" s="353">
        <f t="shared" si="7"/>
        <v>143</v>
      </c>
    </row>
    <row r="233" spans="1:23" ht="15" customHeight="1" x14ac:dyDescent="0.25">
      <c r="A233" s="128">
        <v>1468</v>
      </c>
      <c r="B233" s="129" t="s">
        <v>315</v>
      </c>
      <c r="C233" s="128" t="s">
        <v>68</v>
      </c>
      <c r="D233" s="129" t="s">
        <v>196</v>
      </c>
      <c r="E233" s="129" t="s">
        <v>201</v>
      </c>
      <c r="F233" s="129">
        <v>92020</v>
      </c>
      <c r="G233" s="129">
        <v>91962</v>
      </c>
      <c r="H233" s="130">
        <v>134</v>
      </c>
      <c r="I233" s="129" t="s">
        <v>401</v>
      </c>
      <c r="J233" s="130">
        <v>7</v>
      </c>
      <c r="K233" s="131"/>
      <c r="L233" s="131" t="s">
        <v>68</v>
      </c>
      <c r="M233" s="131" t="s">
        <v>326</v>
      </c>
      <c r="N233" s="131" t="s">
        <v>329</v>
      </c>
      <c r="O233" s="56">
        <f>VLOOKUP($F233,'ZipCode Coordinates'!$A:$E,4,FALSE)</f>
        <v>1870340</v>
      </c>
      <c r="P233" s="56">
        <f>VLOOKUP($F233,'ZipCode Coordinates'!$A:$E,5,FALSE)</f>
        <v>6340260</v>
      </c>
      <c r="Q233" s="56">
        <f>VLOOKUP($G233,'ZipCode Coordinates'!$A:$E,4,FALSE)</f>
        <v>1874980</v>
      </c>
      <c r="R233" s="56">
        <f>VLOOKUP($G233,'ZipCode Coordinates'!$A:$E,5,FALSE)</f>
        <v>6499110</v>
      </c>
      <c r="S233" s="352" t="str">
        <f>IFERROR(VLOOKUP($M233,'External Gateways'!$C$6:$F$10,2,FALSE),"")</f>
        <v/>
      </c>
      <c r="T233" s="56">
        <f>IFERROR(VLOOKUP($M233,'External Gateways'!$C$6:$F$10,3,FALSE),O233)</f>
        <v>1870340</v>
      </c>
      <c r="U233" s="56">
        <f>IFERROR(VLOOKUP($M233,'External Gateways'!$C$6:$F$10,4,FALSE),P233)</f>
        <v>6340260</v>
      </c>
      <c r="V233" s="353">
        <f t="shared" si="6"/>
        <v>0</v>
      </c>
      <c r="W233" s="353">
        <f t="shared" si="7"/>
        <v>134</v>
      </c>
    </row>
    <row r="234" spans="1:23" ht="15" customHeight="1" x14ac:dyDescent="0.25">
      <c r="A234" s="128">
        <v>1489</v>
      </c>
      <c r="B234" s="129" t="s">
        <v>483</v>
      </c>
      <c r="C234" s="128" t="s">
        <v>166</v>
      </c>
      <c r="D234" s="129" t="s">
        <v>169</v>
      </c>
      <c r="E234" s="129" t="s">
        <v>162</v>
      </c>
      <c r="F234" s="129">
        <v>92505</v>
      </c>
      <c r="G234" s="129">
        <v>92121</v>
      </c>
      <c r="H234" s="130">
        <v>218</v>
      </c>
      <c r="I234" s="129" t="s">
        <v>485</v>
      </c>
      <c r="J234" s="130">
        <v>7</v>
      </c>
      <c r="K234" s="131"/>
      <c r="L234" s="131" t="s">
        <v>5</v>
      </c>
      <c r="M234" s="131" t="s">
        <v>402</v>
      </c>
      <c r="N234" s="131" t="s">
        <v>327</v>
      </c>
      <c r="O234" s="56">
        <f>VLOOKUP($F234,'ZipCode Coordinates'!$A:$E,4,FALSE)</f>
        <v>2285700</v>
      </c>
      <c r="P234" s="56">
        <f>VLOOKUP($F234,'ZipCode Coordinates'!$A:$E,5,FALSE)</f>
        <v>6183980</v>
      </c>
      <c r="Q234" s="56">
        <f>VLOOKUP($G234,'ZipCode Coordinates'!$A:$E,4,FALSE)</f>
        <v>1907910</v>
      </c>
      <c r="R234" s="56">
        <f>VLOOKUP($G234,'ZipCode Coordinates'!$A:$E,5,FALSE)</f>
        <v>6269540</v>
      </c>
      <c r="S234" s="352" t="str">
        <f>IFERROR(VLOOKUP($M234,'External Gateways'!$C$6:$F$10,2,FALSE),"")</f>
        <v>I-15</v>
      </c>
      <c r="T234" s="56">
        <f>IFERROR(VLOOKUP($M234,'External Gateways'!$C$6:$F$10,3,FALSE),O234)</f>
        <v>2102195</v>
      </c>
      <c r="U234" s="56">
        <f>IFERROR(VLOOKUP($M234,'External Gateways'!$C$6:$F$10,4,FALSE),P234)</f>
        <v>6289147</v>
      </c>
      <c r="V234" s="353">
        <f t="shared" si="6"/>
        <v>40.057683615015307</v>
      </c>
      <c r="W234" s="353">
        <f t="shared" si="7"/>
        <v>137.88463276996939</v>
      </c>
    </row>
    <row r="235" spans="1:23" ht="15" customHeight="1" x14ac:dyDescent="0.25">
      <c r="A235" s="128">
        <v>1499</v>
      </c>
      <c r="B235" s="129" t="s">
        <v>311</v>
      </c>
      <c r="C235" s="128" t="s">
        <v>411</v>
      </c>
      <c r="D235" s="129" t="s">
        <v>158</v>
      </c>
      <c r="E235" s="129" t="s">
        <v>162</v>
      </c>
      <c r="F235" s="129">
        <v>92562</v>
      </c>
      <c r="G235" s="129">
        <v>92093</v>
      </c>
      <c r="H235" s="130">
        <v>142</v>
      </c>
      <c r="I235" s="129" t="s">
        <v>429</v>
      </c>
      <c r="J235" s="130">
        <v>9</v>
      </c>
      <c r="K235" s="131"/>
      <c r="L235" s="131" t="s">
        <v>5</v>
      </c>
      <c r="M235" s="131" t="s">
        <v>402</v>
      </c>
      <c r="N235" s="131" t="s">
        <v>327</v>
      </c>
      <c r="O235" s="56">
        <f>VLOOKUP($F235,'ZipCode Coordinates'!$A:$E,4,FALSE)</f>
        <v>2144470</v>
      </c>
      <c r="P235" s="56">
        <f>VLOOKUP($F235,'ZipCode Coordinates'!$A:$E,5,FALSE)</f>
        <v>6251450</v>
      </c>
      <c r="Q235" s="56">
        <f>VLOOKUP($G235,'ZipCode Coordinates'!$A:$E,4,FALSE)</f>
        <v>1901870</v>
      </c>
      <c r="R235" s="56">
        <f>VLOOKUP($G235,'ZipCode Coordinates'!$A:$E,5,FALSE)</f>
        <v>6259600</v>
      </c>
      <c r="S235" s="352" t="str">
        <f>IFERROR(VLOOKUP($M235,'External Gateways'!$C$6:$F$10,2,FALSE),"")</f>
        <v>I-15</v>
      </c>
      <c r="T235" s="56">
        <f>IFERROR(VLOOKUP($M235,'External Gateways'!$C$6:$F$10,3,FALSE),O235)</f>
        <v>2102195</v>
      </c>
      <c r="U235" s="56">
        <f>IFERROR(VLOOKUP($M235,'External Gateways'!$C$6:$F$10,4,FALSE),P235)</f>
        <v>6289147</v>
      </c>
      <c r="V235" s="353">
        <f t="shared" si="6"/>
        <v>10.727523233277124</v>
      </c>
      <c r="W235" s="353">
        <f t="shared" si="7"/>
        <v>120.54495353344575</v>
      </c>
    </row>
    <row r="236" spans="1:23" ht="15" customHeight="1" x14ac:dyDescent="0.25">
      <c r="A236" s="128">
        <v>1500</v>
      </c>
      <c r="B236" s="129" t="s">
        <v>254</v>
      </c>
      <c r="C236" s="128" t="s">
        <v>3</v>
      </c>
      <c r="D236" s="129" t="s">
        <v>154</v>
      </c>
      <c r="E236" s="129" t="s">
        <v>162</v>
      </c>
      <c r="F236" s="129">
        <v>92592</v>
      </c>
      <c r="G236" s="129">
        <v>92140</v>
      </c>
      <c r="H236" s="130">
        <v>139</v>
      </c>
      <c r="I236" s="129" t="s">
        <v>408</v>
      </c>
      <c r="J236" s="130">
        <v>7</v>
      </c>
      <c r="K236" s="131"/>
      <c r="L236" s="131" t="s">
        <v>3</v>
      </c>
      <c r="M236" s="131" t="s">
        <v>402</v>
      </c>
      <c r="N236" s="131" t="s">
        <v>323</v>
      </c>
      <c r="O236" s="56">
        <f>VLOOKUP($F236,'ZipCode Coordinates'!$A:$E,4,FALSE)</f>
        <v>2128740</v>
      </c>
      <c r="P236" s="56">
        <f>VLOOKUP($F236,'ZipCode Coordinates'!$A:$E,5,FALSE)</f>
        <v>6328900</v>
      </c>
      <c r="Q236" s="56">
        <f>VLOOKUP($G236,'ZipCode Coordinates'!$A:$E,4,FALSE)</f>
        <v>1850480</v>
      </c>
      <c r="R236" s="56">
        <f>VLOOKUP($G236,'ZipCode Coordinates'!$A:$E,5,FALSE)</f>
        <v>6270510</v>
      </c>
      <c r="S236" s="352" t="str">
        <f>IFERROR(VLOOKUP($M236,'External Gateways'!$C$6:$F$10,2,FALSE),"")</f>
        <v>I-15</v>
      </c>
      <c r="T236" s="56">
        <f>IFERROR(VLOOKUP($M236,'External Gateways'!$C$6:$F$10,3,FALSE),O236)</f>
        <v>2102195</v>
      </c>
      <c r="U236" s="56">
        <f>IFERROR(VLOOKUP($M236,'External Gateways'!$C$6:$F$10,4,FALSE),P236)</f>
        <v>6289147</v>
      </c>
      <c r="V236" s="353">
        <f t="shared" si="6"/>
        <v>9.0532245169037147</v>
      </c>
      <c r="W236" s="353">
        <f t="shared" si="7"/>
        <v>120.89355096619258</v>
      </c>
    </row>
    <row r="237" spans="1:23" ht="15" customHeight="1" x14ac:dyDescent="0.25">
      <c r="A237" s="128">
        <v>1515</v>
      </c>
      <c r="B237" s="129" t="s">
        <v>218</v>
      </c>
      <c r="C237" s="128" t="s">
        <v>68</v>
      </c>
      <c r="D237" s="129" t="s">
        <v>196</v>
      </c>
      <c r="E237" s="129" t="s">
        <v>162</v>
      </c>
      <c r="F237" s="129">
        <v>92020</v>
      </c>
      <c r="G237" s="129">
        <v>92161</v>
      </c>
      <c r="H237" s="130">
        <v>69</v>
      </c>
      <c r="I237" s="129" t="s">
        <v>416</v>
      </c>
      <c r="J237" s="130">
        <v>7</v>
      </c>
      <c r="K237" s="131"/>
      <c r="L237" s="131" t="s">
        <v>68</v>
      </c>
      <c r="M237" s="131" t="s">
        <v>326</v>
      </c>
      <c r="N237" s="131" t="s">
        <v>327</v>
      </c>
      <c r="O237" s="56">
        <f>VLOOKUP($F237,'ZipCode Coordinates'!$A:$E,4,FALSE)</f>
        <v>1870340</v>
      </c>
      <c r="P237" s="56">
        <f>VLOOKUP($F237,'ZipCode Coordinates'!$A:$E,5,FALSE)</f>
        <v>6340260</v>
      </c>
      <c r="Q237" s="56">
        <f>VLOOKUP($G237,'ZipCode Coordinates'!$A:$E,4,FALSE)</f>
        <v>1899477</v>
      </c>
      <c r="R237" s="56">
        <f>VLOOKUP($G237,'ZipCode Coordinates'!$A:$E,5,FALSE)</f>
        <v>6258957</v>
      </c>
      <c r="S237" s="352" t="str">
        <f>IFERROR(VLOOKUP($M237,'External Gateways'!$C$6:$F$10,2,FALSE),"")</f>
        <v/>
      </c>
      <c r="T237" s="56">
        <f>IFERROR(VLOOKUP($M237,'External Gateways'!$C$6:$F$10,3,FALSE),O237)</f>
        <v>1870340</v>
      </c>
      <c r="U237" s="56">
        <f>IFERROR(VLOOKUP($M237,'External Gateways'!$C$6:$F$10,4,FALSE),P237)</f>
        <v>6340260</v>
      </c>
      <c r="V237" s="353">
        <f t="shared" si="6"/>
        <v>0</v>
      </c>
      <c r="W237" s="353">
        <f t="shared" si="7"/>
        <v>69</v>
      </c>
    </row>
    <row r="238" spans="1:23" ht="15" customHeight="1" x14ac:dyDescent="0.25">
      <c r="A238" s="128">
        <v>1517</v>
      </c>
      <c r="B238" s="129" t="s">
        <v>315</v>
      </c>
      <c r="C238" s="128" t="s">
        <v>68</v>
      </c>
      <c r="D238" s="129" t="s">
        <v>196</v>
      </c>
      <c r="E238" s="129" t="s">
        <v>405</v>
      </c>
      <c r="F238" s="129">
        <v>92020</v>
      </c>
      <c r="G238" s="129">
        <v>91905</v>
      </c>
      <c r="H238" s="130">
        <v>152</v>
      </c>
      <c r="I238" s="129" t="s">
        <v>440</v>
      </c>
      <c r="J238" s="130">
        <v>12</v>
      </c>
      <c r="K238" s="131"/>
      <c r="L238" s="131" t="s">
        <v>68</v>
      </c>
      <c r="M238" s="131" t="s">
        <v>326</v>
      </c>
      <c r="N238" s="131" t="s">
        <v>329</v>
      </c>
      <c r="O238" s="56">
        <f>VLOOKUP($F238,'ZipCode Coordinates'!$A:$E,4,FALSE)</f>
        <v>1870340</v>
      </c>
      <c r="P238" s="56">
        <f>VLOOKUP($F238,'ZipCode Coordinates'!$A:$E,5,FALSE)</f>
        <v>6340260</v>
      </c>
      <c r="Q238" s="56">
        <f>VLOOKUP($G238,'ZipCode Coordinates'!$A:$E,4,FALSE)</f>
        <v>1844120</v>
      </c>
      <c r="R238" s="56">
        <f>VLOOKUP($G238,'ZipCode Coordinates'!$A:$E,5,FALSE)</f>
        <v>6545720</v>
      </c>
      <c r="S238" s="352" t="str">
        <f>IFERROR(VLOOKUP($M238,'External Gateways'!$C$6:$F$10,2,FALSE),"")</f>
        <v/>
      </c>
      <c r="T238" s="56">
        <f>IFERROR(VLOOKUP($M238,'External Gateways'!$C$6:$F$10,3,FALSE),O238)</f>
        <v>1870340</v>
      </c>
      <c r="U238" s="56">
        <f>IFERROR(VLOOKUP($M238,'External Gateways'!$C$6:$F$10,4,FALSE),P238)</f>
        <v>6340260</v>
      </c>
      <c r="V238" s="353">
        <f t="shared" si="6"/>
        <v>0</v>
      </c>
      <c r="W238" s="353">
        <f t="shared" si="7"/>
        <v>152</v>
      </c>
    </row>
    <row r="239" spans="1:23" ht="15" customHeight="1" x14ac:dyDescent="0.25">
      <c r="A239" s="128">
        <v>1522</v>
      </c>
      <c r="B239" s="129" t="s">
        <v>237</v>
      </c>
      <c r="C239" s="128" t="s">
        <v>68</v>
      </c>
      <c r="D239" s="129" t="s">
        <v>154</v>
      </c>
      <c r="E239" s="129" t="s">
        <v>162</v>
      </c>
      <c r="F239" s="129">
        <v>92592</v>
      </c>
      <c r="G239" s="129">
        <v>92101</v>
      </c>
      <c r="H239" s="130">
        <v>138</v>
      </c>
      <c r="I239" s="129" t="s">
        <v>416</v>
      </c>
      <c r="J239" s="130">
        <v>7</v>
      </c>
      <c r="K239" s="131"/>
      <c r="L239" s="131" t="s">
        <v>68</v>
      </c>
      <c r="M239" s="131" t="s">
        <v>402</v>
      </c>
      <c r="N239" s="131" t="s">
        <v>323</v>
      </c>
      <c r="O239" s="56">
        <f>VLOOKUP($F239,'ZipCode Coordinates'!$A:$E,4,FALSE)</f>
        <v>2128740</v>
      </c>
      <c r="P239" s="56">
        <f>VLOOKUP($F239,'ZipCode Coordinates'!$A:$E,5,FALSE)</f>
        <v>6328900</v>
      </c>
      <c r="Q239" s="56">
        <f>VLOOKUP($G239,'ZipCode Coordinates'!$A:$E,4,FALSE)</f>
        <v>1844080</v>
      </c>
      <c r="R239" s="56">
        <f>VLOOKUP($G239,'ZipCode Coordinates'!$A:$E,5,FALSE)</f>
        <v>6278770</v>
      </c>
      <c r="S239" s="352" t="str">
        <f>IFERROR(VLOOKUP($M239,'External Gateways'!$C$6:$F$10,2,FALSE),"")</f>
        <v>I-15</v>
      </c>
      <c r="T239" s="56">
        <f>IFERROR(VLOOKUP($M239,'External Gateways'!$C$6:$F$10,3,FALSE),O239)</f>
        <v>2102195</v>
      </c>
      <c r="U239" s="56">
        <f>IFERROR(VLOOKUP($M239,'External Gateways'!$C$6:$F$10,4,FALSE),P239)</f>
        <v>6289147</v>
      </c>
      <c r="V239" s="353">
        <f t="shared" si="6"/>
        <v>9.0532245169037147</v>
      </c>
      <c r="W239" s="353">
        <f t="shared" si="7"/>
        <v>119.89355096619258</v>
      </c>
    </row>
    <row r="240" spans="1:23" ht="15" customHeight="1" x14ac:dyDescent="0.25">
      <c r="A240" s="128">
        <v>1531</v>
      </c>
      <c r="B240" s="129" t="s">
        <v>218</v>
      </c>
      <c r="C240" s="128" t="s">
        <v>68</v>
      </c>
      <c r="D240" s="129" t="s">
        <v>165</v>
      </c>
      <c r="E240" s="129" t="s">
        <v>162</v>
      </c>
      <c r="F240" s="129">
        <v>91910</v>
      </c>
      <c r="G240" s="129">
        <v>92161</v>
      </c>
      <c r="H240" s="130">
        <v>72</v>
      </c>
      <c r="I240" s="129" t="s">
        <v>401</v>
      </c>
      <c r="J240" s="130">
        <v>7</v>
      </c>
      <c r="K240" s="131"/>
      <c r="L240" s="131" t="s">
        <v>68</v>
      </c>
      <c r="M240" s="131" t="s">
        <v>328</v>
      </c>
      <c r="N240" s="131" t="s">
        <v>327</v>
      </c>
      <c r="O240" s="56">
        <f>VLOOKUP($F240,'ZipCode Coordinates'!$A:$E,4,FALSE)</f>
        <v>1812850</v>
      </c>
      <c r="P240" s="56">
        <f>VLOOKUP($F240,'ZipCode Coordinates'!$A:$E,5,FALSE)</f>
        <v>6313650</v>
      </c>
      <c r="Q240" s="56">
        <f>VLOOKUP($G240,'ZipCode Coordinates'!$A:$E,4,FALSE)</f>
        <v>1899477</v>
      </c>
      <c r="R240" s="56">
        <f>VLOOKUP($G240,'ZipCode Coordinates'!$A:$E,5,FALSE)</f>
        <v>6258957</v>
      </c>
      <c r="S240" s="352" t="str">
        <f>IFERROR(VLOOKUP($M240,'External Gateways'!$C$6:$F$10,2,FALSE),"")</f>
        <v/>
      </c>
      <c r="T240" s="56">
        <f>IFERROR(VLOOKUP($M240,'External Gateways'!$C$6:$F$10,3,FALSE),O240)</f>
        <v>1812850</v>
      </c>
      <c r="U240" s="56">
        <f>IFERROR(VLOOKUP($M240,'External Gateways'!$C$6:$F$10,4,FALSE),P240)</f>
        <v>6313650</v>
      </c>
      <c r="V240" s="353">
        <f t="shared" si="6"/>
        <v>0</v>
      </c>
      <c r="W240" s="353">
        <f t="shared" si="7"/>
        <v>72</v>
      </c>
    </row>
    <row r="241" spans="1:23" ht="15" customHeight="1" x14ac:dyDescent="0.25">
      <c r="A241" s="128">
        <v>1541</v>
      </c>
      <c r="B241" s="129" t="s">
        <v>307</v>
      </c>
      <c r="C241" s="128" t="s">
        <v>3</v>
      </c>
      <c r="D241" s="129" t="s">
        <v>158</v>
      </c>
      <c r="E241" s="129" t="s">
        <v>162</v>
      </c>
      <c r="F241" s="129">
        <v>92563</v>
      </c>
      <c r="G241" s="129">
        <v>92110</v>
      </c>
      <c r="H241" s="130">
        <v>160</v>
      </c>
      <c r="I241" s="129" t="s">
        <v>408</v>
      </c>
      <c r="J241" s="130">
        <v>7</v>
      </c>
      <c r="K241" s="131">
        <v>1</v>
      </c>
      <c r="L241" s="131" t="s">
        <v>3</v>
      </c>
      <c r="M241" s="131" t="s">
        <v>402</v>
      </c>
      <c r="N241" s="131" t="s">
        <v>327</v>
      </c>
      <c r="O241" s="56">
        <f>VLOOKUP($F241,'ZipCode Coordinates'!$A:$E,4,FALSE)</f>
        <v>2156450</v>
      </c>
      <c r="P241" s="56">
        <f>VLOOKUP($F241,'ZipCode Coordinates'!$A:$E,5,FALSE)</f>
        <v>6288710</v>
      </c>
      <c r="Q241" s="56">
        <f>VLOOKUP($G241,'ZipCode Coordinates'!$A:$E,4,FALSE)</f>
        <v>1859050</v>
      </c>
      <c r="R241" s="56">
        <f>VLOOKUP($G241,'ZipCode Coordinates'!$A:$E,5,FALSE)</f>
        <v>6269400</v>
      </c>
      <c r="S241" s="352" t="str">
        <f>IFERROR(VLOOKUP($M241,'External Gateways'!$C$6:$F$10,2,FALSE),"")</f>
        <v>I-15</v>
      </c>
      <c r="T241" s="56">
        <f>IFERROR(VLOOKUP($M241,'External Gateways'!$C$6:$F$10,3,FALSE),O241)</f>
        <v>2102195</v>
      </c>
      <c r="U241" s="56">
        <f>IFERROR(VLOOKUP($M241,'External Gateways'!$C$6:$F$10,4,FALSE),P241)</f>
        <v>6289147</v>
      </c>
      <c r="V241" s="353">
        <f t="shared" si="6"/>
        <v>10.275901494735123</v>
      </c>
      <c r="W241" s="353">
        <f t="shared" si="7"/>
        <v>139.44819701052975</v>
      </c>
    </row>
    <row r="242" spans="1:23" ht="15" customHeight="1" x14ac:dyDescent="0.25">
      <c r="A242" s="128">
        <v>1549</v>
      </c>
      <c r="B242" s="129" t="s">
        <v>82</v>
      </c>
      <c r="C242" s="128" t="s">
        <v>3</v>
      </c>
      <c r="D242" s="129" t="s">
        <v>158</v>
      </c>
      <c r="E242" s="129" t="s">
        <v>82</v>
      </c>
      <c r="F242" s="129">
        <v>92596</v>
      </c>
      <c r="G242" s="129">
        <v>92055</v>
      </c>
      <c r="H242" s="130">
        <v>110</v>
      </c>
      <c r="I242" s="129" t="s">
        <v>407</v>
      </c>
      <c r="J242" s="130">
        <v>8</v>
      </c>
      <c r="K242" s="131"/>
      <c r="L242" s="131" t="s">
        <v>3</v>
      </c>
      <c r="M242" s="131" t="s">
        <v>402</v>
      </c>
      <c r="N242" s="131" t="s">
        <v>324</v>
      </c>
      <c r="O242" s="56">
        <f>VLOOKUP($F242,'ZipCode Coordinates'!$A:$E,4,FALSE)</f>
        <v>2177700</v>
      </c>
      <c r="P242" s="56">
        <f>VLOOKUP($F242,'ZipCode Coordinates'!$A:$E,5,FALSE)</f>
        <v>6311340</v>
      </c>
      <c r="Q242" s="56">
        <f>VLOOKUP($G242,'ZipCode Coordinates'!$A:$E,4,FALSE)</f>
        <v>2082470</v>
      </c>
      <c r="R242" s="56">
        <f>VLOOKUP($G242,'ZipCode Coordinates'!$A:$E,5,FALSE)</f>
        <v>6206470</v>
      </c>
      <c r="S242" s="352" t="str">
        <f>IFERROR(VLOOKUP($M242,'External Gateways'!$C$6:$F$10,2,FALSE),"")</f>
        <v>I-15</v>
      </c>
      <c r="T242" s="56">
        <f>IFERROR(VLOOKUP($M242,'External Gateways'!$C$6:$F$10,3,FALSE),O242)</f>
        <v>2102195</v>
      </c>
      <c r="U242" s="56">
        <f>IFERROR(VLOOKUP($M242,'External Gateways'!$C$6:$F$10,4,FALSE),P242)</f>
        <v>6289147</v>
      </c>
      <c r="V242" s="353">
        <f t="shared" si="6"/>
        <v>14.905115649451727</v>
      </c>
      <c r="W242" s="353">
        <f t="shared" si="7"/>
        <v>80.18976870109654</v>
      </c>
    </row>
    <row r="243" spans="1:23" ht="15" customHeight="1" x14ac:dyDescent="0.25">
      <c r="A243" s="128">
        <v>1554</v>
      </c>
      <c r="B243" s="129" t="s">
        <v>218</v>
      </c>
      <c r="C243" s="128" t="s">
        <v>68</v>
      </c>
      <c r="D243" s="129" t="s">
        <v>206</v>
      </c>
      <c r="E243" s="129" t="s">
        <v>162</v>
      </c>
      <c r="F243" s="129">
        <v>92064</v>
      </c>
      <c r="G243" s="129">
        <v>92161</v>
      </c>
      <c r="H243" s="130">
        <v>50</v>
      </c>
      <c r="I243" s="129" t="s">
        <v>408</v>
      </c>
      <c r="J243" s="130">
        <v>7</v>
      </c>
      <c r="K243" s="131"/>
      <c r="L243" s="131" t="s">
        <v>68</v>
      </c>
      <c r="M243" s="131" t="s">
        <v>327</v>
      </c>
      <c r="N243" s="131" t="s">
        <v>327</v>
      </c>
      <c r="O243" s="56">
        <f>VLOOKUP($F243,'ZipCode Coordinates'!$A:$E,4,FALSE)</f>
        <v>1939040</v>
      </c>
      <c r="P243" s="56">
        <f>VLOOKUP($F243,'ZipCode Coordinates'!$A:$E,5,FALSE)</f>
        <v>6325350</v>
      </c>
      <c r="Q243" s="56">
        <f>VLOOKUP($G243,'ZipCode Coordinates'!$A:$E,4,FALSE)</f>
        <v>1899477</v>
      </c>
      <c r="R243" s="56">
        <f>VLOOKUP($G243,'ZipCode Coordinates'!$A:$E,5,FALSE)</f>
        <v>6258957</v>
      </c>
      <c r="S243" s="352" t="str">
        <f>IFERROR(VLOOKUP($M243,'External Gateways'!$C$6:$F$10,2,FALSE),"")</f>
        <v/>
      </c>
      <c r="T243" s="56">
        <f>IFERROR(VLOOKUP($M243,'External Gateways'!$C$6:$F$10,3,FALSE),O243)</f>
        <v>1939040</v>
      </c>
      <c r="U243" s="56">
        <f>IFERROR(VLOOKUP($M243,'External Gateways'!$C$6:$F$10,4,FALSE),P243)</f>
        <v>6325350</v>
      </c>
      <c r="V243" s="353">
        <f t="shared" si="6"/>
        <v>0</v>
      </c>
      <c r="W243" s="353">
        <f t="shared" si="7"/>
        <v>50</v>
      </c>
    </row>
    <row r="244" spans="1:23" ht="15" customHeight="1" x14ac:dyDescent="0.25">
      <c r="A244" s="128">
        <v>1555</v>
      </c>
      <c r="B244" s="129" t="s">
        <v>215</v>
      </c>
      <c r="C244" s="128" t="s">
        <v>68</v>
      </c>
      <c r="D244" s="129" t="s">
        <v>188</v>
      </c>
      <c r="E244" s="129" t="s">
        <v>162</v>
      </c>
      <c r="F244" s="129">
        <v>92069</v>
      </c>
      <c r="G244" s="129">
        <v>92108</v>
      </c>
      <c r="H244" s="130">
        <v>80</v>
      </c>
      <c r="I244" s="129" t="s">
        <v>460</v>
      </c>
      <c r="J244" s="130">
        <v>7</v>
      </c>
      <c r="K244" s="131"/>
      <c r="L244" s="131" t="s">
        <v>68</v>
      </c>
      <c r="M244" s="131" t="s">
        <v>325</v>
      </c>
      <c r="N244" s="131" t="s">
        <v>327</v>
      </c>
      <c r="O244" s="56">
        <f>VLOOKUP($F244,'ZipCode Coordinates'!$A:$E,4,FALSE)</f>
        <v>2008640</v>
      </c>
      <c r="P244" s="56">
        <f>VLOOKUP($F244,'ZipCode Coordinates'!$A:$E,5,FALSE)</f>
        <v>6283870</v>
      </c>
      <c r="Q244" s="56">
        <f>VLOOKUP($G244,'ZipCode Coordinates'!$A:$E,4,FALSE)</f>
        <v>1862470</v>
      </c>
      <c r="R244" s="56">
        <f>VLOOKUP($G244,'ZipCode Coordinates'!$A:$E,5,FALSE)</f>
        <v>6286860</v>
      </c>
      <c r="S244" s="352" t="str">
        <f>IFERROR(VLOOKUP($M244,'External Gateways'!$C$6:$F$10,2,FALSE),"")</f>
        <v/>
      </c>
      <c r="T244" s="56">
        <f>IFERROR(VLOOKUP($M244,'External Gateways'!$C$6:$F$10,3,FALSE),O244)</f>
        <v>2008640</v>
      </c>
      <c r="U244" s="56">
        <f>IFERROR(VLOOKUP($M244,'External Gateways'!$C$6:$F$10,4,FALSE),P244)</f>
        <v>6283870</v>
      </c>
      <c r="V244" s="353">
        <f t="shared" si="6"/>
        <v>0</v>
      </c>
      <c r="W244" s="353">
        <f t="shared" si="7"/>
        <v>80</v>
      </c>
    </row>
    <row r="245" spans="1:23" ht="15" customHeight="1" x14ac:dyDescent="0.25">
      <c r="A245" s="128">
        <v>1565</v>
      </c>
      <c r="B245" s="129" t="s">
        <v>82</v>
      </c>
      <c r="C245" s="128" t="s">
        <v>3</v>
      </c>
      <c r="D245" s="129" t="s">
        <v>154</v>
      </c>
      <c r="E245" s="129" t="s">
        <v>82</v>
      </c>
      <c r="F245" s="129">
        <v>92592</v>
      </c>
      <c r="G245" s="129">
        <v>92055</v>
      </c>
      <c r="H245" s="130">
        <v>64</v>
      </c>
      <c r="I245" s="129" t="s">
        <v>401</v>
      </c>
      <c r="J245" s="130">
        <v>7</v>
      </c>
      <c r="K245" s="131"/>
      <c r="L245" s="131" t="s">
        <v>3</v>
      </c>
      <c r="M245" s="131" t="s">
        <v>402</v>
      </c>
      <c r="N245" s="131" t="s">
        <v>324</v>
      </c>
      <c r="O245" s="56">
        <f>VLOOKUP($F245,'ZipCode Coordinates'!$A:$E,4,FALSE)</f>
        <v>2128740</v>
      </c>
      <c r="P245" s="56">
        <f>VLOOKUP($F245,'ZipCode Coordinates'!$A:$E,5,FALSE)</f>
        <v>6328900</v>
      </c>
      <c r="Q245" s="56">
        <f>VLOOKUP($G245,'ZipCode Coordinates'!$A:$E,4,FALSE)</f>
        <v>2082470</v>
      </c>
      <c r="R245" s="56">
        <f>VLOOKUP($G245,'ZipCode Coordinates'!$A:$E,5,FALSE)</f>
        <v>6206470</v>
      </c>
      <c r="S245" s="352" t="str">
        <f>IFERROR(VLOOKUP($M245,'External Gateways'!$C$6:$F$10,2,FALSE),"")</f>
        <v>I-15</v>
      </c>
      <c r="T245" s="56">
        <f>IFERROR(VLOOKUP($M245,'External Gateways'!$C$6:$F$10,3,FALSE),O245)</f>
        <v>2102195</v>
      </c>
      <c r="U245" s="56">
        <f>IFERROR(VLOOKUP($M245,'External Gateways'!$C$6:$F$10,4,FALSE),P245)</f>
        <v>6289147</v>
      </c>
      <c r="V245" s="353">
        <f t="shared" si="6"/>
        <v>9.0532245169037147</v>
      </c>
      <c r="W245" s="353">
        <f t="shared" si="7"/>
        <v>45.893550966192571</v>
      </c>
    </row>
    <row r="246" spans="1:23" ht="15" customHeight="1" x14ac:dyDescent="0.25">
      <c r="A246" s="128">
        <v>1574</v>
      </c>
      <c r="B246" s="129" t="s">
        <v>451</v>
      </c>
      <c r="C246" s="128" t="s">
        <v>3</v>
      </c>
      <c r="D246" s="129" t="s">
        <v>154</v>
      </c>
      <c r="E246" s="129" t="s">
        <v>162</v>
      </c>
      <c r="F246" s="129">
        <v>92592</v>
      </c>
      <c r="G246" s="129">
        <v>92136</v>
      </c>
      <c r="H246" s="130">
        <v>135</v>
      </c>
      <c r="I246" s="129" t="s">
        <v>468</v>
      </c>
      <c r="J246" s="130">
        <v>7</v>
      </c>
      <c r="K246" s="131"/>
      <c r="L246" s="131" t="s">
        <v>3</v>
      </c>
      <c r="M246" s="131" t="s">
        <v>402</v>
      </c>
      <c r="N246" s="131" t="s">
        <v>323</v>
      </c>
      <c r="O246" s="56">
        <f>VLOOKUP($F246,'ZipCode Coordinates'!$A:$E,4,FALSE)</f>
        <v>2128740</v>
      </c>
      <c r="P246" s="56">
        <f>VLOOKUP($F246,'ZipCode Coordinates'!$A:$E,5,FALSE)</f>
        <v>6328900</v>
      </c>
      <c r="Q246" s="56">
        <f>VLOOKUP($G246,'ZipCode Coordinates'!$A:$E,4,FALSE)</f>
        <v>1828370</v>
      </c>
      <c r="R246" s="56">
        <f>VLOOKUP($G246,'ZipCode Coordinates'!$A:$E,5,FALSE)</f>
        <v>6293940</v>
      </c>
      <c r="S246" s="352" t="str">
        <f>IFERROR(VLOOKUP($M246,'External Gateways'!$C$6:$F$10,2,FALSE),"")</f>
        <v>I-15</v>
      </c>
      <c r="T246" s="56">
        <f>IFERROR(VLOOKUP($M246,'External Gateways'!$C$6:$F$10,3,FALSE),O246)</f>
        <v>2102195</v>
      </c>
      <c r="U246" s="56">
        <f>IFERROR(VLOOKUP($M246,'External Gateways'!$C$6:$F$10,4,FALSE),P246)</f>
        <v>6289147</v>
      </c>
      <c r="V246" s="353">
        <f t="shared" si="6"/>
        <v>9.0532245169037147</v>
      </c>
      <c r="W246" s="353">
        <f t="shared" si="7"/>
        <v>116.89355096619258</v>
      </c>
    </row>
    <row r="247" spans="1:23" ht="15" customHeight="1" x14ac:dyDescent="0.25">
      <c r="A247" s="128">
        <v>1575</v>
      </c>
      <c r="B247" s="129" t="s">
        <v>218</v>
      </c>
      <c r="C247" s="128" t="s">
        <v>68</v>
      </c>
      <c r="D247" s="129" t="s">
        <v>165</v>
      </c>
      <c r="E247" s="129" t="s">
        <v>162</v>
      </c>
      <c r="F247" s="129">
        <v>91915</v>
      </c>
      <c r="G247" s="129">
        <v>92161</v>
      </c>
      <c r="H247" s="130">
        <v>75</v>
      </c>
      <c r="I247" s="129" t="s">
        <v>428</v>
      </c>
      <c r="J247" s="130">
        <v>7</v>
      </c>
      <c r="K247" s="131">
        <v>1</v>
      </c>
      <c r="L247" s="131" t="s">
        <v>68</v>
      </c>
      <c r="M247" s="131" t="s">
        <v>326</v>
      </c>
      <c r="N247" s="131" t="s">
        <v>327</v>
      </c>
      <c r="O247" s="56">
        <f>VLOOKUP($F247,'ZipCode Coordinates'!$A:$E,4,FALSE)</f>
        <v>1804550</v>
      </c>
      <c r="P247" s="56">
        <f>VLOOKUP($F247,'ZipCode Coordinates'!$A:$E,5,FALSE)</f>
        <v>6342300</v>
      </c>
      <c r="Q247" s="56">
        <f>VLOOKUP($G247,'ZipCode Coordinates'!$A:$E,4,FALSE)</f>
        <v>1899477</v>
      </c>
      <c r="R247" s="56">
        <f>VLOOKUP($G247,'ZipCode Coordinates'!$A:$E,5,FALSE)</f>
        <v>6258957</v>
      </c>
      <c r="S247" s="352" t="str">
        <f>IFERROR(VLOOKUP($M247,'External Gateways'!$C$6:$F$10,2,FALSE),"")</f>
        <v/>
      </c>
      <c r="T247" s="56">
        <f>IFERROR(VLOOKUP($M247,'External Gateways'!$C$6:$F$10,3,FALSE),O247)</f>
        <v>1804550</v>
      </c>
      <c r="U247" s="56">
        <f>IFERROR(VLOOKUP($M247,'External Gateways'!$C$6:$F$10,4,FALSE),P247)</f>
        <v>6342300</v>
      </c>
      <c r="V247" s="353">
        <f t="shared" si="6"/>
        <v>0</v>
      </c>
      <c r="W247" s="353">
        <f t="shared" si="7"/>
        <v>75</v>
      </c>
    </row>
    <row r="248" spans="1:23" ht="15" customHeight="1" x14ac:dyDescent="0.25">
      <c r="A248" s="128">
        <v>1580</v>
      </c>
      <c r="B248" s="129" t="s">
        <v>258</v>
      </c>
      <c r="C248" s="128" t="s">
        <v>3</v>
      </c>
      <c r="D248" s="129" t="s">
        <v>261</v>
      </c>
      <c r="E248" s="129" t="s">
        <v>162</v>
      </c>
      <c r="F248" s="129">
        <v>92346</v>
      </c>
      <c r="G248" s="129">
        <v>92135</v>
      </c>
      <c r="H248" s="130">
        <v>176</v>
      </c>
      <c r="I248" s="129" t="s">
        <v>401</v>
      </c>
      <c r="J248" s="130">
        <v>7</v>
      </c>
      <c r="K248" s="131">
        <v>2</v>
      </c>
      <c r="L248" s="131" t="s">
        <v>3</v>
      </c>
      <c r="M248" s="131" t="s">
        <v>484</v>
      </c>
      <c r="N248" s="131" t="s">
        <v>323</v>
      </c>
      <c r="O248" s="56">
        <f>VLOOKUP($F248,'ZipCode Coordinates'!$A:$E,4,FALSE)</f>
        <v>2351990</v>
      </c>
      <c r="P248" s="56">
        <f>VLOOKUP($F248,'ZipCode Coordinates'!$A:$E,5,FALSE)</f>
        <v>6280660</v>
      </c>
      <c r="Q248" s="56">
        <f>VLOOKUP($G248,'ZipCode Coordinates'!$A:$E,4,FALSE)</f>
        <v>1835720</v>
      </c>
      <c r="R248" s="56">
        <f>VLOOKUP($G248,'ZipCode Coordinates'!$A:$E,5,FALSE)</f>
        <v>6266670</v>
      </c>
      <c r="S248" s="352" t="str">
        <f>IFERROR(VLOOKUP($M248,'External Gateways'!$C$6:$F$10,2,FALSE),"")</f>
        <v>I-15</v>
      </c>
      <c r="T248" s="56">
        <f>IFERROR(VLOOKUP($M248,'External Gateways'!$C$6:$F$10,3,FALSE),O248)</f>
        <v>2102195</v>
      </c>
      <c r="U248" s="56">
        <f>IFERROR(VLOOKUP($M248,'External Gateways'!$C$6:$F$10,4,FALSE),P248)</f>
        <v>6289147</v>
      </c>
      <c r="V248" s="353">
        <f t="shared" si="6"/>
        <v>47.336957382367125</v>
      </c>
      <c r="W248" s="353">
        <f t="shared" si="7"/>
        <v>81.326085235265751</v>
      </c>
    </row>
    <row r="249" spans="1:23" ht="15" customHeight="1" x14ac:dyDescent="0.25">
      <c r="A249" s="128">
        <v>1581</v>
      </c>
      <c r="B249" s="129" t="s">
        <v>218</v>
      </c>
      <c r="C249" s="128" t="s">
        <v>68</v>
      </c>
      <c r="D249" s="129" t="s">
        <v>156</v>
      </c>
      <c r="E249" s="129" t="s">
        <v>162</v>
      </c>
      <c r="F249" s="129">
        <v>92027</v>
      </c>
      <c r="G249" s="129">
        <v>92161</v>
      </c>
      <c r="H249" s="130">
        <v>57</v>
      </c>
      <c r="I249" s="129" t="s">
        <v>428</v>
      </c>
      <c r="J249" s="130">
        <v>7</v>
      </c>
      <c r="K249" s="131"/>
      <c r="L249" s="131" t="s">
        <v>68</v>
      </c>
      <c r="M249" s="131" t="s">
        <v>325</v>
      </c>
      <c r="N249" s="131" t="s">
        <v>327</v>
      </c>
      <c r="O249" s="56">
        <f>VLOOKUP($F249,'ZipCode Coordinates'!$A:$E,4,FALSE)</f>
        <v>1994010</v>
      </c>
      <c r="P249" s="56">
        <f>VLOOKUP($F249,'ZipCode Coordinates'!$A:$E,5,FALSE)</f>
        <v>6337210</v>
      </c>
      <c r="Q249" s="56">
        <f>VLOOKUP($G249,'ZipCode Coordinates'!$A:$E,4,FALSE)</f>
        <v>1899477</v>
      </c>
      <c r="R249" s="56">
        <f>VLOOKUP($G249,'ZipCode Coordinates'!$A:$E,5,FALSE)</f>
        <v>6258957</v>
      </c>
      <c r="S249" s="352" t="str">
        <f>IFERROR(VLOOKUP($M249,'External Gateways'!$C$6:$F$10,2,FALSE),"")</f>
        <v/>
      </c>
      <c r="T249" s="56">
        <f>IFERROR(VLOOKUP($M249,'External Gateways'!$C$6:$F$10,3,FALSE),O249)</f>
        <v>1994010</v>
      </c>
      <c r="U249" s="56">
        <f>IFERROR(VLOOKUP($M249,'External Gateways'!$C$6:$F$10,4,FALSE),P249)</f>
        <v>6337210</v>
      </c>
      <c r="V249" s="353">
        <f t="shared" si="6"/>
        <v>0</v>
      </c>
      <c r="W249" s="353">
        <f t="shared" si="7"/>
        <v>57</v>
      </c>
    </row>
    <row r="250" spans="1:23" ht="15" customHeight="1" x14ac:dyDescent="0.25">
      <c r="A250" s="128">
        <v>1592</v>
      </c>
      <c r="B250" s="129" t="s">
        <v>451</v>
      </c>
      <c r="C250" s="128" t="s">
        <v>3</v>
      </c>
      <c r="D250" s="129" t="s">
        <v>157</v>
      </c>
      <c r="E250" s="129" t="s">
        <v>162</v>
      </c>
      <c r="F250" s="129">
        <v>92545</v>
      </c>
      <c r="G250" s="129">
        <v>92136</v>
      </c>
      <c r="H250" s="130">
        <v>205</v>
      </c>
      <c r="I250" s="129" t="s">
        <v>446</v>
      </c>
      <c r="J250" s="130">
        <v>10</v>
      </c>
      <c r="K250" s="131"/>
      <c r="L250" s="131" t="s">
        <v>3</v>
      </c>
      <c r="M250" s="131" t="s">
        <v>402</v>
      </c>
      <c r="N250" s="131" t="s">
        <v>323</v>
      </c>
      <c r="O250" s="56">
        <f>VLOOKUP($F250,'ZipCode Coordinates'!$A:$E,4,FALSE)</f>
        <v>2210660</v>
      </c>
      <c r="P250" s="56">
        <f>VLOOKUP($F250,'ZipCode Coordinates'!$A:$E,5,FALSE)</f>
        <v>6321330</v>
      </c>
      <c r="Q250" s="56">
        <f>VLOOKUP($G250,'ZipCode Coordinates'!$A:$E,4,FALSE)</f>
        <v>1828370</v>
      </c>
      <c r="R250" s="56">
        <f>VLOOKUP($G250,'ZipCode Coordinates'!$A:$E,5,FALSE)</f>
        <v>6293940</v>
      </c>
      <c r="S250" s="352" t="str">
        <f>IFERROR(VLOOKUP($M250,'External Gateways'!$C$6:$F$10,2,FALSE),"")</f>
        <v>I-15</v>
      </c>
      <c r="T250" s="56">
        <f>IFERROR(VLOOKUP($M250,'External Gateways'!$C$6:$F$10,3,FALSE),O250)</f>
        <v>2102195</v>
      </c>
      <c r="U250" s="56">
        <f>IFERROR(VLOOKUP($M250,'External Gateways'!$C$6:$F$10,4,FALSE),P250)</f>
        <v>6289147</v>
      </c>
      <c r="V250" s="353">
        <f t="shared" si="6"/>
        <v>21.427814454119865</v>
      </c>
      <c r="W250" s="353">
        <f t="shared" si="7"/>
        <v>162.14437109176026</v>
      </c>
    </row>
    <row r="251" spans="1:23" ht="15" customHeight="1" x14ac:dyDescent="0.25">
      <c r="A251" s="128">
        <v>1594</v>
      </c>
      <c r="B251" s="129" t="s">
        <v>258</v>
      </c>
      <c r="C251" s="128" t="s">
        <v>3</v>
      </c>
      <c r="D251" s="129" t="s">
        <v>158</v>
      </c>
      <c r="E251" s="129" t="s">
        <v>162</v>
      </c>
      <c r="F251" s="129">
        <v>92563</v>
      </c>
      <c r="G251" s="129">
        <v>92135</v>
      </c>
      <c r="H251" s="130">
        <v>152</v>
      </c>
      <c r="I251" s="129" t="s">
        <v>500</v>
      </c>
      <c r="J251" s="130">
        <v>9</v>
      </c>
      <c r="K251" s="131"/>
      <c r="L251" s="131" t="s">
        <v>3</v>
      </c>
      <c r="M251" s="131" t="s">
        <v>402</v>
      </c>
      <c r="N251" s="131" t="s">
        <v>323</v>
      </c>
      <c r="O251" s="56">
        <f>VLOOKUP($F251,'ZipCode Coordinates'!$A:$E,4,FALSE)</f>
        <v>2156450</v>
      </c>
      <c r="P251" s="56">
        <f>VLOOKUP($F251,'ZipCode Coordinates'!$A:$E,5,FALSE)</f>
        <v>6288710</v>
      </c>
      <c r="Q251" s="56">
        <f>VLOOKUP($G251,'ZipCode Coordinates'!$A:$E,4,FALSE)</f>
        <v>1835720</v>
      </c>
      <c r="R251" s="56">
        <f>VLOOKUP($G251,'ZipCode Coordinates'!$A:$E,5,FALSE)</f>
        <v>6266670</v>
      </c>
      <c r="S251" s="352" t="str">
        <f>IFERROR(VLOOKUP($M251,'External Gateways'!$C$6:$F$10,2,FALSE),"")</f>
        <v>I-15</v>
      </c>
      <c r="T251" s="56">
        <f>IFERROR(VLOOKUP($M251,'External Gateways'!$C$6:$F$10,3,FALSE),O251)</f>
        <v>2102195</v>
      </c>
      <c r="U251" s="56">
        <f>IFERROR(VLOOKUP($M251,'External Gateways'!$C$6:$F$10,4,FALSE),P251)</f>
        <v>6289147</v>
      </c>
      <c r="V251" s="353">
        <f t="shared" si="6"/>
        <v>10.275901494735123</v>
      </c>
      <c r="W251" s="353">
        <f t="shared" si="7"/>
        <v>131.44819701052975</v>
      </c>
    </row>
    <row r="252" spans="1:23" ht="15" customHeight="1" x14ac:dyDescent="0.25">
      <c r="A252" s="128">
        <v>1598</v>
      </c>
      <c r="B252" s="129" t="s">
        <v>171</v>
      </c>
      <c r="C252" s="128" t="s">
        <v>166</v>
      </c>
      <c r="D252" s="129" t="s">
        <v>161</v>
      </c>
      <c r="E252" s="129" t="s">
        <v>162</v>
      </c>
      <c r="F252" s="129">
        <v>92596</v>
      </c>
      <c r="G252" s="129">
        <v>92113</v>
      </c>
      <c r="H252" s="130">
        <v>181</v>
      </c>
      <c r="I252" s="129" t="s">
        <v>412</v>
      </c>
      <c r="J252" s="130">
        <v>10</v>
      </c>
      <c r="K252" s="131"/>
      <c r="L252" s="131" t="s">
        <v>5</v>
      </c>
      <c r="M252" s="131" t="s">
        <v>402</v>
      </c>
      <c r="N252" s="131" t="s">
        <v>323</v>
      </c>
      <c r="O252" s="56">
        <f>VLOOKUP($F252,'ZipCode Coordinates'!$A:$E,4,FALSE)</f>
        <v>2177700</v>
      </c>
      <c r="P252" s="56">
        <f>VLOOKUP($F252,'ZipCode Coordinates'!$A:$E,5,FALSE)</f>
        <v>6311340</v>
      </c>
      <c r="Q252" s="56">
        <f>VLOOKUP($G252,'ZipCode Coordinates'!$A:$E,4,FALSE)</f>
        <v>1834470</v>
      </c>
      <c r="R252" s="56">
        <f>VLOOKUP($G252,'ZipCode Coordinates'!$A:$E,5,FALSE)</f>
        <v>6294590</v>
      </c>
      <c r="S252" s="352" t="str">
        <f>IFERROR(VLOOKUP($M252,'External Gateways'!$C$6:$F$10,2,FALSE),"")</f>
        <v>I-15</v>
      </c>
      <c r="T252" s="56">
        <f>IFERROR(VLOOKUP($M252,'External Gateways'!$C$6:$F$10,3,FALSE),O252)</f>
        <v>2102195</v>
      </c>
      <c r="U252" s="56">
        <f>IFERROR(VLOOKUP($M252,'External Gateways'!$C$6:$F$10,4,FALSE),P252)</f>
        <v>6289147</v>
      </c>
      <c r="V252" s="353">
        <f t="shared" si="6"/>
        <v>14.905115649451727</v>
      </c>
      <c r="W252" s="353">
        <f t="shared" si="7"/>
        <v>151.18976870109654</v>
      </c>
    </row>
    <row r="253" spans="1:23" ht="15" customHeight="1" x14ac:dyDescent="0.25">
      <c r="A253" s="128">
        <v>1602</v>
      </c>
      <c r="B253" s="129" t="s">
        <v>230</v>
      </c>
      <c r="C253" s="128" t="s">
        <v>181</v>
      </c>
      <c r="D253" s="129" t="s">
        <v>176</v>
      </c>
      <c r="E253" s="129" t="s">
        <v>425</v>
      </c>
      <c r="F253" s="129">
        <v>92249</v>
      </c>
      <c r="G253" s="129">
        <v>91906</v>
      </c>
      <c r="H253" s="130">
        <v>125</v>
      </c>
      <c r="I253" s="129" t="s">
        <v>460</v>
      </c>
      <c r="J253" s="130">
        <v>7</v>
      </c>
      <c r="K253" s="131"/>
      <c r="L253" s="131" t="s">
        <v>5</v>
      </c>
      <c r="M253" s="131" t="s">
        <v>431</v>
      </c>
      <c r="N253" s="131" t="s">
        <v>329</v>
      </c>
      <c r="O253" s="56">
        <f>VLOOKUP($F253,'ZipCode Coordinates'!$A:$E,4,FALSE)</f>
        <v>1842600</v>
      </c>
      <c r="P253" s="56">
        <f>VLOOKUP($F253,'ZipCode Coordinates'!$A:$E,5,FALSE)</f>
        <v>6804870</v>
      </c>
      <c r="Q253" s="56">
        <f>VLOOKUP($G253,'ZipCode Coordinates'!$A:$E,4,FALSE)</f>
        <v>1833150</v>
      </c>
      <c r="R253" s="56">
        <f>VLOOKUP($G253,'ZipCode Coordinates'!$A:$E,5,FALSE)</f>
        <v>6479630</v>
      </c>
      <c r="S253" s="352" t="str">
        <f>IFERROR(VLOOKUP($M253,'External Gateways'!$C$6:$F$10,2,FALSE),"")</f>
        <v>I-8</v>
      </c>
      <c r="T253" s="56">
        <f>IFERROR(VLOOKUP($M253,'External Gateways'!$C$6:$F$10,3,FALSE),O253)</f>
        <v>1814524</v>
      </c>
      <c r="U253" s="56">
        <f>IFERROR(VLOOKUP($M253,'External Gateways'!$C$6:$F$10,4,FALSE),P253)</f>
        <v>6606089</v>
      </c>
      <c r="V253" s="353">
        <f t="shared" si="6"/>
        <v>38.021581107499969</v>
      </c>
      <c r="W253" s="353">
        <f t="shared" si="7"/>
        <v>48.956837785000062</v>
      </c>
    </row>
    <row r="254" spans="1:23" ht="15" customHeight="1" x14ac:dyDescent="0.25">
      <c r="A254" s="128">
        <v>1609</v>
      </c>
      <c r="B254" s="129" t="s">
        <v>258</v>
      </c>
      <c r="C254" s="128" t="s">
        <v>3</v>
      </c>
      <c r="D254" s="129" t="s">
        <v>154</v>
      </c>
      <c r="E254" s="129" t="s">
        <v>162</v>
      </c>
      <c r="F254" s="129">
        <v>92592</v>
      </c>
      <c r="G254" s="129">
        <v>92135</v>
      </c>
      <c r="H254" s="130">
        <v>160</v>
      </c>
      <c r="I254" s="129" t="s">
        <v>432</v>
      </c>
      <c r="J254" s="130">
        <v>7</v>
      </c>
      <c r="K254" s="131">
        <v>1</v>
      </c>
      <c r="L254" s="131" t="s">
        <v>3</v>
      </c>
      <c r="M254" s="131" t="s">
        <v>402</v>
      </c>
      <c r="N254" s="131" t="s">
        <v>323</v>
      </c>
      <c r="O254" s="56">
        <f>VLOOKUP($F254,'ZipCode Coordinates'!$A:$E,4,FALSE)</f>
        <v>2128740</v>
      </c>
      <c r="P254" s="56">
        <f>VLOOKUP($F254,'ZipCode Coordinates'!$A:$E,5,FALSE)</f>
        <v>6328900</v>
      </c>
      <c r="Q254" s="56">
        <f>VLOOKUP($G254,'ZipCode Coordinates'!$A:$E,4,FALSE)</f>
        <v>1835720</v>
      </c>
      <c r="R254" s="56">
        <f>VLOOKUP($G254,'ZipCode Coordinates'!$A:$E,5,FALSE)</f>
        <v>6266670</v>
      </c>
      <c r="S254" s="352" t="str">
        <f>IFERROR(VLOOKUP($M254,'External Gateways'!$C$6:$F$10,2,FALSE),"")</f>
        <v>I-15</v>
      </c>
      <c r="T254" s="56">
        <f>IFERROR(VLOOKUP($M254,'External Gateways'!$C$6:$F$10,3,FALSE),O254)</f>
        <v>2102195</v>
      </c>
      <c r="U254" s="56">
        <f>IFERROR(VLOOKUP($M254,'External Gateways'!$C$6:$F$10,4,FALSE),P254)</f>
        <v>6289147</v>
      </c>
      <c r="V254" s="353">
        <f t="shared" si="6"/>
        <v>9.0532245169037147</v>
      </c>
      <c r="W254" s="353">
        <f t="shared" si="7"/>
        <v>141.89355096619258</v>
      </c>
    </row>
    <row r="255" spans="1:23" ht="15" customHeight="1" x14ac:dyDescent="0.25">
      <c r="A255" s="128">
        <v>1614</v>
      </c>
      <c r="B255" s="129" t="s">
        <v>315</v>
      </c>
      <c r="C255" s="128" t="s">
        <v>68</v>
      </c>
      <c r="D255" s="129" t="s">
        <v>162</v>
      </c>
      <c r="E255" s="129" t="s">
        <v>201</v>
      </c>
      <c r="F255" s="129">
        <v>92120</v>
      </c>
      <c r="G255" s="129">
        <v>91962</v>
      </c>
      <c r="H255" s="130">
        <v>159</v>
      </c>
      <c r="I255" s="129" t="s">
        <v>455</v>
      </c>
      <c r="J255" s="130">
        <v>7</v>
      </c>
      <c r="K255" s="131"/>
      <c r="L255" s="131" t="s">
        <v>68</v>
      </c>
      <c r="M255" s="131" t="s">
        <v>327</v>
      </c>
      <c r="N255" s="131" t="s">
        <v>329</v>
      </c>
      <c r="O255" s="56">
        <f>VLOOKUP($F255,'ZipCode Coordinates'!$A:$E,4,FALSE)</f>
        <v>1869860</v>
      </c>
      <c r="P255" s="56">
        <f>VLOOKUP($F255,'ZipCode Coordinates'!$A:$E,5,FALSE)</f>
        <v>6308830</v>
      </c>
      <c r="Q255" s="56">
        <f>VLOOKUP($G255,'ZipCode Coordinates'!$A:$E,4,FALSE)</f>
        <v>1874980</v>
      </c>
      <c r="R255" s="56">
        <f>VLOOKUP($G255,'ZipCode Coordinates'!$A:$E,5,FALSE)</f>
        <v>6499110</v>
      </c>
      <c r="S255" s="352" t="str">
        <f>IFERROR(VLOOKUP($M255,'External Gateways'!$C$6:$F$10,2,FALSE),"")</f>
        <v/>
      </c>
      <c r="T255" s="56">
        <f>IFERROR(VLOOKUP($M255,'External Gateways'!$C$6:$F$10,3,FALSE),O255)</f>
        <v>1869860</v>
      </c>
      <c r="U255" s="56">
        <f>IFERROR(VLOOKUP($M255,'External Gateways'!$C$6:$F$10,4,FALSE),P255)</f>
        <v>6308830</v>
      </c>
      <c r="V255" s="353">
        <f t="shared" si="6"/>
        <v>0</v>
      </c>
      <c r="W255" s="353">
        <f t="shared" si="7"/>
        <v>159</v>
      </c>
    </row>
    <row r="256" spans="1:23" ht="15" customHeight="1" x14ac:dyDescent="0.25">
      <c r="A256" s="128">
        <v>1618</v>
      </c>
      <c r="B256" s="129" t="s">
        <v>164</v>
      </c>
      <c r="C256" s="128" t="s">
        <v>163</v>
      </c>
      <c r="D256" s="129" t="s">
        <v>162</v>
      </c>
      <c r="E256" s="129" t="s">
        <v>162</v>
      </c>
      <c r="F256" s="129">
        <v>92114</v>
      </c>
      <c r="G256" s="129">
        <v>92121</v>
      </c>
      <c r="H256" s="130">
        <v>71</v>
      </c>
      <c r="I256" s="129" t="s">
        <v>401</v>
      </c>
      <c r="J256" s="130">
        <v>7</v>
      </c>
      <c r="K256" s="131"/>
      <c r="L256" s="131" t="s">
        <v>5</v>
      </c>
      <c r="M256" s="131" t="s">
        <v>323</v>
      </c>
      <c r="N256" s="131" t="s">
        <v>327</v>
      </c>
      <c r="O256" s="56">
        <f>VLOOKUP($F256,'ZipCode Coordinates'!$A:$E,4,FALSE)</f>
        <v>1838250</v>
      </c>
      <c r="P256" s="56">
        <f>VLOOKUP($F256,'ZipCode Coordinates'!$A:$E,5,FALSE)</f>
        <v>6314020</v>
      </c>
      <c r="Q256" s="56">
        <f>VLOOKUP($G256,'ZipCode Coordinates'!$A:$E,4,FALSE)</f>
        <v>1907910</v>
      </c>
      <c r="R256" s="56">
        <f>VLOOKUP($G256,'ZipCode Coordinates'!$A:$E,5,FALSE)</f>
        <v>6269540</v>
      </c>
      <c r="S256" s="352" t="str">
        <f>IFERROR(VLOOKUP($M256,'External Gateways'!$C$6:$F$10,2,FALSE),"")</f>
        <v/>
      </c>
      <c r="T256" s="56">
        <f>IFERROR(VLOOKUP($M256,'External Gateways'!$C$6:$F$10,3,FALSE),O256)</f>
        <v>1838250</v>
      </c>
      <c r="U256" s="56">
        <f>IFERROR(VLOOKUP($M256,'External Gateways'!$C$6:$F$10,4,FALSE),P256)</f>
        <v>6314020</v>
      </c>
      <c r="V256" s="353">
        <f t="shared" si="6"/>
        <v>0</v>
      </c>
      <c r="W256" s="353">
        <f t="shared" si="7"/>
        <v>71</v>
      </c>
    </row>
    <row r="257" spans="1:23" ht="15" customHeight="1" x14ac:dyDescent="0.25">
      <c r="A257" s="128">
        <v>1621</v>
      </c>
      <c r="B257" s="129" t="s">
        <v>253</v>
      </c>
      <c r="C257" s="128" t="s">
        <v>3</v>
      </c>
      <c r="D257" s="129" t="s">
        <v>158</v>
      </c>
      <c r="E257" s="129" t="s">
        <v>162</v>
      </c>
      <c r="F257" s="129">
        <v>92562</v>
      </c>
      <c r="G257" s="129">
        <v>92145</v>
      </c>
      <c r="H257" s="130">
        <v>114</v>
      </c>
      <c r="I257" s="129" t="s">
        <v>408</v>
      </c>
      <c r="J257" s="130">
        <v>7</v>
      </c>
      <c r="K257" s="131"/>
      <c r="L257" s="131" t="s">
        <v>3</v>
      </c>
      <c r="M257" s="131" t="s">
        <v>402</v>
      </c>
      <c r="N257" s="131" t="s">
        <v>327</v>
      </c>
      <c r="O257" s="56">
        <f>VLOOKUP($F257,'ZipCode Coordinates'!$A:$E,4,FALSE)</f>
        <v>2144470</v>
      </c>
      <c r="P257" s="56">
        <f>VLOOKUP($F257,'ZipCode Coordinates'!$A:$E,5,FALSE)</f>
        <v>6251450</v>
      </c>
      <c r="Q257" s="56">
        <f>VLOOKUP($G257,'ZipCode Coordinates'!$A:$E,4,FALSE)</f>
        <v>1896720</v>
      </c>
      <c r="R257" s="56">
        <f>VLOOKUP($G257,'ZipCode Coordinates'!$A:$E,5,FALSE)</f>
        <v>6297440</v>
      </c>
      <c r="S257" s="352" t="str">
        <f>IFERROR(VLOOKUP($M257,'External Gateways'!$C$6:$F$10,2,FALSE),"")</f>
        <v>I-15</v>
      </c>
      <c r="T257" s="56">
        <f>IFERROR(VLOOKUP($M257,'External Gateways'!$C$6:$F$10,3,FALSE),O257)</f>
        <v>2102195</v>
      </c>
      <c r="U257" s="56">
        <f>IFERROR(VLOOKUP($M257,'External Gateways'!$C$6:$F$10,4,FALSE),P257)</f>
        <v>6289147</v>
      </c>
      <c r="V257" s="353">
        <f t="shared" si="6"/>
        <v>10.727523233277124</v>
      </c>
      <c r="W257" s="353">
        <f t="shared" si="7"/>
        <v>92.544953533445749</v>
      </c>
    </row>
    <row r="258" spans="1:23" ht="15" customHeight="1" x14ac:dyDescent="0.25">
      <c r="A258" s="128">
        <v>1623</v>
      </c>
      <c r="B258" s="129" t="s">
        <v>263</v>
      </c>
      <c r="C258" s="128" t="s">
        <v>166</v>
      </c>
      <c r="D258" s="129" t="s">
        <v>192</v>
      </c>
      <c r="E258" s="129" t="s">
        <v>162</v>
      </c>
      <c r="F258" s="129">
        <v>92586</v>
      </c>
      <c r="G258" s="129">
        <v>92108</v>
      </c>
      <c r="H258" s="130">
        <v>160</v>
      </c>
      <c r="I258" s="129" t="s">
        <v>475</v>
      </c>
      <c r="J258" s="130">
        <v>10</v>
      </c>
      <c r="K258" s="131"/>
      <c r="L258" s="131" t="s">
        <v>5</v>
      </c>
      <c r="M258" s="131" t="s">
        <v>402</v>
      </c>
      <c r="N258" s="131" t="s">
        <v>327</v>
      </c>
      <c r="O258" s="56">
        <f>VLOOKUP($F258,'ZipCode Coordinates'!$A:$E,4,FALSE)</f>
        <v>2202010</v>
      </c>
      <c r="P258" s="56">
        <f>VLOOKUP($F258,'ZipCode Coordinates'!$A:$E,5,FALSE)</f>
        <v>6272780</v>
      </c>
      <c r="Q258" s="56">
        <f>VLOOKUP($G258,'ZipCode Coordinates'!$A:$E,4,FALSE)</f>
        <v>1862470</v>
      </c>
      <c r="R258" s="56">
        <f>VLOOKUP($G258,'ZipCode Coordinates'!$A:$E,5,FALSE)</f>
        <v>6286860</v>
      </c>
      <c r="S258" s="352" t="str">
        <f>IFERROR(VLOOKUP($M258,'External Gateways'!$C$6:$F$10,2,FALSE),"")</f>
        <v>I-15</v>
      </c>
      <c r="T258" s="56">
        <f>IFERROR(VLOOKUP($M258,'External Gateways'!$C$6:$F$10,3,FALSE),O258)</f>
        <v>2102195</v>
      </c>
      <c r="U258" s="56">
        <f>IFERROR(VLOOKUP($M258,'External Gateways'!$C$6:$F$10,4,FALSE),P258)</f>
        <v>6289147</v>
      </c>
      <c r="V258" s="353">
        <f t="shared" si="6"/>
        <v>19.156813510070481</v>
      </c>
      <c r="W258" s="353">
        <f t="shared" si="7"/>
        <v>121.68637297985904</v>
      </c>
    </row>
    <row r="259" spans="1:23" ht="15" customHeight="1" x14ac:dyDescent="0.25">
      <c r="A259" s="128">
        <v>1627</v>
      </c>
      <c r="B259" s="129" t="s">
        <v>315</v>
      </c>
      <c r="C259" s="128" t="s">
        <v>68</v>
      </c>
      <c r="D259" s="129" t="s">
        <v>196</v>
      </c>
      <c r="E259" s="129" t="s">
        <v>201</v>
      </c>
      <c r="F259" s="129">
        <v>92021</v>
      </c>
      <c r="G259" s="129">
        <v>91962</v>
      </c>
      <c r="H259" s="130">
        <v>130</v>
      </c>
      <c r="I259" s="129" t="s">
        <v>420</v>
      </c>
      <c r="J259" s="130">
        <v>7</v>
      </c>
      <c r="K259" s="131"/>
      <c r="L259" s="131" t="s">
        <v>68</v>
      </c>
      <c r="M259" s="131" t="s">
        <v>326</v>
      </c>
      <c r="N259" s="131" t="s">
        <v>329</v>
      </c>
      <c r="O259" s="56">
        <f>VLOOKUP($F259,'ZipCode Coordinates'!$A:$E,4,FALSE)</f>
        <v>1885700</v>
      </c>
      <c r="P259" s="56">
        <f>VLOOKUP($F259,'ZipCode Coordinates'!$A:$E,5,FALSE)</f>
        <v>6371420</v>
      </c>
      <c r="Q259" s="56">
        <f>VLOOKUP($G259,'ZipCode Coordinates'!$A:$E,4,FALSE)</f>
        <v>1874980</v>
      </c>
      <c r="R259" s="56">
        <f>VLOOKUP($G259,'ZipCode Coordinates'!$A:$E,5,FALSE)</f>
        <v>6499110</v>
      </c>
      <c r="S259" s="352" t="str">
        <f>IFERROR(VLOOKUP($M259,'External Gateways'!$C$6:$F$10,2,FALSE),"")</f>
        <v/>
      </c>
      <c r="T259" s="56">
        <f>IFERROR(VLOOKUP($M259,'External Gateways'!$C$6:$F$10,3,FALSE),O259)</f>
        <v>1885700</v>
      </c>
      <c r="U259" s="56">
        <f>IFERROR(VLOOKUP($M259,'External Gateways'!$C$6:$F$10,4,FALSE),P259)</f>
        <v>6371420</v>
      </c>
      <c r="V259" s="353">
        <f t="shared" ref="V259:V322" si="8">SQRT((T259-O259)^2+(U259-P259)^2)/5280</f>
        <v>0</v>
      </c>
      <c r="W259" s="353">
        <f t="shared" ref="W259:W322" si="9">MAX(H259-2*V259,0)</f>
        <v>130</v>
      </c>
    </row>
    <row r="260" spans="1:23" ht="15" customHeight="1" x14ac:dyDescent="0.25">
      <c r="A260" s="128">
        <v>1629</v>
      </c>
      <c r="B260" s="129" t="s">
        <v>302</v>
      </c>
      <c r="C260" s="128" t="s">
        <v>294</v>
      </c>
      <c r="D260" s="129" t="s">
        <v>158</v>
      </c>
      <c r="E260" s="129" t="s">
        <v>454</v>
      </c>
      <c r="F260" s="129">
        <v>92563</v>
      </c>
      <c r="G260" s="129">
        <v>92672</v>
      </c>
      <c r="H260" s="130">
        <v>160</v>
      </c>
      <c r="I260" s="129" t="s">
        <v>501</v>
      </c>
      <c r="J260" s="130">
        <v>8</v>
      </c>
      <c r="K260" s="131"/>
      <c r="L260" s="131" t="s">
        <v>5</v>
      </c>
      <c r="M260" s="131" t="s">
        <v>402</v>
      </c>
      <c r="N260" s="131" t="s">
        <v>324</v>
      </c>
      <c r="O260" s="56">
        <f>VLOOKUP($F260,'ZipCode Coordinates'!$A:$E,4,FALSE)</f>
        <v>2156450</v>
      </c>
      <c r="P260" s="56">
        <f>VLOOKUP($F260,'ZipCode Coordinates'!$A:$E,5,FALSE)</f>
        <v>6288710</v>
      </c>
      <c r="Q260" s="56">
        <f>VLOOKUP($G260,'ZipCode Coordinates'!$A:$E,4,FALSE)</f>
        <v>2090210</v>
      </c>
      <c r="R260" s="56">
        <f>VLOOKUP($G260,'ZipCode Coordinates'!$A:$E,5,FALSE)</f>
        <v>6163720</v>
      </c>
      <c r="S260" s="352" t="str">
        <f>IFERROR(VLOOKUP($M260,'External Gateways'!$C$6:$F$10,2,FALSE),"")</f>
        <v>I-15</v>
      </c>
      <c r="T260" s="56">
        <f>IFERROR(VLOOKUP($M260,'External Gateways'!$C$6:$F$10,3,FALSE),O260)</f>
        <v>2102195</v>
      </c>
      <c r="U260" s="56">
        <f>IFERROR(VLOOKUP($M260,'External Gateways'!$C$6:$F$10,4,FALSE),P260)</f>
        <v>6289147</v>
      </c>
      <c r="V260" s="353">
        <f t="shared" si="8"/>
        <v>10.275901494735123</v>
      </c>
      <c r="W260" s="353">
        <f t="shared" si="9"/>
        <v>139.44819701052975</v>
      </c>
    </row>
    <row r="261" spans="1:23" ht="15" customHeight="1" x14ac:dyDescent="0.25">
      <c r="A261" s="128">
        <v>1631</v>
      </c>
      <c r="B261" s="129" t="s">
        <v>315</v>
      </c>
      <c r="C261" s="128" t="s">
        <v>68</v>
      </c>
      <c r="D261" s="129" t="s">
        <v>170</v>
      </c>
      <c r="E261" s="129" t="s">
        <v>162</v>
      </c>
      <c r="F261" s="129">
        <v>92584</v>
      </c>
      <c r="G261" s="129">
        <v>92154</v>
      </c>
      <c r="H261" s="130">
        <v>150</v>
      </c>
      <c r="I261" s="129" t="s">
        <v>448</v>
      </c>
      <c r="J261" s="130">
        <v>10</v>
      </c>
      <c r="K261" s="131"/>
      <c r="L261" s="131" t="s">
        <v>68</v>
      </c>
      <c r="M261" s="131" t="s">
        <v>402</v>
      </c>
      <c r="N261" s="131" t="s">
        <v>328</v>
      </c>
      <c r="O261" s="56">
        <f>VLOOKUP($F261,'ZipCode Coordinates'!$A:$E,4,FALSE)</f>
        <v>2185160</v>
      </c>
      <c r="P261" s="56">
        <f>VLOOKUP($F261,'ZipCode Coordinates'!$A:$E,5,FALSE)</f>
        <v>6280270</v>
      </c>
      <c r="Q261" s="56">
        <f>VLOOKUP($G261,'ZipCode Coordinates'!$A:$E,4,FALSE)</f>
        <v>1787080</v>
      </c>
      <c r="R261" s="56">
        <f>VLOOKUP($G261,'ZipCode Coordinates'!$A:$E,5,FALSE)</f>
        <v>6330680</v>
      </c>
      <c r="S261" s="352" t="str">
        <f>IFERROR(VLOOKUP($M261,'External Gateways'!$C$6:$F$10,2,FALSE),"")</f>
        <v>I-15</v>
      </c>
      <c r="T261" s="56">
        <f>IFERROR(VLOOKUP($M261,'External Gateways'!$C$6:$F$10,3,FALSE),O261)</f>
        <v>2102195</v>
      </c>
      <c r="U261" s="56">
        <f>IFERROR(VLOOKUP($M261,'External Gateways'!$C$6:$F$10,4,FALSE),P261)</f>
        <v>6289147</v>
      </c>
      <c r="V261" s="353">
        <f t="shared" si="8"/>
        <v>15.802756507931361</v>
      </c>
      <c r="W261" s="353">
        <f t="shared" si="9"/>
        <v>118.39448698413727</v>
      </c>
    </row>
    <row r="262" spans="1:23" ht="15" customHeight="1" x14ac:dyDescent="0.25">
      <c r="A262" s="128">
        <v>1641</v>
      </c>
      <c r="B262" s="129" t="s">
        <v>308</v>
      </c>
      <c r="C262" s="128" t="s">
        <v>198</v>
      </c>
      <c r="D262" s="129" t="s">
        <v>154</v>
      </c>
      <c r="E262" s="129" t="s">
        <v>162</v>
      </c>
      <c r="F262" s="129">
        <v>92592</v>
      </c>
      <c r="G262" s="129">
        <v>92127</v>
      </c>
      <c r="H262" s="130">
        <v>73</v>
      </c>
      <c r="I262" s="129" t="s">
        <v>513</v>
      </c>
      <c r="J262" s="130">
        <v>10</v>
      </c>
      <c r="K262" s="131"/>
      <c r="L262" s="131" t="s">
        <v>5</v>
      </c>
      <c r="M262" s="131" t="s">
        <v>402</v>
      </c>
      <c r="N262" s="131" t="s">
        <v>327</v>
      </c>
      <c r="O262" s="56">
        <f>VLOOKUP($F262,'ZipCode Coordinates'!$A:$E,4,FALSE)</f>
        <v>2128740</v>
      </c>
      <c r="P262" s="56">
        <f>VLOOKUP($F262,'ZipCode Coordinates'!$A:$E,5,FALSE)</f>
        <v>6328900</v>
      </c>
      <c r="Q262" s="56">
        <f>VLOOKUP($G262,'ZipCode Coordinates'!$A:$E,4,FALSE)</f>
        <v>1951970</v>
      </c>
      <c r="R262" s="56">
        <f>VLOOKUP($G262,'ZipCode Coordinates'!$A:$E,5,FALSE)</f>
        <v>6293830</v>
      </c>
      <c r="S262" s="352" t="str">
        <f>IFERROR(VLOOKUP($M262,'External Gateways'!$C$6:$F$10,2,FALSE),"")</f>
        <v>I-15</v>
      </c>
      <c r="T262" s="56">
        <f>IFERROR(VLOOKUP($M262,'External Gateways'!$C$6:$F$10,3,FALSE),O262)</f>
        <v>2102195</v>
      </c>
      <c r="U262" s="56">
        <f>IFERROR(VLOOKUP($M262,'External Gateways'!$C$6:$F$10,4,FALSE),P262)</f>
        <v>6289147</v>
      </c>
      <c r="V262" s="353">
        <f t="shared" si="8"/>
        <v>9.0532245169037147</v>
      </c>
      <c r="W262" s="353">
        <f t="shared" si="9"/>
        <v>54.893550966192571</v>
      </c>
    </row>
    <row r="263" spans="1:23" ht="15" customHeight="1" x14ac:dyDescent="0.25">
      <c r="A263" s="128">
        <v>1658</v>
      </c>
      <c r="B263" s="129" t="s">
        <v>218</v>
      </c>
      <c r="C263" s="128" t="s">
        <v>68</v>
      </c>
      <c r="D263" s="129" t="s">
        <v>156</v>
      </c>
      <c r="E263" s="129" t="s">
        <v>162</v>
      </c>
      <c r="F263" s="129">
        <v>92026</v>
      </c>
      <c r="G263" s="129">
        <v>92161</v>
      </c>
      <c r="H263" s="130">
        <v>44</v>
      </c>
      <c r="I263" s="129" t="s">
        <v>401</v>
      </c>
      <c r="J263" s="130">
        <v>7</v>
      </c>
      <c r="K263" s="131">
        <v>2</v>
      </c>
      <c r="L263" s="131" t="s">
        <v>68</v>
      </c>
      <c r="M263" s="131" t="s">
        <v>325</v>
      </c>
      <c r="N263" s="131" t="s">
        <v>327</v>
      </c>
      <c r="O263" s="56">
        <f>VLOOKUP($F263,'ZipCode Coordinates'!$A:$E,4,FALSE)</f>
        <v>2022480</v>
      </c>
      <c r="P263" s="56">
        <f>VLOOKUP($F263,'ZipCode Coordinates'!$A:$E,5,FALSE)</f>
        <v>6297420</v>
      </c>
      <c r="Q263" s="56">
        <f>VLOOKUP($G263,'ZipCode Coordinates'!$A:$E,4,FALSE)</f>
        <v>1899477</v>
      </c>
      <c r="R263" s="56">
        <f>VLOOKUP($G263,'ZipCode Coordinates'!$A:$E,5,FALSE)</f>
        <v>6258957</v>
      </c>
      <c r="S263" s="352" t="str">
        <f>IFERROR(VLOOKUP($M263,'External Gateways'!$C$6:$F$10,2,FALSE),"")</f>
        <v/>
      </c>
      <c r="T263" s="56">
        <f>IFERROR(VLOOKUP($M263,'External Gateways'!$C$6:$F$10,3,FALSE),O263)</f>
        <v>2022480</v>
      </c>
      <c r="U263" s="56">
        <f>IFERROR(VLOOKUP($M263,'External Gateways'!$C$6:$F$10,4,FALSE),P263)</f>
        <v>6297420</v>
      </c>
      <c r="V263" s="353">
        <f t="shared" si="8"/>
        <v>0</v>
      </c>
      <c r="W263" s="353">
        <f t="shared" si="9"/>
        <v>44</v>
      </c>
    </row>
    <row r="264" spans="1:23" ht="15" customHeight="1" x14ac:dyDescent="0.25">
      <c r="A264" s="128">
        <v>1665</v>
      </c>
      <c r="B264" s="129" t="s">
        <v>226</v>
      </c>
      <c r="C264" s="128" t="s">
        <v>198</v>
      </c>
      <c r="D264" s="129" t="s">
        <v>154</v>
      </c>
      <c r="E264" s="129" t="s">
        <v>197</v>
      </c>
      <c r="F264" s="129">
        <v>92592</v>
      </c>
      <c r="G264" s="129">
        <v>92056</v>
      </c>
      <c r="H264" s="130">
        <v>84</v>
      </c>
      <c r="I264" s="129" t="s">
        <v>401</v>
      </c>
      <c r="J264" s="130">
        <v>7</v>
      </c>
      <c r="K264" s="131"/>
      <c r="L264" s="131" t="s">
        <v>5</v>
      </c>
      <c r="M264" s="131" t="s">
        <v>402</v>
      </c>
      <c r="N264" s="131" t="s">
        <v>324</v>
      </c>
      <c r="O264" s="56">
        <f>VLOOKUP($F264,'ZipCode Coordinates'!$A:$E,4,FALSE)</f>
        <v>2128740</v>
      </c>
      <c r="P264" s="56">
        <f>VLOOKUP($F264,'ZipCode Coordinates'!$A:$E,5,FALSE)</f>
        <v>6328900</v>
      </c>
      <c r="Q264" s="56">
        <f>VLOOKUP($G264,'ZipCode Coordinates'!$A:$E,4,FALSE)</f>
        <v>2018560</v>
      </c>
      <c r="R264" s="56">
        <f>VLOOKUP($G264,'ZipCode Coordinates'!$A:$E,5,FALSE)</f>
        <v>6243750</v>
      </c>
      <c r="S264" s="352" t="str">
        <f>IFERROR(VLOOKUP($M264,'External Gateways'!$C$6:$F$10,2,FALSE),"")</f>
        <v>I-15</v>
      </c>
      <c r="T264" s="56">
        <f>IFERROR(VLOOKUP($M264,'External Gateways'!$C$6:$F$10,3,FALSE),O264)</f>
        <v>2102195</v>
      </c>
      <c r="U264" s="56">
        <f>IFERROR(VLOOKUP($M264,'External Gateways'!$C$6:$F$10,4,FALSE),P264)</f>
        <v>6289147</v>
      </c>
      <c r="V264" s="353">
        <f t="shared" si="8"/>
        <v>9.0532245169037147</v>
      </c>
      <c r="W264" s="353">
        <f t="shared" si="9"/>
        <v>65.893550966192578</v>
      </c>
    </row>
    <row r="265" spans="1:23" ht="15" customHeight="1" x14ac:dyDescent="0.25">
      <c r="A265" s="128">
        <v>1671</v>
      </c>
      <c r="B265" s="129" t="s">
        <v>469</v>
      </c>
      <c r="C265" s="128" t="s">
        <v>68</v>
      </c>
      <c r="D265" s="129" t="s">
        <v>162</v>
      </c>
      <c r="E265" s="129" t="s">
        <v>162</v>
      </c>
      <c r="F265" s="129">
        <v>92128</v>
      </c>
      <c r="G265" s="129">
        <v>92108</v>
      </c>
      <c r="H265" s="130">
        <v>124</v>
      </c>
      <c r="I265" s="129" t="s">
        <v>416</v>
      </c>
      <c r="J265" s="130">
        <v>7</v>
      </c>
      <c r="K265" s="131"/>
      <c r="L265" s="131" t="s">
        <v>68</v>
      </c>
      <c r="M265" s="131" t="s">
        <v>327</v>
      </c>
      <c r="N265" s="131" t="s">
        <v>327</v>
      </c>
      <c r="O265" s="56">
        <f>VLOOKUP($F265,'ZipCode Coordinates'!$A:$E,4,FALSE)</f>
        <v>1943580</v>
      </c>
      <c r="P265" s="56">
        <f>VLOOKUP($F265,'ZipCode Coordinates'!$A:$E,5,FALSE)</f>
        <v>6309440</v>
      </c>
      <c r="Q265" s="56">
        <f>VLOOKUP($G265,'ZipCode Coordinates'!$A:$E,4,FALSE)</f>
        <v>1862470</v>
      </c>
      <c r="R265" s="56">
        <f>VLOOKUP($G265,'ZipCode Coordinates'!$A:$E,5,FALSE)</f>
        <v>6286860</v>
      </c>
      <c r="S265" s="352" t="str">
        <f>IFERROR(VLOOKUP($M265,'External Gateways'!$C$6:$F$10,2,FALSE),"")</f>
        <v/>
      </c>
      <c r="T265" s="56">
        <f>IFERROR(VLOOKUP($M265,'External Gateways'!$C$6:$F$10,3,FALSE),O265)</f>
        <v>1943580</v>
      </c>
      <c r="U265" s="56">
        <f>IFERROR(VLOOKUP($M265,'External Gateways'!$C$6:$F$10,4,FALSE),P265)</f>
        <v>6309440</v>
      </c>
      <c r="V265" s="353">
        <f t="shared" si="8"/>
        <v>0</v>
      </c>
      <c r="W265" s="353">
        <f t="shared" si="9"/>
        <v>124</v>
      </c>
    </row>
    <row r="266" spans="1:23" ht="15" customHeight="1" x14ac:dyDescent="0.25">
      <c r="A266" s="128">
        <v>1673</v>
      </c>
      <c r="B266" s="129" t="s">
        <v>171</v>
      </c>
      <c r="C266" s="128" t="s">
        <v>166</v>
      </c>
      <c r="D266" s="129" t="s">
        <v>170</v>
      </c>
      <c r="E266" s="129" t="s">
        <v>162</v>
      </c>
      <c r="F266" s="129">
        <v>92584</v>
      </c>
      <c r="G266" s="129">
        <v>92113</v>
      </c>
      <c r="H266" s="130">
        <v>195</v>
      </c>
      <c r="I266" s="129" t="s">
        <v>412</v>
      </c>
      <c r="J266" s="130">
        <v>10</v>
      </c>
      <c r="K266" s="131"/>
      <c r="L266" s="131" t="s">
        <v>5</v>
      </c>
      <c r="M266" s="131" t="s">
        <v>402</v>
      </c>
      <c r="N266" s="131" t="s">
        <v>323</v>
      </c>
      <c r="O266" s="56">
        <f>VLOOKUP($F266,'ZipCode Coordinates'!$A:$E,4,FALSE)</f>
        <v>2185160</v>
      </c>
      <c r="P266" s="56">
        <f>VLOOKUP($F266,'ZipCode Coordinates'!$A:$E,5,FALSE)</f>
        <v>6280270</v>
      </c>
      <c r="Q266" s="56">
        <f>VLOOKUP($G266,'ZipCode Coordinates'!$A:$E,4,FALSE)</f>
        <v>1834470</v>
      </c>
      <c r="R266" s="56">
        <f>VLOOKUP($G266,'ZipCode Coordinates'!$A:$E,5,FALSE)</f>
        <v>6294590</v>
      </c>
      <c r="S266" s="352" t="str">
        <f>IFERROR(VLOOKUP($M266,'External Gateways'!$C$6:$F$10,2,FALSE),"")</f>
        <v>I-15</v>
      </c>
      <c r="T266" s="56">
        <f>IFERROR(VLOOKUP($M266,'External Gateways'!$C$6:$F$10,3,FALSE),O266)</f>
        <v>2102195</v>
      </c>
      <c r="U266" s="56">
        <f>IFERROR(VLOOKUP($M266,'External Gateways'!$C$6:$F$10,4,FALSE),P266)</f>
        <v>6289147</v>
      </c>
      <c r="V266" s="353">
        <f t="shared" si="8"/>
        <v>15.802756507931361</v>
      </c>
      <c r="W266" s="353">
        <f t="shared" si="9"/>
        <v>163.39448698413727</v>
      </c>
    </row>
    <row r="267" spans="1:23" ht="15" customHeight="1" x14ac:dyDescent="0.25">
      <c r="A267" s="128">
        <v>1676</v>
      </c>
      <c r="B267" s="129" t="s">
        <v>269</v>
      </c>
      <c r="C267" s="128" t="s">
        <v>3</v>
      </c>
      <c r="D267" s="129" t="s">
        <v>170</v>
      </c>
      <c r="E267" s="129" t="s">
        <v>162</v>
      </c>
      <c r="F267" s="129">
        <v>92586</v>
      </c>
      <c r="G267" s="129">
        <v>92155</v>
      </c>
      <c r="H267" s="130">
        <v>166</v>
      </c>
      <c r="I267" s="129" t="s">
        <v>408</v>
      </c>
      <c r="J267" s="130">
        <v>7</v>
      </c>
      <c r="K267" s="131"/>
      <c r="L267" s="131" t="s">
        <v>3</v>
      </c>
      <c r="M267" s="131" t="s">
        <v>402</v>
      </c>
      <c r="N267" s="131" t="s">
        <v>323</v>
      </c>
      <c r="O267" s="56">
        <f>VLOOKUP($F267,'ZipCode Coordinates'!$A:$E,4,FALSE)</f>
        <v>2202010</v>
      </c>
      <c r="P267" s="56">
        <f>VLOOKUP($F267,'ZipCode Coordinates'!$A:$E,5,FALSE)</f>
        <v>6272780</v>
      </c>
      <c r="Q267" s="56">
        <f>VLOOKUP($G267,'ZipCode Coordinates'!$A:$E,4,FALSE)</f>
        <v>1826710</v>
      </c>
      <c r="R267" s="56">
        <f>VLOOKUP($G267,'ZipCode Coordinates'!$A:$E,5,FALSE)</f>
        <v>6281240</v>
      </c>
      <c r="S267" s="352" t="str">
        <f>IFERROR(VLOOKUP($M267,'External Gateways'!$C$6:$F$10,2,FALSE),"")</f>
        <v>I-15</v>
      </c>
      <c r="T267" s="56">
        <f>IFERROR(VLOOKUP($M267,'External Gateways'!$C$6:$F$10,3,FALSE),O267)</f>
        <v>2102195</v>
      </c>
      <c r="U267" s="56">
        <f>IFERROR(VLOOKUP($M267,'External Gateways'!$C$6:$F$10,4,FALSE),P267)</f>
        <v>6289147</v>
      </c>
      <c r="V267" s="353">
        <f t="shared" si="8"/>
        <v>19.156813510070481</v>
      </c>
      <c r="W267" s="353">
        <f t="shared" si="9"/>
        <v>127.68637297985904</v>
      </c>
    </row>
    <row r="268" spans="1:23" ht="15" customHeight="1" x14ac:dyDescent="0.25">
      <c r="A268" s="128">
        <v>1693</v>
      </c>
      <c r="B268" s="129" t="s">
        <v>218</v>
      </c>
      <c r="C268" s="128" t="s">
        <v>68</v>
      </c>
      <c r="D268" s="129" t="s">
        <v>197</v>
      </c>
      <c r="E268" s="129" t="s">
        <v>162</v>
      </c>
      <c r="F268" s="129">
        <v>92058</v>
      </c>
      <c r="G268" s="129">
        <v>92161</v>
      </c>
      <c r="H268" s="130">
        <v>84</v>
      </c>
      <c r="I268" s="129" t="s">
        <v>401</v>
      </c>
      <c r="J268" s="130">
        <v>7</v>
      </c>
      <c r="K268" s="131">
        <v>2</v>
      </c>
      <c r="L268" s="131" t="s">
        <v>68</v>
      </c>
      <c r="M268" s="131" t="s">
        <v>324</v>
      </c>
      <c r="N268" s="131" t="s">
        <v>327</v>
      </c>
      <c r="O268" s="56">
        <f>VLOOKUP($F268,'ZipCode Coordinates'!$A:$E,4,FALSE)</f>
        <v>2042580</v>
      </c>
      <c r="P268" s="56">
        <f>VLOOKUP($F268,'ZipCode Coordinates'!$A:$E,5,FALSE)</f>
        <v>6223930</v>
      </c>
      <c r="Q268" s="56">
        <f>VLOOKUP($G268,'ZipCode Coordinates'!$A:$E,4,FALSE)</f>
        <v>1899477</v>
      </c>
      <c r="R268" s="56">
        <f>VLOOKUP($G268,'ZipCode Coordinates'!$A:$E,5,FALSE)</f>
        <v>6258957</v>
      </c>
      <c r="S268" s="352" t="str">
        <f>IFERROR(VLOOKUP($M268,'External Gateways'!$C$6:$F$10,2,FALSE),"")</f>
        <v/>
      </c>
      <c r="T268" s="56">
        <f>IFERROR(VLOOKUP($M268,'External Gateways'!$C$6:$F$10,3,FALSE),O268)</f>
        <v>2042580</v>
      </c>
      <c r="U268" s="56">
        <f>IFERROR(VLOOKUP($M268,'External Gateways'!$C$6:$F$10,4,FALSE),P268)</f>
        <v>6223930</v>
      </c>
      <c r="V268" s="353">
        <f t="shared" si="8"/>
        <v>0</v>
      </c>
      <c r="W268" s="353">
        <f t="shared" si="9"/>
        <v>84</v>
      </c>
    </row>
    <row r="269" spans="1:23" ht="15" customHeight="1" x14ac:dyDescent="0.25">
      <c r="A269" s="128">
        <v>1699</v>
      </c>
      <c r="B269" s="129" t="s">
        <v>315</v>
      </c>
      <c r="C269" s="128" t="s">
        <v>68</v>
      </c>
      <c r="D269" s="129" t="s">
        <v>234</v>
      </c>
      <c r="E269" s="129" t="s">
        <v>425</v>
      </c>
      <c r="F269" s="129">
        <v>92251</v>
      </c>
      <c r="G269" s="129">
        <v>91906</v>
      </c>
      <c r="H269" s="130">
        <v>199</v>
      </c>
      <c r="I269" s="129" t="s">
        <v>455</v>
      </c>
      <c r="J269" s="130">
        <v>7</v>
      </c>
      <c r="K269" s="131"/>
      <c r="L269" s="131" t="s">
        <v>68</v>
      </c>
      <c r="M269" s="131" t="s">
        <v>431</v>
      </c>
      <c r="N269" s="131" t="s">
        <v>329</v>
      </c>
      <c r="O269" s="56">
        <f>VLOOKUP($F269,'ZipCode Coordinates'!$A:$E,4,FALSE)</f>
        <v>1897340</v>
      </c>
      <c r="P269" s="56">
        <f>VLOOKUP($F269,'ZipCode Coordinates'!$A:$E,5,FALSE)</f>
        <v>6754590</v>
      </c>
      <c r="Q269" s="56">
        <f>VLOOKUP($G269,'ZipCode Coordinates'!$A:$E,4,FALSE)</f>
        <v>1833150</v>
      </c>
      <c r="R269" s="56">
        <f>VLOOKUP($G269,'ZipCode Coordinates'!$A:$E,5,FALSE)</f>
        <v>6479630</v>
      </c>
      <c r="S269" s="352" t="str">
        <f>IFERROR(VLOOKUP($M269,'External Gateways'!$C$6:$F$10,2,FALSE),"")</f>
        <v>I-8</v>
      </c>
      <c r="T269" s="56">
        <f>IFERROR(VLOOKUP($M269,'External Gateways'!$C$6:$F$10,3,FALSE),O269)</f>
        <v>1814524</v>
      </c>
      <c r="U269" s="56">
        <f>IFERROR(VLOOKUP($M269,'External Gateways'!$C$6:$F$10,4,FALSE),P269)</f>
        <v>6606089</v>
      </c>
      <c r="V269" s="353">
        <f t="shared" si="8"/>
        <v>32.203117091946467</v>
      </c>
      <c r="W269" s="353">
        <f t="shared" si="9"/>
        <v>134.59376581610707</v>
      </c>
    </row>
    <row r="270" spans="1:23" ht="15" customHeight="1" x14ac:dyDescent="0.25">
      <c r="A270" s="128">
        <v>1700</v>
      </c>
      <c r="B270" s="129" t="s">
        <v>307</v>
      </c>
      <c r="C270" s="128" t="s">
        <v>3</v>
      </c>
      <c r="D270" s="129" t="s">
        <v>162</v>
      </c>
      <c r="E270" s="129" t="s">
        <v>162</v>
      </c>
      <c r="F270" s="129">
        <v>92127</v>
      </c>
      <c r="G270" s="129">
        <v>92110</v>
      </c>
      <c r="H270" s="130">
        <v>87</v>
      </c>
      <c r="I270" s="129" t="s">
        <v>407</v>
      </c>
      <c r="J270" s="130">
        <v>8</v>
      </c>
      <c r="K270" s="131"/>
      <c r="L270" s="131" t="s">
        <v>3</v>
      </c>
      <c r="M270" s="131" t="s">
        <v>327</v>
      </c>
      <c r="N270" s="131" t="s">
        <v>327</v>
      </c>
      <c r="O270" s="56">
        <f>VLOOKUP($F270,'ZipCode Coordinates'!$A:$E,4,FALSE)</f>
        <v>1951970</v>
      </c>
      <c r="P270" s="56">
        <f>VLOOKUP($F270,'ZipCode Coordinates'!$A:$E,5,FALSE)</f>
        <v>6293830</v>
      </c>
      <c r="Q270" s="56">
        <f>VLOOKUP($G270,'ZipCode Coordinates'!$A:$E,4,FALSE)</f>
        <v>1859050</v>
      </c>
      <c r="R270" s="56">
        <f>VLOOKUP($G270,'ZipCode Coordinates'!$A:$E,5,FALSE)</f>
        <v>6269400</v>
      </c>
      <c r="S270" s="352" t="str">
        <f>IFERROR(VLOOKUP($M270,'External Gateways'!$C$6:$F$10,2,FALSE),"")</f>
        <v/>
      </c>
      <c r="T270" s="56">
        <f>IFERROR(VLOOKUP($M270,'External Gateways'!$C$6:$F$10,3,FALSE),O270)</f>
        <v>1951970</v>
      </c>
      <c r="U270" s="56">
        <f>IFERROR(VLOOKUP($M270,'External Gateways'!$C$6:$F$10,4,FALSE),P270)</f>
        <v>6293830</v>
      </c>
      <c r="V270" s="353">
        <f t="shared" si="8"/>
        <v>0</v>
      </c>
      <c r="W270" s="353">
        <f t="shared" si="9"/>
        <v>87</v>
      </c>
    </row>
    <row r="271" spans="1:23" ht="15" customHeight="1" x14ac:dyDescent="0.25">
      <c r="A271" s="128">
        <v>1706</v>
      </c>
      <c r="B271" s="129" t="s">
        <v>82</v>
      </c>
      <c r="C271" s="128" t="s">
        <v>3</v>
      </c>
      <c r="D271" s="129" t="s">
        <v>158</v>
      </c>
      <c r="E271" s="129" t="s">
        <v>82</v>
      </c>
      <c r="F271" s="129">
        <v>92563</v>
      </c>
      <c r="G271" s="129">
        <v>92055</v>
      </c>
      <c r="H271" s="130">
        <v>85</v>
      </c>
      <c r="I271" s="129" t="s">
        <v>419</v>
      </c>
      <c r="J271" s="130">
        <v>7</v>
      </c>
      <c r="K271" s="131">
        <v>1</v>
      </c>
      <c r="L271" s="131" t="s">
        <v>3</v>
      </c>
      <c r="M271" s="131" t="s">
        <v>402</v>
      </c>
      <c r="N271" s="131" t="s">
        <v>324</v>
      </c>
      <c r="O271" s="56">
        <f>VLOOKUP($F271,'ZipCode Coordinates'!$A:$E,4,FALSE)</f>
        <v>2156450</v>
      </c>
      <c r="P271" s="56">
        <f>VLOOKUP($F271,'ZipCode Coordinates'!$A:$E,5,FALSE)</f>
        <v>6288710</v>
      </c>
      <c r="Q271" s="56">
        <f>VLOOKUP($G271,'ZipCode Coordinates'!$A:$E,4,FALSE)</f>
        <v>2082470</v>
      </c>
      <c r="R271" s="56">
        <f>VLOOKUP($G271,'ZipCode Coordinates'!$A:$E,5,FALSE)</f>
        <v>6206470</v>
      </c>
      <c r="S271" s="352" t="str">
        <f>IFERROR(VLOOKUP($M271,'External Gateways'!$C$6:$F$10,2,FALSE),"")</f>
        <v>I-15</v>
      </c>
      <c r="T271" s="56">
        <f>IFERROR(VLOOKUP($M271,'External Gateways'!$C$6:$F$10,3,FALSE),O271)</f>
        <v>2102195</v>
      </c>
      <c r="U271" s="56">
        <f>IFERROR(VLOOKUP($M271,'External Gateways'!$C$6:$F$10,4,FALSE),P271)</f>
        <v>6289147</v>
      </c>
      <c r="V271" s="353">
        <f t="shared" si="8"/>
        <v>10.275901494735123</v>
      </c>
      <c r="W271" s="353">
        <f t="shared" si="9"/>
        <v>64.448197010529753</v>
      </c>
    </row>
    <row r="272" spans="1:23" ht="15" customHeight="1" x14ac:dyDescent="0.25">
      <c r="A272" s="128">
        <v>1717</v>
      </c>
      <c r="B272" s="129" t="s">
        <v>258</v>
      </c>
      <c r="C272" s="128" t="s">
        <v>3</v>
      </c>
      <c r="D272" s="129" t="s">
        <v>262</v>
      </c>
      <c r="E272" s="129" t="s">
        <v>162</v>
      </c>
      <c r="F272" s="129">
        <v>92587</v>
      </c>
      <c r="G272" s="129">
        <v>92135</v>
      </c>
      <c r="H272" s="130">
        <v>195</v>
      </c>
      <c r="I272" s="129" t="s">
        <v>501</v>
      </c>
      <c r="J272" s="130">
        <v>8</v>
      </c>
      <c r="K272" s="131"/>
      <c r="L272" s="131" t="s">
        <v>3</v>
      </c>
      <c r="M272" s="131" t="s">
        <v>402</v>
      </c>
      <c r="N272" s="131" t="s">
        <v>323</v>
      </c>
      <c r="O272" s="56">
        <f>VLOOKUP($F272,'ZipCode Coordinates'!$A:$E,4,FALSE)</f>
        <v>2198430</v>
      </c>
      <c r="P272" s="56">
        <f>VLOOKUP($F272,'ZipCode Coordinates'!$A:$E,5,FALSE)</f>
        <v>6257880</v>
      </c>
      <c r="Q272" s="56">
        <f>VLOOKUP($G272,'ZipCode Coordinates'!$A:$E,4,FALSE)</f>
        <v>1835720</v>
      </c>
      <c r="R272" s="56">
        <f>VLOOKUP($G272,'ZipCode Coordinates'!$A:$E,5,FALSE)</f>
        <v>6266670</v>
      </c>
      <c r="S272" s="352" t="str">
        <f>IFERROR(VLOOKUP($M272,'External Gateways'!$C$6:$F$10,2,FALSE),"")</f>
        <v>I-15</v>
      </c>
      <c r="T272" s="56">
        <f>IFERROR(VLOOKUP($M272,'External Gateways'!$C$6:$F$10,3,FALSE),O272)</f>
        <v>2102195</v>
      </c>
      <c r="U272" s="56">
        <f>IFERROR(VLOOKUP($M272,'External Gateways'!$C$6:$F$10,4,FALSE),P272)</f>
        <v>6289147</v>
      </c>
      <c r="V272" s="353">
        <f t="shared" si="8"/>
        <v>19.164196632747935</v>
      </c>
      <c r="W272" s="353">
        <f t="shared" si="9"/>
        <v>156.67160673450414</v>
      </c>
    </row>
    <row r="273" spans="1:23" ht="15" customHeight="1" x14ac:dyDescent="0.25">
      <c r="A273" s="128">
        <v>1727</v>
      </c>
      <c r="B273" s="129" t="s">
        <v>483</v>
      </c>
      <c r="C273" s="128" t="s">
        <v>166</v>
      </c>
      <c r="D273" s="129" t="s">
        <v>169</v>
      </c>
      <c r="E273" s="129" t="s">
        <v>162</v>
      </c>
      <c r="F273" s="129">
        <v>92505</v>
      </c>
      <c r="G273" s="129">
        <v>92121</v>
      </c>
      <c r="H273" s="130">
        <v>193</v>
      </c>
      <c r="I273" s="129" t="s">
        <v>416</v>
      </c>
      <c r="J273" s="130">
        <v>7</v>
      </c>
      <c r="K273" s="131"/>
      <c r="L273" s="131" t="s">
        <v>5</v>
      </c>
      <c r="M273" s="131" t="s">
        <v>402</v>
      </c>
      <c r="N273" s="131" t="s">
        <v>327</v>
      </c>
      <c r="O273" s="56">
        <f>VLOOKUP($F273,'ZipCode Coordinates'!$A:$E,4,FALSE)</f>
        <v>2285700</v>
      </c>
      <c r="P273" s="56">
        <f>VLOOKUP($F273,'ZipCode Coordinates'!$A:$E,5,FALSE)</f>
        <v>6183980</v>
      </c>
      <c r="Q273" s="56">
        <f>VLOOKUP($G273,'ZipCode Coordinates'!$A:$E,4,FALSE)</f>
        <v>1907910</v>
      </c>
      <c r="R273" s="56">
        <f>VLOOKUP($G273,'ZipCode Coordinates'!$A:$E,5,FALSE)</f>
        <v>6269540</v>
      </c>
      <c r="S273" s="352" t="str">
        <f>IFERROR(VLOOKUP($M273,'External Gateways'!$C$6:$F$10,2,FALSE),"")</f>
        <v>I-15</v>
      </c>
      <c r="T273" s="56">
        <f>IFERROR(VLOOKUP($M273,'External Gateways'!$C$6:$F$10,3,FALSE),O273)</f>
        <v>2102195</v>
      </c>
      <c r="U273" s="56">
        <f>IFERROR(VLOOKUP($M273,'External Gateways'!$C$6:$F$10,4,FALSE),P273)</f>
        <v>6289147</v>
      </c>
      <c r="V273" s="353">
        <f t="shared" si="8"/>
        <v>40.057683615015307</v>
      </c>
      <c r="W273" s="353">
        <f t="shared" si="9"/>
        <v>112.88463276996939</v>
      </c>
    </row>
    <row r="274" spans="1:23" ht="15" customHeight="1" x14ac:dyDescent="0.25">
      <c r="A274" s="128">
        <v>1744</v>
      </c>
      <c r="B274" s="129" t="s">
        <v>82</v>
      </c>
      <c r="C274" s="128" t="s">
        <v>3</v>
      </c>
      <c r="D274" s="129" t="s">
        <v>154</v>
      </c>
      <c r="E274" s="129" t="s">
        <v>82</v>
      </c>
      <c r="F274" s="129">
        <v>92591</v>
      </c>
      <c r="G274" s="129">
        <v>92055</v>
      </c>
      <c r="H274" s="130">
        <v>84</v>
      </c>
      <c r="I274" s="129" t="s">
        <v>401</v>
      </c>
      <c r="J274" s="130">
        <v>7</v>
      </c>
      <c r="K274" s="131"/>
      <c r="L274" s="131" t="s">
        <v>3</v>
      </c>
      <c r="M274" s="131" t="s">
        <v>402</v>
      </c>
      <c r="N274" s="131" t="s">
        <v>324</v>
      </c>
      <c r="O274" s="56">
        <f>VLOOKUP($F274,'ZipCode Coordinates'!$A:$E,4,FALSE)</f>
        <v>2138420</v>
      </c>
      <c r="P274" s="56">
        <f>VLOOKUP($F274,'ZipCode Coordinates'!$A:$E,5,FALSE)</f>
        <v>6299220</v>
      </c>
      <c r="Q274" s="56">
        <f>VLOOKUP($G274,'ZipCode Coordinates'!$A:$E,4,FALSE)</f>
        <v>2082470</v>
      </c>
      <c r="R274" s="56">
        <f>VLOOKUP($G274,'ZipCode Coordinates'!$A:$E,5,FALSE)</f>
        <v>6206470</v>
      </c>
      <c r="S274" s="352" t="str">
        <f>IFERROR(VLOOKUP($M274,'External Gateways'!$C$6:$F$10,2,FALSE),"")</f>
        <v>I-15</v>
      </c>
      <c r="T274" s="56">
        <f>IFERROR(VLOOKUP($M274,'External Gateways'!$C$6:$F$10,3,FALSE),O274)</f>
        <v>2102195</v>
      </c>
      <c r="U274" s="56">
        <f>IFERROR(VLOOKUP($M274,'External Gateways'!$C$6:$F$10,4,FALSE),P274)</f>
        <v>6289147</v>
      </c>
      <c r="V274" s="353">
        <f t="shared" si="8"/>
        <v>7.1211011888925713</v>
      </c>
      <c r="W274" s="353">
        <f t="shared" si="9"/>
        <v>69.757797622214852</v>
      </c>
    </row>
    <row r="275" spans="1:23" ht="15" customHeight="1" x14ac:dyDescent="0.25">
      <c r="A275" s="128">
        <v>1748</v>
      </c>
      <c r="B275" s="129" t="s">
        <v>82</v>
      </c>
      <c r="C275" s="128" t="s">
        <v>3</v>
      </c>
      <c r="D275" s="129" t="s">
        <v>158</v>
      </c>
      <c r="E275" s="129" t="s">
        <v>82</v>
      </c>
      <c r="F275" s="129">
        <v>92563</v>
      </c>
      <c r="G275" s="129">
        <v>92055</v>
      </c>
      <c r="H275" s="130">
        <v>109</v>
      </c>
      <c r="I275" s="129" t="s">
        <v>401</v>
      </c>
      <c r="J275" s="130">
        <v>7</v>
      </c>
      <c r="K275" s="131"/>
      <c r="L275" s="131" t="s">
        <v>3</v>
      </c>
      <c r="M275" s="131" t="s">
        <v>402</v>
      </c>
      <c r="N275" s="131" t="s">
        <v>324</v>
      </c>
      <c r="O275" s="56">
        <f>VLOOKUP($F275,'ZipCode Coordinates'!$A:$E,4,FALSE)</f>
        <v>2156450</v>
      </c>
      <c r="P275" s="56">
        <f>VLOOKUP($F275,'ZipCode Coordinates'!$A:$E,5,FALSE)</f>
        <v>6288710</v>
      </c>
      <c r="Q275" s="56">
        <f>VLOOKUP($G275,'ZipCode Coordinates'!$A:$E,4,FALSE)</f>
        <v>2082470</v>
      </c>
      <c r="R275" s="56">
        <f>VLOOKUP($G275,'ZipCode Coordinates'!$A:$E,5,FALSE)</f>
        <v>6206470</v>
      </c>
      <c r="S275" s="352" t="str">
        <f>IFERROR(VLOOKUP($M275,'External Gateways'!$C$6:$F$10,2,FALSE),"")</f>
        <v>I-15</v>
      </c>
      <c r="T275" s="56">
        <f>IFERROR(VLOOKUP($M275,'External Gateways'!$C$6:$F$10,3,FALSE),O275)</f>
        <v>2102195</v>
      </c>
      <c r="U275" s="56">
        <f>IFERROR(VLOOKUP($M275,'External Gateways'!$C$6:$F$10,4,FALSE),P275)</f>
        <v>6289147</v>
      </c>
      <c r="V275" s="353">
        <f t="shared" si="8"/>
        <v>10.275901494735123</v>
      </c>
      <c r="W275" s="353">
        <f t="shared" si="9"/>
        <v>88.448197010529753</v>
      </c>
    </row>
    <row r="276" spans="1:23" ht="15" customHeight="1" x14ac:dyDescent="0.25">
      <c r="A276" s="128">
        <v>1750</v>
      </c>
      <c r="B276" s="129" t="s">
        <v>218</v>
      </c>
      <c r="C276" s="128" t="s">
        <v>68</v>
      </c>
      <c r="D276" s="129" t="s">
        <v>156</v>
      </c>
      <c r="E276" s="129" t="s">
        <v>162</v>
      </c>
      <c r="F276" s="129">
        <v>92027</v>
      </c>
      <c r="G276" s="129">
        <v>92161</v>
      </c>
      <c r="H276" s="130">
        <v>110</v>
      </c>
      <c r="I276" s="129" t="s">
        <v>408</v>
      </c>
      <c r="J276" s="130">
        <v>7</v>
      </c>
      <c r="K276" s="131"/>
      <c r="L276" s="131" t="s">
        <v>68</v>
      </c>
      <c r="M276" s="131" t="s">
        <v>325</v>
      </c>
      <c r="N276" s="131" t="s">
        <v>327</v>
      </c>
      <c r="O276" s="56">
        <f>VLOOKUP($F276,'ZipCode Coordinates'!$A:$E,4,FALSE)</f>
        <v>1994010</v>
      </c>
      <c r="P276" s="56">
        <f>VLOOKUP($F276,'ZipCode Coordinates'!$A:$E,5,FALSE)</f>
        <v>6337210</v>
      </c>
      <c r="Q276" s="56">
        <f>VLOOKUP($G276,'ZipCode Coordinates'!$A:$E,4,FALSE)</f>
        <v>1899477</v>
      </c>
      <c r="R276" s="56">
        <f>VLOOKUP($G276,'ZipCode Coordinates'!$A:$E,5,FALSE)</f>
        <v>6258957</v>
      </c>
      <c r="S276" s="352" t="str">
        <f>IFERROR(VLOOKUP($M276,'External Gateways'!$C$6:$F$10,2,FALSE),"")</f>
        <v/>
      </c>
      <c r="T276" s="56">
        <f>IFERROR(VLOOKUP($M276,'External Gateways'!$C$6:$F$10,3,FALSE),O276)</f>
        <v>1994010</v>
      </c>
      <c r="U276" s="56">
        <f>IFERROR(VLOOKUP($M276,'External Gateways'!$C$6:$F$10,4,FALSE),P276)</f>
        <v>6337210</v>
      </c>
      <c r="V276" s="353">
        <f t="shared" si="8"/>
        <v>0</v>
      </c>
      <c r="W276" s="353">
        <f t="shared" si="9"/>
        <v>110</v>
      </c>
    </row>
    <row r="277" spans="1:23" ht="15" customHeight="1" x14ac:dyDescent="0.25">
      <c r="A277" s="128">
        <v>1753</v>
      </c>
      <c r="B277" s="129" t="s">
        <v>483</v>
      </c>
      <c r="C277" s="128" t="s">
        <v>166</v>
      </c>
      <c r="D277" s="129" t="s">
        <v>167</v>
      </c>
      <c r="E277" s="129" t="s">
        <v>162</v>
      </c>
      <c r="F277" s="129">
        <v>92530</v>
      </c>
      <c r="G277" s="129">
        <v>92121</v>
      </c>
      <c r="H277" s="130">
        <v>159</v>
      </c>
      <c r="I277" s="129" t="s">
        <v>488</v>
      </c>
      <c r="J277" s="130">
        <v>7</v>
      </c>
      <c r="K277" s="131"/>
      <c r="L277" s="131" t="s">
        <v>5</v>
      </c>
      <c r="M277" s="131" t="s">
        <v>402</v>
      </c>
      <c r="N277" s="131" t="s">
        <v>327</v>
      </c>
      <c r="O277" s="56">
        <f>VLOOKUP($F277,'ZipCode Coordinates'!$A:$E,4,FALSE)</f>
        <v>2166440</v>
      </c>
      <c r="P277" s="56">
        <f>VLOOKUP($F277,'ZipCode Coordinates'!$A:$E,5,FALSE)</f>
        <v>6212730</v>
      </c>
      <c r="Q277" s="56">
        <f>VLOOKUP($G277,'ZipCode Coordinates'!$A:$E,4,FALSE)</f>
        <v>1907910</v>
      </c>
      <c r="R277" s="56">
        <f>VLOOKUP($G277,'ZipCode Coordinates'!$A:$E,5,FALSE)</f>
        <v>6269540</v>
      </c>
      <c r="S277" s="352" t="str">
        <f>IFERROR(VLOOKUP($M277,'External Gateways'!$C$6:$F$10,2,FALSE),"")</f>
        <v>I-15</v>
      </c>
      <c r="T277" s="56">
        <f>IFERROR(VLOOKUP($M277,'External Gateways'!$C$6:$F$10,3,FALSE),O277)</f>
        <v>2102195</v>
      </c>
      <c r="U277" s="56">
        <f>IFERROR(VLOOKUP($M277,'External Gateways'!$C$6:$F$10,4,FALSE),P277)</f>
        <v>6289147</v>
      </c>
      <c r="V277" s="353">
        <f t="shared" si="8"/>
        <v>18.908097166137583</v>
      </c>
      <c r="W277" s="353">
        <f t="shared" si="9"/>
        <v>121.18380566772484</v>
      </c>
    </row>
    <row r="278" spans="1:23" ht="15" customHeight="1" x14ac:dyDescent="0.25">
      <c r="A278" s="128">
        <v>1754</v>
      </c>
      <c r="B278" s="129" t="s">
        <v>82</v>
      </c>
      <c r="C278" s="128" t="s">
        <v>3</v>
      </c>
      <c r="D278" s="129" t="s">
        <v>170</v>
      </c>
      <c r="E278" s="129" t="s">
        <v>82</v>
      </c>
      <c r="F278" s="129">
        <v>92584</v>
      </c>
      <c r="G278" s="129">
        <v>92055</v>
      </c>
      <c r="H278" s="130">
        <v>89</v>
      </c>
      <c r="I278" s="129" t="s">
        <v>428</v>
      </c>
      <c r="J278" s="130">
        <v>7</v>
      </c>
      <c r="K278" s="131"/>
      <c r="L278" s="131" t="s">
        <v>3</v>
      </c>
      <c r="M278" s="131" t="s">
        <v>402</v>
      </c>
      <c r="N278" s="131" t="s">
        <v>324</v>
      </c>
      <c r="O278" s="56">
        <f>VLOOKUP($F278,'ZipCode Coordinates'!$A:$E,4,FALSE)</f>
        <v>2185160</v>
      </c>
      <c r="P278" s="56">
        <f>VLOOKUP($F278,'ZipCode Coordinates'!$A:$E,5,FALSE)</f>
        <v>6280270</v>
      </c>
      <c r="Q278" s="56">
        <f>VLOOKUP($G278,'ZipCode Coordinates'!$A:$E,4,FALSE)</f>
        <v>2082470</v>
      </c>
      <c r="R278" s="56">
        <f>VLOOKUP($G278,'ZipCode Coordinates'!$A:$E,5,FALSE)</f>
        <v>6206470</v>
      </c>
      <c r="S278" s="352" t="str">
        <f>IFERROR(VLOOKUP($M278,'External Gateways'!$C$6:$F$10,2,FALSE),"")</f>
        <v>I-15</v>
      </c>
      <c r="T278" s="56">
        <f>IFERROR(VLOOKUP($M278,'External Gateways'!$C$6:$F$10,3,FALSE),O278)</f>
        <v>2102195</v>
      </c>
      <c r="U278" s="56">
        <f>IFERROR(VLOOKUP($M278,'External Gateways'!$C$6:$F$10,4,FALSE),P278)</f>
        <v>6289147</v>
      </c>
      <c r="V278" s="353">
        <f t="shared" si="8"/>
        <v>15.802756507931361</v>
      </c>
      <c r="W278" s="353">
        <f t="shared" si="9"/>
        <v>57.394486984137274</v>
      </c>
    </row>
    <row r="279" spans="1:23" ht="15" customHeight="1" x14ac:dyDescent="0.25">
      <c r="A279" s="128">
        <v>1755</v>
      </c>
      <c r="B279" s="129" t="s">
        <v>296</v>
      </c>
      <c r="C279" s="128" t="s">
        <v>163</v>
      </c>
      <c r="D279" s="129" t="s">
        <v>158</v>
      </c>
      <c r="E279" s="129" t="s">
        <v>162</v>
      </c>
      <c r="F279" s="129">
        <v>92563</v>
      </c>
      <c r="G279" s="129">
        <v>92123</v>
      </c>
      <c r="H279" s="130">
        <v>134</v>
      </c>
      <c r="I279" s="129" t="s">
        <v>403</v>
      </c>
      <c r="J279" s="130">
        <v>8</v>
      </c>
      <c r="K279" s="131">
        <v>2</v>
      </c>
      <c r="L279" s="131" t="s">
        <v>5</v>
      </c>
      <c r="M279" s="131" t="s">
        <v>402</v>
      </c>
      <c r="N279" s="131" t="s">
        <v>327</v>
      </c>
      <c r="O279" s="56">
        <f>VLOOKUP($F279,'ZipCode Coordinates'!$A:$E,4,FALSE)</f>
        <v>2156450</v>
      </c>
      <c r="P279" s="56">
        <f>VLOOKUP($F279,'ZipCode Coordinates'!$A:$E,5,FALSE)</f>
        <v>6288710</v>
      </c>
      <c r="Q279" s="56">
        <f>VLOOKUP($G279,'ZipCode Coordinates'!$A:$E,4,FALSE)</f>
        <v>1874700</v>
      </c>
      <c r="R279" s="56">
        <f>VLOOKUP($G279,'ZipCode Coordinates'!$A:$E,5,FALSE)</f>
        <v>6289760</v>
      </c>
      <c r="S279" s="352" t="str">
        <f>IFERROR(VLOOKUP($M279,'External Gateways'!$C$6:$F$10,2,FALSE),"")</f>
        <v>I-15</v>
      </c>
      <c r="T279" s="56">
        <f>IFERROR(VLOOKUP($M279,'External Gateways'!$C$6:$F$10,3,FALSE),O279)</f>
        <v>2102195</v>
      </c>
      <c r="U279" s="56">
        <f>IFERROR(VLOOKUP($M279,'External Gateways'!$C$6:$F$10,4,FALSE),P279)</f>
        <v>6289147</v>
      </c>
      <c r="V279" s="353">
        <f t="shared" si="8"/>
        <v>10.275901494735123</v>
      </c>
      <c r="W279" s="353">
        <f t="shared" si="9"/>
        <v>113.44819701052975</v>
      </c>
    </row>
    <row r="280" spans="1:23" ht="15" customHeight="1" x14ac:dyDescent="0.25">
      <c r="A280" s="128">
        <v>1756</v>
      </c>
      <c r="B280" s="129" t="s">
        <v>253</v>
      </c>
      <c r="C280" s="128" t="s">
        <v>3</v>
      </c>
      <c r="D280" s="129" t="s">
        <v>165</v>
      </c>
      <c r="E280" s="129" t="s">
        <v>162</v>
      </c>
      <c r="F280" s="129">
        <v>91913</v>
      </c>
      <c r="G280" s="129">
        <v>92145</v>
      </c>
      <c r="H280" s="130">
        <v>77</v>
      </c>
      <c r="I280" s="129" t="s">
        <v>416</v>
      </c>
      <c r="J280" s="130">
        <v>7</v>
      </c>
      <c r="K280" s="131"/>
      <c r="L280" s="131" t="s">
        <v>3</v>
      </c>
      <c r="M280" s="131" t="s">
        <v>328</v>
      </c>
      <c r="N280" s="131" t="s">
        <v>327</v>
      </c>
      <c r="O280" s="56">
        <f>VLOOKUP($F280,'ZipCode Coordinates'!$A:$E,4,FALSE)</f>
        <v>1810320</v>
      </c>
      <c r="P280" s="56">
        <f>VLOOKUP($F280,'ZipCode Coordinates'!$A:$E,5,FALSE)</f>
        <v>6334990</v>
      </c>
      <c r="Q280" s="56">
        <f>VLOOKUP($G280,'ZipCode Coordinates'!$A:$E,4,FALSE)</f>
        <v>1896720</v>
      </c>
      <c r="R280" s="56">
        <f>VLOOKUP($G280,'ZipCode Coordinates'!$A:$E,5,FALSE)</f>
        <v>6297440</v>
      </c>
      <c r="S280" s="352" t="str">
        <f>IFERROR(VLOOKUP($M280,'External Gateways'!$C$6:$F$10,2,FALSE),"")</f>
        <v/>
      </c>
      <c r="T280" s="56">
        <f>IFERROR(VLOOKUP($M280,'External Gateways'!$C$6:$F$10,3,FALSE),O280)</f>
        <v>1810320</v>
      </c>
      <c r="U280" s="56">
        <f>IFERROR(VLOOKUP($M280,'External Gateways'!$C$6:$F$10,4,FALSE),P280)</f>
        <v>6334990</v>
      </c>
      <c r="V280" s="353">
        <f t="shared" si="8"/>
        <v>0</v>
      </c>
      <c r="W280" s="353">
        <f t="shared" si="9"/>
        <v>77</v>
      </c>
    </row>
    <row r="281" spans="1:23" ht="15" customHeight="1" x14ac:dyDescent="0.25">
      <c r="A281" s="128">
        <v>1761</v>
      </c>
      <c r="B281" s="129" t="s">
        <v>218</v>
      </c>
      <c r="C281" s="128" t="s">
        <v>68</v>
      </c>
      <c r="D281" s="129" t="s">
        <v>158</v>
      </c>
      <c r="E281" s="129" t="s">
        <v>162</v>
      </c>
      <c r="F281" s="129">
        <v>92563</v>
      </c>
      <c r="G281" s="129">
        <v>92161</v>
      </c>
      <c r="H281" s="130">
        <v>135</v>
      </c>
      <c r="I281" s="129" t="s">
        <v>468</v>
      </c>
      <c r="J281" s="130">
        <v>7</v>
      </c>
      <c r="K281" s="131"/>
      <c r="L281" s="131" t="s">
        <v>68</v>
      </c>
      <c r="M281" s="131" t="s">
        <v>402</v>
      </c>
      <c r="N281" s="131" t="s">
        <v>327</v>
      </c>
      <c r="O281" s="56">
        <f>VLOOKUP($F281,'ZipCode Coordinates'!$A:$E,4,FALSE)</f>
        <v>2156450</v>
      </c>
      <c r="P281" s="56">
        <f>VLOOKUP($F281,'ZipCode Coordinates'!$A:$E,5,FALSE)</f>
        <v>6288710</v>
      </c>
      <c r="Q281" s="56">
        <f>VLOOKUP($G281,'ZipCode Coordinates'!$A:$E,4,FALSE)</f>
        <v>1899477</v>
      </c>
      <c r="R281" s="56">
        <f>VLOOKUP($G281,'ZipCode Coordinates'!$A:$E,5,FALSE)</f>
        <v>6258957</v>
      </c>
      <c r="S281" s="352" t="str">
        <f>IFERROR(VLOOKUP($M281,'External Gateways'!$C$6:$F$10,2,FALSE),"")</f>
        <v>I-15</v>
      </c>
      <c r="T281" s="56">
        <f>IFERROR(VLOOKUP($M281,'External Gateways'!$C$6:$F$10,3,FALSE),O281)</f>
        <v>2102195</v>
      </c>
      <c r="U281" s="56">
        <f>IFERROR(VLOOKUP($M281,'External Gateways'!$C$6:$F$10,4,FALSE),P281)</f>
        <v>6289147</v>
      </c>
      <c r="V281" s="353">
        <f t="shared" si="8"/>
        <v>10.275901494735123</v>
      </c>
      <c r="W281" s="353">
        <f t="shared" si="9"/>
        <v>114.44819701052975</v>
      </c>
    </row>
    <row r="282" spans="1:23" ht="15" customHeight="1" x14ac:dyDescent="0.25">
      <c r="A282" s="128">
        <v>1762</v>
      </c>
      <c r="B282" s="129" t="s">
        <v>268</v>
      </c>
      <c r="C282" s="128" t="s">
        <v>3</v>
      </c>
      <c r="D282" s="129" t="s">
        <v>260</v>
      </c>
      <c r="E282" s="129" t="s">
        <v>162</v>
      </c>
      <c r="F282" s="129">
        <v>92040</v>
      </c>
      <c r="G282" s="129">
        <v>92132</v>
      </c>
      <c r="H282" s="130">
        <v>65</v>
      </c>
      <c r="I282" s="129" t="s">
        <v>441</v>
      </c>
      <c r="J282" s="130">
        <v>8</v>
      </c>
      <c r="K282" s="131"/>
      <c r="L282" s="131" t="s">
        <v>3</v>
      </c>
      <c r="M282" s="131" t="s">
        <v>326</v>
      </c>
      <c r="N282" s="131" t="s">
        <v>323</v>
      </c>
      <c r="O282" s="56">
        <f>VLOOKUP($F282,'ZipCode Coordinates'!$A:$E,4,FALSE)</f>
        <v>1912600</v>
      </c>
      <c r="P282" s="56">
        <f>VLOOKUP($F282,'ZipCode Coordinates'!$A:$E,5,FALSE)</f>
        <v>6367510</v>
      </c>
      <c r="Q282" s="56">
        <f>VLOOKUP($G282,'ZipCode Coordinates'!$A:$E,4,FALSE)</f>
        <v>1842732</v>
      </c>
      <c r="R282" s="56">
        <f>VLOOKUP($G282,'ZipCode Coordinates'!$A:$E,5,FALSE)</f>
        <v>6278505</v>
      </c>
      <c r="S282" s="352" t="str">
        <f>IFERROR(VLOOKUP($M282,'External Gateways'!$C$6:$F$10,2,FALSE),"")</f>
        <v/>
      </c>
      <c r="T282" s="56">
        <f>IFERROR(VLOOKUP($M282,'External Gateways'!$C$6:$F$10,3,FALSE),O282)</f>
        <v>1912600</v>
      </c>
      <c r="U282" s="56">
        <f>IFERROR(VLOOKUP($M282,'External Gateways'!$C$6:$F$10,4,FALSE),P282)</f>
        <v>6367510</v>
      </c>
      <c r="V282" s="353">
        <f t="shared" si="8"/>
        <v>0</v>
      </c>
      <c r="W282" s="353">
        <f t="shared" si="9"/>
        <v>65</v>
      </c>
    </row>
    <row r="283" spans="1:23" ht="15" customHeight="1" x14ac:dyDescent="0.25">
      <c r="A283" s="128">
        <v>1772</v>
      </c>
      <c r="B283" s="129" t="s">
        <v>263</v>
      </c>
      <c r="C283" s="128" t="s">
        <v>166</v>
      </c>
      <c r="D283" s="129" t="s">
        <v>262</v>
      </c>
      <c r="E283" s="129" t="s">
        <v>162</v>
      </c>
      <c r="F283" s="129">
        <v>92591</v>
      </c>
      <c r="G283" s="129">
        <v>92113</v>
      </c>
      <c r="H283" s="130">
        <v>205</v>
      </c>
      <c r="I283" s="129" t="s">
        <v>475</v>
      </c>
      <c r="J283" s="130">
        <v>10</v>
      </c>
      <c r="K283" s="131"/>
      <c r="L283" s="131" t="s">
        <v>5</v>
      </c>
      <c r="M283" s="131" t="s">
        <v>402</v>
      </c>
      <c r="N283" s="131" t="s">
        <v>323</v>
      </c>
      <c r="O283" s="56">
        <f>VLOOKUP($F283,'ZipCode Coordinates'!$A:$E,4,FALSE)</f>
        <v>2138420</v>
      </c>
      <c r="P283" s="56">
        <f>VLOOKUP($F283,'ZipCode Coordinates'!$A:$E,5,FALSE)</f>
        <v>6299220</v>
      </c>
      <c r="Q283" s="56">
        <f>VLOOKUP($G283,'ZipCode Coordinates'!$A:$E,4,FALSE)</f>
        <v>1834470</v>
      </c>
      <c r="R283" s="56">
        <f>VLOOKUP($G283,'ZipCode Coordinates'!$A:$E,5,FALSE)</f>
        <v>6294590</v>
      </c>
      <c r="S283" s="352" t="str">
        <f>IFERROR(VLOOKUP($M283,'External Gateways'!$C$6:$F$10,2,FALSE),"")</f>
        <v>I-15</v>
      </c>
      <c r="T283" s="56">
        <f>IFERROR(VLOOKUP($M283,'External Gateways'!$C$6:$F$10,3,FALSE),O283)</f>
        <v>2102195</v>
      </c>
      <c r="U283" s="56">
        <f>IFERROR(VLOOKUP($M283,'External Gateways'!$C$6:$F$10,4,FALSE),P283)</f>
        <v>6289147</v>
      </c>
      <c r="V283" s="353">
        <f t="shared" si="8"/>
        <v>7.1211011888925713</v>
      </c>
      <c r="W283" s="353">
        <f t="shared" si="9"/>
        <v>190.75779762221487</v>
      </c>
    </row>
    <row r="284" spans="1:23" ht="15" customHeight="1" x14ac:dyDescent="0.25">
      <c r="A284" s="128">
        <v>1774</v>
      </c>
      <c r="B284" s="129" t="s">
        <v>483</v>
      </c>
      <c r="C284" s="128" t="s">
        <v>166</v>
      </c>
      <c r="D284" s="129" t="s">
        <v>168</v>
      </c>
      <c r="E284" s="129" t="s">
        <v>162</v>
      </c>
      <c r="F284" s="129">
        <v>92336</v>
      </c>
      <c r="G284" s="129">
        <v>92121</v>
      </c>
      <c r="H284" s="130">
        <v>184</v>
      </c>
      <c r="I284" s="129" t="s">
        <v>407</v>
      </c>
      <c r="J284" s="130">
        <v>8</v>
      </c>
      <c r="K284" s="131"/>
      <c r="L284" s="131" t="s">
        <v>5</v>
      </c>
      <c r="M284" s="131" t="s">
        <v>484</v>
      </c>
      <c r="N284" s="131" t="s">
        <v>327</v>
      </c>
      <c r="O284" s="56">
        <f>VLOOKUP($F284,'ZipCode Coordinates'!$A:$E,4,FALSE)</f>
        <v>2359740</v>
      </c>
      <c r="P284" s="56">
        <f>VLOOKUP($F284,'ZipCode Coordinates'!$A:$E,5,FALSE)</f>
        <v>6194660</v>
      </c>
      <c r="Q284" s="56">
        <f>VLOOKUP($G284,'ZipCode Coordinates'!$A:$E,4,FALSE)</f>
        <v>1907910</v>
      </c>
      <c r="R284" s="56">
        <f>VLOOKUP($G284,'ZipCode Coordinates'!$A:$E,5,FALSE)</f>
        <v>6269540</v>
      </c>
      <c r="S284" s="352" t="str">
        <f>IFERROR(VLOOKUP($M284,'External Gateways'!$C$6:$F$10,2,FALSE),"")</f>
        <v>I-15</v>
      </c>
      <c r="T284" s="56">
        <f>IFERROR(VLOOKUP($M284,'External Gateways'!$C$6:$F$10,3,FALSE),O284)</f>
        <v>2102195</v>
      </c>
      <c r="U284" s="56">
        <f>IFERROR(VLOOKUP($M284,'External Gateways'!$C$6:$F$10,4,FALSE),P284)</f>
        <v>6289147</v>
      </c>
      <c r="V284" s="353">
        <f t="shared" si="8"/>
        <v>51.956533042816822</v>
      </c>
      <c r="W284" s="353">
        <f t="shared" si="9"/>
        <v>80.086933914366355</v>
      </c>
    </row>
    <row r="285" spans="1:23" ht="15" customHeight="1" x14ac:dyDescent="0.25">
      <c r="A285" s="128">
        <v>1777</v>
      </c>
      <c r="B285" s="129" t="s">
        <v>307</v>
      </c>
      <c r="C285" s="128" t="s">
        <v>3</v>
      </c>
      <c r="D285" s="129" t="s">
        <v>165</v>
      </c>
      <c r="E285" s="129" t="s">
        <v>162</v>
      </c>
      <c r="F285" s="129">
        <v>91915</v>
      </c>
      <c r="G285" s="129">
        <v>92110</v>
      </c>
      <c r="H285" s="130">
        <v>39</v>
      </c>
      <c r="I285" s="129" t="s">
        <v>420</v>
      </c>
      <c r="J285" s="130">
        <v>7</v>
      </c>
      <c r="K285" s="131"/>
      <c r="L285" s="131" t="s">
        <v>3</v>
      </c>
      <c r="M285" s="131" t="s">
        <v>326</v>
      </c>
      <c r="N285" s="131" t="s">
        <v>327</v>
      </c>
      <c r="O285" s="56">
        <f>VLOOKUP($F285,'ZipCode Coordinates'!$A:$E,4,FALSE)</f>
        <v>1804550</v>
      </c>
      <c r="P285" s="56">
        <f>VLOOKUP($F285,'ZipCode Coordinates'!$A:$E,5,FALSE)</f>
        <v>6342300</v>
      </c>
      <c r="Q285" s="56">
        <f>VLOOKUP($G285,'ZipCode Coordinates'!$A:$E,4,FALSE)</f>
        <v>1859050</v>
      </c>
      <c r="R285" s="56">
        <f>VLOOKUP($G285,'ZipCode Coordinates'!$A:$E,5,FALSE)</f>
        <v>6269400</v>
      </c>
      <c r="S285" s="352" t="str">
        <f>IFERROR(VLOOKUP($M285,'External Gateways'!$C$6:$F$10,2,FALSE),"")</f>
        <v/>
      </c>
      <c r="T285" s="56">
        <f>IFERROR(VLOOKUP($M285,'External Gateways'!$C$6:$F$10,3,FALSE),O285)</f>
        <v>1804550</v>
      </c>
      <c r="U285" s="56">
        <f>IFERROR(VLOOKUP($M285,'External Gateways'!$C$6:$F$10,4,FALSE),P285)</f>
        <v>6342300</v>
      </c>
      <c r="V285" s="353">
        <f t="shared" si="8"/>
        <v>0</v>
      </c>
      <c r="W285" s="353">
        <f t="shared" si="9"/>
        <v>39</v>
      </c>
    </row>
    <row r="286" spans="1:23" ht="15" customHeight="1" x14ac:dyDescent="0.25">
      <c r="A286" s="128">
        <v>1784</v>
      </c>
      <c r="B286" s="129" t="s">
        <v>433</v>
      </c>
      <c r="C286" s="128" t="s">
        <v>3</v>
      </c>
      <c r="D286" s="129" t="s">
        <v>161</v>
      </c>
      <c r="E286" s="129" t="s">
        <v>162</v>
      </c>
      <c r="F286" s="129">
        <v>92596</v>
      </c>
      <c r="G286" s="129">
        <v>92106</v>
      </c>
      <c r="H286" s="130">
        <v>180</v>
      </c>
      <c r="I286" s="129" t="s">
        <v>492</v>
      </c>
      <c r="J286" s="130">
        <v>7</v>
      </c>
      <c r="K286" s="131"/>
      <c r="L286" s="131" t="s">
        <v>3</v>
      </c>
      <c r="M286" s="131" t="s">
        <v>402</v>
      </c>
      <c r="N286" s="131" t="s">
        <v>323</v>
      </c>
      <c r="O286" s="56">
        <f>VLOOKUP($F286,'ZipCode Coordinates'!$A:$E,4,FALSE)</f>
        <v>2177700</v>
      </c>
      <c r="P286" s="56">
        <f>VLOOKUP($F286,'ZipCode Coordinates'!$A:$E,5,FALSE)</f>
        <v>6311340</v>
      </c>
      <c r="Q286" s="56">
        <f>VLOOKUP($G286,'ZipCode Coordinates'!$A:$E,4,FALSE)</f>
        <v>1842660</v>
      </c>
      <c r="R286" s="56">
        <f>VLOOKUP($G286,'ZipCode Coordinates'!$A:$E,5,FALSE)</f>
        <v>6259060</v>
      </c>
      <c r="S286" s="352" t="str">
        <f>IFERROR(VLOOKUP($M286,'External Gateways'!$C$6:$F$10,2,FALSE),"")</f>
        <v>I-15</v>
      </c>
      <c r="T286" s="56">
        <f>IFERROR(VLOOKUP($M286,'External Gateways'!$C$6:$F$10,3,FALSE),O286)</f>
        <v>2102195</v>
      </c>
      <c r="U286" s="56">
        <f>IFERROR(VLOOKUP($M286,'External Gateways'!$C$6:$F$10,4,FALSE),P286)</f>
        <v>6289147</v>
      </c>
      <c r="V286" s="353">
        <f t="shared" si="8"/>
        <v>14.905115649451727</v>
      </c>
      <c r="W286" s="353">
        <f t="shared" si="9"/>
        <v>150.18976870109654</v>
      </c>
    </row>
    <row r="287" spans="1:23" ht="15" customHeight="1" x14ac:dyDescent="0.25">
      <c r="A287" s="128">
        <v>1804</v>
      </c>
      <c r="B287" s="129" t="s">
        <v>187</v>
      </c>
      <c r="C287" s="128" t="s">
        <v>404</v>
      </c>
      <c r="D287" s="129" t="s">
        <v>165</v>
      </c>
      <c r="E287" s="129" t="s">
        <v>162</v>
      </c>
      <c r="F287" s="129">
        <v>91915</v>
      </c>
      <c r="G287" s="129">
        <v>92110</v>
      </c>
      <c r="H287" s="130">
        <v>64</v>
      </c>
      <c r="I287" s="129" t="s">
        <v>401</v>
      </c>
      <c r="J287" s="130">
        <v>7</v>
      </c>
      <c r="K287" s="131"/>
      <c r="L287" s="131" t="s">
        <v>5</v>
      </c>
      <c r="M287" s="131" t="s">
        <v>326</v>
      </c>
      <c r="N287" s="131" t="s">
        <v>327</v>
      </c>
      <c r="O287" s="56">
        <f>VLOOKUP($F287,'ZipCode Coordinates'!$A:$E,4,FALSE)</f>
        <v>1804550</v>
      </c>
      <c r="P287" s="56">
        <f>VLOOKUP($F287,'ZipCode Coordinates'!$A:$E,5,FALSE)</f>
        <v>6342300</v>
      </c>
      <c r="Q287" s="56">
        <f>VLOOKUP($G287,'ZipCode Coordinates'!$A:$E,4,FALSE)</f>
        <v>1859050</v>
      </c>
      <c r="R287" s="56">
        <f>VLOOKUP($G287,'ZipCode Coordinates'!$A:$E,5,FALSE)</f>
        <v>6269400</v>
      </c>
      <c r="S287" s="352" t="str">
        <f>IFERROR(VLOOKUP($M287,'External Gateways'!$C$6:$F$10,2,FALSE),"")</f>
        <v/>
      </c>
      <c r="T287" s="56">
        <f>IFERROR(VLOOKUP($M287,'External Gateways'!$C$6:$F$10,3,FALSE),O287)</f>
        <v>1804550</v>
      </c>
      <c r="U287" s="56">
        <f>IFERROR(VLOOKUP($M287,'External Gateways'!$C$6:$F$10,4,FALSE),P287)</f>
        <v>6342300</v>
      </c>
      <c r="V287" s="353">
        <f t="shared" si="8"/>
        <v>0</v>
      </c>
      <c r="W287" s="353">
        <f t="shared" si="9"/>
        <v>64</v>
      </c>
    </row>
    <row r="288" spans="1:23" ht="15" customHeight="1" x14ac:dyDescent="0.25">
      <c r="A288" s="128">
        <v>1805</v>
      </c>
      <c r="B288" s="129" t="s">
        <v>82</v>
      </c>
      <c r="C288" s="128" t="s">
        <v>3</v>
      </c>
      <c r="D288" s="129" t="s">
        <v>165</v>
      </c>
      <c r="E288" s="129" t="s">
        <v>82</v>
      </c>
      <c r="F288" s="129">
        <v>91910</v>
      </c>
      <c r="G288" s="129">
        <v>92055</v>
      </c>
      <c r="H288" s="130">
        <v>134</v>
      </c>
      <c r="I288" s="129" t="s">
        <v>409</v>
      </c>
      <c r="J288" s="130">
        <v>8</v>
      </c>
      <c r="K288" s="131"/>
      <c r="L288" s="131" t="s">
        <v>3</v>
      </c>
      <c r="M288" s="131" t="s">
        <v>328</v>
      </c>
      <c r="N288" s="131" t="s">
        <v>324</v>
      </c>
      <c r="O288" s="56">
        <f>VLOOKUP($F288,'ZipCode Coordinates'!$A:$E,4,FALSE)</f>
        <v>1812850</v>
      </c>
      <c r="P288" s="56">
        <f>VLOOKUP($F288,'ZipCode Coordinates'!$A:$E,5,FALSE)</f>
        <v>6313650</v>
      </c>
      <c r="Q288" s="56">
        <f>VLOOKUP($G288,'ZipCode Coordinates'!$A:$E,4,FALSE)</f>
        <v>2082470</v>
      </c>
      <c r="R288" s="56">
        <f>VLOOKUP($G288,'ZipCode Coordinates'!$A:$E,5,FALSE)</f>
        <v>6206470</v>
      </c>
      <c r="S288" s="352" t="str">
        <f>IFERROR(VLOOKUP($M288,'External Gateways'!$C$6:$F$10,2,FALSE),"")</f>
        <v/>
      </c>
      <c r="T288" s="56">
        <f>IFERROR(VLOOKUP($M288,'External Gateways'!$C$6:$F$10,3,FALSE),O288)</f>
        <v>1812850</v>
      </c>
      <c r="U288" s="56">
        <f>IFERROR(VLOOKUP($M288,'External Gateways'!$C$6:$F$10,4,FALSE),P288)</f>
        <v>6313650</v>
      </c>
      <c r="V288" s="353">
        <f t="shared" si="8"/>
        <v>0</v>
      </c>
      <c r="W288" s="353">
        <f t="shared" si="9"/>
        <v>134</v>
      </c>
    </row>
    <row r="289" spans="1:23" ht="15" customHeight="1" x14ac:dyDescent="0.25">
      <c r="A289" s="128">
        <v>1806</v>
      </c>
      <c r="B289" s="129" t="s">
        <v>300</v>
      </c>
      <c r="C289" s="128" t="s">
        <v>166</v>
      </c>
      <c r="D289" s="129" t="s">
        <v>156</v>
      </c>
      <c r="E289" s="129" t="s">
        <v>162</v>
      </c>
      <c r="F289" s="129">
        <v>92027</v>
      </c>
      <c r="G289" s="129">
        <v>92123</v>
      </c>
      <c r="H289" s="130">
        <v>56</v>
      </c>
      <c r="I289" s="129" t="s">
        <v>412</v>
      </c>
      <c r="J289" s="130">
        <v>10</v>
      </c>
      <c r="K289" s="131">
        <v>1</v>
      </c>
      <c r="L289" s="131" t="s">
        <v>5</v>
      </c>
      <c r="M289" s="131" t="s">
        <v>325</v>
      </c>
      <c r="N289" s="131" t="s">
        <v>327</v>
      </c>
      <c r="O289" s="56">
        <f>VLOOKUP($F289,'ZipCode Coordinates'!$A:$E,4,FALSE)</f>
        <v>1994010</v>
      </c>
      <c r="P289" s="56">
        <f>VLOOKUP($F289,'ZipCode Coordinates'!$A:$E,5,FALSE)</f>
        <v>6337210</v>
      </c>
      <c r="Q289" s="56">
        <f>VLOOKUP($G289,'ZipCode Coordinates'!$A:$E,4,FALSE)</f>
        <v>1874700</v>
      </c>
      <c r="R289" s="56">
        <f>VLOOKUP($G289,'ZipCode Coordinates'!$A:$E,5,FALSE)</f>
        <v>6289760</v>
      </c>
      <c r="S289" s="352" t="str">
        <f>IFERROR(VLOOKUP($M289,'External Gateways'!$C$6:$F$10,2,FALSE),"")</f>
        <v/>
      </c>
      <c r="T289" s="56">
        <f>IFERROR(VLOOKUP($M289,'External Gateways'!$C$6:$F$10,3,FALSE),O289)</f>
        <v>1994010</v>
      </c>
      <c r="U289" s="56">
        <f>IFERROR(VLOOKUP($M289,'External Gateways'!$C$6:$F$10,4,FALSE),P289)</f>
        <v>6337210</v>
      </c>
      <c r="V289" s="353">
        <f t="shared" si="8"/>
        <v>0</v>
      </c>
      <c r="W289" s="353">
        <f t="shared" si="9"/>
        <v>56</v>
      </c>
    </row>
    <row r="290" spans="1:23" ht="15" customHeight="1" x14ac:dyDescent="0.25">
      <c r="A290" s="128">
        <v>1808</v>
      </c>
      <c r="B290" s="129" t="s">
        <v>253</v>
      </c>
      <c r="C290" s="128" t="s">
        <v>3</v>
      </c>
      <c r="D290" s="129" t="s">
        <v>165</v>
      </c>
      <c r="E290" s="129" t="s">
        <v>162</v>
      </c>
      <c r="F290" s="129">
        <v>91913</v>
      </c>
      <c r="G290" s="129">
        <v>92145</v>
      </c>
      <c r="H290" s="130">
        <v>85</v>
      </c>
      <c r="I290" s="129" t="s">
        <v>423</v>
      </c>
      <c r="J290" s="130">
        <v>8</v>
      </c>
      <c r="K290" s="131"/>
      <c r="L290" s="131" t="s">
        <v>3</v>
      </c>
      <c r="M290" s="131" t="s">
        <v>328</v>
      </c>
      <c r="N290" s="131" t="s">
        <v>327</v>
      </c>
      <c r="O290" s="56">
        <f>VLOOKUP($F290,'ZipCode Coordinates'!$A:$E,4,FALSE)</f>
        <v>1810320</v>
      </c>
      <c r="P290" s="56">
        <f>VLOOKUP($F290,'ZipCode Coordinates'!$A:$E,5,FALSE)</f>
        <v>6334990</v>
      </c>
      <c r="Q290" s="56">
        <f>VLOOKUP($G290,'ZipCode Coordinates'!$A:$E,4,FALSE)</f>
        <v>1896720</v>
      </c>
      <c r="R290" s="56">
        <f>VLOOKUP($G290,'ZipCode Coordinates'!$A:$E,5,FALSE)</f>
        <v>6297440</v>
      </c>
      <c r="S290" s="352" t="str">
        <f>IFERROR(VLOOKUP($M290,'External Gateways'!$C$6:$F$10,2,FALSE),"")</f>
        <v/>
      </c>
      <c r="T290" s="56">
        <f>IFERROR(VLOOKUP($M290,'External Gateways'!$C$6:$F$10,3,FALSE),O290)</f>
        <v>1810320</v>
      </c>
      <c r="U290" s="56">
        <f>IFERROR(VLOOKUP($M290,'External Gateways'!$C$6:$F$10,4,FALSE),P290)</f>
        <v>6334990</v>
      </c>
      <c r="V290" s="353">
        <f t="shared" si="8"/>
        <v>0</v>
      </c>
      <c r="W290" s="353">
        <f t="shared" si="9"/>
        <v>85</v>
      </c>
    </row>
    <row r="291" spans="1:23" ht="15" customHeight="1" x14ac:dyDescent="0.25">
      <c r="A291" s="128">
        <v>1814</v>
      </c>
      <c r="B291" s="129" t="s">
        <v>253</v>
      </c>
      <c r="C291" s="128" t="s">
        <v>3</v>
      </c>
      <c r="D291" s="129" t="s">
        <v>154</v>
      </c>
      <c r="E291" s="129" t="s">
        <v>162</v>
      </c>
      <c r="F291" s="129">
        <v>92591</v>
      </c>
      <c r="G291" s="129">
        <v>92145</v>
      </c>
      <c r="H291" s="130">
        <v>134</v>
      </c>
      <c r="I291" s="129" t="s">
        <v>408</v>
      </c>
      <c r="J291" s="130">
        <v>7</v>
      </c>
      <c r="K291" s="131">
        <v>2</v>
      </c>
      <c r="L291" s="131" t="s">
        <v>3</v>
      </c>
      <c r="M291" s="131" t="s">
        <v>402</v>
      </c>
      <c r="N291" s="131" t="s">
        <v>327</v>
      </c>
      <c r="O291" s="56">
        <f>VLOOKUP($F291,'ZipCode Coordinates'!$A:$E,4,FALSE)</f>
        <v>2138420</v>
      </c>
      <c r="P291" s="56">
        <f>VLOOKUP($F291,'ZipCode Coordinates'!$A:$E,5,FALSE)</f>
        <v>6299220</v>
      </c>
      <c r="Q291" s="56">
        <f>VLOOKUP($G291,'ZipCode Coordinates'!$A:$E,4,FALSE)</f>
        <v>1896720</v>
      </c>
      <c r="R291" s="56">
        <f>VLOOKUP($G291,'ZipCode Coordinates'!$A:$E,5,FALSE)</f>
        <v>6297440</v>
      </c>
      <c r="S291" s="352" t="str">
        <f>IFERROR(VLOOKUP($M291,'External Gateways'!$C$6:$F$10,2,FALSE),"")</f>
        <v>I-15</v>
      </c>
      <c r="T291" s="56">
        <f>IFERROR(VLOOKUP($M291,'External Gateways'!$C$6:$F$10,3,FALSE),O291)</f>
        <v>2102195</v>
      </c>
      <c r="U291" s="56">
        <f>IFERROR(VLOOKUP($M291,'External Gateways'!$C$6:$F$10,4,FALSE),P291)</f>
        <v>6289147</v>
      </c>
      <c r="V291" s="353">
        <f t="shared" si="8"/>
        <v>7.1211011888925713</v>
      </c>
      <c r="W291" s="353">
        <f t="shared" si="9"/>
        <v>119.75779762221485</v>
      </c>
    </row>
    <row r="292" spans="1:23" ht="15" customHeight="1" x14ac:dyDescent="0.25">
      <c r="A292" s="128">
        <v>1817</v>
      </c>
      <c r="B292" s="129" t="s">
        <v>184</v>
      </c>
      <c r="C292" s="128" t="s">
        <v>68</v>
      </c>
      <c r="D292" s="129" t="s">
        <v>154</v>
      </c>
      <c r="E292" s="129" t="s">
        <v>162</v>
      </c>
      <c r="F292" s="129">
        <v>92592</v>
      </c>
      <c r="G292" s="129">
        <v>92101</v>
      </c>
      <c r="H292" s="130">
        <v>154</v>
      </c>
      <c r="I292" s="129" t="s">
        <v>401</v>
      </c>
      <c r="J292" s="130">
        <v>7</v>
      </c>
      <c r="K292" s="131"/>
      <c r="L292" s="131" t="s">
        <v>68</v>
      </c>
      <c r="M292" s="131" t="s">
        <v>402</v>
      </c>
      <c r="N292" s="131" t="s">
        <v>323</v>
      </c>
      <c r="O292" s="56">
        <f>VLOOKUP($F292,'ZipCode Coordinates'!$A:$E,4,FALSE)</f>
        <v>2128740</v>
      </c>
      <c r="P292" s="56">
        <f>VLOOKUP($F292,'ZipCode Coordinates'!$A:$E,5,FALSE)</f>
        <v>6328900</v>
      </c>
      <c r="Q292" s="56">
        <f>VLOOKUP($G292,'ZipCode Coordinates'!$A:$E,4,FALSE)</f>
        <v>1844080</v>
      </c>
      <c r="R292" s="56">
        <f>VLOOKUP($G292,'ZipCode Coordinates'!$A:$E,5,FALSE)</f>
        <v>6278770</v>
      </c>
      <c r="S292" s="352" t="str">
        <f>IFERROR(VLOOKUP($M292,'External Gateways'!$C$6:$F$10,2,FALSE),"")</f>
        <v>I-15</v>
      </c>
      <c r="T292" s="56">
        <f>IFERROR(VLOOKUP($M292,'External Gateways'!$C$6:$F$10,3,FALSE),O292)</f>
        <v>2102195</v>
      </c>
      <c r="U292" s="56">
        <f>IFERROR(VLOOKUP($M292,'External Gateways'!$C$6:$F$10,4,FALSE),P292)</f>
        <v>6289147</v>
      </c>
      <c r="V292" s="353">
        <f t="shared" si="8"/>
        <v>9.0532245169037147</v>
      </c>
      <c r="W292" s="353">
        <f t="shared" si="9"/>
        <v>135.89355096619258</v>
      </c>
    </row>
    <row r="293" spans="1:23" ht="15" customHeight="1" x14ac:dyDescent="0.25">
      <c r="A293" s="128">
        <v>1819</v>
      </c>
      <c r="B293" s="129" t="s">
        <v>218</v>
      </c>
      <c r="C293" s="128" t="s">
        <v>68</v>
      </c>
      <c r="D293" s="129" t="s">
        <v>158</v>
      </c>
      <c r="E293" s="129" t="s">
        <v>162</v>
      </c>
      <c r="F293" s="129">
        <v>92563</v>
      </c>
      <c r="G293" s="129">
        <v>92161</v>
      </c>
      <c r="H293" s="130">
        <v>123</v>
      </c>
      <c r="I293" s="129" t="s">
        <v>401</v>
      </c>
      <c r="J293" s="130">
        <v>7</v>
      </c>
      <c r="K293" s="131"/>
      <c r="L293" s="131" t="s">
        <v>68</v>
      </c>
      <c r="M293" s="131" t="s">
        <v>402</v>
      </c>
      <c r="N293" s="131" t="s">
        <v>327</v>
      </c>
      <c r="O293" s="56">
        <f>VLOOKUP($F293,'ZipCode Coordinates'!$A:$E,4,FALSE)</f>
        <v>2156450</v>
      </c>
      <c r="P293" s="56">
        <f>VLOOKUP($F293,'ZipCode Coordinates'!$A:$E,5,FALSE)</f>
        <v>6288710</v>
      </c>
      <c r="Q293" s="56">
        <f>VLOOKUP($G293,'ZipCode Coordinates'!$A:$E,4,FALSE)</f>
        <v>1899477</v>
      </c>
      <c r="R293" s="56">
        <f>VLOOKUP($G293,'ZipCode Coordinates'!$A:$E,5,FALSE)</f>
        <v>6258957</v>
      </c>
      <c r="S293" s="352" t="str">
        <f>IFERROR(VLOOKUP($M293,'External Gateways'!$C$6:$F$10,2,FALSE),"")</f>
        <v>I-15</v>
      </c>
      <c r="T293" s="56">
        <f>IFERROR(VLOOKUP($M293,'External Gateways'!$C$6:$F$10,3,FALSE),O293)</f>
        <v>2102195</v>
      </c>
      <c r="U293" s="56">
        <f>IFERROR(VLOOKUP($M293,'External Gateways'!$C$6:$F$10,4,FALSE),P293)</f>
        <v>6289147</v>
      </c>
      <c r="V293" s="353">
        <f t="shared" si="8"/>
        <v>10.275901494735123</v>
      </c>
      <c r="W293" s="353">
        <f t="shared" si="9"/>
        <v>102.44819701052975</v>
      </c>
    </row>
    <row r="294" spans="1:23" ht="15" customHeight="1" x14ac:dyDescent="0.25">
      <c r="A294" s="128">
        <v>1827</v>
      </c>
      <c r="B294" s="129" t="s">
        <v>270</v>
      </c>
      <c r="C294" s="128" t="s">
        <v>3</v>
      </c>
      <c r="D294" s="129" t="s">
        <v>158</v>
      </c>
      <c r="E294" s="129" t="s">
        <v>162</v>
      </c>
      <c r="F294" s="129">
        <v>92563</v>
      </c>
      <c r="G294" s="129">
        <v>92132</v>
      </c>
      <c r="H294" s="130">
        <v>160</v>
      </c>
      <c r="I294" s="129" t="s">
        <v>406</v>
      </c>
      <c r="J294" s="130">
        <v>7</v>
      </c>
      <c r="K294" s="131">
        <v>4</v>
      </c>
      <c r="L294" s="131" t="s">
        <v>3</v>
      </c>
      <c r="M294" s="131" t="s">
        <v>402</v>
      </c>
      <c r="N294" s="131" t="s">
        <v>323</v>
      </c>
      <c r="O294" s="56">
        <f>VLOOKUP($F294,'ZipCode Coordinates'!$A:$E,4,FALSE)</f>
        <v>2156450</v>
      </c>
      <c r="P294" s="56">
        <f>VLOOKUP($F294,'ZipCode Coordinates'!$A:$E,5,FALSE)</f>
        <v>6288710</v>
      </c>
      <c r="Q294" s="56">
        <f>VLOOKUP($G294,'ZipCode Coordinates'!$A:$E,4,FALSE)</f>
        <v>1842732</v>
      </c>
      <c r="R294" s="56">
        <f>VLOOKUP($G294,'ZipCode Coordinates'!$A:$E,5,FALSE)</f>
        <v>6278505</v>
      </c>
      <c r="S294" s="352" t="str">
        <f>IFERROR(VLOOKUP($M294,'External Gateways'!$C$6:$F$10,2,FALSE),"")</f>
        <v>I-15</v>
      </c>
      <c r="T294" s="56">
        <f>IFERROR(VLOOKUP($M294,'External Gateways'!$C$6:$F$10,3,FALSE),O294)</f>
        <v>2102195</v>
      </c>
      <c r="U294" s="56">
        <f>IFERROR(VLOOKUP($M294,'External Gateways'!$C$6:$F$10,4,FALSE),P294)</f>
        <v>6289147</v>
      </c>
      <c r="V294" s="353">
        <f t="shared" si="8"/>
        <v>10.275901494735123</v>
      </c>
      <c r="W294" s="353">
        <f t="shared" si="9"/>
        <v>139.44819701052975</v>
      </c>
    </row>
    <row r="295" spans="1:23" ht="15" customHeight="1" x14ac:dyDescent="0.25">
      <c r="A295" s="128">
        <v>1828</v>
      </c>
      <c r="B295" s="129" t="s">
        <v>298</v>
      </c>
      <c r="C295" s="128" t="s">
        <v>163</v>
      </c>
      <c r="D295" s="129" t="s">
        <v>158</v>
      </c>
      <c r="E295" s="129" t="s">
        <v>162</v>
      </c>
      <c r="F295" s="129">
        <v>92563</v>
      </c>
      <c r="G295" s="129">
        <v>92123</v>
      </c>
      <c r="H295" s="130">
        <v>135</v>
      </c>
      <c r="I295" s="129" t="s">
        <v>418</v>
      </c>
      <c r="J295" s="130">
        <v>9</v>
      </c>
      <c r="K295" s="131"/>
      <c r="L295" s="131" t="s">
        <v>5</v>
      </c>
      <c r="M295" s="131" t="s">
        <v>402</v>
      </c>
      <c r="N295" s="131" t="s">
        <v>327</v>
      </c>
      <c r="O295" s="56">
        <f>VLOOKUP($F295,'ZipCode Coordinates'!$A:$E,4,FALSE)</f>
        <v>2156450</v>
      </c>
      <c r="P295" s="56">
        <f>VLOOKUP($F295,'ZipCode Coordinates'!$A:$E,5,FALSE)</f>
        <v>6288710</v>
      </c>
      <c r="Q295" s="56">
        <f>VLOOKUP($G295,'ZipCode Coordinates'!$A:$E,4,FALSE)</f>
        <v>1874700</v>
      </c>
      <c r="R295" s="56">
        <f>VLOOKUP($G295,'ZipCode Coordinates'!$A:$E,5,FALSE)</f>
        <v>6289760</v>
      </c>
      <c r="S295" s="352" t="str">
        <f>IFERROR(VLOOKUP($M295,'External Gateways'!$C$6:$F$10,2,FALSE),"")</f>
        <v>I-15</v>
      </c>
      <c r="T295" s="56">
        <f>IFERROR(VLOOKUP($M295,'External Gateways'!$C$6:$F$10,3,FALSE),O295)</f>
        <v>2102195</v>
      </c>
      <c r="U295" s="56">
        <f>IFERROR(VLOOKUP($M295,'External Gateways'!$C$6:$F$10,4,FALSE),P295)</f>
        <v>6289147</v>
      </c>
      <c r="V295" s="353">
        <f t="shared" si="8"/>
        <v>10.275901494735123</v>
      </c>
      <c r="W295" s="353">
        <f t="shared" si="9"/>
        <v>114.44819701052975</v>
      </c>
    </row>
    <row r="296" spans="1:23" ht="15" customHeight="1" x14ac:dyDescent="0.25">
      <c r="A296" s="128">
        <v>1833</v>
      </c>
      <c r="B296" s="129" t="s">
        <v>178</v>
      </c>
      <c r="C296" s="128" t="s">
        <v>179</v>
      </c>
      <c r="D296" s="129" t="s">
        <v>158</v>
      </c>
      <c r="E296" s="129" t="s">
        <v>162</v>
      </c>
      <c r="F296" s="129">
        <v>92563</v>
      </c>
      <c r="G296" s="129">
        <v>92121</v>
      </c>
      <c r="H296" s="130">
        <v>112</v>
      </c>
      <c r="I296" s="129" t="s">
        <v>408</v>
      </c>
      <c r="J296" s="130">
        <v>7</v>
      </c>
      <c r="K296" s="131">
        <v>2</v>
      </c>
      <c r="L296" s="131" t="s">
        <v>5</v>
      </c>
      <c r="M296" s="131" t="s">
        <v>402</v>
      </c>
      <c r="N296" s="131" t="s">
        <v>327</v>
      </c>
      <c r="O296" s="56">
        <f>VLOOKUP($F296,'ZipCode Coordinates'!$A:$E,4,FALSE)</f>
        <v>2156450</v>
      </c>
      <c r="P296" s="56">
        <f>VLOOKUP($F296,'ZipCode Coordinates'!$A:$E,5,FALSE)</f>
        <v>6288710</v>
      </c>
      <c r="Q296" s="56">
        <f>VLOOKUP($G296,'ZipCode Coordinates'!$A:$E,4,FALSE)</f>
        <v>1907910</v>
      </c>
      <c r="R296" s="56">
        <f>VLOOKUP($G296,'ZipCode Coordinates'!$A:$E,5,FALSE)</f>
        <v>6269540</v>
      </c>
      <c r="S296" s="352" t="str">
        <f>IFERROR(VLOOKUP($M296,'External Gateways'!$C$6:$F$10,2,FALSE),"")</f>
        <v>I-15</v>
      </c>
      <c r="T296" s="56">
        <f>IFERROR(VLOOKUP($M296,'External Gateways'!$C$6:$F$10,3,FALSE),O296)</f>
        <v>2102195</v>
      </c>
      <c r="U296" s="56">
        <f>IFERROR(VLOOKUP($M296,'External Gateways'!$C$6:$F$10,4,FALSE),P296)</f>
        <v>6289147</v>
      </c>
      <c r="V296" s="353">
        <f t="shared" si="8"/>
        <v>10.275901494735123</v>
      </c>
      <c r="W296" s="353">
        <f t="shared" si="9"/>
        <v>91.448197010529753</v>
      </c>
    </row>
    <row r="297" spans="1:23" ht="15" customHeight="1" x14ac:dyDescent="0.25">
      <c r="A297" s="128">
        <v>1836</v>
      </c>
      <c r="B297" s="129" t="s">
        <v>257</v>
      </c>
      <c r="C297" s="128" t="s">
        <v>3</v>
      </c>
      <c r="D297" s="129" t="s">
        <v>154</v>
      </c>
      <c r="E297" s="129" t="s">
        <v>162</v>
      </c>
      <c r="F297" s="129">
        <v>92584</v>
      </c>
      <c r="G297" s="129">
        <v>92155</v>
      </c>
      <c r="H297" s="130">
        <v>185</v>
      </c>
      <c r="I297" s="129" t="s">
        <v>459</v>
      </c>
      <c r="J297" s="130">
        <v>8</v>
      </c>
      <c r="K297" s="131"/>
      <c r="L297" s="131" t="s">
        <v>3</v>
      </c>
      <c r="M297" s="131" t="s">
        <v>402</v>
      </c>
      <c r="N297" s="131" t="s">
        <v>323</v>
      </c>
      <c r="O297" s="56">
        <f>VLOOKUP($F297,'ZipCode Coordinates'!$A:$E,4,FALSE)</f>
        <v>2185160</v>
      </c>
      <c r="P297" s="56">
        <f>VLOOKUP($F297,'ZipCode Coordinates'!$A:$E,5,FALSE)</f>
        <v>6280270</v>
      </c>
      <c r="Q297" s="56">
        <f>VLOOKUP($G297,'ZipCode Coordinates'!$A:$E,4,FALSE)</f>
        <v>1826710</v>
      </c>
      <c r="R297" s="56">
        <f>VLOOKUP($G297,'ZipCode Coordinates'!$A:$E,5,FALSE)</f>
        <v>6281240</v>
      </c>
      <c r="S297" s="352" t="str">
        <f>IFERROR(VLOOKUP($M297,'External Gateways'!$C$6:$F$10,2,FALSE),"")</f>
        <v>I-15</v>
      </c>
      <c r="T297" s="56">
        <f>IFERROR(VLOOKUP($M297,'External Gateways'!$C$6:$F$10,3,FALSE),O297)</f>
        <v>2102195</v>
      </c>
      <c r="U297" s="56">
        <f>IFERROR(VLOOKUP($M297,'External Gateways'!$C$6:$F$10,4,FALSE),P297)</f>
        <v>6289147</v>
      </c>
      <c r="V297" s="353">
        <f t="shared" si="8"/>
        <v>15.802756507931361</v>
      </c>
      <c r="W297" s="353">
        <f t="shared" si="9"/>
        <v>153.39448698413727</v>
      </c>
    </row>
    <row r="298" spans="1:23" ht="15" customHeight="1" x14ac:dyDescent="0.25">
      <c r="A298" s="128">
        <v>1842</v>
      </c>
      <c r="B298" s="129" t="s">
        <v>311</v>
      </c>
      <c r="C298" s="128" t="s">
        <v>411</v>
      </c>
      <c r="D298" s="129" t="s">
        <v>165</v>
      </c>
      <c r="E298" s="129" t="s">
        <v>413</v>
      </c>
      <c r="F298" s="129">
        <v>91911</v>
      </c>
      <c r="G298" s="129">
        <v>92093</v>
      </c>
      <c r="H298" s="130">
        <v>48</v>
      </c>
      <c r="I298" s="129" t="s">
        <v>418</v>
      </c>
      <c r="J298" s="130">
        <v>9</v>
      </c>
      <c r="K298" s="131"/>
      <c r="L298" s="131" t="s">
        <v>5</v>
      </c>
      <c r="M298" s="131" t="s">
        <v>328</v>
      </c>
      <c r="N298" s="131" t="s">
        <v>327</v>
      </c>
      <c r="O298" s="56">
        <f>VLOOKUP($F298,'ZipCode Coordinates'!$A:$E,4,FALSE)</f>
        <v>1801570</v>
      </c>
      <c r="P298" s="56">
        <f>VLOOKUP($F298,'ZipCode Coordinates'!$A:$E,5,FALSE)</f>
        <v>6315270</v>
      </c>
      <c r="Q298" s="56">
        <f>VLOOKUP($G298,'ZipCode Coordinates'!$A:$E,4,FALSE)</f>
        <v>1901870</v>
      </c>
      <c r="R298" s="56">
        <f>VLOOKUP($G298,'ZipCode Coordinates'!$A:$E,5,FALSE)</f>
        <v>6259600</v>
      </c>
      <c r="S298" s="352" t="str">
        <f>IFERROR(VLOOKUP($M298,'External Gateways'!$C$6:$F$10,2,FALSE),"")</f>
        <v/>
      </c>
      <c r="T298" s="56">
        <f>IFERROR(VLOOKUP($M298,'External Gateways'!$C$6:$F$10,3,FALSE),O298)</f>
        <v>1801570</v>
      </c>
      <c r="U298" s="56">
        <f>IFERROR(VLOOKUP($M298,'External Gateways'!$C$6:$F$10,4,FALSE),P298)</f>
        <v>6315270</v>
      </c>
      <c r="V298" s="353">
        <f t="shared" si="8"/>
        <v>0</v>
      </c>
      <c r="W298" s="353">
        <f t="shared" si="9"/>
        <v>48</v>
      </c>
    </row>
    <row r="299" spans="1:23" ht="15" customHeight="1" x14ac:dyDescent="0.25">
      <c r="A299" s="128">
        <v>1843</v>
      </c>
      <c r="B299" s="129" t="s">
        <v>271</v>
      </c>
      <c r="C299" s="128" t="s">
        <v>166</v>
      </c>
      <c r="D299" s="129" t="s">
        <v>272</v>
      </c>
      <c r="E299" s="129" t="s">
        <v>162</v>
      </c>
      <c r="F299" s="129">
        <v>90035</v>
      </c>
      <c r="G299" s="129">
        <v>92127</v>
      </c>
      <c r="H299" s="130">
        <v>180</v>
      </c>
      <c r="I299" s="129" t="s">
        <v>400</v>
      </c>
      <c r="J299" s="130">
        <v>7</v>
      </c>
      <c r="K299" s="131"/>
      <c r="L299" s="131" t="s">
        <v>5</v>
      </c>
      <c r="M299" s="131" t="s">
        <v>528</v>
      </c>
      <c r="N299" s="131" t="s">
        <v>327</v>
      </c>
      <c r="O299" s="56">
        <f>VLOOKUP($F299,'ZipCode Coordinates'!$A:$E,4,FALSE)</f>
        <v>2332990</v>
      </c>
      <c r="P299" s="56">
        <f>VLOOKUP($F299,'ZipCode Coordinates'!$A:$E,5,FALSE)</f>
        <v>5915330</v>
      </c>
      <c r="Q299" s="56">
        <f>VLOOKUP($G299,'ZipCode Coordinates'!$A:$E,4,FALSE)</f>
        <v>1951970</v>
      </c>
      <c r="R299" s="56">
        <f>VLOOKUP($G299,'ZipCode Coordinates'!$A:$E,5,FALSE)</f>
        <v>6293830</v>
      </c>
      <c r="S299" s="352" t="str">
        <f>IFERROR(VLOOKUP($M299,'External Gateways'!$C$6:$F$10,2,FALSE),"")</f>
        <v>I-5</v>
      </c>
      <c r="T299" s="56">
        <f>IFERROR(VLOOKUP($M299,'External Gateways'!$C$6:$F$10,3,FALSE),O299)</f>
        <v>2090594</v>
      </c>
      <c r="U299" s="56">
        <f>IFERROR(VLOOKUP($M299,'External Gateways'!$C$6:$F$10,4,FALSE),P299)</f>
        <v>6151524</v>
      </c>
      <c r="V299" s="353">
        <f t="shared" si="8"/>
        <v>64.098986494233472</v>
      </c>
      <c r="W299" s="353">
        <f t="shared" si="9"/>
        <v>51.802027011533056</v>
      </c>
    </row>
    <row r="300" spans="1:23" ht="15" customHeight="1" x14ac:dyDescent="0.25">
      <c r="A300" s="128">
        <v>1848</v>
      </c>
      <c r="B300" s="129" t="s">
        <v>218</v>
      </c>
      <c r="C300" s="128" t="s">
        <v>68</v>
      </c>
      <c r="D300" s="129" t="s">
        <v>240</v>
      </c>
      <c r="E300" s="129" t="s">
        <v>162</v>
      </c>
      <c r="F300" s="129">
        <v>92024</v>
      </c>
      <c r="G300" s="129">
        <v>92161</v>
      </c>
      <c r="H300" s="130">
        <v>34</v>
      </c>
      <c r="I300" s="129" t="s">
        <v>420</v>
      </c>
      <c r="J300" s="130">
        <v>7</v>
      </c>
      <c r="K300" s="131">
        <v>2</v>
      </c>
      <c r="L300" s="131" t="s">
        <v>68</v>
      </c>
      <c r="M300" s="131" t="s">
        <v>324</v>
      </c>
      <c r="N300" s="131" t="s">
        <v>327</v>
      </c>
      <c r="O300" s="56">
        <f>VLOOKUP($F300,'ZipCode Coordinates'!$A:$E,4,FALSE)</f>
        <v>1966410</v>
      </c>
      <c r="P300" s="56">
        <f>VLOOKUP($F300,'ZipCode Coordinates'!$A:$E,5,FALSE)</f>
        <v>6253590</v>
      </c>
      <c r="Q300" s="56">
        <f>VLOOKUP($G300,'ZipCode Coordinates'!$A:$E,4,FALSE)</f>
        <v>1899477</v>
      </c>
      <c r="R300" s="56">
        <f>VLOOKUP($G300,'ZipCode Coordinates'!$A:$E,5,FALSE)</f>
        <v>6258957</v>
      </c>
      <c r="S300" s="352" t="str">
        <f>IFERROR(VLOOKUP($M300,'External Gateways'!$C$6:$F$10,2,FALSE),"")</f>
        <v/>
      </c>
      <c r="T300" s="56">
        <f>IFERROR(VLOOKUP($M300,'External Gateways'!$C$6:$F$10,3,FALSE),O300)</f>
        <v>1966410</v>
      </c>
      <c r="U300" s="56">
        <f>IFERROR(VLOOKUP($M300,'External Gateways'!$C$6:$F$10,4,FALSE),P300)</f>
        <v>6253590</v>
      </c>
      <c r="V300" s="353">
        <f t="shared" si="8"/>
        <v>0</v>
      </c>
      <c r="W300" s="353">
        <f t="shared" si="9"/>
        <v>34</v>
      </c>
    </row>
    <row r="301" spans="1:23" ht="15" customHeight="1" x14ac:dyDescent="0.25">
      <c r="A301" s="128">
        <v>1853</v>
      </c>
      <c r="B301" s="129" t="s">
        <v>307</v>
      </c>
      <c r="C301" s="128" t="s">
        <v>3</v>
      </c>
      <c r="D301" s="129" t="s">
        <v>170</v>
      </c>
      <c r="E301" s="129" t="s">
        <v>162</v>
      </c>
      <c r="F301" s="129">
        <v>92584</v>
      </c>
      <c r="G301" s="129">
        <v>92110</v>
      </c>
      <c r="H301" s="130">
        <v>160</v>
      </c>
      <c r="I301" s="129" t="s">
        <v>406</v>
      </c>
      <c r="J301" s="130">
        <v>7</v>
      </c>
      <c r="K301" s="131"/>
      <c r="L301" s="131" t="s">
        <v>3</v>
      </c>
      <c r="M301" s="131" t="s">
        <v>402</v>
      </c>
      <c r="N301" s="131" t="s">
        <v>327</v>
      </c>
      <c r="O301" s="56">
        <f>VLOOKUP($F301,'ZipCode Coordinates'!$A:$E,4,FALSE)</f>
        <v>2185160</v>
      </c>
      <c r="P301" s="56">
        <f>VLOOKUP($F301,'ZipCode Coordinates'!$A:$E,5,FALSE)</f>
        <v>6280270</v>
      </c>
      <c r="Q301" s="56">
        <f>VLOOKUP($G301,'ZipCode Coordinates'!$A:$E,4,FALSE)</f>
        <v>1859050</v>
      </c>
      <c r="R301" s="56">
        <f>VLOOKUP($G301,'ZipCode Coordinates'!$A:$E,5,FALSE)</f>
        <v>6269400</v>
      </c>
      <c r="S301" s="352" t="str">
        <f>IFERROR(VLOOKUP($M301,'External Gateways'!$C$6:$F$10,2,FALSE),"")</f>
        <v>I-15</v>
      </c>
      <c r="T301" s="56">
        <f>IFERROR(VLOOKUP($M301,'External Gateways'!$C$6:$F$10,3,FALSE),O301)</f>
        <v>2102195</v>
      </c>
      <c r="U301" s="56">
        <f>IFERROR(VLOOKUP($M301,'External Gateways'!$C$6:$F$10,4,FALSE),P301)</f>
        <v>6289147</v>
      </c>
      <c r="V301" s="353">
        <f t="shared" si="8"/>
        <v>15.802756507931361</v>
      </c>
      <c r="W301" s="353">
        <f t="shared" si="9"/>
        <v>128.39448698413727</v>
      </c>
    </row>
    <row r="302" spans="1:23" ht="15" customHeight="1" x14ac:dyDescent="0.25">
      <c r="A302" s="128">
        <v>1854</v>
      </c>
      <c r="B302" s="129" t="s">
        <v>211</v>
      </c>
      <c r="C302" s="128" t="s">
        <v>198</v>
      </c>
      <c r="D302" s="129" t="s">
        <v>162</v>
      </c>
      <c r="E302" s="129" t="s">
        <v>210</v>
      </c>
      <c r="F302" s="129">
        <v>92139</v>
      </c>
      <c r="G302" s="129">
        <v>92081</v>
      </c>
      <c r="H302" s="130">
        <v>114</v>
      </c>
      <c r="I302" s="129" t="s">
        <v>455</v>
      </c>
      <c r="J302" s="130">
        <v>7</v>
      </c>
      <c r="K302" s="131"/>
      <c r="L302" s="131" t="s">
        <v>5</v>
      </c>
      <c r="M302" s="131" t="s">
        <v>323</v>
      </c>
      <c r="N302" s="131" t="s">
        <v>325</v>
      </c>
      <c r="O302" s="56">
        <f>VLOOKUP($F302,'ZipCode Coordinates'!$A:$E,4,FALSE)</f>
        <v>1828110</v>
      </c>
      <c r="P302" s="56">
        <f>VLOOKUP($F302,'ZipCode Coordinates'!$A:$E,5,FALSE)</f>
        <v>6315850</v>
      </c>
      <c r="Q302" s="56">
        <f>VLOOKUP($G302,'ZipCode Coordinates'!$A:$E,4,FALSE)</f>
        <v>2005090</v>
      </c>
      <c r="R302" s="56">
        <f>VLOOKUP($G302,'ZipCode Coordinates'!$A:$E,5,FALSE)</f>
        <v>6258440</v>
      </c>
      <c r="S302" s="352" t="str">
        <f>IFERROR(VLOOKUP($M302,'External Gateways'!$C$6:$F$10,2,FALSE),"")</f>
        <v/>
      </c>
      <c r="T302" s="56">
        <f>IFERROR(VLOOKUP($M302,'External Gateways'!$C$6:$F$10,3,FALSE),O302)</f>
        <v>1828110</v>
      </c>
      <c r="U302" s="56">
        <f>IFERROR(VLOOKUP($M302,'External Gateways'!$C$6:$F$10,4,FALSE),P302)</f>
        <v>6315850</v>
      </c>
      <c r="V302" s="353">
        <f t="shared" si="8"/>
        <v>0</v>
      </c>
      <c r="W302" s="353">
        <f t="shared" si="9"/>
        <v>114</v>
      </c>
    </row>
    <row r="303" spans="1:23" ht="15" customHeight="1" x14ac:dyDescent="0.25">
      <c r="A303" s="128">
        <v>1859</v>
      </c>
      <c r="B303" s="129" t="s">
        <v>82</v>
      </c>
      <c r="C303" s="128" t="s">
        <v>3</v>
      </c>
      <c r="D303" s="129" t="s">
        <v>158</v>
      </c>
      <c r="E303" s="129" t="s">
        <v>82</v>
      </c>
      <c r="F303" s="129">
        <v>92562</v>
      </c>
      <c r="G303" s="129">
        <v>92055</v>
      </c>
      <c r="H303" s="130">
        <v>109</v>
      </c>
      <c r="I303" s="129" t="s">
        <v>470</v>
      </c>
      <c r="J303" s="130">
        <v>10</v>
      </c>
      <c r="K303" s="131"/>
      <c r="L303" s="131" t="s">
        <v>3</v>
      </c>
      <c r="M303" s="131" t="s">
        <v>402</v>
      </c>
      <c r="N303" s="131" t="s">
        <v>324</v>
      </c>
      <c r="O303" s="56">
        <f>VLOOKUP($F303,'ZipCode Coordinates'!$A:$E,4,FALSE)</f>
        <v>2144470</v>
      </c>
      <c r="P303" s="56">
        <f>VLOOKUP($F303,'ZipCode Coordinates'!$A:$E,5,FALSE)</f>
        <v>6251450</v>
      </c>
      <c r="Q303" s="56">
        <f>VLOOKUP($G303,'ZipCode Coordinates'!$A:$E,4,FALSE)</f>
        <v>2082470</v>
      </c>
      <c r="R303" s="56">
        <f>VLOOKUP($G303,'ZipCode Coordinates'!$A:$E,5,FALSE)</f>
        <v>6206470</v>
      </c>
      <c r="S303" s="352" t="str">
        <f>IFERROR(VLOOKUP($M303,'External Gateways'!$C$6:$F$10,2,FALSE),"")</f>
        <v>I-15</v>
      </c>
      <c r="T303" s="56">
        <f>IFERROR(VLOOKUP($M303,'External Gateways'!$C$6:$F$10,3,FALSE),O303)</f>
        <v>2102195</v>
      </c>
      <c r="U303" s="56">
        <f>IFERROR(VLOOKUP($M303,'External Gateways'!$C$6:$F$10,4,FALSE),P303)</f>
        <v>6289147</v>
      </c>
      <c r="V303" s="353">
        <f t="shared" si="8"/>
        <v>10.727523233277124</v>
      </c>
      <c r="W303" s="353">
        <f t="shared" si="9"/>
        <v>87.544953533445749</v>
      </c>
    </row>
    <row r="304" spans="1:23" ht="15" customHeight="1" x14ac:dyDescent="0.25">
      <c r="A304" s="128">
        <v>1860</v>
      </c>
      <c r="B304" s="129" t="s">
        <v>267</v>
      </c>
      <c r="C304" s="128" t="s">
        <v>3</v>
      </c>
      <c r="D304" s="129" t="s">
        <v>158</v>
      </c>
      <c r="E304" s="129" t="s">
        <v>162</v>
      </c>
      <c r="F304" s="129">
        <v>92563</v>
      </c>
      <c r="G304" s="129">
        <v>92134</v>
      </c>
      <c r="H304" s="130">
        <v>52</v>
      </c>
      <c r="I304" s="129" t="s">
        <v>416</v>
      </c>
      <c r="J304" s="130">
        <v>7</v>
      </c>
      <c r="K304" s="131"/>
      <c r="L304" s="131" t="s">
        <v>3</v>
      </c>
      <c r="M304" s="131" t="s">
        <v>402</v>
      </c>
      <c r="N304" s="131" t="s">
        <v>323</v>
      </c>
      <c r="O304" s="56">
        <f>VLOOKUP($F304,'ZipCode Coordinates'!$A:$E,4,FALSE)</f>
        <v>2156450</v>
      </c>
      <c r="P304" s="56">
        <f>VLOOKUP($F304,'ZipCode Coordinates'!$A:$E,5,FALSE)</f>
        <v>6288710</v>
      </c>
      <c r="Q304" s="56">
        <f>VLOOKUP($G304,'ZipCode Coordinates'!$A:$E,4,FALSE)</f>
        <v>1845130</v>
      </c>
      <c r="R304" s="56">
        <f>VLOOKUP($G304,'ZipCode Coordinates'!$A:$E,5,FALSE)</f>
        <v>6286040</v>
      </c>
      <c r="S304" s="352" t="str">
        <f>IFERROR(VLOOKUP($M304,'External Gateways'!$C$6:$F$10,2,FALSE),"")</f>
        <v>I-15</v>
      </c>
      <c r="T304" s="56">
        <f>IFERROR(VLOOKUP($M304,'External Gateways'!$C$6:$F$10,3,FALSE),O304)</f>
        <v>2102195</v>
      </c>
      <c r="U304" s="56">
        <f>IFERROR(VLOOKUP($M304,'External Gateways'!$C$6:$F$10,4,FALSE),P304)</f>
        <v>6289147</v>
      </c>
      <c r="V304" s="353">
        <f t="shared" si="8"/>
        <v>10.275901494735123</v>
      </c>
      <c r="W304" s="353">
        <f t="shared" si="9"/>
        <v>31.448197010529753</v>
      </c>
    </row>
    <row r="305" spans="1:23" ht="15" customHeight="1" x14ac:dyDescent="0.25">
      <c r="A305" s="128">
        <v>1862</v>
      </c>
      <c r="B305" s="129" t="s">
        <v>218</v>
      </c>
      <c r="C305" s="128" t="s">
        <v>68</v>
      </c>
      <c r="D305" s="129" t="s">
        <v>165</v>
      </c>
      <c r="E305" s="129" t="s">
        <v>162</v>
      </c>
      <c r="F305" s="129">
        <v>91915</v>
      </c>
      <c r="G305" s="129">
        <v>92161</v>
      </c>
      <c r="H305" s="130">
        <v>85</v>
      </c>
      <c r="I305" s="129" t="s">
        <v>401</v>
      </c>
      <c r="J305" s="130">
        <v>7</v>
      </c>
      <c r="K305" s="131"/>
      <c r="L305" s="131" t="s">
        <v>68</v>
      </c>
      <c r="M305" s="131" t="s">
        <v>326</v>
      </c>
      <c r="N305" s="131" t="s">
        <v>327</v>
      </c>
      <c r="O305" s="56">
        <f>VLOOKUP($F305,'ZipCode Coordinates'!$A:$E,4,FALSE)</f>
        <v>1804550</v>
      </c>
      <c r="P305" s="56">
        <f>VLOOKUP($F305,'ZipCode Coordinates'!$A:$E,5,FALSE)</f>
        <v>6342300</v>
      </c>
      <c r="Q305" s="56">
        <f>VLOOKUP($G305,'ZipCode Coordinates'!$A:$E,4,FALSE)</f>
        <v>1899477</v>
      </c>
      <c r="R305" s="56">
        <f>VLOOKUP($G305,'ZipCode Coordinates'!$A:$E,5,FALSE)</f>
        <v>6258957</v>
      </c>
      <c r="S305" s="352" t="str">
        <f>IFERROR(VLOOKUP($M305,'External Gateways'!$C$6:$F$10,2,FALSE),"")</f>
        <v/>
      </c>
      <c r="T305" s="56">
        <f>IFERROR(VLOOKUP($M305,'External Gateways'!$C$6:$F$10,3,FALSE),O305)</f>
        <v>1804550</v>
      </c>
      <c r="U305" s="56">
        <f>IFERROR(VLOOKUP($M305,'External Gateways'!$C$6:$F$10,4,FALSE),P305)</f>
        <v>6342300</v>
      </c>
      <c r="V305" s="353">
        <f t="shared" si="8"/>
        <v>0</v>
      </c>
      <c r="W305" s="353">
        <f t="shared" si="9"/>
        <v>85</v>
      </c>
    </row>
    <row r="306" spans="1:23" ht="15" customHeight="1" x14ac:dyDescent="0.25">
      <c r="A306" s="128">
        <v>1867</v>
      </c>
      <c r="B306" s="129" t="s">
        <v>307</v>
      </c>
      <c r="C306" s="128" t="s">
        <v>3</v>
      </c>
      <c r="D306" s="129" t="s">
        <v>170</v>
      </c>
      <c r="E306" s="129" t="s">
        <v>162</v>
      </c>
      <c r="F306" s="129">
        <v>92584</v>
      </c>
      <c r="G306" s="129">
        <v>92152</v>
      </c>
      <c r="H306" s="130">
        <v>166</v>
      </c>
      <c r="I306" s="129" t="s">
        <v>416</v>
      </c>
      <c r="J306" s="130">
        <v>7</v>
      </c>
      <c r="K306" s="131">
        <v>2</v>
      </c>
      <c r="L306" s="131" t="s">
        <v>3</v>
      </c>
      <c r="M306" s="131" t="s">
        <v>402</v>
      </c>
      <c r="N306" s="131" t="s">
        <v>323</v>
      </c>
      <c r="O306" s="56">
        <f>VLOOKUP($F306,'ZipCode Coordinates'!$A:$E,4,FALSE)</f>
        <v>2185160</v>
      </c>
      <c r="P306" s="56">
        <f>VLOOKUP($F306,'ZipCode Coordinates'!$A:$E,5,FALSE)</f>
        <v>6280270</v>
      </c>
      <c r="Q306" s="56">
        <f>VLOOKUP($G306,'ZipCode Coordinates'!$A:$E,4,FALSE)</f>
        <v>1833340</v>
      </c>
      <c r="R306" s="56">
        <f>VLOOKUP($G306,'ZipCode Coordinates'!$A:$E,5,FALSE)</f>
        <v>6255150</v>
      </c>
      <c r="S306" s="352" t="str">
        <f>IFERROR(VLOOKUP($M306,'External Gateways'!$C$6:$F$10,2,FALSE),"")</f>
        <v>I-15</v>
      </c>
      <c r="T306" s="56">
        <f>IFERROR(VLOOKUP($M306,'External Gateways'!$C$6:$F$10,3,FALSE),O306)</f>
        <v>2102195</v>
      </c>
      <c r="U306" s="56">
        <f>IFERROR(VLOOKUP($M306,'External Gateways'!$C$6:$F$10,4,FALSE),P306)</f>
        <v>6289147</v>
      </c>
      <c r="V306" s="353">
        <f t="shared" si="8"/>
        <v>15.802756507931361</v>
      </c>
      <c r="W306" s="353">
        <f t="shared" si="9"/>
        <v>134.39448698413727</v>
      </c>
    </row>
    <row r="307" spans="1:23" ht="15" customHeight="1" x14ac:dyDescent="0.25">
      <c r="A307" s="128">
        <v>1868</v>
      </c>
      <c r="B307" s="129" t="s">
        <v>183</v>
      </c>
      <c r="C307" s="128" t="s">
        <v>404</v>
      </c>
      <c r="D307" s="129" t="s">
        <v>165</v>
      </c>
      <c r="E307" s="129" t="s">
        <v>162</v>
      </c>
      <c r="F307" s="129">
        <v>91910</v>
      </c>
      <c r="G307" s="129">
        <v>92128</v>
      </c>
      <c r="H307" s="130">
        <v>59</v>
      </c>
      <c r="I307" s="129" t="s">
        <v>408</v>
      </c>
      <c r="J307" s="130">
        <v>7</v>
      </c>
      <c r="K307" s="131"/>
      <c r="L307" s="131" t="s">
        <v>5</v>
      </c>
      <c r="M307" s="131" t="s">
        <v>328</v>
      </c>
      <c r="N307" s="131" t="s">
        <v>327</v>
      </c>
      <c r="O307" s="56">
        <f>VLOOKUP($F307,'ZipCode Coordinates'!$A:$E,4,FALSE)</f>
        <v>1812850</v>
      </c>
      <c r="P307" s="56">
        <f>VLOOKUP($F307,'ZipCode Coordinates'!$A:$E,5,FALSE)</f>
        <v>6313650</v>
      </c>
      <c r="Q307" s="56">
        <f>VLOOKUP($G307,'ZipCode Coordinates'!$A:$E,4,FALSE)</f>
        <v>1943580</v>
      </c>
      <c r="R307" s="56">
        <f>VLOOKUP($G307,'ZipCode Coordinates'!$A:$E,5,FALSE)</f>
        <v>6309440</v>
      </c>
      <c r="S307" s="352" t="str">
        <f>IFERROR(VLOOKUP($M307,'External Gateways'!$C$6:$F$10,2,FALSE),"")</f>
        <v/>
      </c>
      <c r="T307" s="56">
        <f>IFERROR(VLOOKUP($M307,'External Gateways'!$C$6:$F$10,3,FALSE),O307)</f>
        <v>1812850</v>
      </c>
      <c r="U307" s="56">
        <f>IFERROR(VLOOKUP($M307,'External Gateways'!$C$6:$F$10,4,FALSE),P307)</f>
        <v>6313650</v>
      </c>
      <c r="V307" s="353">
        <f t="shared" si="8"/>
        <v>0</v>
      </c>
      <c r="W307" s="353">
        <f t="shared" si="9"/>
        <v>59</v>
      </c>
    </row>
    <row r="308" spans="1:23" ht="15" customHeight="1" x14ac:dyDescent="0.25">
      <c r="A308" s="128">
        <v>1874</v>
      </c>
      <c r="B308" s="129" t="s">
        <v>266</v>
      </c>
      <c r="C308" s="128" t="s">
        <v>3</v>
      </c>
      <c r="D308" s="129" t="s">
        <v>165</v>
      </c>
      <c r="E308" s="129" t="s">
        <v>176</v>
      </c>
      <c r="F308" s="129">
        <v>91915</v>
      </c>
      <c r="G308" s="129">
        <v>92243</v>
      </c>
      <c r="H308" s="130">
        <v>198</v>
      </c>
      <c r="I308" s="129" t="s">
        <v>408</v>
      </c>
      <c r="J308" s="130">
        <v>7</v>
      </c>
      <c r="K308" s="131"/>
      <c r="L308" s="131" t="s">
        <v>3</v>
      </c>
      <c r="M308" s="131" t="s">
        <v>326</v>
      </c>
      <c r="N308" s="131" t="s">
        <v>431</v>
      </c>
      <c r="O308" s="56">
        <f>VLOOKUP($F308,'ZipCode Coordinates'!$A:$E,4,FALSE)</f>
        <v>1804550</v>
      </c>
      <c r="P308" s="56">
        <f>VLOOKUP($F308,'ZipCode Coordinates'!$A:$E,5,FALSE)</f>
        <v>6342300</v>
      </c>
      <c r="Q308" s="56">
        <f>VLOOKUP($G308,'ZipCode Coordinates'!$A:$E,4,FALSE)</f>
        <v>1861900</v>
      </c>
      <c r="R308" s="56">
        <f>VLOOKUP($G308,'ZipCode Coordinates'!$A:$E,5,FALSE)</f>
        <v>6761000</v>
      </c>
      <c r="S308" s="352" t="str">
        <f>IFERROR(VLOOKUP($M308,'External Gateways'!$C$6:$F$10,2,FALSE),"")</f>
        <v/>
      </c>
      <c r="T308" s="56">
        <f>IFERROR(VLOOKUP($M308,'External Gateways'!$C$6:$F$10,3,FALSE),O308)</f>
        <v>1804550</v>
      </c>
      <c r="U308" s="56">
        <f>IFERROR(VLOOKUP($M308,'External Gateways'!$C$6:$F$10,4,FALSE),P308)</f>
        <v>6342300</v>
      </c>
      <c r="V308" s="353">
        <f t="shared" si="8"/>
        <v>0</v>
      </c>
      <c r="W308" s="353">
        <f t="shared" si="9"/>
        <v>198</v>
      </c>
    </row>
    <row r="309" spans="1:23" ht="15" customHeight="1" x14ac:dyDescent="0.25">
      <c r="A309" s="128">
        <v>1877</v>
      </c>
      <c r="B309" s="129" t="s">
        <v>311</v>
      </c>
      <c r="C309" s="128" t="s">
        <v>411</v>
      </c>
      <c r="D309" s="129" t="s">
        <v>162</v>
      </c>
      <c r="E309" s="129" t="s">
        <v>162</v>
      </c>
      <c r="F309" s="129">
        <v>92154</v>
      </c>
      <c r="G309" s="129">
        <v>92093</v>
      </c>
      <c r="H309" s="130">
        <v>55</v>
      </c>
      <c r="I309" s="129" t="s">
        <v>418</v>
      </c>
      <c r="J309" s="130">
        <v>9</v>
      </c>
      <c r="K309" s="131"/>
      <c r="L309" s="131" t="s">
        <v>5</v>
      </c>
      <c r="M309" s="131" t="s">
        <v>328</v>
      </c>
      <c r="N309" s="131" t="s">
        <v>327</v>
      </c>
      <c r="O309" s="56">
        <f>VLOOKUP($F309,'ZipCode Coordinates'!$A:$E,4,FALSE)</f>
        <v>1787080</v>
      </c>
      <c r="P309" s="56">
        <f>VLOOKUP($F309,'ZipCode Coordinates'!$A:$E,5,FALSE)</f>
        <v>6330680</v>
      </c>
      <c r="Q309" s="56">
        <f>VLOOKUP($G309,'ZipCode Coordinates'!$A:$E,4,FALSE)</f>
        <v>1901870</v>
      </c>
      <c r="R309" s="56">
        <f>VLOOKUP($G309,'ZipCode Coordinates'!$A:$E,5,FALSE)</f>
        <v>6259600</v>
      </c>
      <c r="S309" s="352" t="str">
        <f>IFERROR(VLOOKUP($M309,'External Gateways'!$C$6:$F$10,2,FALSE),"")</f>
        <v/>
      </c>
      <c r="T309" s="56">
        <f>IFERROR(VLOOKUP($M309,'External Gateways'!$C$6:$F$10,3,FALSE),O309)</f>
        <v>1787080</v>
      </c>
      <c r="U309" s="56">
        <f>IFERROR(VLOOKUP($M309,'External Gateways'!$C$6:$F$10,4,FALSE),P309)</f>
        <v>6330680</v>
      </c>
      <c r="V309" s="353">
        <f t="shared" si="8"/>
        <v>0</v>
      </c>
      <c r="W309" s="353">
        <f t="shared" si="9"/>
        <v>55</v>
      </c>
    </row>
    <row r="310" spans="1:23" ht="15" customHeight="1" x14ac:dyDescent="0.25">
      <c r="A310" s="128">
        <v>1882</v>
      </c>
      <c r="B310" s="129" t="s">
        <v>311</v>
      </c>
      <c r="C310" s="128" t="s">
        <v>411</v>
      </c>
      <c r="D310" s="129" t="s">
        <v>162</v>
      </c>
      <c r="E310" s="129" t="s">
        <v>413</v>
      </c>
      <c r="F310" s="129">
        <v>92113</v>
      </c>
      <c r="G310" s="129">
        <v>92093</v>
      </c>
      <c r="H310" s="130">
        <v>58</v>
      </c>
      <c r="I310" s="129" t="s">
        <v>429</v>
      </c>
      <c r="J310" s="130">
        <v>9</v>
      </c>
      <c r="K310" s="131"/>
      <c r="L310" s="131" t="s">
        <v>5</v>
      </c>
      <c r="M310" s="131" t="s">
        <v>323</v>
      </c>
      <c r="N310" s="131" t="s">
        <v>327</v>
      </c>
      <c r="O310" s="56">
        <f>VLOOKUP($F310,'ZipCode Coordinates'!$A:$E,4,FALSE)</f>
        <v>1834470</v>
      </c>
      <c r="P310" s="56">
        <f>VLOOKUP($F310,'ZipCode Coordinates'!$A:$E,5,FALSE)</f>
        <v>6294590</v>
      </c>
      <c r="Q310" s="56">
        <f>VLOOKUP($G310,'ZipCode Coordinates'!$A:$E,4,FALSE)</f>
        <v>1901870</v>
      </c>
      <c r="R310" s="56">
        <f>VLOOKUP($G310,'ZipCode Coordinates'!$A:$E,5,FALSE)</f>
        <v>6259600</v>
      </c>
      <c r="S310" s="352" t="str">
        <f>IFERROR(VLOOKUP($M310,'External Gateways'!$C$6:$F$10,2,FALSE),"")</f>
        <v/>
      </c>
      <c r="T310" s="56">
        <f>IFERROR(VLOOKUP($M310,'External Gateways'!$C$6:$F$10,3,FALSE),O310)</f>
        <v>1834470</v>
      </c>
      <c r="U310" s="56">
        <f>IFERROR(VLOOKUP($M310,'External Gateways'!$C$6:$F$10,4,FALSE),P310)</f>
        <v>6294590</v>
      </c>
      <c r="V310" s="353">
        <f t="shared" si="8"/>
        <v>0</v>
      </c>
      <c r="W310" s="353">
        <f t="shared" si="9"/>
        <v>58</v>
      </c>
    </row>
    <row r="311" spans="1:23" ht="15" customHeight="1" x14ac:dyDescent="0.25">
      <c r="A311" s="128">
        <v>1883</v>
      </c>
      <c r="B311" s="129" t="s">
        <v>311</v>
      </c>
      <c r="C311" s="128" t="s">
        <v>411</v>
      </c>
      <c r="D311" s="129" t="s">
        <v>162</v>
      </c>
      <c r="E311" s="129" t="s">
        <v>413</v>
      </c>
      <c r="F311" s="129">
        <v>92105</v>
      </c>
      <c r="G311" s="129">
        <v>92093</v>
      </c>
      <c r="H311" s="130">
        <v>36</v>
      </c>
      <c r="I311" s="129" t="s">
        <v>401</v>
      </c>
      <c r="J311" s="130">
        <v>7</v>
      </c>
      <c r="K311" s="131"/>
      <c r="L311" s="131" t="s">
        <v>5</v>
      </c>
      <c r="M311" s="131" t="s">
        <v>323</v>
      </c>
      <c r="N311" s="131" t="s">
        <v>327</v>
      </c>
      <c r="O311" s="56">
        <f>VLOOKUP($F311,'ZipCode Coordinates'!$A:$E,4,FALSE)</f>
        <v>1849200</v>
      </c>
      <c r="P311" s="56">
        <f>VLOOKUP($F311,'ZipCode Coordinates'!$A:$E,5,FALSE)</f>
        <v>6302590</v>
      </c>
      <c r="Q311" s="56">
        <f>VLOOKUP($G311,'ZipCode Coordinates'!$A:$E,4,FALSE)</f>
        <v>1901870</v>
      </c>
      <c r="R311" s="56">
        <f>VLOOKUP($G311,'ZipCode Coordinates'!$A:$E,5,FALSE)</f>
        <v>6259600</v>
      </c>
      <c r="S311" s="352" t="str">
        <f>IFERROR(VLOOKUP($M311,'External Gateways'!$C$6:$F$10,2,FALSE),"")</f>
        <v/>
      </c>
      <c r="T311" s="56">
        <f>IFERROR(VLOOKUP($M311,'External Gateways'!$C$6:$F$10,3,FALSE),O311)</f>
        <v>1849200</v>
      </c>
      <c r="U311" s="56">
        <f>IFERROR(VLOOKUP($M311,'External Gateways'!$C$6:$F$10,4,FALSE),P311)</f>
        <v>6302590</v>
      </c>
      <c r="V311" s="353">
        <f t="shared" si="8"/>
        <v>0</v>
      </c>
      <c r="W311" s="353">
        <f t="shared" si="9"/>
        <v>36</v>
      </c>
    </row>
    <row r="312" spans="1:23" ht="15" customHeight="1" x14ac:dyDescent="0.25">
      <c r="A312" s="128">
        <v>1884</v>
      </c>
      <c r="B312" s="129" t="s">
        <v>313</v>
      </c>
      <c r="C312" s="128" t="s">
        <v>163</v>
      </c>
      <c r="D312" s="129" t="s">
        <v>203</v>
      </c>
      <c r="E312" s="129" t="s">
        <v>155</v>
      </c>
      <c r="F312" s="129">
        <v>91950</v>
      </c>
      <c r="G312" s="129">
        <v>92010</v>
      </c>
      <c r="H312" s="130">
        <v>109</v>
      </c>
      <c r="I312" s="129" t="s">
        <v>401</v>
      </c>
      <c r="J312" s="130">
        <v>7</v>
      </c>
      <c r="K312" s="131"/>
      <c r="L312" s="131" t="s">
        <v>5</v>
      </c>
      <c r="M312" s="131" t="s">
        <v>323</v>
      </c>
      <c r="N312" s="131" t="s">
        <v>324</v>
      </c>
      <c r="O312" s="56">
        <f>VLOOKUP($F312,'ZipCode Coordinates'!$A:$E,4,FALSE)</f>
        <v>1823970</v>
      </c>
      <c r="P312" s="56">
        <f>VLOOKUP($F312,'ZipCode Coordinates'!$A:$E,5,FALSE)</f>
        <v>6302610</v>
      </c>
      <c r="Q312" s="56">
        <f>VLOOKUP($G312,'ZipCode Coordinates'!$A:$E,4,FALSE)</f>
        <v>2002190</v>
      </c>
      <c r="R312" s="56">
        <f>VLOOKUP($G312,'ZipCode Coordinates'!$A:$E,5,FALSE)</f>
        <v>6245090</v>
      </c>
      <c r="S312" s="352" t="str">
        <f>IFERROR(VLOOKUP($M312,'External Gateways'!$C$6:$F$10,2,FALSE),"")</f>
        <v/>
      </c>
      <c r="T312" s="56">
        <f>IFERROR(VLOOKUP($M312,'External Gateways'!$C$6:$F$10,3,FALSE),O312)</f>
        <v>1823970</v>
      </c>
      <c r="U312" s="56">
        <f>IFERROR(VLOOKUP($M312,'External Gateways'!$C$6:$F$10,4,FALSE),P312)</f>
        <v>6302610</v>
      </c>
      <c r="V312" s="353">
        <f t="shared" si="8"/>
        <v>0</v>
      </c>
      <c r="W312" s="353">
        <f t="shared" si="9"/>
        <v>109</v>
      </c>
    </row>
    <row r="313" spans="1:23" ht="15" customHeight="1" x14ac:dyDescent="0.25">
      <c r="A313" s="128">
        <v>1885</v>
      </c>
      <c r="B313" s="129" t="s">
        <v>311</v>
      </c>
      <c r="C313" s="128" t="s">
        <v>411</v>
      </c>
      <c r="D313" s="129" t="s">
        <v>177</v>
      </c>
      <c r="E313" s="129" t="s">
        <v>413</v>
      </c>
      <c r="F313" s="129">
        <v>91932</v>
      </c>
      <c r="G313" s="129">
        <v>92093</v>
      </c>
      <c r="H313" s="130">
        <v>65</v>
      </c>
      <c r="I313" s="129" t="s">
        <v>412</v>
      </c>
      <c r="J313" s="130">
        <v>10</v>
      </c>
      <c r="K313" s="131"/>
      <c r="L313" s="131" t="s">
        <v>5</v>
      </c>
      <c r="M313" s="131" t="s">
        <v>328</v>
      </c>
      <c r="N313" s="131" t="s">
        <v>327</v>
      </c>
      <c r="O313" s="56">
        <f>VLOOKUP($F313,'ZipCode Coordinates'!$A:$E,4,FALSE)</f>
        <v>1790360</v>
      </c>
      <c r="P313" s="56">
        <f>VLOOKUP($F313,'ZipCode Coordinates'!$A:$E,5,FALSE)</f>
        <v>6293930</v>
      </c>
      <c r="Q313" s="56">
        <f>VLOOKUP($G313,'ZipCode Coordinates'!$A:$E,4,FALSE)</f>
        <v>1901870</v>
      </c>
      <c r="R313" s="56">
        <f>VLOOKUP($G313,'ZipCode Coordinates'!$A:$E,5,FALSE)</f>
        <v>6259600</v>
      </c>
      <c r="S313" s="352" t="str">
        <f>IFERROR(VLOOKUP($M313,'External Gateways'!$C$6:$F$10,2,FALSE),"")</f>
        <v/>
      </c>
      <c r="T313" s="56">
        <f>IFERROR(VLOOKUP($M313,'External Gateways'!$C$6:$F$10,3,FALSE),O313)</f>
        <v>1790360</v>
      </c>
      <c r="U313" s="56">
        <f>IFERROR(VLOOKUP($M313,'External Gateways'!$C$6:$F$10,4,FALSE),P313)</f>
        <v>6293930</v>
      </c>
      <c r="V313" s="353">
        <f t="shared" si="8"/>
        <v>0</v>
      </c>
      <c r="W313" s="353">
        <f t="shared" si="9"/>
        <v>65</v>
      </c>
    </row>
    <row r="314" spans="1:23" ht="15" customHeight="1" x14ac:dyDescent="0.25">
      <c r="A314" s="128">
        <v>1889</v>
      </c>
      <c r="B314" s="129" t="s">
        <v>267</v>
      </c>
      <c r="C314" s="128" t="s">
        <v>3</v>
      </c>
      <c r="D314" s="129" t="s">
        <v>158</v>
      </c>
      <c r="E314" s="129" t="s">
        <v>162</v>
      </c>
      <c r="F314" s="129">
        <v>92563</v>
      </c>
      <c r="G314" s="129">
        <v>92134</v>
      </c>
      <c r="H314" s="130">
        <v>160</v>
      </c>
      <c r="I314" s="129" t="s">
        <v>416</v>
      </c>
      <c r="J314" s="130">
        <v>7</v>
      </c>
      <c r="K314" s="131"/>
      <c r="L314" s="131" t="s">
        <v>3</v>
      </c>
      <c r="M314" s="131" t="s">
        <v>402</v>
      </c>
      <c r="N314" s="131" t="s">
        <v>323</v>
      </c>
      <c r="O314" s="56">
        <f>VLOOKUP($F314,'ZipCode Coordinates'!$A:$E,4,FALSE)</f>
        <v>2156450</v>
      </c>
      <c r="P314" s="56">
        <f>VLOOKUP($F314,'ZipCode Coordinates'!$A:$E,5,FALSE)</f>
        <v>6288710</v>
      </c>
      <c r="Q314" s="56">
        <f>VLOOKUP($G314,'ZipCode Coordinates'!$A:$E,4,FALSE)</f>
        <v>1845130</v>
      </c>
      <c r="R314" s="56">
        <f>VLOOKUP($G314,'ZipCode Coordinates'!$A:$E,5,FALSE)</f>
        <v>6286040</v>
      </c>
      <c r="S314" s="352" t="str">
        <f>IFERROR(VLOOKUP($M314,'External Gateways'!$C$6:$F$10,2,FALSE),"")</f>
        <v>I-15</v>
      </c>
      <c r="T314" s="56">
        <f>IFERROR(VLOOKUP($M314,'External Gateways'!$C$6:$F$10,3,FALSE),O314)</f>
        <v>2102195</v>
      </c>
      <c r="U314" s="56">
        <f>IFERROR(VLOOKUP($M314,'External Gateways'!$C$6:$F$10,4,FALSE),P314)</f>
        <v>6289147</v>
      </c>
      <c r="V314" s="353">
        <f t="shared" si="8"/>
        <v>10.275901494735123</v>
      </c>
      <c r="W314" s="353">
        <f t="shared" si="9"/>
        <v>139.44819701052975</v>
      </c>
    </row>
    <row r="315" spans="1:23" ht="15" customHeight="1" x14ac:dyDescent="0.25">
      <c r="A315" s="128">
        <v>1894</v>
      </c>
      <c r="B315" s="129" t="s">
        <v>302</v>
      </c>
      <c r="C315" s="128" t="s">
        <v>294</v>
      </c>
      <c r="D315" s="129" t="s">
        <v>158</v>
      </c>
      <c r="E315" s="129" t="s">
        <v>454</v>
      </c>
      <c r="F315" s="129">
        <v>92563</v>
      </c>
      <c r="G315" s="129">
        <v>92672</v>
      </c>
      <c r="H315" s="130">
        <v>109</v>
      </c>
      <c r="I315" s="129" t="s">
        <v>406</v>
      </c>
      <c r="J315" s="130">
        <v>7</v>
      </c>
      <c r="K315" s="131"/>
      <c r="L315" s="131" t="s">
        <v>5</v>
      </c>
      <c r="M315" s="131" t="s">
        <v>402</v>
      </c>
      <c r="N315" s="131" t="s">
        <v>324</v>
      </c>
      <c r="O315" s="56">
        <f>VLOOKUP($F315,'ZipCode Coordinates'!$A:$E,4,FALSE)</f>
        <v>2156450</v>
      </c>
      <c r="P315" s="56">
        <f>VLOOKUP($F315,'ZipCode Coordinates'!$A:$E,5,FALSE)</f>
        <v>6288710</v>
      </c>
      <c r="Q315" s="56">
        <f>VLOOKUP($G315,'ZipCode Coordinates'!$A:$E,4,FALSE)</f>
        <v>2090210</v>
      </c>
      <c r="R315" s="56">
        <f>VLOOKUP($G315,'ZipCode Coordinates'!$A:$E,5,FALSE)</f>
        <v>6163720</v>
      </c>
      <c r="S315" s="352" t="str">
        <f>IFERROR(VLOOKUP($M315,'External Gateways'!$C$6:$F$10,2,FALSE),"")</f>
        <v>I-15</v>
      </c>
      <c r="T315" s="56">
        <f>IFERROR(VLOOKUP($M315,'External Gateways'!$C$6:$F$10,3,FALSE),O315)</f>
        <v>2102195</v>
      </c>
      <c r="U315" s="56">
        <f>IFERROR(VLOOKUP($M315,'External Gateways'!$C$6:$F$10,4,FALSE),P315)</f>
        <v>6289147</v>
      </c>
      <c r="V315" s="353">
        <f t="shared" si="8"/>
        <v>10.275901494735123</v>
      </c>
      <c r="W315" s="353">
        <f t="shared" si="9"/>
        <v>88.448197010529753</v>
      </c>
    </row>
    <row r="316" spans="1:23" ht="15" customHeight="1" x14ac:dyDescent="0.25">
      <c r="A316" s="128">
        <v>1899</v>
      </c>
      <c r="B316" s="129" t="s">
        <v>258</v>
      </c>
      <c r="C316" s="128" t="s">
        <v>3</v>
      </c>
      <c r="D316" s="129" t="s">
        <v>158</v>
      </c>
      <c r="E316" s="129" t="s">
        <v>162</v>
      </c>
      <c r="F316" s="129">
        <v>92563</v>
      </c>
      <c r="G316" s="129">
        <v>92135</v>
      </c>
      <c r="H316" s="130">
        <v>148</v>
      </c>
      <c r="I316" s="129" t="s">
        <v>408</v>
      </c>
      <c r="J316" s="130">
        <v>7</v>
      </c>
      <c r="K316" s="131"/>
      <c r="L316" s="131" t="s">
        <v>3</v>
      </c>
      <c r="M316" s="131" t="s">
        <v>402</v>
      </c>
      <c r="N316" s="131" t="s">
        <v>323</v>
      </c>
      <c r="O316" s="56">
        <f>VLOOKUP($F316,'ZipCode Coordinates'!$A:$E,4,FALSE)</f>
        <v>2156450</v>
      </c>
      <c r="P316" s="56">
        <f>VLOOKUP($F316,'ZipCode Coordinates'!$A:$E,5,FALSE)</f>
        <v>6288710</v>
      </c>
      <c r="Q316" s="56">
        <f>VLOOKUP($G316,'ZipCode Coordinates'!$A:$E,4,FALSE)</f>
        <v>1835720</v>
      </c>
      <c r="R316" s="56">
        <f>VLOOKUP($G316,'ZipCode Coordinates'!$A:$E,5,FALSE)</f>
        <v>6266670</v>
      </c>
      <c r="S316" s="352" t="str">
        <f>IFERROR(VLOOKUP($M316,'External Gateways'!$C$6:$F$10,2,FALSE),"")</f>
        <v>I-15</v>
      </c>
      <c r="T316" s="56">
        <f>IFERROR(VLOOKUP($M316,'External Gateways'!$C$6:$F$10,3,FALSE),O316)</f>
        <v>2102195</v>
      </c>
      <c r="U316" s="56">
        <f>IFERROR(VLOOKUP($M316,'External Gateways'!$C$6:$F$10,4,FALSE),P316)</f>
        <v>6289147</v>
      </c>
      <c r="V316" s="353">
        <f t="shared" si="8"/>
        <v>10.275901494735123</v>
      </c>
      <c r="W316" s="353">
        <f t="shared" si="9"/>
        <v>127.44819701052975</v>
      </c>
    </row>
    <row r="317" spans="1:23" ht="15" customHeight="1" x14ac:dyDescent="0.25">
      <c r="A317" s="128">
        <v>1908</v>
      </c>
      <c r="B317" s="129" t="s">
        <v>253</v>
      </c>
      <c r="C317" s="128" t="s">
        <v>3</v>
      </c>
      <c r="D317" s="129" t="s">
        <v>158</v>
      </c>
      <c r="E317" s="129" t="s">
        <v>82</v>
      </c>
      <c r="F317" s="129">
        <v>92562</v>
      </c>
      <c r="G317" s="129">
        <v>92145</v>
      </c>
      <c r="H317" s="130">
        <v>129</v>
      </c>
      <c r="I317" s="129" t="s">
        <v>408</v>
      </c>
      <c r="J317" s="130">
        <v>7</v>
      </c>
      <c r="K317" s="131"/>
      <c r="L317" s="131" t="s">
        <v>3</v>
      </c>
      <c r="M317" s="131" t="s">
        <v>402</v>
      </c>
      <c r="N317" s="131" t="s">
        <v>327</v>
      </c>
      <c r="O317" s="56">
        <f>VLOOKUP($F317,'ZipCode Coordinates'!$A:$E,4,FALSE)</f>
        <v>2144470</v>
      </c>
      <c r="P317" s="56">
        <f>VLOOKUP($F317,'ZipCode Coordinates'!$A:$E,5,FALSE)</f>
        <v>6251450</v>
      </c>
      <c r="Q317" s="56">
        <f>VLOOKUP($G317,'ZipCode Coordinates'!$A:$E,4,FALSE)</f>
        <v>1896720</v>
      </c>
      <c r="R317" s="56">
        <f>VLOOKUP($G317,'ZipCode Coordinates'!$A:$E,5,FALSE)</f>
        <v>6297440</v>
      </c>
      <c r="S317" s="352" t="str">
        <f>IFERROR(VLOOKUP($M317,'External Gateways'!$C$6:$F$10,2,FALSE),"")</f>
        <v>I-15</v>
      </c>
      <c r="T317" s="56">
        <f>IFERROR(VLOOKUP($M317,'External Gateways'!$C$6:$F$10,3,FALSE),O317)</f>
        <v>2102195</v>
      </c>
      <c r="U317" s="56">
        <f>IFERROR(VLOOKUP($M317,'External Gateways'!$C$6:$F$10,4,FALSE),P317)</f>
        <v>6289147</v>
      </c>
      <c r="V317" s="353">
        <f t="shared" si="8"/>
        <v>10.727523233277124</v>
      </c>
      <c r="W317" s="353">
        <f t="shared" si="9"/>
        <v>107.54495353344575</v>
      </c>
    </row>
    <row r="318" spans="1:23" ht="15" customHeight="1" x14ac:dyDescent="0.25">
      <c r="A318" s="128">
        <v>1913</v>
      </c>
      <c r="B318" s="129" t="s">
        <v>258</v>
      </c>
      <c r="C318" s="128" t="s">
        <v>3</v>
      </c>
      <c r="D318" s="129" t="s">
        <v>165</v>
      </c>
      <c r="E318" s="129" t="s">
        <v>162</v>
      </c>
      <c r="F318" s="129">
        <v>91914</v>
      </c>
      <c r="G318" s="129">
        <v>92135</v>
      </c>
      <c r="H318" s="130">
        <v>48</v>
      </c>
      <c r="I318" s="129" t="s">
        <v>428</v>
      </c>
      <c r="J318" s="130">
        <v>7</v>
      </c>
      <c r="K318" s="131">
        <v>2</v>
      </c>
      <c r="L318" s="131" t="s">
        <v>3</v>
      </c>
      <c r="M318" s="131" t="s">
        <v>326</v>
      </c>
      <c r="N318" s="131" t="s">
        <v>323</v>
      </c>
      <c r="O318" s="56">
        <f>VLOOKUP($F318,'ZipCode Coordinates'!$A:$E,4,FALSE)</f>
        <v>1823440</v>
      </c>
      <c r="P318" s="56">
        <f>VLOOKUP($F318,'ZipCode Coordinates'!$A:$E,5,FALSE)</f>
        <v>6346410</v>
      </c>
      <c r="Q318" s="56">
        <f>VLOOKUP($G318,'ZipCode Coordinates'!$A:$E,4,FALSE)</f>
        <v>1835720</v>
      </c>
      <c r="R318" s="56">
        <f>VLOOKUP($G318,'ZipCode Coordinates'!$A:$E,5,FALSE)</f>
        <v>6266670</v>
      </c>
      <c r="S318" s="352" t="str">
        <f>IFERROR(VLOOKUP($M318,'External Gateways'!$C$6:$F$10,2,FALSE),"")</f>
        <v/>
      </c>
      <c r="T318" s="56">
        <f>IFERROR(VLOOKUP($M318,'External Gateways'!$C$6:$F$10,3,FALSE),O318)</f>
        <v>1823440</v>
      </c>
      <c r="U318" s="56">
        <f>IFERROR(VLOOKUP($M318,'External Gateways'!$C$6:$F$10,4,FALSE),P318)</f>
        <v>6346410</v>
      </c>
      <c r="V318" s="353">
        <f t="shared" si="8"/>
        <v>0</v>
      </c>
      <c r="W318" s="353">
        <f t="shared" si="9"/>
        <v>48</v>
      </c>
    </row>
    <row r="319" spans="1:23" ht="15" customHeight="1" x14ac:dyDescent="0.25">
      <c r="A319" s="128">
        <v>1916</v>
      </c>
      <c r="B319" s="129" t="s">
        <v>311</v>
      </c>
      <c r="C319" s="128" t="s">
        <v>411</v>
      </c>
      <c r="D319" s="129" t="s">
        <v>203</v>
      </c>
      <c r="E319" s="129" t="s">
        <v>413</v>
      </c>
      <c r="F319" s="129">
        <v>91950</v>
      </c>
      <c r="G319" s="129">
        <v>92093</v>
      </c>
      <c r="H319" s="130">
        <v>46</v>
      </c>
      <c r="I319" s="129" t="s">
        <v>418</v>
      </c>
      <c r="J319" s="130">
        <v>9</v>
      </c>
      <c r="K319" s="131"/>
      <c r="L319" s="131" t="s">
        <v>5</v>
      </c>
      <c r="M319" s="131" t="s">
        <v>323</v>
      </c>
      <c r="N319" s="131" t="s">
        <v>327</v>
      </c>
      <c r="O319" s="56">
        <f>VLOOKUP($F319,'ZipCode Coordinates'!$A:$E,4,FALSE)</f>
        <v>1823970</v>
      </c>
      <c r="P319" s="56">
        <f>VLOOKUP($F319,'ZipCode Coordinates'!$A:$E,5,FALSE)</f>
        <v>6302610</v>
      </c>
      <c r="Q319" s="56">
        <f>VLOOKUP($G319,'ZipCode Coordinates'!$A:$E,4,FALSE)</f>
        <v>1901870</v>
      </c>
      <c r="R319" s="56">
        <f>VLOOKUP($G319,'ZipCode Coordinates'!$A:$E,5,FALSE)</f>
        <v>6259600</v>
      </c>
      <c r="S319" s="352" t="str">
        <f>IFERROR(VLOOKUP($M319,'External Gateways'!$C$6:$F$10,2,FALSE),"")</f>
        <v/>
      </c>
      <c r="T319" s="56">
        <f>IFERROR(VLOOKUP($M319,'External Gateways'!$C$6:$F$10,3,FALSE),O319)</f>
        <v>1823970</v>
      </c>
      <c r="U319" s="56">
        <f>IFERROR(VLOOKUP($M319,'External Gateways'!$C$6:$F$10,4,FALSE),P319)</f>
        <v>6302610</v>
      </c>
      <c r="V319" s="353">
        <f t="shared" si="8"/>
        <v>0</v>
      </c>
      <c r="W319" s="353">
        <f t="shared" si="9"/>
        <v>46</v>
      </c>
    </row>
    <row r="320" spans="1:23" ht="15" customHeight="1" x14ac:dyDescent="0.25">
      <c r="A320" s="128">
        <v>1925</v>
      </c>
      <c r="B320" s="129" t="s">
        <v>307</v>
      </c>
      <c r="C320" s="128" t="s">
        <v>3</v>
      </c>
      <c r="D320" s="129" t="s">
        <v>162</v>
      </c>
      <c r="E320" s="129" t="s">
        <v>162</v>
      </c>
      <c r="F320" s="129">
        <v>92129</v>
      </c>
      <c r="G320" s="129">
        <v>92152</v>
      </c>
      <c r="H320" s="130">
        <v>61</v>
      </c>
      <c r="I320" s="129" t="s">
        <v>460</v>
      </c>
      <c r="J320" s="130">
        <v>7</v>
      </c>
      <c r="K320" s="131"/>
      <c r="L320" s="131" t="s">
        <v>3</v>
      </c>
      <c r="M320" s="131" t="s">
        <v>327</v>
      </c>
      <c r="N320" s="131" t="s">
        <v>323</v>
      </c>
      <c r="O320" s="56">
        <f>VLOOKUP($F320,'ZipCode Coordinates'!$A:$E,4,FALSE)</f>
        <v>1931860</v>
      </c>
      <c r="P320" s="56">
        <f>VLOOKUP($F320,'ZipCode Coordinates'!$A:$E,5,FALSE)</f>
        <v>6293150</v>
      </c>
      <c r="Q320" s="56">
        <f>VLOOKUP($G320,'ZipCode Coordinates'!$A:$E,4,FALSE)</f>
        <v>1833340</v>
      </c>
      <c r="R320" s="56">
        <f>VLOOKUP($G320,'ZipCode Coordinates'!$A:$E,5,FALSE)</f>
        <v>6255150</v>
      </c>
      <c r="S320" s="352" t="str">
        <f>IFERROR(VLOOKUP($M320,'External Gateways'!$C$6:$F$10,2,FALSE),"")</f>
        <v/>
      </c>
      <c r="T320" s="56">
        <f>IFERROR(VLOOKUP($M320,'External Gateways'!$C$6:$F$10,3,FALSE),O320)</f>
        <v>1931860</v>
      </c>
      <c r="U320" s="56">
        <f>IFERROR(VLOOKUP($M320,'External Gateways'!$C$6:$F$10,4,FALSE),P320)</f>
        <v>6293150</v>
      </c>
      <c r="V320" s="353">
        <f t="shared" si="8"/>
        <v>0</v>
      </c>
      <c r="W320" s="353">
        <f t="shared" si="9"/>
        <v>61</v>
      </c>
    </row>
    <row r="321" spans="1:23" ht="15" customHeight="1" x14ac:dyDescent="0.25">
      <c r="A321" s="128">
        <v>1926</v>
      </c>
      <c r="B321" s="129" t="s">
        <v>218</v>
      </c>
      <c r="C321" s="128" t="s">
        <v>3</v>
      </c>
      <c r="D321" s="129" t="s">
        <v>158</v>
      </c>
      <c r="E321" s="129" t="s">
        <v>162</v>
      </c>
      <c r="F321" s="129">
        <v>92563</v>
      </c>
      <c r="G321" s="129">
        <v>92161</v>
      </c>
      <c r="H321" s="130">
        <v>160</v>
      </c>
      <c r="I321" s="129" t="s">
        <v>408</v>
      </c>
      <c r="J321" s="130">
        <v>7</v>
      </c>
      <c r="K321" s="131"/>
      <c r="L321" s="131" t="s">
        <v>3</v>
      </c>
      <c r="M321" s="131" t="s">
        <v>402</v>
      </c>
      <c r="N321" s="131" t="s">
        <v>327</v>
      </c>
      <c r="O321" s="56">
        <f>VLOOKUP($F321,'ZipCode Coordinates'!$A:$E,4,FALSE)</f>
        <v>2156450</v>
      </c>
      <c r="P321" s="56">
        <f>VLOOKUP($F321,'ZipCode Coordinates'!$A:$E,5,FALSE)</f>
        <v>6288710</v>
      </c>
      <c r="Q321" s="56">
        <f>VLOOKUP($G321,'ZipCode Coordinates'!$A:$E,4,FALSE)</f>
        <v>1899477</v>
      </c>
      <c r="R321" s="56">
        <f>VLOOKUP($G321,'ZipCode Coordinates'!$A:$E,5,FALSE)</f>
        <v>6258957</v>
      </c>
      <c r="S321" s="352" t="str">
        <f>IFERROR(VLOOKUP($M321,'External Gateways'!$C$6:$F$10,2,FALSE),"")</f>
        <v>I-15</v>
      </c>
      <c r="T321" s="56">
        <f>IFERROR(VLOOKUP($M321,'External Gateways'!$C$6:$F$10,3,FALSE),O321)</f>
        <v>2102195</v>
      </c>
      <c r="U321" s="56">
        <f>IFERROR(VLOOKUP($M321,'External Gateways'!$C$6:$F$10,4,FALSE),P321)</f>
        <v>6289147</v>
      </c>
      <c r="V321" s="353">
        <f t="shared" si="8"/>
        <v>10.275901494735123</v>
      </c>
      <c r="W321" s="353">
        <f t="shared" si="9"/>
        <v>139.44819701052975</v>
      </c>
    </row>
    <row r="322" spans="1:23" ht="15" customHeight="1" x14ac:dyDescent="0.25">
      <c r="A322" s="128">
        <v>1927</v>
      </c>
      <c r="B322" s="129" t="s">
        <v>307</v>
      </c>
      <c r="C322" s="128" t="s">
        <v>3</v>
      </c>
      <c r="D322" s="129" t="s">
        <v>162</v>
      </c>
      <c r="E322" s="129" t="s">
        <v>162</v>
      </c>
      <c r="F322" s="129">
        <v>92131</v>
      </c>
      <c r="G322" s="129">
        <v>92152</v>
      </c>
      <c r="H322" s="130">
        <v>85</v>
      </c>
      <c r="I322" s="129" t="s">
        <v>408</v>
      </c>
      <c r="J322" s="130">
        <v>7</v>
      </c>
      <c r="K322" s="131"/>
      <c r="L322" s="131" t="s">
        <v>3</v>
      </c>
      <c r="M322" s="131" t="s">
        <v>327</v>
      </c>
      <c r="N322" s="131" t="s">
        <v>323</v>
      </c>
      <c r="O322" s="56">
        <f>VLOOKUP($F322,'ZipCode Coordinates'!$A:$E,4,FALSE)</f>
        <v>1915270</v>
      </c>
      <c r="P322" s="56">
        <f>VLOOKUP($F322,'ZipCode Coordinates'!$A:$E,5,FALSE)</f>
        <v>6310350</v>
      </c>
      <c r="Q322" s="56">
        <f>VLOOKUP($G322,'ZipCode Coordinates'!$A:$E,4,FALSE)</f>
        <v>1833340</v>
      </c>
      <c r="R322" s="56">
        <f>VLOOKUP($G322,'ZipCode Coordinates'!$A:$E,5,FALSE)</f>
        <v>6255150</v>
      </c>
      <c r="S322" s="352" t="str">
        <f>IFERROR(VLOOKUP($M322,'External Gateways'!$C$6:$F$10,2,FALSE),"")</f>
        <v/>
      </c>
      <c r="T322" s="56">
        <f>IFERROR(VLOOKUP($M322,'External Gateways'!$C$6:$F$10,3,FALSE),O322)</f>
        <v>1915270</v>
      </c>
      <c r="U322" s="56">
        <f>IFERROR(VLOOKUP($M322,'External Gateways'!$C$6:$F$10,4,FALSE),P322)</f>
        <v>6310350</v>
      </c>
      <c r="V322" s="353">
        <f t="shared" si="8"/>
        <v>0</v>
      </c>
      <c r="W322" s="353">
        <f t="shared" si="9"/>
        <v>85</v>
      </c>
    </row>
    <row r="323" spans="1:23" ht="15" customHeight="1" x14ac:dyDescent="0.25">
      <c r="A323" s="128">
        <v>1937</v>
      </c>
      <c r="B323" s="129" t="s">
        <v>315</v>
      </c>
      <c r="C323" s="128" t="s">
        <v>68</v>
      </c>
      <c r="D323" s="129" t="s">
        <v>162</v>
      </c>
      <c r="E323" s="129" t="s">
        <v>201</v>
      </c>
      <c r="F323" s="129">
        <v>92120</v>
      </c>
      <c r="G323" s="129">
        <v>91962</v>
      </c>
      <c r="H323" s="130">
        <v>131</v>
      </c>
      <c r="I323" s="129" t="s">
        <v>416</v>
      </c>
      <c r="J323" s="130">
        <v>7</v>
      </c>
      <c r="K323" s="131"/>
      <c r="L323" s="131" t="s">
        <v>68</v>
      </c>
      <c r="M323" s="131" t="s">
        <v>327</v>
      </c>
      <c r="N323" s="131" t="s">
        <v>329</v>
      </c>
      <c r="O323" s="56">
        <f>VLOOKUP($F323,'ZipCode Coordinates'!$A:$E,4,FALSE)</f>
        <v>1869860</v>
      </c>
      <c r="P323" s="56">
        <f>VLOOKUP($F323,'ZipCode Coordinates'!$A:$E,5,FALSE)</f>
        <v>6308830</v>
      </c>
      <c r="Q323" s="56">
        <f>VLOOKUP($G323,'ZipCode Coordinates'!$A:$E,4,FALSE)</f>
        <v>1874980</v>
      </c>
      <c r="R323" s="56">
        <f>VLOOKUP($G323,'ZipCode Coordinates'!$A:$E,5,FALSE)</f>
        <v>6499110</v>
      </c>
      <c r="S323" s="352" t="str">
        <f>IFERROR(VLOOKUP($M323,'External Gateways'!$C$6:$F$10,2,FALSE),"")</f>
        <v/>
      </c>
      <c r="T323" s="56">
        <f>IFERROR(VLOOKUP($M323,'External Gateways'!$C$6:$F$10,3,FALSE),O323)</f>
        <v>1869860</v>
      </c>
      <c r="U323" s="56">
        <f>IFERROR(VLOOKUP($M323,'External Gateways'!$C$6:$F$10,4,FALSE),P323)</f>
        <v>6308830</v>
      </c>
      <c r="V323" s="353">
        <f t="shared" ref="V323:V386" si="10">SQRT((T323-O323)^2+(U323-P323)^2)/5280</f>
        <v>0</v>
      </c>
      <c r="W323" s="353">
        <f t="shared" ref="W323:W386" si="11">MAX(H323-2*V323,0)</f>
        <v>131</v>
      </c>
    </row>
    <row r="324" spans="1:23" ht="15" customHeight="1" x14ac:dyDescent="0.25">
      <c r="A324" s="128">
        <v>1952</v>
      </c>
      <c r="B324" s="129" t="s">
        <v>258</v>
      </c>
      <c r="C324" s="128" t="s">
        <v>3</v>
      </c>
      <c r="D324" s="129" t="s">
        <v>170</v>
      </c>
      <c r="E324" s="129" t="s">
        <v>162</v>
      </c>
      <c r="F324" s="129">
        <v>92584</v>
      </c>
      <c r="G324" s="129">
        <v>92135</v>
      </c>
      <c r="H324" s="130">
        <v>152</v>
      </c>
      <c r="I324" s="129" t="s">
        <v>456</v>
      </c>
      <c r="J324" s="130">
        <v>7</v>
      </c>
      <c r="K324" s="131"/>
      <c r="L324" s="131" t="s">
        <v>3</v>
      </c>
      <c r="M324" s="131" t="s">
        <v>402</v>
      </c>
      <c r="N324" s="131" t="s">
        <v>323</v>
      </c>
      <c r="O324" s="56">
        <f>VLOOKUP($F324,'ZipCode Coordinates'!$A:$E,4,FALSE)</f>
        <v>2185160</v>
      </c>
      <c r="P324" s="56">
        <f>VLOOKUP($F324,'ZipCode Coordinates'!$A:$E,5,FALSE)</f>
        <v>6280270</v>
      </c>
      <c r="Q324" s="56">
        <f>VLOOKUP($G324,'ZipCode Coordinates'!$A:$E,4,FALSE)</f>
        <v>1835720</v>
      </c>
      <c r="R324" s="56">
        <f>VLOOKUP($G324,'ZipCode Coordinates'!$A:$E,5,FALSE)</f>
        <v>6266670</v>
      </c>
      <c r="S324" s="352" t="str">
        <f>IFERROR(VLOOKUP($M324,'External Gateways'!$C$6:$F$10,2,FALSE),"")</f>
        <v>I-15</v>
      </c>
      <c r="T324" s="56">
        <f>IFERROR(VLOOKUP($M324,'External Gateways'!$C$6:$F$10,3,FALSE),O324)</f>
        <v>2102195</v>
      </c>
      <c r="U324" s="56">
        <f>IFERROR(VLOOKUP($M324,'External Gateways'!$C$6:$F$10,4,FALSE),P324)</f>
        <v>6289147</v>
      </c>
      <c r="V324" s="353">
        <f t="shared" si="10"/>
        <v>15.802756507931361</v>
      </c>
      <c r="W324" s="353">
        <f t="shared" si="11"/>
        <v>120.39448698413727</v>
      </c>
    </row>
    <row r="325" spans="1:23" ht="15" customHeight="1" x14ac:dyDescent="0.25">
      <c r="A325" s="128">
        <v>1954</v>
      </c>
      <c r="B325" s="129" t="s">
        <v>433</v>
      </c>
      <c r="C325" s="128" t="s">
        <v>3</v>
      </c>
      <c r="D325" s="129" t="s">
        <v>158</v>
      </c>
      <c r="E325" s="129" t="s">
        <v>162</v>
      </c>
      <c r="F325" s="129">
        <v>92563</v>
      </c>
      <c r="G325" s="129">
        <v>92106</v>
      </c>
      <c r="H325" s="130">
        <v>143</v>
      </c>
      <c r="I325" s="129" t="s">
        <v>406</v>
      </c>
      <c r="J325" s="130">
        <v>7</v>
      </c>
      <c r="K325" s="131">
        <v>2</v>
      </c>
      <c r="L325" s="131" t="s">
        <v>3</v>
      </c>
      <c r="M325" s="131" t="s">
        <v>402</v>
      </c>
      <c r="N325" s="131" t="s">
        <v>323</v>
      </c>
      <c r="O325" s="56">
        <f>VLOOKUP($F325,'ZipCode Coordinates'!$A:$E,4,FALSE)</f>
        <v>2156450</v>
      </c>
      <c r="P325" s="56">
        <f>VLOOKUP($F325,'ZipCode Coordinates'!$A:$E,5,FALSE)</f>
        <v>6288710</v>
      </c>
      <c r="Q325" s="56">
        <f>VLOOKUP($G325,'ZipCode Coordinates'!$A:$E,4,FALSE)</f>
        <v>1842660</v>
      </c>
      <c r="R325" s="56">
        <f>VLOOKUP($G325,'ZipCode Coordinates'!$A:$E,5,FALSE)</f>
        <v>6259060</v>
      </c>
      <c r="S325" s="352" t="str">
        <f>IFERROR(VLOOKUP($M325,'External Gateways'!$C$6:$F$10,2,FALSE),"")</f>
        <v>I-15</v>
      </c>
      <c r="T325" s="56">
        <f>IFERROR(VLOOKUP($M325,'External Gateways'!$C$6:$F$10,3,FALSE),O325)</f>
        <v>2102195</v>
      </c>
      <c r="U325" s="56">
        <f>IFERROR(VLOOKUP($M325,'External Gateways'!$C$6:$F$10,4,FALSE),P325)</f>
        <v>6289147</v>
      </c>
      <c r="V325" s="353">
        <f t="shared" si="10"/>
        <v>10.275901494735123</v>
      </c>
      <c r="W325" s="353">
        <f t="shared" si="11"/>
        <v>122.44819701052975</v>
      </c>
    </row>
    <row r="326" spans="1:23" ht="15" customHeight="1" x14ac:dyDescent="0.25">
      <c r="A326" s="128">
        <v>1956</v>
      </c>
      <c r="B326" s="129" t="s">
        <v>451</v>
      </c>
      <c r="C326" s="128" t="s">
        <v>3</v>
      </c>
      <c r="D326" s="129" t="s">
        <v>158</v>
      </c>
      <c r="E326" s="129" t="s">
        <v>162</v>
      </c>
      <c r="F326" s="129">
        <v>92563</v>
      </c>
      <c r="G326" s="129">
        <v>92136</v>
      </c>
      <c r="H326" s="130">
        <v>159</v>
      </c>
      <c r="I326" s="129" t="s">
        <v>408</v>
      </c>
      <c r="J326" s="130">
        <v>7</v>
      </c>
      <c r="K326" s="131"/>
      <c r="L326" s="131" t="s">
        <v>3</v>
      </c>
      <c r="M326" s="131" t="s">
        <v>402</v>
      </c>
      <c r="N326" s="131" t="s">
        <v>323</v>
      </c>
      <c r="O326" s="56">
        <f>VLOOKUP($F326,'ZipCode Coordinates'!$A:$E,4,FALSE)</f>
        <v>2156450</v>
      </c>
      <c r="P326" s="56">
        <f>VLOOKUP($F326,'ZipCode Coordinates'!$A:$E,5,FALSE)</f>
        <v>6288710</v>
      </c>
      <c r="Q326" s="56">
        <f>VLOOKUP($G326,'ZipCode Coordinates'!$A:$E,4,FALSE)</f>
        <v>1828370</v>
      </c>
      <c r="R326" s="56">
        <f>VLOOKUP($G326,'ZipCode Coordinates'!$A:$E,5,FALSE)</f>
        <v>6293940</v>
      </c>
      <c r="S326" s="352" t="str">
        <f>IFERROR(VLOOKUP($M326,'External Gateways'!$C$6:$F$10,2,FALSE),"")</f>
        <v>I-15</v>
      </c>
      <c r="T326" s="56">
        <f>IFERROR(VLOOKUP($M326,'External Gateways'!$C$6:$F$10,3,FALSE),O326)</f>
        <v>2102195</v>
      </c>
      <c r="U326" s="56">
        <f>IFERROR(VLOOKUP($M326,'External Gateways'!$C$6:$F$10,4,FALSE),P326)</f>
        <v>6289147</v>
      </c>
      <c r="V326" s="353">
        <f t="shared" si="10"/>
        <v>10.275901494735123</v>
      </c>
      <c r="W326" s="353">
        <f t="shared" si="11"/>
        <v>138.44819701052975</v>
      </c>
    </row>
    <row r="327" spans="1:23" ht="15" customHeight="1" x14ac:dyDescent="0.25">
      <c r="A327" s="128">
        <v>1962</v>
      </c>
      <c r="B327" s="129" t="s">
        <v>207</v>
      </c>
      <c r="C327" s="128" t="s">
        <v>404</v>
      </c>
      <c r="D327" s="129" t="s">
        <v>172</v>
      </c>
      <c r="E327" s="129" t="s">
        <v>162</v>
      </c>
      <c r="F327" s="129">
        <v>92595</v>
      </c>
      <c r="G327" s="129">
        <v>92101</v>
      </c>
      <c r="H327" s="130">
        <v>120</v>
      </c>
      <c r="I327" s="129" t="s">
        <v>401</v>
      </c>
      <c r="J327" s="130">
        <v>7</v>
      </c>
      <c r="K327" s="131"/>
      <c r="L327" s="131" t="s">
        <v>5</v>
      </c>
      <c r="M327" s="131" t="s">
        <v>402</v>
      </c>
      <c r="N327" s="131" t="s">
        <v>323</v>
      </c>
      <c r="O327" s="56">
        <f>VLOOKUP($F327,'ZipCode Coordinates'!$A:$E,4,FALSE)</f>
        <v>2170100</v>
      </c>
      <c r="P327" s="56">
        <f>VLOOKUP($F327,'ZipCode Coordinates'!$A:$E,5,FALSE)</f>
        <v>6254090</v>
      </c>
      <c r="Q327" s="56">
        <f>VLOOKUP($G327,'ZipCode Coordinates'!$A:$E,4,FALSE)</f>
        <v>1844080</v>
      </c>
      <c r="R327" s="56">
        <f>VLOOKUP($G327,'ZipCode Coordinates'!$A:$E,5,FALSE)</f>
        <v>6278770</v>
      </c>
      <c r="S327" s="352" t="str">
        <f>IFERROR(VLOOKUP($M327,'External Gateways'!$C$6:$F$10,2,FALSE),"")</f>
        <v>I-15</v>
      </c>
      <c r="T327" s="56">
        <f>IFERROR(VLOOKUP($M327,'External Gateways'!$C$6:$F$10,3,FALSE),O327)</f>
        <v>2102195</v>
      </c>
      <c r="U327" s="56">
        <f>IFERROR(VLOOKUP($M327,'External Gateways'!$C$6:$F$10,4,FALSE),P327)</f>
        <v>6289147</v>
      </c>
      <c r="V327" s="353">
        <f t="shared" si="10"/>
        <v>14.473566476992975</v>
      </c>
      <c r="W327" s="353">
        <f t="shared" si="11"/>
        <v>91.052867046014057</v>
      </c>
    </row>
    <row r="328" spans="1:23" ht="15" customHeight="1" x14ac:dyDescent="0.25">
      <c r="A328" s="128">
        <v>1963</v>
      </c>
      <c r="B328" s="129" t="s">
        <v>300</v>
      </c>
      <c r="C328" s="128" t="s">
        <v>166</v>
      </c>
      <c r="D328" s="129" t="s">
        <v>260</v>
      </c>
      <c r="E328" s="129" t="s">
        <v>162</v>
      </c>
      <c r="F328" s="129">
        <v>92040</v>
      </c>
      <c r="G328" s="129">
        <v>92101</v>
      </c>
      <c r="H328" s="130">
        <v>59</v>
      </c>
      <c r="I328" s="129" t="s">
        <v>401</v>
      </c>
      <c r="J328" s="130">
        <v>7</v>
      </c>
      <c r="K328" s="131"/>
      <c r="L328" s="131" t="s">
        <v>5</v>
      </c>
      <c r="M328" s="131" t="s">
        <v>326</v>
      </c>
      <c r="N328" s="131" t="s">
        <v>323</v>
      </c>
      <c r="O328" s="56">
        <f>VLOOKUP($F328,'ZipCode Coordinates'!$A:$E,4,FALSE)</f>
        <v>1912600</v>
      </c>
      <c r="P328" s="56">
        <f>VLOOKUP($F328,'ZipCode Coordinates'!$A:$E,5,FALSE)</f>
        <v>6367510</v>
      </c>
      <c r="Q328" s="56">
        <f>VLOOKUP($G328,'ZipCode Coordinates'!$A:$E,4,FALSE)</f>
        <v>1844080</v>
      </c>
      <c r="R328" s="56">
        <f>VLOOKUP($G328,'ZipCode Coordinates'!$A:$E,5,FALSE)</f>
        <v>6278770</v>
      </c>
      <c r="S328" s="352" t="str">
        <f>IFERROR(VLOOKUP($M328,'External Gateways'!$C$6:$F$10,2,FALSE),"")</f>
        <v/>
      </c>
      <c r="T328" s="56">
        <f>IFERROR(VLOOKUP($M328,'External Gateways'!$C$6:$F$10,3,FALSE),O328)</f>
        <v>1912600</v>
      </c>
      <c r="U328" s="56">
        <f>IFERROR(VLOOKUP($M328,'External Gateways'!$C$6:$F$10,4,FALSE),P328)</f>
        <v>6367510</v>
      </c>
      <c r="V328" s="353">
        <f t="shared" si="10"/>
        <v>0</v>
      </c>
      <c r="W328" s="353">
        <f t="shared" si="11"/>
        <v>59</v>
      </c>
    </row>
    <row r="329" spans="1:23" ht="15" customHeight="1" x14ac:dyDescent="0.25">
      <c r="A329" s="128">
        <v>1964</v>
      </c>
      <c r="B329" s="129" t="s">
        <v>433</v>
      </c>
      <c r="C329" s="128" t="s">
        <v>3</v>
      </c>
      <c r="D329" s="129" t="s">
        <v>154</v>
      </c>
      <c r="E329" s="129" t="s">
        <v>162</v>
      </c>
      <c r="F329" s="129">
        <v>92592</v>
      </c>
      <c r="G329" s="129">
        <v>92147</v>
      </c>
      <c r="H329" s="130">
        <v>159</v>
      </c>
      <c r="I329" s="129" t="s">
        <v>421</v>
      </c>
      <c r="J329" s="130">
        <v>7</v>
      </c>
      <c r="K329" s="131"/>
      <c r="L329" s="131" t="s">
        <v>3</v>
      </c>
      <c r="M329" s="131" t="s">
        <v>402</v>
      </c>
      <c r="N329" s="131" t="s">
        <v>323</v>
      </c>
      <c r="O329" s="56">
        <f>VLOOKUP($F329,'ZipCode Coordinates'!$A:$E,4,FALSE)</f>
        <v>2128740</v>
      </c>
      <c r="P329" s="56">
        <f>VLOOKUP($F329,'ZipCode Coordinates'!$A:$E,5,FALSE)</f>
        <v>6328900</v>
      </c>
      <c r="Q329" s="56">
        <f>VLOOKUP($G329,'ZipCode Coordinates'!$A:$E,4,FALSE)</f>
        <v>1844566</v>
      </c>
      <c r="R329" s="56">
        <f>VLOOKUP($G329,'ZipCode Coordinates'!$A:$E,5,FALSE)</f>
        <v>6263742</v>
      </c>
      <c r="S329" s="352" t="str">
        <f>IFERROR(VLOOKUP($M329,'External Gateways'!$C$6:$F$10,2,FALSE),"")</f>
        <v>I-15</v>
      </c>
      <c r="T329" s="56">
        <f>IFERROR(VLOOKUP($M329,'External Gateways'!$C$6:$F$10,3,FALSE),O329)</f>
        <v>2102195</v>
      </c>
      <c r="U329" s="56">
        <f>IFERROR(VLOOKUP($M329,'External Gateways'!$C$6:$F$10,4,FALSE),P329)</f>
        <v>6289147</v>
      </c>
      <c r="V329" s="353">
        <f t="shared" si="10"/>
        <v>9.0532245169037147</v>
      </c>
      <c r="W329" s="353">
        <f t="shared" si="11"/>
        <v>140.89355096619258</v>
      </c>
    </row>
    <row r="330" spans="1:23" ht="15" customHeight="1" x14ac:dyDescent="0.25">
      <c r="A330" s="128">
        <v>1968</v>
      </c>
      <c r="B330" s="129" t="s">
        <v>311</v>
      </c>
      <c r="C330" s="128" t="s">
        <v>411</v>
      </c>
      <c r="D330" s="129" t="s">
        <v>165</v>
      </c>
      <c r="E330" s="129" t="s">
        <v>413</v>
      </c>
      <c r="F330" s="129">
        <v>91911</v>
      </c>
      <c r="G330" s="129">
        <v>92093</v>
      </c>
      <c r="H330" s="130">
        <v>67</v>
      </c>
      <c r="I330" s="129" t="s">
        <v>403</v>
      </c>
      <c r="J330" s="130">
        <v>8</v>
      </c>
      <c r="K330" s="131"/>
      <c r="L330" s="131" t="s">
        <v>5</v>
      </c>
      <c r="M330" s="131" t="s">
        <v>328</v>
      </c>
      <c r="N330" s="131" t="s">
        <v>327</v>
      </c>
      <c r="O330" s="56">
        <f>VLOOKUP($F330,'ZipCode Coordinates'!$A:$E,4,FALSE)</f>
        <v>1801570</v>
      </c>
      <c r="P330" s="56">
        <f>VLOOKUP($F330,'ZipCode Coordinates'!$A:$E,5,FALSE)</f>
        <v>6315270</v>
      </c>
      <c r="Q330" s="56">
        <f>VLOOKUP($G330,'ZipCode Coordinates'!$A:$E,4,FALSE)</f>
        <v>1901870</v>
      </c>
      <c r="R330" s="56">
        <f>VLOOKUP($G330,'ZipCode Coordinates'!$A:$E,5,FALSE)</f>
        <v>6259600</v>
      </c>
      <c r="S330" s="352" t="str">
        <f>IFERROR(VLOOKUP($M330,'External Gateways'!$C$6:$F$10,2,FALSE),"")</f>
        <v/>
      </c>
      <c r="T330" s="56">
        <f>IFERROR(VLOOKUP($M330,'External Gateways'!$C$6:$F$10,3,FALSE),O330)</f>
        <v>1801570</v>
      </c>
      <c r="U330" s="56">
        <f>IFERROR(VLOOKUP($M330,'External Gateways'!$C$6:$F$10,4,FALSE),P330)</f>
        <v>6315270</v>
      </c>
      <c r="V330" s="353">
        <f t="shared" si="10"/>
        <v>0</v>
      </c>
      <c r="W330" s="353">
        <f t="shared" si="11"/>
        <v>67</v>
      </c>
    </row>
    <row r="331" spans="1:23" ht="15" customHeight="1" x14ac:dyDescent="0.25">
      <c r="A331" s="128">
        <v>1973</v>
      </c>
      <c r="B331" s="129" t="s">
        <v>311</v>
      </c>
      <c r="C331" s="128" t="s">
        <v>411</v>
      </c>
      <c r="D331" s="129" t="s">
        <v>161</v>
      </c>
      <c r="E331" s="129" t="s">
        <v>413</v>
      </c>
      <c r="F331" s="129">
        <v>92596</v>
      </c>
      <c r="G331" s="129">
        <v>92093</v>
      </c>
      <c r="H331" s="130">
        <v>133</v>
      </c>
      <c r="I331" s="129" t="s">
        <v>428</v>
      </c>
      <c r="J331" s="130">
        <v>7</v>
      </c>
      <c r="K331" s="131"/>
      <c r="L331" s="131" t="s">
        <v>5</v>
      </c>
      <c r="M331" s="131" t="s">
        <v>402</v>
      </c>
      <c r="N331" s="131" t="s">
        <v>327</v>
      </c>
      <c r="O331" s="56">
        <f>VLOOKUP($F331,'ZipCode Coordinates'!$A:$E,4,FALSE)</f>
        <v>2177700</v>
      </c>
      <c r="P331" s="56">
        <f>VLOOKUP($F331,'ZipCode Coordinates'!$A:$E,5,FALSE)</f>
        <v>6311340</v>
      </c>
      <c r="Q331" s="56">
        <f>VLOOKUP($G331,'ZipCode Coordinates'!$A:$E,4,FALSE)</f>
        <v>1901870</v>
      </c>
      <c r="R331" s="56">
        <f>VLOOKUP($G331,'ZipCode Coordinates'!$A:$E,5,FALSE)</f>
        <v>6259600</v>
      </c>
      <c r="S331" s="352" t="str">
        <f>IFERROR(VLOOKUP($M331,'External Gateways'!$C$6:$F$10,2,FALSE),"")</f>
        <v>I-15</v>
      </c>
      <c r="T331" s="56">
        <f>IFERROR(VLOOKUP($M331,'External Gateways'!$C$6:$F$10,3,FALSE),O331)</f>
        <v>2102195</v>
      </c>
      <c r="U331" s="56">
        <f>IFERROR(VLOOKUP($M331,'External Gateways'!$C$6:$F$10,4,FALSE),P331)</f>
        <v>6289147</v>
      </c>
      <c r="V331" s="353">
        <f t="shared" si="10"/>
        <v>14.905115649451727</v>
      </c>
      <c r="W331" s="353">
        <f t="shared" si="11"/>
        <v>103.18976870109654</v>
      </c>
    </row>
    <row r="332" spans="1:23" ht="15" customHeight="1" x14ac:dyDescent="0.25">
      <c r="A332" s="128">
        <v>1977</v>
      </c>
      <c r="B332" s="129" t="s">
        <v>277</v>
      </c>
      <c r="C332" s="128" t="s">
        <v>198</v>
      </c>
      <c r="D332" s="129" t="s">
        <v>278</v>
      </c>
      <c r="E332" s="129" t="s">
        <v>162</v>
      </c>
      <c r="F332" s="129">
        <v>92620</v>
      </c>
      <c r="G332" s="129">
        <v>92121</v>
      </c>
      <c r="H332" s="130">
        <v>160</v>
      </c>
      <c r="I332" s="129" t="s">
        <v>416</v>
      </c>
      <c r="J332" s="130">
        <v>7</v>
      </c>
      <c r="K332" s="131">
        <v>1</v>
      </c>
      <c r="L332" s="131" t="s">
        <v>5</v>
      </c>
      <c r="M332" s="131" t="s">
        <v>439</v>
      </c>
      <c r="N332" s="131" t="s">
        <v>327</v>
      </c>
      <c r="O332" s="56">
        <f>VLOOKUP($F332,'ZipCode Coordinates'!$A:$E,4,FALSE)</f>
        <v>2204860</v>
      </c>
      <c r="P332" s="56">
        <f>VLOOKUP($F332,'ZipCode Coordinates'!$A:$E,5,FALSE)</f>
        <v>6103570</v>
      </c>
      <c r="Q332" s="56">
        <f>VLOOKUP($G332,'ZipCode Coordinates'!$A:$E,4,FALSE)</f>
        <v>1907910</v>
      </c>
      <c r="R332" s="56">
        <f>VLOOKUP($G332,'ZipCode Coordinates'!$A:$E,5,FALSE)</f>
        <v>6269540</v>
      </c>
      <c r="S332" s="352" t="str">
        <f>IFERROR(VLOOKUP($M332,'External Gateways'!$C$6:$F$10,2,FALSE),"")</f>
        <v>I-5</v>
      </c>
      <c r="T332" s="56">
        <f>IFERROR(VLOOKUP($M332,'External Gateways'!$C$6:$F$10,3,FALSE),O332)</f>
        <v>2090594</v>
      </c>
      <c r="U332" s="56">
        <f>IFERROR(VLOOKUP($M332,'External Gateways'!$C$6:$F$10,4,FALSE),P332)</f>
        <v>6151524</v>
      </c>
      <c r="V332" s="353">
        <f t="shared" si="10"/>
        <v>23.469802786750126</v>
      </c>
      <c r="W332" s="353">
        <f t="shared" si="11"/>
        <v>113.06039442649976</v>
      </c>
    </row>
    <row r="333" spans="1:23" ht="15" customHeight="1" x14ac:dyDescent="0.25">
      <c r="A333" s="128">
        <v>1978</v>
      </c>
      <c r="B333" s="129" t="s">
        <v>451</v>
      </c>
      <c r="C333" s="128" t="s">
        <v>3</v>
      </c>
      <c r="D333" s="129" t="s">
        <v>158</v>
      </c>
      <c r="E333" s="129" t="s">
        <v>162</v>
      </c>
      <c r="F333" s="129">
        <v>92563</v>
      </c>
      <c r="G333" s="129">
        <v>92136</v>
      </c>
      <c r="H333" s="130">
        <v>160</v>
      </c>
      <c r="I333" s="129" t="s">
        <v>408</v>
      </c>
      <c r="J333" s="130">
        <v>7</v>
      </c>
      <c r="K333" s="131">
        <v>1</v>
      </c>
      <c r="L333" s="131" t="s">
        <v>3</v>
      </c>
      <c r="M333" s="131" t="s">
        <v>402</v>
      </c>
      <c r="N333" s="131" t="s">
        <v>323</v>
      </c>
      <c r="O333" s="56">
        <f>VLOOKUP($F333,'ZipCode Coordinates'!$A:$E,4,FALSE)</f>
        <v>2156450</v>
      </c>
      <c r="P333" s="56">
        <f>VLOOKUP($F333,'ZipCode Coordinates'!$A:$E,5,FALSE)</f>
        <v>6288710</v>
      </c>
      <c r="Q333" s="56">
        <f>VLOOKUP($G333,'ZipCode Coordinates'!$A:$E,4,FALSE)</f>
        <v>1828370</v>
      </c>
      <c r="R333" s="56">
        <f>VLOOKUP($G333,'ZipCode Coordinates'!$A:$E,5,FALSE)</f>
        <v>6293940</v>
      </c>
      <c r="S333" s="352" t="str">
        <f>IFERROR(VLOOKUP($M333,'External Gateways'!$C$6:$F$10,2,FALSE),"")</f>
        <v>I-15</v>
      </c>
      <c r="T333" s="56">
        <f>IFERROR(VLOOKUP($M333,'External Gateways'!$C$6:$F$10,3,FALSE),O333)</f>
        <v>2102195</v>
      </c>
      <c r="U333" s="56">
        <f>IFERROR(VLOOKUP($M333,'External Gateways'!$C$6:$F$10,4,FALSE),P333)</f>
        <v>6289147</v>
      </c>
      <c r="V333" s="353">
        <f t="shared" si="10"/>
        <v>10.275901494735123</v>
      </c>
      <c r="W333" s="353">
        <f t="shared" si="11"/>
        <v>139.44819701052975</v>
      </c>
    </row>
    <row r="334" spans="1:23" ht="15" customHeight="1" x14ac:dyDescent="0.25">
      <c r="A334" s="128">
        <v>1979</v>
      </c>
      <c r="B334" s="129" t="s">
        <v>315</v>
      </c>
      <c r="C334" s="128" t="s">
        <v>68</v>
      </c>
      <c r="D334" s="129" t="s">
        <v>172</v>
      </c>
      <c r="E334" s="129" t="s">
        <v>162</v>
      </c>
      <c r="F334" s="129">
        <v>92595</v>
      </c>
      <c r="G334" s="129">
        <v>92154</v>
      </c>
      <c r="H334" s="130">
        <v>225</v>
      </c>
      <c r="I334" s="129" t="s">
        <v>518</v>
      </c>
      <c r="J334" s="130">
        <v>12</v>
      </c>
      <c r="K334" s="131"/>
      <c r="L334" s="131" t="s">
        <v>68</v>
      </c>
      <c r="M334" s="131" t="s">
        <v>402</v>
      </c>
      <c r="N334" s="131" t="s">
        <v>328</v>
      </c>
      <c r="O334" s="56">
        <f>VLOOKUP($F334,'ZipCode Coordinates'!$A:$E,4,FALSE)</f>
        <v>2170100</v>
      </c>
      <c r="P334" s="56">
        <f>VLOOKUP($F334,'ZipCode Coordinates'!$A:$E,5,FALSE)</f>
        <v>6254090</v>
      </c>
      <c r="Q334" s="56">
        <f>VLOOKUP($G334,'ZipCode Coordinates'!$A:$E,4,FALSE)</f>
        <v>1787080</v>
      </c>
      <c r="R334" s="56">
        <f>VLOOKUP($G334,'ZipCode Coordinates'!$A:$E,5,FALSE)</f>
        <v>6330680</v>
      </c>
      <c r="S334" s="352" t="str">
        <f>IFERROR(VLOOKUP($M334,'External Gateways'!$C$6:$F$10,2,FALSE),"")</f>
        <v>I-15</v>
      </c>
      <c r="T334" s="56">
        <f>IFERROR(VLOOKUP($M334,'External Gateways'!$C$6:$F$10,3,FALSE),O334)</f>
        <v>2102195</v>
      </c>
      <c r="U334" s="56">
        <f>IFERROR(VLOOKUP($M334,'External Gateways'!$C$6:$F$10,4,FALSE),P334)</f>
        <v>6289147</v>
      </c>
      <c r="V334" s="353">
        <f t="shared" si="10"/>
        <v>14.473566476992975</v>
      </c>
      <c r="W334" s="353">
        <f t="shared" si="11"/>
        <v>196.05286704601406</v>
      </c>
    </row>
    <row r="335" spans="1:23" ht="15" customHeight="1" x14ac:dyDescent="0.25">
      <c r="A335" s="128">
        <v>1980</v>
      </c>
      <c r="B335" s="129" t="s">
        <v>82</v>
      </c>
      <c r="C335" s="128" t="s">
        <v>3</v>
      </c>
      <c r="D335" s="129" t="s">
        <v>154</v>
      </c>
      <c r="E335" s="129" t="s">
        <v>82</v>
      </c>
      <c r="F335" s="129">
        <v>92592</v>
      </c>
      <c r="G335" s="129">
        <v>92055</v>
      </c>
      <c r="H335" s="130">
        <v>129</v>
      </c>
      <c r="I335" s="129" t="s">
        <v>455</v>
      </c>
      <c r="J335" s="130">
        <v>7</v>
      </c>
      <c r="K335" s="131"/>
      <c r="L335" s="131" t="s">
        <v>3</v>
      </c>
      <c r="M335" s="131" t="s">
        <v>402</v>
      </c>
      <c r="N335" s="131" t="s">
        <v>324</v>
      </c>
      <c r="O335" s="56">
        <f>VLOOKUP($F335,'ZipCode Coordinates'!$A:$E,4,FALSE)</f>
        <v>2128740</v>
      </c>
      <c r="P335" s="56">
        <f>VLOOKUP($F335,'ZipCode Coordinates'!$A:$E,5,FALSE)</f>
        <v>6328900</v>
      </c>
      <c r="Q335" s="56">
        <f>VLOOKUP($G335,'ZipCode Coordinates'!$A:$E,4,FALSE)</f>
        <v>2082470</v>
      </c>
      <c r="R335" s="56">
        <f>VLOOKUP($G335,'ZipCode Coordinates'!$A:$E,5,FALSE)</f>
        <v>6206470</v>
      </c>
      <c r="S335" s="352" t="str">
        <f>IFERROR(VLOOKUP($M335,'External Gateways'!$C$6:$F$10,2,FALSE),"")</f>
        <v>I-15</v>
      </c>
      <c r="T335" s="56">
        <f>IFERROR(VLOOKUP($M335,'External Gateways'!$C$6:$F$10,3,FALSE),O335)</f>
        <v>2102195</v>
      </c>
      <c r="U335" s="56">
        <f>IFERROR(VLOOKUP($M335,'External Gateways'!$C$6:$F$10,4,FALSE),P335)</f>
        <v>6289147</v>
      </c>
      <c r="V335" s="353">
        <f t="shared" si="10"/>
        <v>9.0532245169037147</v>
      </c>
      <c r="W335" s="353">
        <f t="shared" si="11"/>
        <v>110.89355096619258</v>
      </c>
    </row>
    <row r="336" spans="1:23" ht="15" customHeight="1" x14ac:dyDescent="0.25">
      <c r="A336" s="128">
        <v>1982</v>
      </c>
      <c r="B336" s="129" t="s">
        <v>82</v>
      </c>
      <c r="C336" s="128" t="s">
        <v>3</v>
      </c>
      <c r="D336" s="129" t="s">
        <v>154</v>
      </c>
      <c r="E336" s="129" t="s">
        <v>82</v>
      </c>
      <c r="F336" s="129">
        <v>92592</v>
      </c>
      <c r="G336" s="129">
        <v>92055</v>
      </c>
      <c r="H336" s="130">
        <v>97</v>
      </c>
      <c r="I336" s="129" t="s">
        <v>446</v>
      </c>
      <c r="J336" s="130">
        <v>10</v>
      </c>
      <c r="K336" s="131"/>
      <c r="L336" s="131" t="s">
        <v>3</v>
      </c>
      <c r="M336" s="131" t="s">
        <v>402</v>
      </c>
      <c r="N336" s="131" t="s">
        <v>324</v>
      </c>
      <c r="O336" s="56">
        <f>VLOOKUP($F336,'ZipCode Coordinates'!$A:$E,4,FALSE)</f>
        <v>2128740</v>
      </c>
      <c r="P336" s="56">
        <f>VLOOKUP($F336,'ZipCode Coordinates'!$A:$E,5,FALSE)</f>
        <v>6328900</v>
      </c>
      <c r="Q336" s="56">
        <f>VLOOKUP($G336,'ZipCode Coordinates'!$A:$E,4,FALSE)</f>
        <v>2082470</v>
      </c>
      <c r="R336" s="56">
        <f>VLOOKUP($G336,'ZipCode Coordinates'!$A:$E,5,FALSE)</f>
        <v>6206470</v>
      </c>
      <c r="S336" s="352" t="str">
        <f>IFERROR(VLOOKUP($M336,'External Gateways'!$C$6:$F$10,2,FALSE),"")</f>
        <v>I-15</v>
      </c>
      <c r="T336" s="56">
        <f>IFERROR(VLOOKUP($M336,'External Gateways'!$C$6:$F$10,3,FALSE),O336)</f>
        <v>2102195</v>
      </c>
      <c r="U336" s="56">
        <f>IFERROR(VLOOKUP($M336,'External Gateways'!$C$6:$F$10,4,FALSE),P336)</f>
        <v>6289147</v>
      </c>
      <c r="V336" s="353">
        <f t="shared" si="10"/>
        <v>9.0532245169037147</v>
      </c>
      <c r="W336" s="353">
        <f t="shared" si="11"/>
        <v>78.893550966192578</v>
      </c>
    </row>
    <row r="337" spans="1:23" ht="15" customHeight="1" x14ac:dyDescent="0.25">
      <c r="A337" s="128">
        <v>1984</v>
      </c>
      <c r="B337" s="129" t="s">
        <v>307</v>
      </c>
      <c r="C337" s="128" t="s">
        <v>3</v>
      </c>
      <c r="D337" s="129" t="s">
        <v>278</v>
      </c>
      <c r="E337" s="129" t="s">
        <v>162</v>
      </c>
      <c r="F337" s="129">
        <v>92618</v>
      </c>
      <c r="G337" s="129">
        <v>92110</v>
      </c>
      <c r="H337" s="130">
        <v>185</v>
      </c>
      <c r="I337" s="129" t="s">
        <v>408</v>
      </c>
      <c r="J337" s="130">
        <v>7</v>
      </c>
      <c r="K337" s="131"/>
      <c r="L337" s="131" t="s">
        <v>3</v>
      </c>
      <c r="M337" s="131" t="s">
        <v>439</v>
      </c>
      <c r="N337" s="131" t="s">
        <v>327</v>
      </c>
      <c r="O337" s="56">
        <f>VLOOKUP($F337,'ZipCode Coordinates'!$A:$E,4,FALSE)</f>
        <v>2193730</v>
      </c>
      <c r="P337" s="56">
        <f>VLOOKUP($F337,'ZipCode Coordinates'!$A:$E,5,FALSE)</f>
        <v>6112500</v>
      </c>
      <c r="Q337" s="56">
        <f>VLOOKUP($G337,'ZipCode Coordinates'!$A:$E,4,FALSE)</f>
        <v>1859050</v>
      </c>
      <c r="R337" s="56">
        <f>VLOOKUP($G337,'ZipCode Coordinates'!$A:$E,5,FALSE)</f>
        <v>6269400</v>
      </c>
      <c r="S337" s="352" t="str">
        <f>IFERROR(VLOOKUP($M337,'External Gateways'!$C$6:$F$10,2,FALSE),"")</f>
        <v>I-5</v>
      </c>
      <c r="T337" s="56">
        <f>IFERROR(VLOOKUP($M337,'External Gateways'!$C$6:$F$10,3,FALSE),O337)</f>
        <v>2090594</v>
      </c>
      <c r="U337" s="56">
        <f>IFERROR(VLOOKUP($M337,'External Gateways'!$C$6:$F$10,4,FALSE),P337)</f>
        <v>6151524</v>
      </c>
      <c r="V337" s="353">
        <f t="shared" si="10"/>
        <v>20.884842549111873</v>
      </c>
      <c r="W337" s="353">
        <f t="shared" si="11"/>
        <v>143.23031490177624</v>
      </c>
    </row>
    <row r="338" spans="1:23" ht="15" customHeight="1" x14ac:dyDescent="0.25">
      <c r="A338" s="128">
        <v>1985</v>
      </c>
      <c r="B338" s="129" t="s">
        <v>300</v>
      </c>
      <c r="C338" s="128" t="s">
        <v>166</v>
      </c>
      <c r="D338" s="129" t="s">
        <v>264</v>
      </c>
      <c r="E338" s="129" t="s">
        <v>162</v>
      </c>
      <c r="F338" s="129">
        <v>91901</v>
      </c>
      <c r="G338" s="129">
        <v>92101</v>
      </c>
      <c r="H338" s="130">
        <v>79</v>
      </c>
      <c r="I338" s="129" t="s">
        <v>407</v>
      </c>
      <c r="J338" s="130">
        <v>8</v>
      </c>
      <c r="K338" s="131"/>
      <c r="L338" s="131" t="s">
        <v>5</v>
      </c>
      <c r="M338" s="131" t="s">
        <v>329</v>
      </c>
      <c r="N338" s="131" t="s">
        <v>323</v>
      </c>
      <c r="O338" s="56">
        <f>VLOOKUP($F338,'ZipCode Coordinates'!$A:$E,4,FALSE)</f>
        <v>1874070</v>
      </c>
      <c r="P338" s="56">
        <f>VLOOKUP($F338,'ZipCode Coordinates'!$A:$E,5,FALSE)</f>
        <v>6418790</v>
      </c>
      <c r="Q338" s="56">
        <f>VLOOKUP($G338,'ZipCode Coordinates'!$A:$E,4,FALSE)</f>
        <v>1844080</v>
      </c>
      <c r="R338" s="56">
        <f>VLOOKUP($G338,'ZipCode Coordinates'!$A:$E,5,FALSE)</f>
        <v>6278770</v>
      </c>
      <c r="S338" s="352" t="str">
        <f>IFERROR(VLOOKUP($M338,'External Gateways'!$C$6:$F$10,2,FALSE),"")</f>
        <v/>
      </c>
      <c r="T338" s="56">
        <f>IFERROR(VLOOKUP($M338,'External Gateways'!$C$6:$F$10,3,FALSE),O338)</f>
        <v>1874070</v>
      </c>
      <c r="U338" s="56">
        <f>IFERROR(VLOOKUP($M338,'External Gateways'!$C$6:$F$10,4,FALSE),P338)</f>
        <v>6418790</v>
      </c>
      <c r="V338" s="353">
        <f t="shared" si="10"/>
        <v>0</v>
      </c>
      <c r="W338" s="353">
        <f t="shared" si="11"/>
        <v>79</v>
      </c>
    </row>
    <row r="339" spans="1:23" ht="15" customHeight="1" x14ac:dyDescent="0.25">
      <c r="A339" s="128">
        <v>1986</v>
      </c>
      <c r="B339" s="129" t="s">
        <v>218</v>
      </c>
      <c r="C339" s="128" t="s">
        <v>68</v>
      </c>
      <c r="D339" s="129" t="s">
        <v>165</v>
      </c>
      <c r="E339" s="129" t="s">
        <v>162</v>
      </c>
      <c r="F339" s="129">
        <v>91911</v>
      </c>
      <c r="G339" s="129">
        <v>92161</v>
      </c>
      <c r="H339" s="130">
        <v>64</v>
      </c>
      <c r="I339" s="129" t="s">
        <v>420</v>
      </c>
      <c r="J339" s="130">
        <v>7</v>
      </c>
      <c r="K339" s="131"/>
      <c r="L339" s="131" t="s">
        <v>68</v>
      </c>
      <c r="M339" s="131" t="s">
        <v>328</v>
      </c>
      <c r="N339" s="131" t="s">
        <v>327</v>
      </c>
      <c r="O339" s="56">
        <f>VLOOKUP($F339,'ZipCode Coordinates'!$A:$E,4,FALSE)</f>
        <v>1801570</v>
      </c>
      <c r="P339" s="56">
        <f>VLOOKUP($F339,'ZipCode Coordinates'!$A:$E,5,FALSE)</f>
        <v>6315270</v>
      </c>
      <c r="Q339" s="56">
        <f>VLOOKUP($G339,'ZipCode Coordinates'!$A:$E,4,FALSE)</f>
        <v>1899477</v>
      </c>
      <c r="R339" s="56">
        <f>VLOOKUP($G339,'ZipCode Coordinates'!$A:$E,5,FALSE)</f>
        <v>6258957</v>
      </c>
      <c r="S339" s="352" t="str">
        <f>IFERROR(VLOOKUP($M339,'External Gateways'!$C$6:$F$10,2,FALSE),"")</f>
        <v/>
      </c>
      <c r="T339" s="56">
        <f>IFERROR(VLOOKUP($M339,'External Gateways'!$C$6:$F$10,3,FALSE),O339)</f>
        <v>1801570</v>
      </c>
      <c r="U339" s="56">
        <f>IFERROR(VLOOKUP($M339,'External Gateways'!$C$6:$F$10,4,FALSE),P339)</f>
        <v>6315270</v>
      </c>
      <c r="V339" s="353">
        <f t="shared" si="10"/>
        <v>0</v>
      </c>
      <c r="W339" s="353">
        <f t="shared" si="11"/>
        <v>64</v>
      </c>
    </row>
    <row r="340" spans="1:23" ht="15" customHeight="1" x14ac:dyDescent="0.25">
      <c r="A340" s="128">
        <v>1988</v>
      </c>
      <c r="B340" s="129" t="s">
        <v>82</v>
      </c>
      <c r="C340" s="128" t="s">
        <v>3</v>
      </c>
      <c r="D340" s="129" t="s">
        <v>154</v>
      </c>
      <c r="E340" s="129" t="s">
        <v>82</v>
      </c>
      <c r="F340" s="129">
        <v>92592</v>
      </c>
      <c r="G340" s="129">
        <v>92055</v>
      </c>
      <c r="H340" s="130">
        <v>64</v>
      </c>
      <c r="I340" s="129" t="s">
        <v>401</v>
      </c>
      <c r="J340" s="130">
        <v>7</v>
      </c>
      <c r="K340" s="131"/>
      <c r="L340" s="131" t="s">
        <v>3</v>
      </c>
      <c r="M340" s="131" t="s">
        <v>402</v>
      </c>
      <c r="N340" s="131" t="s">
        <v>324</v>
      </c>
      <c r="O340" s="56">
        <f>VLOOKUP($F340,'ZipCode Coordinates'!$A:$E,4,FALSE)</f>
        <v>2128740</v>
      </c>
      <c r="P340" s="56">
        <f>VLOOKUP($F340,'ZipCode Coordinates'!$A:$E,5,FALSE)</f>
        <v>6328900</v>
      </c>
      <c r="Q340" s="56">
        <f>VLOOKUP($G340,'ZipCode Coordinates'!$A:$E,4,FALSE)</f>
        <v>2082470</v>
      </c>
      <c r="R340" s="56">
        <f>VLOOKUP($G340,'ZipCode Coordinates'!$A:$E,5,FALSE)</f>
        <v>6206470</v>
      </c>
      <c r="S340" s="352" t="str">
        <f>IFERROR(VLOOKUP($M340,'External Gateways'!$C$6:$F$10,2,FALSE),"")</f>
        <v>I-15</v>
      </c>
      <c r="T340" s="56">
        <f>IFERROR(VLOOKUP($M340,'External Gateways'!$C$6:$F$10,3,FALSE),O340)</f>
        <v>2102195</v>
      </c>
      <c r="U340" s="56">
        <f>IFERROR(VLOOKUP($M340,'External Gateways'!$C$6:$F$10,4,FALSE),P340)</f>
        <v>6289147</v>
      </c>
      <c r="V340" s="353">
        <f t="shared" si="10"/>
        <v>9.0532245169037147</v>
      </c>
      <c r="W340" s="353">
        <f t="shared" si="11"/>
        <v>45.893550966192571</v>
      </c>
    </row>
    <row r="341" spans="1:23" ht="15" customHeight="1" x14ac:dyDescent="0.25">
      <c r="A341" s="128">
        <v>1993</v>
      </c>
      <c r="B341" s="129" t="s">
        <v>82</v>
      </c>
      <c r="C341" s="128" t="s">
        <v>3</v>
      </c>
      <c r="D341" s="129" t="s">
        <v>504</v>
      </c>
      <c r="E341" s="129" t="s">
        <v>82</v>
      </c>
      <c r="F341" s="129">
        <v>92583</v>
      </c>
      <c r="G341" s="129">
        <v>92055</v>
      </c>
      <c r="H341" s="130">
        <v>134</v>
      </c>
      <c r="I341" s="129" t="s">
        <v>427</v>
      </c>
      <c r="J341" s="130">
        <v>7</v>
      </c>
      <c r="K341" s="131"/>
      <c r="L341" s="131" t="s">
        <v>3</v>
      </c>
      <c r="M341" s="131" t="s">
        <v>402</v>
      </c>
      <c r="N341" s="131" t="s">
        <v>324</v>
      </c>
      <c r="O341" s="56">
        <f>VLOOKUP($F341,'ZipCode Coordinates'!$A:$E,4,FALSE)</f>
        <v>2232550</v>
      </c>
      <c r="P341" s="56">
        <f>VLOOKUP($F341,'ZipCode Coordinates'!$A:$E,5,FALSE)</f>
        <v>6358050</v>
      </c>
      <c r="Q341" s="56">
        <f>VLOOKUP($G341,'ZipCode Coordinates'!$A:$E,4,FALSE)</f>
        <v>2082470</v>
      </c>
      <c r="R341" s="56">
        <f>VLOOKUP($G341,'ZipCode Coordinates'!$A:$E,5,FALSE)</f>
        <v>6206470</v>
      </c>
      <c r="S341" s="352" t="str">
        <f>IFERROR(VLOOKUP($M341,'External Gateways'!$C$6:$F$10,2,FALSE),"")</f>
        <v>I-15</v>
      </c>
      <c r="T341" s="56">
        <f>IFERROR(VLOOKUP($M341,'External Gateways'!$C$6:$F$10,3,FALSE),O341)</f>
        <v>2102195</v>
      </c>
      <c r="U341" s="56">
        <f>IFERROR(VLOOKUP($M341,'External Gateways'!$C$6:$F$10,4,FALSE),P341)</f>
        <v>6289147</v>
      </c>
      <c r="V341" s="353">
        <f t="shared" si="10"/>
        <v>27.925203143927018</v>
      </c>
      <c r="W341" s="353">
        <f t="shared" si="11"/>
        <v>78.149593712145958</v>
      </c>
    </row>
    <row r="342" spans="1:23" ht="15" customHeight="1" x14ac:dyDescent="0.25">
      <c r="A342" s="128">
        <v>1997</v>
      </c>
      <c r="B342" s="129" t="s">
        <v>277</v>
      </c>
      <c r="C342" s="128" t="s">
        <v>198</v>
      </c>
      <c r="D342" s="129" t="s">
        <v>158</v>
      </c>
      <c r="E342" s="129" t="s">
        <v>162</v>
      </c>
      <c r="F342" s="129">
        <v>92562</v>
      </c>
      <c r="G342" s="129">
        <v>92121</v>
      </c>
      <c r="H342" s="130">
        <v>110</v>
      </c>
      <c r="I342" s="129" t="s">
        <v>408</v>
      </c>
      <c r="J342" s="130">
        <v>7</v>
      </c>
      <c r="K342" s="131">
        <v>1</v>
      </c>
      <c r="L342" s="131" t="s">
        <v>5</v>
      </c>
      <c r="M342" s="131" t="s">
        <v>402</v>
      </c>
      <c r="N342" s="131" t="s">
        <v>327</v>
      </c>
      <c r="O342" s="56">
        <f>VLOOKUP($F342,'ZipCode Coordinates'!$A:$E,4,FALSE)</f>
        <v>2144470</v>
      </c>
      <c r="P342" s="56">
        <f>VLOOKUP($F342,'ZipCode Coordinates'!$A:$E,5,FALSE)</f>
        <v>6251450</v>
      </c>
      <c r="Q342" s="56">
        <f>VLOOKUP($G342,'ZipCode Coordinates'!$A:$E,4,FALSE)</f>
        <v>1907910</v>
      </c>
      <c r="R342" s="56">
        <f>VLOOKUP($G342,'ZipCode Coordinates'!$A:$E,5,FALSE)</f>
        <v>6269540</v>
      </c>
      <c r="S342" s="352" t="str">
        <f>IFERROR(VLOOKUP($M342,'External Gateways'!$C$6:$F$10,2,FALSE),"")</f>
        <v>I-15</v>
      </c>
      <c r="T342" s="56">
        <f>IFERROR(VLOOKUP($M342,'External Gateways'!$C$6:$F$10,3,FALSE),O342)</f>
        <v>2102195</v>
      </c>
      <c r="U342" s="56">
        <f>IFERROR(VLOOKUP($M342,'External Gateways'!$C$6:$F$10,4,FALSE),P342)</f>
        <v>6289147</v>
      </c>
      <c r="V342" s="353">
        <f t="shared" si="10"/>
        <v>10.727523233277124</v>
      </c>
      <c r="W342" s="353">
        <f t="shared" si="11"/>
        <v>88.544953533445749</v>
      </c>
    </row>
    <row r="343" spans="1:23" ht="15" customHeight="1" x14ac:dyDescent="0.25">
      <c r="A343" s="128">
        <v>2006</v>
      </c>
      <c r="B343" s="129" t="s">
        <v>307</v>
      </c>
      <c r="C343" s="128" t="s">
        <v>3</v>
      </c>
      <c r="D343" s="129" t="s">
        <v>158</v>
      </c>
      <c r="E343" s="129" t="s">
        <v>162</v>
      </c>
      <c r="F343" s="129">
        <v>92563</v>
      </c>
      <c r="G343" s="129">
        <v>92110</v>
      </c>
      <c r="H343" s="130">
        <v>159</v>
      </c>
      <c r="I343" s="129" t="s">
        <v>403</v>
      </c>
      <c r="J343" s="130">
        <v>8</v>
      </c>
      <c r="K343" s="131"/>
      <c r="L343" s="131" t="s">
        <v>3</v>
      </c>
      <c r="M343" s="131" t="s">
        <v>402</v>
      </c>
      <c r="N343" s="131" t="s">
        <v>327</v>
      </c>
      <c r="O343" s="56">
        <f>VLOOKUP($F343,'ZipCode Coordinates'!$A:$E,4,FALSE)</f>
        <v>2156450</v>
      </c>
      <c r="P343" s="56">
        <f>VLOOKUP($F343,'ZipCode Coordinates'!$A:$E,5,FALSE)</f>
        <v>6288710</v>
      </c>
      <c r="Q343" s="56">
        <f>VLOOKUP($G343,'ZipCode Coordinates'!$A:$E,4,FALSE)</f>
        <v>1859050</v>
      </c>
      <c r="R343" s="56">
        <f>VLOOKUP($G343,'ZipCode Coordinates'!$A:$E,5,FALSE)</f>
        <v>6269400</v>
      </c>
      <c r="S343" s="352" t="str">
        <f>IFERROR(VLOOKUP($M343,'External Gateways'!$C$6:$F$10,2,FALSE),"")</f>
        <v>I-15</v>
      </c>
      <c r="T343" s="56">
        <f>IFERROR(VLOOKUP($M343,'External Gateways'!$C$6:$F$10,3,FALSE),O343)</f>
        <v>2102195</v>
      </c>
      <c r="U343" s="56">
        <f>IFERROR(VLOOKUP($M343,'External Gateways'!$C$6:$F$10,4,FALSE),P343)</f>
        <v>6289147</v>
      </c>
      <c r="V343" s="353">
        <f t="shared" si="10"/>
        <v>10.275901494735123</v>
      </c>
      <c r="W343" s="353">
        <f t="shared" si="11"/>
        <v>138.44819701052975</v>
      </c>
    </row>
    <row r="344" spans="1:23" ht="15" customHeight="1" x14ac:dyDescent="0.25">
      <c r="A344" s="128">
        <v>2012</v>
      </c>
      <c r="B344" s="129" t="s">
        <v>283</v>
      </c>
      <c r="C344" s="128" t="s">
        <v>404</v>
      </c>
      <c r="D344" s="129" t="s">
        <v>158</v>
      </c>
      <c r="E344" s="129" t="s">
        <v>162</v>
      </c>
      <c r="F344" s="129">
        <v>92563</v>
      </c>
      <c r="G344" s="129">
        <v>92101</v>
      </c>
      <c r="H344" s="130">
        <v>160</v>
      </c>
      <c r="I344" s="129" t="s">
        <v>416</v>
      </c>
      <c r="J344" s="130">
        <v>7</v>
      </c>
      <c r="K344" s="131"/>
      <c r="L344" s="131" t="s">
        <v>5</v>
      </c>
      <c r="M344" s="131" t="s">
        <v>402</v>
      </c>
      <c r="N344" s="131" t="s">
        <v>323</v>
      </c>
      <c r="O344" s="56">
        <f>VLOOKUP($F344,'ZipCode Coordinates'!$A:$E,4,FALSE)</f>
        <v>2156450</v>
      </c>
      <c r="P344" s="56">
        <f>VLOOKUP($F344,'ZipCode Coordinates'!$A:$E,5,FALSE)</f>
        <v>6288710</v>
      </c>
      <c r="Q344" s="56">
        <f>VLOOKUP($G344,'ZipCode Coordinates'!$A:$E,4,FALSE)</f>
        <v>1844080</v>
      </c>
      <c r="R344" s="56">
        <f>VLOOKUP($G344,'ZipCode Coordinates'!$A:$E,5,FALSE)</f>
        <v>6278770</v>
      </c>
      <c r="S344" s="352" t="str">
        <f>IFERROR(VLOOKUP($M344,'External Gateways'!$C$6:$F$10,2,FALSE),"")</f>
        <v>I-15</v>
      </c>
      <c r="T344" s="56">
        <f>IFERROR(VLOOKUP($M344,'External Gateways'!$C$6:$F$10,3,FALSE),O344)</f>
        <v>2102195</v>
      </c>
      <c r="U344" s="56">
        <f>IFERROR(VLOOKUP($M344,'External Gateways'!$C$6:$F$10,4,FALSE),P344)</f>
        <v>6289147</v>
      </c>
      <c r="V344" s="353">
        <f t="shared" si="10"/>
        <v>10.275901494735123</v>
      </c>
      <c r="W344" s="353">
        <f t="shared" si="11"/>
        <v>139.44819701052975</v>
      </c>
    </row>
    <row r="345" spans="1:23" ht="15" customHeight="1" x14ac:dyDescent="0.25">
      <c r="A345" s="128">
        <v>2014</v>
      </c>
      <c r="B345" s="129" t="s">
        <v>186</v>
      </c>
      <c r="C345" s="128" t="s">
        <v>166</v>
      </c>
      <c r="D345" s="129" t="s">
        <v>154</v>
      </c>
      <c r="E345" s="129" t="s">
        <v>155</v>
      </c>
      <c r="F345" s="129">
        <v>92592</v>
      </c>
      <c r="G345" s="129">
        <v>92008</v>
      </c>
      <c r="H345" s="130">
        <v>74</v>
      </c>
      <c r="I345" s="129" t="s">
        <v>436</v>
      </c>
      <c r="J345" s="130">
        <v>8</v>
      </c>
      <c r="K345" s="131"/>
      <c r="L345" s="131" t="s">
        <v>5</v>
      </c>
      <c r="M345" s="131" t="s">
        <v>402</v>
      </c>
      <c r="N345" s="131" t="s">
        <v>324</v>
      </c>
      <c r="O345" s="56">
        <f>VLOOKUP($F345,'ZipCode Coordinates'!$A:$E,4,FALSE)</f>
        <v>2128740</v>
      </c>
      <c r="P345" s="56">
        <f>VLOOKUP($F345,'ZipCode Coordinates'!$A:$E,5,FALSE)</f>
        <v>6328900</v>
      </c>
      <c r="Q345" s="56">
        <f>VLOOKUP($G345,'ZipCode Coordinates'!$A:$E,4,FALSE)</f>
        <v>1998660</v>
      </c>
      <c r="R345" s="56">
        <f>VLOOKUP($G345,'ZipCode Coordinates'!$A:$E,5,FALSE)</f>
        <v>6234650</v>
      </c>
      <c r="S345" s="352" t="str">
        <f>IFERROR(VLOOKUP($M345,'External Gateways'!$C$6:$F$10,2,FALSE),"")</f>
        <v>I-15</v>
      </c>
      <c r="T345" s="56">
        <f>IFERROR(VLOOKUP($M345,'External Gateways'!$C$6:$F$10,3,FALSE),O345)</f>
        <v>2102195</v>
      </c>
      <c r="U345" s="56">
        <f>IFERROR(VLOOKUP($M345,'External Gateways'!$C$6:$F$10,4,FALSE),P345)</f>
        <v>6289147</v>
      </c>
      <c r="V345" s="353">
        <f t="shared" si="10"/>
        <v>9.0532245169037147</v>
      </c>
      <c r="W345" s="353">
        <f t="shared" si="11"/>
        <v>55.893550966192571</v>
      </c>
    </row>
    <row r="346" spans="1:23" ht="15" customHeight="1" x14ac:dyDescent="0.25">
      <c r="A346" s="128">
        <v>2022</v>
      </c>
      <c r="B346" s="129" t="s">
        <v>315</v>
      </c>
      <c r="C346" s="128" t="s">
        <v>68</v>
      </c>
      <c r="D346" s="129" t="s">
        <v>162</v>
      </c>
      <c r="E346" s="129" t="s">
        <v>405</v>
      </c>
      <c r="F346" s="129">
        <v>92120</v>
      </c>
      <c r="G346" s="129">
        <v>91905</v>
      </c>
      <c r="H346" s="130">
        <v>109</v>
      </c>
      <c r="I346" s="129" t="s">
        <v>422</v>
      </c>
      <c r="J346" s="130">
        <v>8</v>
      </c>
      <c r="K346" s="131"/>
      <c r="L346" s="131" t="s">
        <v>68</v>
      </c>
      <c r="M346" s="131" t="s">
        <v>327</v>
      </c>
      <c r="N346" s="131" t="s">
        <v>329</v>
      </c>
      <c r="O346" s="56">
        <f>VLOOKUP($F346,'ZipCode Coordinates'!$A:$E,4,FALSE)</f>
        <v>1869860</v>
      </c>
      <c r="P346" s="56">
        <f>VLOOKUP($F346,'ZipCode Coordinates'!$A:$E,5,FALSE)</f>
        <v>6308830</v>
      </c>
      <c r="Q346" s="56">
        <f>VLOOKUP($G346,'ZipCode Coordinates'!$A:$E,4,FALSE)</f>
        <v>1844120</v>
      </c>
      <c r="R346" s="56">
        <f>VLOOKUP($G346,'ZipCode Coordinates'!$A:$E,5,FALSE)</f>
        <v>6545720</v>
      </c>
      <c r="S346" s="352" t="str">
        <f>IFERROR(VLOOKUP($M346,'External Gateways'!$C$6:$F$10,2,FALSE),"")</f>
        <v/>
      </c>
      <c r="T346" s="56">
        <f>IFERROR(VLOOKUP($M346,'External Gateways'!$C$6:$F$10,3,FALSE),O346)</f>
        <v>1869860</v>
      </c>
      <c r="U346" s="56">
        <f>IFERROR(VLOOKUP($M346,'External Gateways'!$C$6:$F$10,4,FALSE),P346)</f>
        <v>6308830</v>
      </c>
      <c r="V346" s="353">
        <f t="shared" si="10"/>
        <v>0</v>
      </c>
      <c r="W346" s="353">
        <f t="shared" si="11"/>
        <v>109</v>
      </c>
    </row>
    <row r="347" spans="1:23" ht="15" customHeight="1" x14ac:dyDescent="0.25">
      <c r="A347" s="128">
        <v>2034</v>
      </c>
      <c r="B347" s="129" t="s">
        <v>293</v>
      </c>
      <c r="C347" s="128" t="s">
        <v>294</v>
      </c>
      <c r="D347" s="129" t="s">
        <v>158</v>
      </c>
      <c r="E347" s="129" t="s">
        <v>156</v>
      </c>
      <c r="F347" s="129">
        <v>92562</v>
      </c>
      <c r="G347" s="129">
        <v>92029</v>
      </c>
      <c r="H347" s="130">
        <v>86</v>
      </c>
      <c r="I347" s="129" t="s">
        <v>420</v>
      </c>
      <c r="J347" s="130">
        <v>7</v>
      </c>
      <c r="K347" s="131"/>
      <c r="L347" s="131" t="s">
        <v>5</v>
      </c>
      <c r="M347" s="131" t="s">
        <v>402</v>
      </c>
      <c r="N347" s="131" t="s">
        <v>325</v>
      </c>
      <c r="O347" s="56">
        <f>VLOOKUP($F347,'ZipCode Coordinates'!$A:$E,4,FALSE)</f>
        <v>2144470</v>
      </c>
      <c r="P347" s="56">
        <f>VLOOKUP($F347,'ZipCode Coordinates'!$A:$E,5,FALSE)</f>
        <v>6251450</v>
      </c>
      <c r="Q347" s="56">
        <f>VLOOKUP($G347,'ZipCode Coordinates'!$A:$E,4,FALSE)</f>
        <v>1974260</v>
      </c>
      <c r="R347" s="56">
        <f>VLOOKUP($G347,'ZipCode Coordinates'!$A:$E,5,FALSE)</f>
        <v>6291680</v>
      </c>
      <c r="S347" s="352" t="str">
        <f>IFERROR(VLOOKUP($M347,'External Gateways'!$C$6:$F$10,2,FALSE),"")</f>
        <v>I-15</v>
      </c>
      <c r="T347" s="56">
        <f>IFERROR(VLOOKUP($M347,'External Gateways'!$C$6:$F$10,3,FALSE),O347)</f>
        <v>2102195</v>
      </c>
      <c r="U347" s="56">
        <f>IFERROR(VLOOKUP($M347,'External Gateways'!$C$6:$F$10,4,FALSE),P347)</f>
        <v>6289147</v>
      </c>
      <c r="V347" s="353">
        <f t="shared" si="10"/>
        <v>10.727523233277124</v>
      </c>
      <c r="W347" s="353">
        <f t="shared" si="11"/>
        <v>64.544953533445749</v>
      </c>
    </row>
    <row r="348" spans="1:23" ht="15" customHeight="1" x14ac:dyDescent="0.25">
      <c r="A348" s="128">
        <v>2035</v>
      </c>
      <c r="B348" s="129" t="s">
        <v>311</v>
      </c>
      <c r="C348" s="128" t="s">
        <v>411</v>
      </c>
      <c r="D348" s="129" t="s">
        <v>203</v>
      </c>
      <c r="E348" s="129" t="s">
        <v>162</v>
      </c>
      <c r="F348" s="129">
        <v>91950</v>
      </c>
      <c r="G348" s="129">
        <v>92093</v>
      </c>
      <c r="H348" s="130">
        <v>48</v>
      </c>
      <c r="I348" s="129" t="s">
        <v>428</v>
      </c>
      <c r="J348" s="130">
        <v>7</v>
      </c>
      <c r="K348" s="131"/>
      <c r="L348" s="131" t="s">
        <v>5</v>
      </c>
      <c r="M348" s="131" t="s">
        <v>323</v>
      </c>
      <c r="N348" s="131" t="s">
        <v>327</v>
      </c>
      <c r="O348" s="56">
        <f>VLOOKUP($F348,'ZipCode Coordinates'!$A:$E,4,FALSE)</f>
        <v>1823970</v>
      </c>
      <c r="P348" s="56">
        <f>VLOOKUP($F348,'ZipCode Coordinates'!$A:$E,5,FALSE)</f>
        <v>6302610</v>
      </c>
      <c r="Q348" s="56">
        <f>VLOOKUP($G348,'ZipCode Coordinates'!$A:$E,4,FALSE)</f>
        <v>1901870</v>
      </c>
      <c r="R348" s="56">
        <f>VLOOKUP($G348,'ZipCode Coordinates'!$A:$E,5,FALSE)</f>
        <v>6259600</v>
      </c>
      <c r="S348" s="352" t="str">
        <f>IFERROR(VLOOKUP($M348,'External Gateways'!$C$6:$F$10,2,FALSE),"")</f>
        <v/>
      </c>
      <c r="T348" s="56">
        <f>IFERROR(VLOOKUP($M348,'External Gateways'!$C$6:$F$10,3,FALSE),O348)</f>
        <v>1823970</v>
      </c>
      <c r="U348" s="56">
        <f>IFERROR(VLOOKUP($M348,'External Gateways'!$C$6:$F$10,4,FALSE),P348)</f>
        <v>6302610</v>
      </c>
      <c r="V348" s="353">
        <f t="shared" si="10"/>
        <v>0</v>
      </c>
      <c r="W348" s="353">
        <f t="shared" si="11"/>
        <v>48</v>
      </c>
    </row>
    <row r="349" spans="1:23" ht="15" customHeight="1" x14ac:dyDescent="0.25">
      <c r="A349" s="128">
        <v>2036</v>
      </c>
      <c r="B349" s="129" t="s">
        <v>258</v>
      </c>
      <c r="C349" s="128" t="s">
        <v>3</v>
      </c>
      <c r="D349" s="129" t="s">
        <v>170</v>
      </c>
      <c r="E349" s="129" t="s">
        <v>162</v>
      </c>
      <c r="F349" s="129">
        <v>92584</v>
      </c>
      <c r="G349" s="129">
        <v>92135</v>
      </c>
      <c r="H349" s="130">
        <v>159</v>
      </c>
      <c r="I349" s="129" t="s">
        <v>427</v>
      </c>
      <c r="J349" s="130">
        <v>7</v>
      </c>
      <c r="K349" s="131"/>
      <c r="L349" s="131" t="s">
        <v>3</v>
      </c>
      <c r="M349" s="131" t="s">
        <v>402</v>
      </c>
      <c r="N349" s="131" t="s">
        <v>323</v>
      </c>
      <c r="O349" s="56">
        <f>VLOOKUP($F349,'ZipCode Coordinates'!$A:$E,4,FALSE)</f>
        <v>2185160</v>
      </c>
      <c r="P349" s="56">
        <f>VLOOKUP($F349,'ZipCode Coordinates'!$A:$E,5,FALSE)</f>
        <v>6280270</v>
      </c>
      <c r="Q349" s="56">
        <f>VLOOKUP($G349,'ZipCode Coordinates'!$A:$E,4,FALSE)</f>
        <v>1835720</v>
      </c>
      <c r="R349" s="56">
        <f>VLOOKUP($G349,'ZipCode Coordinates'!$A:$E,5,FALSE)</f>
        <v>6266670</v>
      </c>
      <c r="S349" s="352" t="str">
        <f>IFERROR(VLOOKUP($M349,'External Gateways'!$C$6:$F$10,2,FALSE),"")</f>
        <v>I-15</v>
      </c>
      <c r="T349" s="56">
        <f>IFERROR(VLOOKUP($M349,'External Gateways'!$C$6:$F$10,3,FALSE),O349)</f>
        <v>2102195</v>
      </c>
      <c r="U349" s="56">
        <f>IFERROR(VLOOKUP($M349,'External Gateways'!$C$6:$F$10,4,FALSE),P349)</f>
        <v>6289147</v>
      </c>
      <c r="V349" s="353">
        <f t="shared" si="10"/>
        <v>15.802756507931361</v>
      </c>
      <c r="W349" s="353">
        <f t="shared" si="11"/>
        <v>127.39448698413727</v>
      </c>
    </row>
    <row r="350" spans="1:23" ht="15" customHeight="1" x14ac:dyDescent="0.25">
      <c r="A350" s="128">
        <v>2037</v>
      </c>
      <c r="B350" s="129" t="s">
        <v>284</v>
      </c>
      <c r="C350" s="128" t="s">
        <v>181</v>
      </c>
      <c r="D350" s="129" t="s">
        <v>162</v>
      </c>
      <c r="E350" s="129" t="s">
        <v>156</v>
      </c>
      <c r="F350" s="129">
        <v>92103</v>
      </c>
      <c r="G350" s="129">
        <v>92027</v>
      </c>
      <c r="H350" s="130">
        <v>85</v>
      </c>
      <c r="I350" s="129" t="s">
        <v>465</v>
      </c>
      <c r="J350" s="130">
        <v>15</v>
      </c>
      <c r="K350" s="131"/>
      <c r="L350" s="131" t="s">
        <v>5</v>
      </c>
      <c r="M350" s="131" t="s">
        <v>323</v>
      </c>
      <c r="N350" s="131" t="s">
        <v>325</v>
      </c>
      <c r="O350" s="56">
        <f>VLOOKUP($F350,'ZipCode Coordinates'!$A:$E,4,FALSE)</f>
        <v>1852940</v>
      </c>
      <c r="P350" s="56">
        <f>VLOOKUP($F350,'ZipCode Coordinates'!$A:$E,5,FALSE)</f>
        <v>6279750</v>
      </c>
      <c r="Q350" s="56">
        <f>VLOOKUP($G350,'ZipCode Coordinates'!$A:$E,4,FALSE)</f>
        <v>1994010</v>
      </c>
      <c r="R350" s="56">
        <f>VLOOKUP($G350,'ZipCode Coordinates'!$A:$E,5,FALSE)</f>
        <v>6337210</v>
      </c>
      <c r="S350" s="352" t="str">
        <f>IFERROR(VLOOKUP($M350,'External Gateways'!$C$6:$F$10,2,FALSE),"")</f>
        <v/>
      </c>
      <c r="T350" s="56">
        <f>IFERROR(VLOOKUP($M350,'External Gateways'!$C$6:$F$10,3,FALSE),O350)</f>
        <v>1852940</v>
      </c>
      <c r="U350" s="56">
        <f>IFERROR(VLOOKUP($M350,'External Gateways'!$C$6:$F$10,4,FALSE),P350)</f>
        <v>6279750</v>
      </c>
      <c r="V350" s="353">
        <f t="shared" si="10"/>
        <v>0</v>
      </c>
      <c r="W350" s="353">
        <f t="shared" si="11"/>
        <v>85</v>
      </c>
    </row>
    <row r="351" spans="1:23" ht="15" customHeight="1" x14ac:dyDescent="0.25">
      <c r="A351" s="128">
        <v>2040</v>
      </c>
      <c r="B351" s="129" t="s">
        <v>315</v>
      </c>
      <c r="C351" s="128" t="s">
        <v>68</v>
      </c>
      <c r="D351" s="129" t="s">
        <v>205</v>
      </c>
      <c r="E351" s="129" t="s">
        <v>201</v>
      </c>
      <c r="F351" s="129">
        <v>91942</v>
      </c>
      <c r="G351" s="129">
        <v>91962</v>
      </c>
      <c r="H351" s="130">
        <v>85</v>
      </c>
      <c r="I351" s="129" t="s">
        <v>406</v>
      </c>
      <c r="J351" s="130">
        <v>7</v>
      </c>
      <c r="K351" s="131"/>
      <c r="L351" s="131" t="s">
        <v>68</v>
      </c>
      <c r="M351" s="131" t="s">
        <v>326</v>
      </c>
      <c r="N351" s="131" t="s">
        <v>329</v>
      </c>
      <c r="O351" s="56">
        <f>VLOOKUP($F351,'ZipCode Coordinates'!$A:$E,4,FALSE)</f>
        <v>1863610</v>
      </c>
      <c r="P351" s="56">
        <f>VLOOKUP($F351,'ZipCode Coordinates'!$A:$E,5,FALSE)</f>
        <v>6324360</v>
      </c>
      <c r="Q351" s="56">
        <f>VLOOKUP($G351,'ZipCode Coordinates'!$A:$E,4,FALSE)</f>
        <v>1874980</v>
      </c>
      <c r="R351" s="56">
        <f>VLOOKUP($G351,'ZipCode Coordinates'!$A:$E,5,FALSE)</f>
        <v>6499110</v>
      </c>
      <c r="S351" s="352" t="str">
        <f>IFERROR(VLOOKUP($M351,'External Gateways'!$C$6:$F$10,2,FALSE),"")</f>
        <v/>
      </c>
      <c r="T351" s="56">
        <f>IFERROR(VLOOKUP($M351,'External Gateways'!$C$6:$F$10,3,FALSE),O351)</f>
        <v>1863610</v>
      </c>
      <c r="U351" s="56">
        <f>IFERROR(VLOOKUP($M351,'External Gateways'!$C$6:$F$10,4,FALSE),P351)</f>
        <v>6324360</v>
      </c>
      <c r="V351" s="353">
        <f t="shared" si="10"/>
        <v>0</v>
      </c>
      <c r="W351" s="353">
        <f t="shared" si="11"/>
        <v>85</v>
      </c>
    </row>
    <row r="352" spans="1:23" ht="15" customHeight="1" x14ac:dyDescent="0.25">
      <c r="A352" s="128">
        <v>2042</v>
      </c>
      <c r="B352" s="129" t="s">
        <v>209</v>
      </c>
      <c r="C352" s="128" t="s">
        <v>68</v>
      </c>
      <c r="D352" s="129" t="s">
        <v>158</v>
      </c>
      <c r="E352" s="129" t="s">
        <v>210</v>
      </c>
      <c r="F352" s="129">
        <v>92563</v>
      </c>
      <c r="G352" s="129">
        <v>92083</v>
      </c>
      <c r="H352" s="130">
        <v>82</v>
      </c>
      <c r="I352" s="129" t="s">
        <v>407</v>
      </c>
      <c r="J352" s="130">
        <v>8</v>
      </c>
      <c r="K352" s="131"/>
      <c r="L352" s="131" t="s">
        <v>68</v>
      </c>
      <c r="M352" s="131" t="s">
        <v>402</v>
      </c>
      <c r="N352" s="131" t="s">
        <v>325</v>
      </c>
      <c r="O352" s="56">
        <f>VLOOKUP($F352,'ZipCode Coordinates'!$A:$E,4,FALSE)</f>
        <v>2156450</v>
      </c>
      <c r="P352" s="56">
        <f>VLOOKUP($F352,'ZipCode Coordinates'!$A:$E,5,FALSE)</f>
        <v>6288710</v>
      </c>
      <c r="Q352" s="56">
        <f>VLOOKUP($G352,'ZipCode Coordinates'!$A:$E,4,FALSE)</f>
        <v>2017120</v>
      </c>
      <c r="R352" s="56">
        <f>VLOOKUP($G352,'ZipCode Coordinates'!$A:$E,5,FALSE)</f>
        <v>6256330</v>
      </c>
      <c r="S352" s="352" t="str">
        <f>IFERROR(VLOOKUP($M352,'External Gateways'!$C$6:$F$10,2,FALSE),"")</f>
        <v>I-15</v>
      </c>
      <c r="T352" s="56">
        <f>IFERROR(VLOOKUP($M352,'External Gateways'!$C$6:$F$10,3,FALSE),O352)</f>
        <v>2102195</v>
      </c>
      <c r="U352" s="56">
        <f>IFERROR(VLOOKUP($M352,'External Gateways'!$C$6:$F$10,4,FALSE),P352)</f>
        <v>6289147</v>
      </c>
      <c r="V352" s="353">
        <f t="shared" si="10"/>
        <v>10.275901494735123</v>
      </c>
      <c r="W352" s="353">
        <f t="shared" si="11"/>
        <v>61.448197010529753</v>
      </c>
    </row>
    <row r="353" spans="1:23" ht="15" customHeight="1" x14ac:dyDescent="0.25">
      <c r="A353" s="128">
        <v>2052</v>
      </c>
      <c r="B353" s="129" t="s">
        <v>315</v>
      </c>
      <c r="C353" s="128" t="s">
        <v>68</v>
      </c>
      <c r="D353" s="129" t="s">
        <v>156</v>
      </c>
      <c r="E353" s="129" t="s">
        <v>201</v>
      </c>
      <c r="F353" s="129">
        <v>92027</v>
      </c>
      <c r="G353" s="129">
        <v>91962</v>
      </c>
      <c r="H353" s="130">
        <v>109</v>
      </c>
      <c r="I353" s="129" t="s">
        <v>448</v>
      </c>
      <c r="J353" s="130">
        <v>10</v>
      </c>
      <c r="K353" s="131"/>
      <c r="L353" s="131" t="s">
        <v>68</v>
      </c>
      <c r="M353" s="131" t="s">
        <v>325</v>
      </c>
      <c r="N353" s="131" t="s">
        <v>329</v>
      </c>
      <c r="O353" s="56">
        <f>VLOOKUP($F353,'ZipCode Coordinates'!$A:$E,4,FALSE)</f>
        <v>1994010</v>
      </c>
      <c r="P353" s="56">
        <f>VLOOKUP($F353,'ZipCode Coordinates'!$A:$E,5,FALSE)</f>
        <v>6337210</v>
      </c>
      <c r="Q353" s="56">
        <f>VLOOKUP($G353,'ZipCode Coordinates'!$A:$E,4,FALSE)</f>
        <v>1874980</v>
      </c>
      <c r="R353" s="56">
        <f>VLOOKUP($G353,'ZipCode Coordinates'!$A:$E,5,FALSE)</f>
        <v>6499110</v>
      </c>
      <c r="S353" s="352" t="str">
        <f>IFERROR(VLOOKUP($M353,'External Gateways'!$C$6:$F$10,2,FALSE),"")</f>
        <v/>
      </c>
      <c r="T353" s="56">
        <f>IFERROR(VLOOKUP($M353,'External Gateways'!$C$6:$F$10,3,FALSE),O353)</f>
        <v>1994010</v>
      </c>
      <c r="U353" s="56">
        <f>IFERROR(VLOOKUP($M353,'External Gateways'!$C$6:$F$10,4,FALSE),P353)</f>
        <v>6337210</v>
      </c>
      <c r="V353" s="353">
        <f t="shared" si="10"/>
        <v>0</v>
      </c>
      <c r="W353" s="353">
        <f t="shared" si="11"/>
        <v>109</v>
      </c>
    </row>
    <row r="354" spans="1:23" ht="15" customHeight="1" x14ac:dyDescent="0.25">
      <c r="A354" s="128">
        <v>2059</v>
      </c>
      <c r="B354" s="129" t="s">
        <v>286</v>
      </c>
      <c r="C354" s="128" t="s">
        <v>411</v>
      </c>
      <c r="D354" s="129" t="s">
        <v>158</v>
      </c>
      <c r="E354" s="129" t="s">
        <v>162</v>
      </c>
      <c r="F354" s="129">
        <v>92563</v>
      </c>
      <c r="G354" s="129">
        <v>92123</v>
      </c>
      <c r="H354" s="130">
        <v>134</v>
      </c>
      <c r="I354" s="129" t="s">
        <v>448</v>
      </c>
      <c r="J354" s="130">
        <v>10</v>
      </c>
      <c r="K354" s="131"/>
      <c r="L354" s="131" t="s">
        <v>5</v>
      </c>
      <c r="M354" s="131" t="s">
        <v>402</v>
      </c>
      <c r="N354" s="131" t="s">
        <v>327</v>
      </c>
      <c r="O354" s="56">
        <f>VLOOKUP($F354,'ZipCode Coordinates'!$A:$E,4,FALSE)</f>
        <v>2156450</v>
      </c>
      <c r="P354" s="56">
        <f>VLOOKUP($F354,'ZipCode Coordinates'!$A:$E,5,FALSE)</f>
        <v>6288710</v>
      </c>
      <c r="Q354" s="56">
        <f>VLOOKUP($G354,'ZipCode Coordinates'!$A:$E,4,FALSE)</f>
        <v>1874700</v>
      </c>
      <c r="R354" s="56">
        <f>VLOOKUP($G354,'ZipCode Coordinates'!$A:$E,5,FALSE)</f>
        <v>6289760</v>
      </c>
      <c r="S354" s="352" t="str">
        <f>IFERROR(VLOOKUP($M354,'External Gateways'!$C$6:$F$10,2,FALSE),"")</f>
        <v>I-15</v>
      </c>
      <c r="T354" s="56">
        <f>IFERROR(VLOOKUP($M354,'External Gateways'!$C$6:$F$10,3,FALSE),O354)</f>
        <v>2102195</v>
      </c>
      <c r="U354" s="56">
        <f>IFERROR(VLOOKUP($M354,'External Gateways'!$C$6:$F$10,4,FALSE),P354)</f>
        <v>6289147</v>
      </c>
      <c r="V354" s="353">
        <f t="shared" si="10"/>
        <v>10.275901494735123</v>
      </c>
      <c r="W354" s="353">
        <f t="shared" si="11"/>
        <v>113.44819701052975</v>
      </c>
    </row>
    <row r="355" spans="1:23" ht="15" customHeight="1" x14ac:dyDescent="0.25">
      <c r="A355" s="128">
        <v>2063</v>
      </c>
      <c r="B355" s="129" t="s">
        <v>451</v>
      </c>
      <c r="C355" s="128" t="s">
        <v>3</v>
      </c>
      <c r="D355" s="129" t="s">
        <v>154</v>
      </c>
      <c r="E355" s="129" t="s">
        <v>162</v>
      </c>
      <c r="F355" s="129">
        <v>92592</v>
      </c>
      <c r="G355" s="129">
        <v>92136</v>
      </c>
      <c r="H355" s="130">
        <v>164</v>
      </c>
      <c r="I355" s="129" t="s">
        <v>406</v>
      </c>
      <c r="J355" s="130">
        <v>7</v>
      </c>
      <c r="K355" s="131"/>
      <c r="L355" s="131" t="s">
        <v>3</v>
      </c>
      <c r="M355" s="131" t="s">
        <v>402</v>
      </c>
      <c r="N355" s="131" t="s">
        <v>323</v>
      </c>
      <c r="O355" s="56">
        <f>VLOOKUP($F355,'ZipCode Coordinates'!$A:$E,4,FALSE)</f>
        <v>2128740</v>
      </c>
      <c r="P355" s="56">
        <f>VLOOKUP($F355,'ZipCode Coordinates'!$A:$E,5,FALSE)</f>
        <v>6328900</v>
      </c>
      <c r="Q355" s="56">
        <f>VLOOKUP($G355,'ZipCode Coordinates'!$A:$E,4,FALSE)</f>
        <v>1828370</v>
      </c>
      <c r="R355" s="56">
        <f>VLOOKUP($G355,'ZipCode Coordinates'!$A:$E,5,FALSE)</f>
        <v>6293940</v>
      </c>
      <c r="S355" s="352" t="str">
        <f>IFERROR(VLOOKUP($M355,'External Gateways'!$C$6:$F$10,2,FALSE),"")</f>
        <v>I-15</v>
      </c>
      <c r="T355" s="56">
        <f>IFERROR(VLOOKUP($M355,'External Gateways'!$C$6:$F$10,3,FALSE),O355)</f>
        <v>2102195</v>
      </c>
      <c r="U355" s="56">
        <f>IFERROR(VLOOKUP($M355,'External Gateways'!$C$6:$F$10,4,FALSE),P355)</f>
        <v>6289147</v>
      </c>
      <c r="V355" s="353">
        <f t="shared" si="10"/>
        <v>9.0532245169037147</v>
      </c>
      <c r="W355" s="353">
        <f t="shared" si="11"/>
        <v>145.89355096619258</v>
      </c>
    </row>
    <row r="356" spans="1:23" ht="15" customHeight="1" x14ac:dyDescent="0.25">
      <c r="A356" s="128">
        <v>2064</v>
      </c>
      <c r="B356" s="129" t="s">
        <v>277</v>
      </c>
      <c r="C356" s="128" t="s">
        <v>198</v>
      </c>
      <c r="D356" s="129" t="s">
        <v>278</v>
      </c>
      <c r="E356" s="129" t="s">
        <v>162</v>
      </c>
      <c r="F356" s="129">
        <v>92618</v>
      </c>
      <c r="G356" s="129">
        <v>92121</v>
      </c>
      <c r="H356" s="130">
        <v>150</v>
      </c>
      <c r="I356" s="129" t="s">
        <v>428</v>
      </c>
      <c r="J356" s="130">
        <v>7</v>
      </c>
      <c r="K356" s="131"/>
      <c r="L356" s="131" t="s">
        <v>5</v>
      </c>
      <c r="M356" s="131" t="s">
        <v>439</v>
      </c>
      <c r="N356" s="131" t="s">
        <v>327</v>
      </c>
      <c r="O356" s="56">
        <f>VLOOKUP($F356,'ZipCode Coordinates'!$A:$E,4,FALSE)</f>
        <v>2193730</v>
      </c>
      <c r="P356" s="56">
        <f>VLOOKUP($F356,'ZipCode Coordinates'!$A:$E,5,FALSE)</f>
        <v>6112500</v>
      </c>
      <c r="Q356" s="56">
        <f>VLOOKUP($G356,'ZipCode Coordinates'!$A:$E,4,FALSE)</f>
        <v>1907910</v>
      </c>
      <c r="R356" s="56">
        <f>VLOOKUP($G356,'ZipCode Coordinates'!$A:$E,5,FALSE)</f>
        <v>6269540</v>
      </c>
      <c r="S356" s="352" t="str">
        <f>IFERROR(VLOOKUP($M356,'External Gateways'!$C$6:$F$10,2,FALSE),"")</f>
        <v>I-5</v>
      </c>
      <c r="T356" s="56">
        <f>IFERROR(VLOOKUP($M356,'External Gateways'!$C$6:$F$10,3,FALSE),O356)</f>
        <v>2090594</v>
      </c>
      <c r="U356" s="56">
        <f>IFERROR(VLOOKUP($M356,'External Gateways'!$C$6:$F$10,4,FALSE),P356)</f>
        <v>6151524</v>
      </c>
      <c r="V356" s="353">
        <f t="shared" si="10"/>
        <v>20.884842549111873</v>
      </c>
      <c r="W356" s="353">
        <f t="shared" si="11"/>
        <v>108.23031490177625</v>
      </c>
    </row>
    <row r="357" spans="1:23" ht="15" customHeight="1" x14ac:dyDescent="0.25">
      <c r="A357" s="128">
        <v>2069</v>
      </c>
      <c r="B357" s="129" t="s">
        <v>311</v>
      </c>
      <c r="C357" s="128" t="s">
        <v>411</v>
      </c>
      <c r="D357" s="129" t="s">
        <v>162</v>
      </c>
      <c r="E357" s="129" t="s">
        <v>413</v>
      </c>
      <c r="F357" s="129">
        <v>92139</v>
      </c>
      <c r="G357" s="129">
        <v>92093</v>
      </c>
      <c r="H357" s="130">
        <v>48</v>
      </c>
      <c r="I357" s="129" t="s">
        <v>429</v>
      </c>
      <c r="J357" s="130">
        <v>9</v>
      </c>
      <c r="K357" s="131"/>
      <c r="L357" s="131" t="s">
        <v>5</v>
      </c>
      <c r="M357" s="131" t="s">
        <v>323</v>
      </c>
      <c r="N357" s="131" t="s">
        <v>327</v>
      </c>
      <c r="O357" s="56">
        <f>VLOOKUP($F357,'ZipCode Coordinates'!$A:$E,4,FALSE)</f>
        <v>1828110</v>
      </c>
      <c r="P357" s="56">
        <f>VLOOKUP($F357,'ZipCode Coordinates'!$A:$E,5,FALSE)</f>
        <v>6315850</v>
      </c>
      <c r="Q357" s="56">
        <f>VLOOKUP($G357,'ZipCode Coordinates'!$A:$E,4,FALSE)</f>
        <v>1901870</v>
      </c>
      <c r="R357" s="56">
        <f>VLOOKUP($G357,'ZipCode Coordinates'!$A:$E,5,FALSE)</f>
        <v>6259600</v>
      </c>
      <c r="S357" s="352" t="str">
        <f>IFERROR(VLOOKUP($M357,'External Gateways'!$C$6:$F$10,2,FALSE),"")</f>
        <v/>
      </c>
      <c r="T357" s="56">
        <f>IFERROR(VLOOKUP($M357,'External Gateways'!$C$6:$F$10,3,FALSE),O357)</f>
        <v>1828110</v>
      </c>
      <c r="U357" s="56">
        <f>IFERROR(VLOOKUP($M357,'External Gateways'!$C$6:$F$10,4,FALSE),P357)</f>
        <v>6315850</v>
      </c>
      <c r="V357" s="353">
        <f t="shared" si="10"/>
        <v>0</v>
      </c>
      <c r="W357" s="353">
        <f t="shared" si="11"/>
        <v>48</v>
      </c>
    </row>
    <row r="358" spans="1:23" ht="15" customHeight="1" x14ac:dyDescent="0.25">
      <c r="A358" s="128">
        <v>2075</v>
      </c>
      <c r="B358" s="129" t="s">
        <v>253</v>
      </c>
      <c r="C358" s="128" t="s">
        <v>3</v>
      </c>
      <c r="D358" s="129" t="s">
        <v>158</v>
      </c>
      <c r="E358" s="129" t="s">
        <v>162</v>
      </c>
      <c r="F358" s="129">
        <v>92562</v>
      </c>
      <c r="G358" s="129">
        <v>92145</v>
      </c>
      <c r="H358" s="130">
        <v>110</v>
      </c>
      <c r="I358" s="129" t="s">
        <v>416</v>
      </c>
      <c r="J358" s="130">
        <v>7</v>
      </c>
      <c r="K358" s="131"/>
      <c r="L358" s="131" t="s">
        <v>3</v>
      </c>
      <c r="M358" s="131" t="s">
        <v>402</v>
      </c>
      <c r="N358" s="131" t="s">
        <v>327</v>
      </c>
      <c r="O358" s="56">
        <f>VLOOKUP($F358,'ZipCode Coordinates'!$A:$E,4,FALSE)</f>
        <v>2144470</v>
      </c>
      <c r="P358" s="56">
        <f>VLOOKUP($F358,'ZipCode Coordinates'!$A:$E,5,FALSE)</f>
        <v>6251450</v>
      </c>
      <c r="Q358" s="56">
        <f>VLOOKUP($G358,'ZipCode Coordinates'!$A:$E,4,FALSE)</f>
        <v>1896720</v>
      </c>
      <c r="R358" s="56">
        <f>VLOOKUP($G358,'ZipCode Coordinates'!$A:$E,5,FALSE)</f>
        <v>6297440</v>
      </c>
      <c r="S358" s="352" t="str">
        <f>IFERROR(VLOOKUP($M358,'External Gateways'!$C$6:$F$10,2,FALSE),"")</f>
        <v>I-15</v>
      </c>
      <c r="T358" s="56">
        <f>IFERROR(VLOOKUP($M358,'External Gateways'!$C$6:$F$10,3,FALSE),O358)</f>
        <v>2102195</v>
      </c>
      <c r="U358" s="56">
        <f>IFERROR(VLOOKUP($M358,'External Gateways'!$C$6:$F$10,4,FALSE),P358)</f>
        <v>6289147</v>
      </c>
      <c r="V358" s="353">
        <f t="shared" si="10"/>
        <v>10.727523233277124</v>
      </c>
      <c r="W358" s="353">
        <f t="shared" si="11"/>
        <v>88.544953533445749</v>
      </c>
    </row>
    <row r="359" spans="1:23" ht="15" customHeight="1" x14ac:dyDescent="0.25">
      <c r="A359" s="128">
        <v>2091</v>
      </c>
      <c r="B359" s="129" t="s">
        <v>184</v>
      </c>
      <c r="C359" s="128" t="s">
        <v>68</v>
      </c>
      <c r="D359" s="129" t="s">
        <v>158</v>
      </c>
      <c r="E359" s="129" t="s">
        <v>162</v>
      </c>
      <c r="F359" s="129">
        <v>92563</v>
      </c>
      <c r="G359" s="129">
        <v>92101</v>
      </c>
      <c r="H359" s="130">
        <v>134</v>
      </c>
      <c r="I359" s="129" t="s">
        <v>407</v>
      </c>
      <c r="J359" s="130">
        <v>8</v>
      </c>
      <c r="K359" s="131"/>
      <c r="L359" s="131" t="s">
        <v>68</v>
      </c>
      <c r="M359" s="131" t="s">
        <v>402</v>
      </c>
      <c r="N359" s="131" t="s">
        <v>323</v>
      </c>
      <c r="O359" s="56">
        <f>VLOOKUP($F359,'ZipCode Coordinates'!$A:$E,4,FALSE)</f>
        <v>2156450</v>
      </c>
      <c r="P359" s="56">
        <f>VLOOKUP($F359,'ZipCode Coordinates'!$A:$E,5,FALSE)</f>
        <v>6288710</v>
      </c>
      <c r="Q359" s="56">
        <f>VLOOKUP($G359,'ZipCode Coordinates'!$A:$E,4,FALSE)</f>
        <v>1844080</v>
      </c>
      <c r="R359" s="56">
        <f>VLOOKUP($G359,'ZipCode Coordinates'!$A:$E,5,FALSE)</f>
        <v>6278770</v>
      </c>
      <c r="S359" s="352" t="str">
        <f>IFERROR(VLOOKUP($M359,'External Gateways'!$C$6:$F$10,2,FALSE),"")</f>
        <v>I-15</v>
      </c>
      <c r="T359" s="56">
        <f>IFERROR(VLOOKUP($M359,'External Gateways'!$C$6:$F$10,3,FALSE),O359)</f>
        <v>2102195</v>
      </c>
      <c r="U359" s="56">
        <f>IFERROR(VLOOKUP($M359,'External Gateways'!$C$6:$F$10,4,FALSE),P359)</f>
        <v>6289147</v>
      </c>
      <c r="V359" s="353">
        <f t="shared" si="10"/>
        <v>10.275901494735123</v>
      </c>
      <c r="W359" s="353">
        <f t="shared" si="11"/>
        <v>113.44819701052975</v>
      </c>
    </row>
    <row r="360" spans="1:23" ht="15" customHeight="1" x14ac:dyDescent="0.25">
      <c r="A360" s="128">
        <v>2099</v>
      </c>
      <c r="B360" s="129" t="s">
        <v>319</v>
      </c>
      <c r="C360" s="128" t="s">
        <v>68</v>
      </c>
      <c r="D360" s="129" t="s">
        <v>154</v>
      </c>
      <c r="E360" s="129" t="s">
        <v>162</v>
      </c>
      <c r="F360" s="129">
        <v>92591</v>
      </c>
      <c r="G360" s="129">
        <v>92161</v>
      </c>
      <c r="H360" s="130">
        <v>94</v>
      </c>
      <c r="I360" s="129" t="s">
        <v>468</v>
      </c>
      <c r="J360" s="130">
        <v>7</v>
      </c>
      <c r="K360" s="131"/>
      <c r="L360" s="131" t="s">
        <v>68</v>
      </c>
      <c r="M360" s="131" t="s">
        <v>402</v>
      </c>
      <c r="N360" s="131" t="s">
        <v>327</v>
      </c>
      <c r="O360" s="56">
        <f>VLOOKUP($F360,'ZipCode Coordinates'!$A:$E,4,FALSE)</f>
        <v>2138420</v>
      </c>
      <c r="P360" s="56">
        <f>VLOOKUP($F360,'ZipCode Coordinates'!$A:$E,5,FALSE)</f>
        <v>6299220</v>
      </c>
      <c r="Q360" s="56">
        <f>VLOOKUP($G360,'ZipCode Coordinates'!$A:$E,4,FALSE)</f>
        <v>1899477</v>
      </c>
      <c r="R360" s="56">
        <f>VLOOKUP($G360,'ZipCode Coordinates'!$A:$E,5,FALSE)</f>
        <v>6258957</v>
      </c>
      <c r="S360" s="352" t="str">
        <f>IFERROR(VLOOKUP($M360,'External Gateways'!$C$6:$F$10,2,FALSE),"")</f>
        <v>I-15</v>
      </c>
      <c r="T360" s="56">
        <f>IFERROR(VLOOKUP($M360,'External Gateways'!$C$6:$F$10,3,FALSE),O360)</f>
        <v>2102195</v>
      </c>
      <c r="U360" s="56">
        <f>IFERROR(VLOOKUP($M360,'External Gateways'!$C$6:$F$10,4,FALSE),P360)</f>
        <v>6289147</v>
      </c>
      <c r="V360" s="353">
        <f t="shared" si="10"/>
        <v>7.1211011888925713</v>
      </c>
      <c r="W360" s="353">
        <f t="shared" si="11"/>
        <v>79.757797622214852</v>
      </c>
    </row>
    <row r="361" spans="1:23" ht="15" customHeight="1" x14ac:dyDescent="0.25">
      <c r="A361" s="128">
        <v>2101</v>
      </c>
      <c r="B361" s="129" t="s">
        <v>254</v>
      </c>
      <c r="C361" s="128" t="s">
        <v>3</v>
      </c>
      <c r="D361" s="129" t="s">
        <v>154</v>
      </c>
      <c r="E361" s="129" t="s">
        <v>162</v>
      </c>
      <c r="F361" s="129">
        <v>92592</v>
      </c>
      <c r="G361" s="129">
        <v>92140</v>
      </c>
      <c r="H361" s="130">
        <v>159</v>
      </c>
      <c r="I361" s="129" t="s">
        <v>460</v>
      </c>
      <c r="J361" s="130">
        <v>7</v>
      </c>
      <c r="K361" s="131"/>
      <c r="L361" s="131" t="s">
        <v>3</v>
      </c>
      <c r="M361" s="131" t="s">
        <v>402</v>
      </c>
      <c r="N361" s="131" t="s">
        <v>323</v>
      </c>
      <c r="O361" s="56">
        <f>VLOOKUP($F361,'ZipCode Coordinates'!$A:$E,4,FALSE)</f>
        <v>2128740</v>
      </c>
      <c r="P361" s="56">
        <f>VLOOKUP($F361,'ZipCode Coordinates'!$A:$E,5,FALSE)</f>
        <v>6328900</v>
      </c>
      <c r="Q361" s="56">
        <f>VLOOKUP($G361,'ZipCode Coordinates'!$A:$E,4,FALSE)</f>
        <v>1850480</v>
      </c>
      <c r="R361" s="56">
        <f>VLOOKUP($G361,'ZipCode Coordinates'!$A:$E,5,FALSE)</f>
        <v>6270510</v>
      </c>
      <c r="S361" s="352" t="str">
        <f>IFERROR(VLOOKUP($M361,'External Gateways'!$C$6:$F$10,2,FALSE),"")</f>
        <v>I-15</v>
      </c>
      <c r="T361" s="56">
        <f>IFERROR(VLOOKUP($M361,'External Gateways'!$C$6:$F$10,3,FALSE),O361)</f>
        <v>2102195</v>
      </c>
      <c r="U361" s="56">
        <f>IFERROR(VLOOKUP($M361,'External Gateways'!$C$6:$F$10,4,FALSE),P361)</f>
        <v>6289147</v>
      </c>
      <c r="V361" s="353">
        <f t="shared" si="10"/>
        <v>9.0532245169037147</v>
      </c>
      <c r="W361" s="353">
        <f t="shared" si="11"/>
        <v>140.89355096619258</v>
      </c>
    </row>
    <row r="362" spans="1:23" ht="15" customHeight="1" x14ac:dyDescent="0.25">
      <c r="A362" s="128">
        <v>2104</v>
      </c>
      <c r="B362" s="129" t="s">
        <v>257</v>
      </c>
      <c r="C362" s="128" t="s">
        <v>3</v>
      </c>
      <c r="D362" s="129" t="s">
        <v>154</v>
      </c>
      <c r="E362" s="129" t="s">
        <v>162</v>
      </c>
      <c r="F362" s="129">
        <v>92591</v>
      </c>
      <c r="G362" s="129">
        <v>92155</v>
      </c>
      <c r="H362" s="130">
        <v>154</v>
      </c>
      <c r="I362" s="129" t="s">
        <v>441</v>
      </c>
      <c r="J362" s="130">
        <v>8</v>
      </c>
      <c r="K362" s="131"/>
      <c r="L362" s="131" t="s">
        <v>3</v>
      </c>
      <c r="M362" s="131" t="s">
        <v>402</v>
      </c>
      <c r="N362" s="131" t="s">
        <v>323</v>
      </c>
      <c r="O362" s="56">
        <f>VLOOKUP($F362,'ZipCode Coordinates'!$A:$E,4,FALSE)</f>
        <v>2138420</v>
      </c>
      <c r="P362" s="56">
        <f>VLOOKUP($F362,'ZipCode Coordinates'!$A:$E,5,FALSE)</f>
        <v>6299220</v>
      </c>
      <c r="Q362" s="56">
        <f>VLOOKUP($G362,'ZipCode Coordinates'!$A:$E,4,FALSE)</f>
        <v>1826710</v>
      </c>
      <c r="R362" s="56">
        <f>VLOOKUP($G362,'ZipCode Coordinates'!$A:$E,5,FALSE)</f>
        <v>6281240</v>
      </c>
      <c r="S362" s="352" t="str">
        <f>IFERROR(VLOOKUP($M362,'External Gateways'!$C$6:$F$10,2,FALSE),"")</f>
        <v>I-15</v>
      </c>
      <c r="T362" s="56">
        <f>IFERROR(VLOOKUP($M362,'External Gateways'!$C$6:$F$10,3,FALSE),O362)</f>
        <v>2102195</v>
      </c>
      <c r="U362" s="56">
        <f>IFERROR(VLOOKUP($M362,'External Gateways'!$C$6:$F$10,4,FALSE),P362)</f>
        <v>6289147</v>
      </c>
      <c r="V362" s="353">
        <f t="shared" si="10"/>
        <v>7.1211011888925713</v>
      </c>
      <c r="W362" s="353">
        <f t="shared" si="11"/>
        <v>139.75779762221487</v>
      </c>
    </row>
    <row r="363" spans="1:23" ht="15" customHeight="1" x14ac:dyDescent="0.25">
      <c r="A363" s="128">
        <v>2107</v>
      </c>
      <c r="B363" s="129" t="s">
        <v>293</v>
      </c>
      <c r="C363" s="128" t="s">
        <v>294</v>
      </c>
      <c r="D363" s="129" t="s">
        <v>158</v>
      </c>
      <c r="E363" s="129" t="s">
        <v>162</v>
      </c>
      <c r="F363" s="129">
        <v>92562</v>
      </c>
      <c r="G363" s="129">
        <v>92123</v>
      </c>
      <c r="H363" s="130">
        <v>160</v>
      </c>
      <c r="I363" s="129" t="s">
        <v>419</v>
      </c>
      <c r="J363" s="130">
        <v>7</v>
      </c>
      <c r="K363" s="131">
        <v>1</v>
      </c>
      <c r="L363" s="131" t="s">
        <v>5</v>
      </c>
      <c r="M363" s="131" t="s">
        <v>402</v>
      </c>
      <c r="N363" s="131" t="s">
        <v>327</v>
      </c>
      <c r="O363" s="56">
        <f>VLOOKUP($F363,'ZipCode Coordinates'!$A:$E,4,FALSE)</f>
        <v>2144470</v>
      </c>
      <c r="P363" s="56">
        <f>VLOOKUP($F363,'ZipCode Coordinates'!$A:$E,5,FALSE)</f>
        <v>6251450</v>
      </c>
      <c r="Q363" s="56">
        <f>VLOOKUP($G363,'ZipCode Coordinates'!$A:$E,4,FALSE)</f>
        <v>1874700</v>
      </c>
      <c r="R363" s="56">
        <f>VLOOKUP($G363,'ZipCode Coordinates'!$A:$E,5,FALSE)</f>
        <v>6289760</v>
      </c>
      <c r="S363" s="352" t="str">
        <f>IFERROR(VLOOKUP($M363,'External Gateways'!$C$6:$F$10,2,FALSE),"")</f>
        <v>I-15</v>
      </c>
      <c r="T363" s="56">
        <f>IFERROR(VLOOKUP($M363,'External Gateways'!$C$6:$F$10,3,FALSE),O363)</f>
        <v>2102195</v>
      </c>
      <c r="U363" s="56">
        <f>IFERROR(VLOOKUP($M363,'External Gateways'!$C$6:$F$10,4,FALSE),P363)</f>
        <v>6289147</v>
      </c>
      <c r="V363" s="353">
        <f t="shared" si="10"/>
        <v>10.727523233277124</v>
      </c>
      <c r="W363" s="353">
        <f t="shared" si="11"/>
        <v>138.54495353344575</v>
      </c>
    </row>
    <row r="364" spans="1:23" ht="15" customHeight="1" x14ac:dyDescent="0.25">
      <c r="A364" s="128">
        <v>2111</v>
      </c>
      <c r="B364" s="129" t="s">
        <v>253</v>
      </c>
      <c r="C364" s="128" t="s">
        <v>3</v>
      </c>
      <c r="D364" s="129" t="s">
        <v>158</v>
      </c>
      <c r="E364" s="129" t="s">
        <v>162</v>
      </c>
      <c r="F364" s="129">
        <v>92563</v>
      </c>
      <c r="G364" s="129">
        <v>92145</v>
      </c>
      <c r="H364" s="130">
        <v>122</v>
      </c>
      <c r="I364" s="129" t="s">
        <v>412</v>
      </c>
      <c r="J364" s="130">
        <v>10</v>
      </c>
      <c r="K364" s="131"/>
      <c r="L364" s="131" t="s">
        <v>3</v>
      </c>
      <c r="M364" s="131" t="s">
        <v>402</v>
      </c>
      <c r="N364" s="131" t="s">
        <v>327</v>
      </c>
      <c r="O364" s="56">
        <f>VLOOKUP($F364,'ZipCode Coordinates'!$A:$E,4,FALSE)</f>
        <v>2156450</v>
      </c>
      <c r="P364" s="56">
        <f>VLOOKUP($F364,'ZipCode Coordinates'!$A:$E,5,FALSE)</f>
        <v>6288710</v>
      </c>
      <c r="Q364" s="56">
        <f>VLOOKUP($G364,'ZipCode Coordinates'!$A:$E,4,FALSE)</f>
        <v>1896720</v>
      </c>
      <c r="R364" s="56">
        <f>VLOOKUP($G364,'ZipCode Coordinates'!$A:$E,5,FALSE)</f>
        <v>6297440</v>
      </c>
      <c r="S364" s="352" t="str">
        <f>IFERROR(VLOOKUP($M364,'External Gateways'!$C$6:$F$10,2,FALSE),"")</f>
        <v>I-15</v>
      </c>
      <c r="T364" s="56">
        <f>IFERROR(VLOOKUP($M364,'External Gateways'!$C$6:$F$10,3,FALSE),O364)</f>
        <v>2102195</v>
      </c>
      <c r="U364" s="56">
        <f>IFERROR(VLOOKUP($M364,'External Gateways'!$C$6:$F$10,4,FALSE),P364)</f>
        <v>6289147</v>
      </c>
      <c r="V364" s="353">
        <f t="shared" si="10"/>
        <v>10.275901494735123</v>
      </c>
      <c r="W364" s="353">
        <f t="shared" si="11"/>
        <v>101.44819701052975</v>
      </c>
    </row>
    <row r="365" spans="1:23" ht="15" customHeight="1" x14ac:dyDescent="0.25">
      <c r="A365" s="128">
        <v>2113</v>
      </c>
      <c r="B365" s="129" t="s">
        <v>226</v>
      </c>
      <c r="C365" s="128" t="s">
        <v>198</v>
      </c>
      <c r="D365" s="129" t="s">
        <v>154</v>
      </c>
      <c r="E365" s="129" t="s">
        <v>197</v>
      </c>
      <c r="F365" s="129">
        <v>92592</v>
      </c>
      <c r="G365" s="129">
        <v>92056</v>
      </c>
      <c r="H365" s="130">
        <v>64</v>
      </c>
      <c r="I365" s="129" t="s">
        <v>515</v>
      </c>
      <c r="J365" s="130">
        <v>7</v>
      </c>
      <c r="K365" s="131"/>
      <c r="L365" s="131" t="s">
        <v>5</v>
      </c>
      <c r="M365" s="131" t="s">
        <v>402</v>
      </c>
      <c r="N365" s="131" t="s">
        <v>324</v>
      </c>
      <c r="O365" s="56">
        <f>VLOOKUP($F365,'ZipCode Coordinates'!$A:$E,4,FALSE)</f>
        <v>2128740</v>
      </c>
      <c r="P365" s="56">
        <f>VLOOKUP($F365,'ZipCode Coordinates'!$A:$E,5,FALSE)</f>
        <v>6328900</v>
      </c>
      <c r="Q365" s="56">
        <f>VLOOKUP($G365,'ZipCode Coordinates'!$A:$E,4,FALSE)</f>
        <v>2018560</v>
      </c>
      <c r="R365" s="56">
        <f>VLOOKUP($G365,'ZipCode Coordinates'!$A:$E,5,FALSE)</f>
        <v>6243750</v>
      </c>
      <c r="S365" s="352" t="str">
        <f>IFERROR(VLOOKUP($M365,'External Gateways'!$C$6:$F$10,2,FALSE),"")</f>
        <v>I-15</v>
      </c>
      <c r="T365" s="56">
        <f>IFERROR(VLOOKUP($M365,'External Gateways'!$C$6:$F$10,3,FALSE),O365)</f>
        <v>2102195</v>
      </c>
      <c r="U365" s="56">
        <f>IFERROR(VLOOKUP($M365,'External Gateways'!$C$6:$F$10,4,FALSE),P365)</f>
        <v>6289147</v>
      </c>
      <c r="V365" s="353">
        <f t="shared" si="10"/>
        <v>9.0532245169037147</v>
      </c>
      <c r="W365" s="353">
        <f t="shared" si="11"/>
        <v>45.893550966192571</v>
      </c>
    </row>
    <row r="366" spans="1:23" ht="15" customHeight="1" x14ac:dyDescent="0.25">
      <c r="A366" s="128">
        <v>2114</v>
      </c>
      <c r="B366" s="129" t="s">
        <v>204</v>
      </c>
      <c r="C366" s="128" t="s">
        <v>415</v>
      </c>
      <c r="D366" s="129" t="s">
        <v>162</v>
      </c>
      <c r="E366" s="129" t="s">
        <v>162</v>
      </c>
      <c r="F366" s="129">
        <v>92129</v>
      </c>
      <c r="G366" s="129">
        <v>92117</v>
      </c>
      <c r="H366" s="130">
        <v>45</v>
      </c>
      <c r="I366" s="129" t="s">
        <v>401</v>
      </c>
      <c r="J366" s="130">
        <v>7</v>
      </c>
      <c r="K366" s="131"/>
      <c r="L366" s="131" t="s">
        <v>5</v>
      </c>
      <c r="M366" s="131" t="s">
        <v>327</v>
      </c>
      <c r="N366" s="131" t="s">
        <v>327</v>
      </c>
      <c r="O366" s="56">
        <f>VLOOKUP($F366,'ZipCode Coordinates'!$A:$E,4,FALSE)</f>
        <v>1931860</v>
      </c>
      <c r="P366" s="56">
        <f>VLOOKUP($F366,'ZipCode Coordinates'!$A:$E,5,FALSE)</f>
        <v>6293150</v>
      </c>
      <c r="Q366" s="56">
        <f>VLOOKUP($G366,'ZipCode Coordinates'!$A:$E,4,FALSE)</f>
        <v>1881200</v>
      </c>
      <c r="R366" s="56">
        <f>VLOOKUP($G366,'ZipCode Coordinates'!$A:$E,5,FALSE)</f>
        <v>6269850</v>
      </c>
      <c r="S366" s="352" t="str">
        <f>IFERROR(VLOOKUP($M366,'External Gateways'!$C$6:$F$10,2,FALSE),"")</f>
        <v/>
      </c>
      <c r="T366" s="56">
        <f>IFERROR(VLOOKUP($M366,'External Gateways'!$C$6:$F$10,3,FALSE),O366)</f>
        <v>1931860</v>
      </c>
      <c r="U366" s="56">
        <f>IFERROR(VLOOKUP($M366,'External Gateways'!$C$6:$F$10,4,FALSE),P366)</f>
        <v>6293150</v>
      </c>
      <c r="V366" s="353">
        <f t="shared" si="10"/>
        <v>0</v>
      </c>
      <c r="W366" s="353">
        <f t="shared" si="11"/>
        <v>45</v>
      </c>
    </row>
    <row r="367" spans="1:23" ht="15" customHeight="1" x14ac:dyDescent="0.25">
      <c r="A367" s="128">
        <v>2116</v>
      </c>
      <c r="B367" s="129" t="s">
        <v>258</v>
      </c>
      <c r="C367" s="128" t="s">
        <v>3</v>
      </c>
      <c r="D367" s="129" t="s">
        <v>156</v>
      </c>
      <c r="E367" s="129" t="s">
        <v>162</v>
      </c>
      <c r="F367" s="129">
        <v>92026</v>
      </c>
      <c r="G367" s="129">
        <v>92135</v>
      </c>
      <c r="H367" s="130">
        <v>110</v>
      </c>
      <c r="I367" s="129" t="s">
        <v>419</v>
      </c>
      <c r="J367" s="130">
        <v>7</v>
      </c>
      <c r="K367" s="131"/>
      <c r="L367" s="131" t="s">
        <v>3</v>
      </c>
      <c r="M367" s="131" t="s">
        <v>325</v>
      </c>
      <c r="N367" s="131" t="s">
        <v>323</v>
      </c>
      <c r="O367" s="56">
        <f>VLOOKUP($F367,'ZipCode Coordinates'!$A:$E,4,FALSE)</f>
        <v>2022480</v>
      </c>
      <c r="P367" s="56">
        <f>VLOOKUP($F367,'ZipCode Coordinates'!$A:$E,5,FALSE)</f>
        <v>6297420</v>
      </c>
      <c r="Q367" s="56">
        <f>VLOOKUP($G367,'ZipCode Coordinates'!$A:$E,4,FALSE)</f>
        <v>1835720</v>
      </c>
      <c r="R367" s="56">
        <f>VLOOKUP($G367,'ZipCode Coordinates'!$A:$E,5,FALSE)</f>
        <v>6266670</v>
      </c>
      <c r="S367" s="352" t="str">
        <f>IFERROR(VLOOKUP($M367,'External Gateways'!$C$6:$F$10,2,FALSE),"")</f>
        <v/>
      </c>
      <c r="T367" s="56">
        <f>IFERROR(VLOOKUP($M367,'External Gateways'!$C$6:$F$10,3,FALSE),O367)</f>
        <v>2022480</v>
      </c>
      <c r="U367" s="56">
        <f>IFERROR(VLOOKUP($M367,'External Gateways'!$C$6:$F$10,4,FALSE),P367)</f>
        <v>6297420</v>
      </c>
      <c r="V367" s="353">
        <f t="shared" si="10"/>
        <v>0</v>
      </c>
      <c r="W367" s="353">
        <f t="shared" si="11"/>
        <v>110</v>
      </c>
    </row>
    <row r="368" spans="1:23" ht="15" customHeight="1" x14ac:dyDescent="0.25">
      <c r="A368" s="128">
        <v>2118</v>
      </c>
      <c r="B368" s="129" t="s">
        <v>291</v>
      </c>
      <c r="C368" s="128" t="s">
        <v>163</v>
      </c>
      <c r="D368" s="129" t="s">
        <v>158</v>
      </c>
      <c r="E368" s="129" t="s">
        <v>162</v>
      </c>
      <c r="F368" s="129">
        <v>92563</v>
      </c>
      <c r="G368" s="129">
        <v>92121</v>
      </c>
      <c r="H368" s="130">
        <v>127</v>
      </c>
      <c r="I368" s="129" t="s">
        <v>401</v>
      </c>
      <c r="J368" s="130">
        <v>7</v>
      </c>
      <c r="K368" s="131"/>
      <c r="L368" s="131" t="s">
        <v>5</v>
      </c>
      <c r="M368" s="131" t="s">
        <v>402</v>
      </c>
      <c r="N368" s="131" t="s">
        <v>327</v>
      </c>
      <c r="O368" s="56">
        <f>VLOOKUP($F368,'ZipCode Coordinates'!$A:$E,4,FALSE)</f>
        <v>2156450</v>
      </c>
      <c r="P368" s="56">
        <f>VLOOKUP($F368,'ZipCode Coordinates'!$A:$E,5,FALSE)</f>
        <v>6288710</v>
      </c>
      <c r="Q368" s="56">
        <f>VLOOKUP($G368,'ZipCode Coordinates'!$A:$E,4,FALSE)</f>
        <v>1907910</v>
      </c>
      <c r="R368" s="56">
        <f>VLOOKUP($G368,'ZipCode Coordinates'!$A:$E,5,FALSE)</f>
        <v>6269540</v>
      </c>
      <c r="S368" s="352" t="str">
        <f>IFERROR(VLOOKUP($M368,'External Gateways'!$C$6:$F$10,2,FALSE),"")</f>
        <v>I-15</v>
      </c>
      <c r="T368" s="56">
        <f>IFERROR(VLOOKUP($M368,'External Gateways'!$C$6:$F$10,3,FALSE),O368)</f>
        <v>2102195</v>
      </c>
      <c r="U368" s="56">
        <f>IFERROR(VLOOKUP($M368,'External Gateways'!$C$6:$F$10,4,FALSE),P368)</f>
        <v>6289147</v>
      </c>
      <c r="V368" s="353">
        <f t="shared" si="10"/>
        <v>10.275901494735123</v>
      </c>
      <c r="W368" s="353">
        <f t="shared" si="11"/>
        <v>106.44819701052975</v>
      </c>
    </row>
    <row r="369" spans="1:23" ht="15" customHeight="1" x14ac:dyDescent="0.25">
      <c r="A369" s="128">
        <v>2127</v>
      </c>
      <c r="B369" s="129" t="s">
        <v>183</v>
      </c>
      <c r="C369" s="128" t="s">
        <v>404</v>
      </c>
      <c r="D369" s="129" t="s">
        <v>165</v>
      </c>
      <c r="E369" s="129" t="s">
        <v>162</v>
      </c>
      <c r="F369" s="129">
        <v>91913</v>
      </c>
      <c r="G369" s="129">
        <v>92128</v>
      </c>
      <c r="H369" s="130">
        <v>85</v>
      </c>
      <c r="I369" s="129" t="s">
        <v>416</v>
      </c>
      <c r="J369" s="130">
        <v>7</v>
      </c>
      <c r="K369" s="131"/>
      <c r="L369" s="131" t="s">
        <v>5</v>
      </c>
      <c r="M369" s="131" t="s">
        <v>328</v>
      </c>
      <c r="N369" s="131" t="s">
        <v>327</v>
      </c>
      <c r="O369" s="56">
        <f>VLOOKUP($F369,'ZipCode Coordinates'!$A:$E,4,FALSE)</f>
        <v>1810320</v>
      </c>
      <c r="P369" s="56">
        <f>VLOOKUP($F369,'ZipCode Coordinates'!$A:$E,5,FALSE)</f>
        <v>6334990</v>
      </c>
      <c r="Q369" s="56">
        <f>VLOOKUP($G369,'ZipCode Coordinates'!$A:$E,4,FALSE)</f>
        <v>1943580</v>
      </c>
      <c r="R369" s="56">
        <f>VLOOKUP($G369,'ZipCode Coordinates'!$A:$E,5,FALSE)</f>
        <v>6309440</v>
      </c>
      <c r="S369" s="352" t="str">
        <f>IFERROR(VLOOKUP($M369,'External Gateways'!$C$6:$F$10,2,FALSE),"")</f>
        <v/>
      </c>
      <c r="T369" s="56">
        <f>IFERROR(VLOOKUP($M369,'External Gateways'!$C$6:$F$10,3,FALSE),O369)</f>
        <v>1810320</v>
      </c>
      <c r="U369" s="56">
        <f>IFERROR(VLOOKUP($M369,'External Gateways'!$C$6:$F$10,4,FALSE),P369)</f>
        <v>6334990</v>
      </c>
      <c r="V369" s="353">
        <f t="shared" si="10"/>
        <v>0</v>
      </c>
      <c r="W369" s="353">
        <f t="shared" si="11"/>
        <v>85</v>
      </c>
    </row>
    <row r="370" spans="1:23" ht="15" customHeight="1" x14ac:dyDescent="0.25">
      <c r="A370" s="128">
        <v>2132</v>
      </c>
      <c r="B370" s="129" t="s">
        <v>263</v>
      </c>
      <c r="C370" s="128" t="s">
        <v>166</v>
      </c>
      <c r="D370" s="129" t="s">
        <v>191</v>
      </c>
      <c r="E370" s="129" t="s">
        <v>162</v>
      </c>
      <c r="F370" s="129">
        <v>92571</v>
      </c>
      <c r="G370" s="129">
        <v>92113</v>
      </c>
      <c r="H370" s="130">
        <v>209</v>
      </c>
      <c r="I370" s="129" t="s">
        <v>436</v>
      </c>
      <c r="J370" s="130">
        <v>8</v>
      </c>
      <c r="K370" s="131"/>
      <c r="L370" s="131" t="s">
        <v>5</v>
      </c>
      <c r="M370" s="131" t="s">
        <v>402</v>
      </c>
      <c r="N370" s="131" t="s">
        <v>323</v>
      </c>
      <c r="O370" s="56">
        <f>VLOOKUP($F370,'ZipCode Coordinates'!$A:$E,4,FALSE)</f>
        <v>2247520</v>
      </c>
      <c r="P370" s="56">
        <f>VLOOKUP($F370,'ZipCode Coordinates'!$A:$E,5,FALSE)</f>
        <v>6276380</v>
      </c>
      <c r="Q370" s="56">
        <f>VLOOKUP($G370,'ZipCode Coordinates'!$A:$E,4,FALSE)</f>
        <v>1834470</v>
      </c>
      <c r="R370" s="56">
        <f>VLOOKUP($G370,'ZipCode Coordinates'!$A:$E,5,FALSE)</f>
        <v>6294590</v>
      </c>
      <c r="S370" s="352" t="str">
        <f>IFERROR(VLOOKUP($M370,'External Gateways'!$C$6:$F$10,2,FALSE),"")</f>
        <v>I-15</v>
      </c>
      <c r="T370" s="56">
        <f>IFERROR(VLOOKUP($M370,'External Gateways'!$C$6:$F$10,3,FALSE),O370)</f>
        <v>2102195</v>
      </c>
      <c r="U370" s="56">
        <f>IFERROR(VLOOKUP($M370,'External Gateways'!$C$6:$F$10,4,FALSE),P370)</f>
        <v>6289147</v>
      </c>
      <c r="V370" s="353">
        <f t="shared" si="10"/>
        <v>27.629682067783218</v>
      </c>
      <c r="W370" s="353">
        <f t="shared" si="11"/>
        <v>153.74063586443356</v>
      </c>
    </row>
    <row r="371" spans="1:23" ht="15" customHeight="1" x14ac:dyDescent="0.25">
      <c r="A371" s="128">
        <v>2133</v>
      </c>
      <c r="B371" s="129" t="s">
        <v>451</v>
      </c>
      <c r="C371" s="128" t="s">
        <v>3</v>
      </c>
      <c r="D371" s="129" t="s">
        <v>159</v>
      </c>
      <c r="E371" s="129" t="s">
        <v>162</v>
      </c>
      <c r="F371" s="129">
        <v>92065</v>
      </c>
      <c r="G371" s="129">
        <v>92136</v>
      </c>
      <c r="H371" s="130">
        <v>109</v>
      </c>
      <c r="I371" s="129" t="s">
        <v>459</v>
      </c>
      <c r="J371" s="130">
        <v>8</v>
      </c>
      <c r="K371" s="131"/>
      <c r="L371" s="131" t="s">
        <v>3</v>
      </c>
      <c r="M371" s="131" t="s">
        <v>326</v>
      </c>
      <c r="N371" s="131" t="s">
        <v>323</v>
      </c>
      <c r="O371" s="56">
        <f>VLOOKUP($F371,'ZipCode Coordinates'!$A:$E,4,FALSE)</f>
        <v>1959680</v>
      </c>
      <c r="P371" s="56">
        <f>VLOOKUP($F371,'ZipCode Coordinates'!$A:$E,5,FALSE)</f>
        <v>6378530</v>
      </c>
      <c r="Q371" s="56">
        <f>VLOOKUP($G371,'ZipCode Coordinates'!$A:$E,4,FALSE)</f>
        <v>1828370</v>
      </c>
      <c r="R371" s="56">
        <f>VLOOKUP($G371,'ZipCode Coordinates'!$A:$E,5,FALSE)</f>
        <v>6293940</v>
      </c>
      <c r="S371" s="352" t="str">
        <f>IFERROR(VLOOKUP($M371,'External Gateways'!$C$6:$F$10,2,FALSE),"")</f>
        <v/>
      </c>
      <c r="T371" s="56">
        <f>IFERROR(VLOOKUP($M371,'External Gateways'!$C$6:$F$10,3,FALSE),O371)</f>
        <v>1959680</v>
      </c>
      <c r="U371" s="56">
        <f>IFERROR(VLOOKUP($M371,'External Gateways'!$C$6:$F$10,4,FALSE),P371)</f>
        <v>6378530</v>
      </c>
      <c r="V371" s="353">
        <f t="shared" si="10"/>
        <v>0</v>
      </c>
      <c r="W371" s="353">
        <f t="shared" si="11"/>
        <v>109</v>
      </c>
    </row>
    <row r="372" spans="1:23" ht="15" customHeight="1" x14ac:dyDescent="0.25">
      <c r="A372" s="128">
        <v>2141</v>
      </c>
      <c r="B372" s="129" t="s">
        <v>433</v>
      </c>
      <c r="C372" s="128" t="s">
        <v>3</v>
      </c>
      <c r="D372" s="129" t="s">
        <v>170</v>
      </c>
      <c r="E372" s="129" t="s">
        <v>162</v>
      </c>
      <c r="F372" s="129">
        <v>92584</v>
      </c>
      <c r="G372" s="129">
        <v>92147</v>
      </c>
      <c r="H372" s="130">
        <v>159</v>
      </c>
      <c r="I372" s="129" t="s">
        <v>505</v>
      </c>
      <c r="J372" s="130">
        <v>7</v>
      </c>
      <c r="K372" s="131">
        <v>3</v>
      </c>
      <c r="L372" s="131" t="s">
        <v>3</v>
      </c>
      <c r="M372" s="131" t="s">
        <v>402</v>
      </c>
      <c r="N372" s="131" t="s">
        <v>323</v>
      </c>
      <c r="O372" s="56">
        <f>VLOOKUP($F372,'ZipCode Coordinates'!$A:$E,4,FALSE)</f>
        <v>2185160</v>
      </c>
      <c r="P372" s="56">
        <f>VLOOKUP($F372,'ZipCode Coordinates'!$A:$E,5,FALSE)</f>
        <v>6280270</v>
      </c>
      <c r="Q372" s="56">
        <f>VLOOKUP($G372,'ZipCode Coordinates'!$A:$E,4,FALSE)</f>
        <v>1844566</v>
      </c>
      <c r="R372" s="56">
        <f>VLOOKUP($G372,'ZipCode Coordinates'!$A:$E,5,FALSE)</f>
        <v>6263742</v>
      </c>
      <c r="S372" s="352" t="str">
        <f>IFERROR(VLOOKUP($M372,'External Gateways'!$C$6:$F$10,2,FALSE),"")</f>
        <v>I-15</v>
      </c>
      <c r="T372" s="56">
        <f>IFERROR(VLOOKUP($M372,'External Gateways'!$C$6:$F$10,3,FALSE),O372)</f>
        <v>2102195</v>
      </c>
      <c r="U372" s="56">
        <f>IFERROR(VLOOKUP($M372,'External Gateways'!$C$6:$F$10,4,FALSE),P372)</f>
        <v>6289147</v>
      </c>
      <c r="V372" s="353">
        <f t="shared" si="10"/>
        <v>15.802756507931361</v>
      </c>
      <c r="W372" s="353">
        <f t="shared" si="11"/>
        <v>127.39448698413727</v>
      </c>
    </row>
    <row r="373" spans="1:23" ht="15" customHeight="1" x14ac:dyDescent="0.25">
      <c r="A373" s="128">
        <v>2144</v>
      </c>
      <c r="B373" s="129" t="s">
        <v>82</v>
      </c>
      <c r="C373" s="128" t="s">
        <v>3</v>
      </c>
      <c r="D373" s="129" t="s">
        <v>157</v>
      </c>
      <c r="E373" s="129" t="s">
        <v>82</v>
      </c>
      <c r="F373" s="129">
        <v>92545</v>
      </c>
      <c r="G373" s="129">
        <v>92055</v>
      </c>
      <c r="H373" s="130">
        <v>76</v>
      </c>
      <c r="I373" s="129" t="s">
        <v>416</v>
      </c>
      <c r="J373" s="130">
        <v>7</v>
      </c>
      <c r="K373" s="131"/>
      <c r="L373" s="131" t="s">
        <v>3</v>
      </c>
      <c r="M373" s="131" t="s">
        <v>402</v>
      </c>
      <c r="N373" s="131" t="s">
        <v>324</v>
      </c>
      <c r="O373" s="56">
        <f>VLOOKUP($F373,'ZipCode Coordinates'!$A:$E,4,FALSE)</f>
        <v>2210660</v>
      </c>
      <c r="P373" s="56">
        <f>VLOOKUP($F373,'ZipCode Coordinates'!$A:$E,5,FALSE)</f>
        <v>6321330</v>
      </c>
      <c r="Q373" s="56">
        <f>VLOOKUP($G373,'ZipCode Coordinates'!$A:$E,4,FALSE)</f>
        <v>2082470</v>
      </c>
      <c r="R373" s="56">
        <f>VLOOKUP($G373,'ZipCode Coordinates'!$A:$E,5,FALSE)</f>
        <v>6206470</v>
      </c>
      <c r="S373" s="352" t="str">
        <f>IFERROR(VLOOKUP($M373,'External Gateways'!$C$6:$F$10,2,FALSE),"")</f>
        <v>I-15</v>
      </c>
      <c r="T373" s="56">
        <f>IFERROR(VLOOKUP($M373,'External Gateways'!$C$6:$F$10,3,FALSE),O373)</f>
        <v>2102195</v>
      </c>
      <c r="U373" s="56">
        <f>IFERROR(VLOOKUP($M373,'External Gateways'!$C$6:$F$10,4,FALSE),P373)</f>
        <v>6289147</v>
      </c>
      <c r="V373" s="353">
        <f t="shared" si="10"/>
        <v>21.427814454119865</v>
      </c>
      <c r="W373" s="353">
        <f t="shared" si="11"/>
        <v>33.14437109176027</v>
      </c>
    </row>
    <row r="374" spans="1:23" ht="15" customHeight="1" x14ac:dyDescent="0.25">
      <c r="A374" s="128">
        <v>2147</v>
      </c>
      <c r="B374" s="129" t="s">
        <v>289</v>
      </c>
      <c r="C374" s="128" t="s">
        <v>163</v>
      </c>
      <c r="D374" s="129" t="s">
        <v>154</v>
      </c>
      <c r="E374" s="129" t="s">
        <v>413</v>
      </c>
      <c r="F374" s="129">
        <v>92592</v>
      </c>
      <c r="G374" s="129">
        <v>92037</v>
      </c>
      <c r="H374" s="130">
        <v>117</v>
      </c>
      <c r="I374" s="129" t="s">
        <v>412</v>
      </c>
      <c r="J374" s="130">
        <v>10</v>
      </c>
      <c r="K374" s="131">
        <v>2</v>
      </c>
      <c r="L374" s="131" t="s">
        <v>5</v>
      </c>
      <c r="M374" s="131" t="s">
        <v>402</v>
      </c>
      <c r="N374" s="131" t="s">
        <v>327</v>
      </c>
      <c r="O374" s="56">
        <f>VLOOKUP($F374,'ZipCode Coordinates'!$A:$E,4,FALSE)</f>
        <v>2128740</v>
      </c>
      <c r="P374" s="56">
        <f>VLOOKUP($F374,'ZipCode Coordinates'!$A:$E,5,FALSE)</f>
        <v>6328900</v>
      </c>
      <c r="Q374" s="56">
        <f>VLOOKUP($G374,'ZipCode Coordinates'!$A:$E,4,FALSE)</f>
        <v>1891270</v>
      </c>
      <c r="R374" s="56">
        <f>VLOOKUP($G374,'ZipCode Coordinates'!$A:$E,5,FALSE)</f>
        <v>6254020</v>
      </c>
      <c r="S374" s="352" t="str">
        <f>IFERROR(VLOOKUP($M374,'External Gateways'!$C$6:$F$10,2,FALSE),"")</f>
        <v>I-15</v>
      </c>
      <c r="T374" s="56">
        <f>IFERROR(VLOOKUP($M374,'External Gateways'!$C$6:$F$10,3,FALSE),O374)</f>
        <v>2102195</v>
      </c>
      <c r="U374" s="56">
        <f>IFERROR(VLOOKUP($M374,'External Gateways'!$C$6:$F$10,4,FALSE),P374)</f>
        <v>6289147</v>
      </c>
      <c r="V374" s="353">
        <f t="shared" si="10"/>
        <v>9.0532245169037147</v>
      </c>
      <c r="W374" s="353">
        <f t="shared" si="11"/>
        <v>98.893550966192578</v>
      </c>
    </row>
    <row r="375" spans="1:23" ht="15" customHeight="1" x14ac:dyDescent="0.25">
      <c r="A375" s="128">
        <v>2148</v>
      </c>
      <c r="B375" s="129" t="s">
        <v>299</v>
      </c>
      <c r="C375" s="128" t="s">
        <v>163</v>
      </c>
      <c r="D375" s="129" t="s">
        <v>154</v>
      </c>
      <c r="E375" s="129" t="s">
        <v>162</v>
      </c>
      <c r="F375" s="129">
        <v>92592</v>
      </c>
      <c r="G375" s="129">
        <v>92123</v>
      </c>
      <c r="H375" s="130">
        <v>157</v>
      </c>
      <c r="I375" s="129" t="s">
        <v>461</v>
      </c>
      <c r="J375" s="130">
        <v>12</v>
      </c>
      <c r="K375" s="131"/>
      <c r="L375" s="131" t="s">
        <v>5</v>
      </c>
      <c r="M375" s="131" t="s">
        <v>402</v>
      </c>
      <c r="N375" s="131" t="s">
        <v>327</v>
      </c>
      <c r="O375" s="56">
        <f>VLOOKUP($F375,'ZipCode Coordinates'!$A:$E,4,FALSE)</f>
        <v>2128740</v>
      </c>
      <c r="P375" s="56">
        <f>VLOOKUP($F375,'ZipCode Coordinates'!$A:$E,5,FALSE)</f>
        <v>6328900</v>
      </c>
      <c r="Q375" s="56">
        <f>VLOOKUP($G375,'ZipCode Coordinates'!$A:$E,4,FALSE)</f>
        <v>1874700</v>
      </c>
      <c r="R375" s="56">
        <f>VLOOKUP($G375,'ZipCode Coordinates'!$A:$E,5,FALSE)</f>
        <v>6289760</v>
      </c>
      <c r="S375" s="352" t="str">
        <f>IFERROR(VLOOKUP($M375,'External Gateways'!$C$6:$F$10,2,FALSE),"")</f>
        <v>I-15</v>
      </c>
      <c r="T375" s="56">
        <f>IFERROR(VLOOKUP($M375,'External Gateways'!$C$6:$F$10,3,FALSE),O375)</f>
        <v>2102195</v>
      </c>
      <c r="U375" s="56">
        <f>IFERROR(VLOOKUP($M375,'External Gateways'!$C$6:$F$10,4,FALSE),P375)</f>
        <v>6289147</v>
      </c>
      <c r="V375" s="353">
        <f t="shared" si="10"/>
        <v>9.0532245169037147</v>
      </c>
      <c r="W375" s="353">
        <f t="shared" si="11"/>
        <v>138.89355096619258</v>
      </c>
    </row>
    <row r="376" spans="1:23" ht="15" customHeight="1" x14ac:dyDescent="0.25">
      <c r="A376" s="128">
        <v>2151</v>
      </c>
      <c r="B376" s="129" t="s">
        <v>208</v>
      </c>
      <c r="C376" s="128" t="s">
        <v>68</v>
      </c>
      <c r="D376" s="129" t="s">
        <v>170</v>
      </c>
      <c r="E376" s="129" t="s">
        <v>162</v>
      </c>
      <c r="F376" s="129">
        <v>92584</v>
      </c>
      <c r="G376" s="129">
        <v>92111</v>
      </c>
      <c r="H376" s="130">
        <v>160</v>
      </c>
      <c r="I376" s="129" t="s">
        <v>416</v>
      </c>
      <c r="J376" s="130">
        <v>7</v>
      </c>
      <c r="K376" s="131"/>
      <c r="L376" s="131" t="s">
        <v>68</v>
      </c>
      <c r="M376" s="131" t="s">
        <v>402</v>
      </c>
      <c r="N376" s="131" t="s">
        <v>327</v>
      </c>
      <c r="O376" s="56">
        <f>VLOOKUP($F376,'ZipCode Coordinates'!$A:$E,4,FALSE)</f>
        <v>2185160</v>
      </c>
      <c r="P376" s="56">
        <f>VLOOKUP($F376,'ZipCode Coordinates'!$A:$E,5,FALSE)</f>
        <v>6280270</v>
      </c>
      <c r="Q376" s="56">
        <f>VLOOKUP($G376,'ZipCode Coordinates'!$A:$E,4,FALSE)</f>
        <v>1876680</v>
      </c>
      <c r="R376" s="56">
        <f>VLOOKUP($G376,'ZipCode Coordinates'!$A:$E,5,FALSE)</f>
        <v>6279830</v>
      </c>
      <c r="S376" s="352" t="str">
        <f>IFERROR(VLOOKUP($M376,'External Gateways'!$C$6:$F$10,2,FALSE),"")</f>
        <v>I-15</v>
      </c>
      <c r="T376" s="56">
        <f>IFERROR(VLOOKUP($M376,'External Gateways'!$C$6:$F$10,3,FALSE),O376)</f>
        <v>2102195</v>
      </c>
      <c r="U376" s="56">
        <f>IFERROR(VLOOKUP($M376,'External Gateways'!$C$6:$F$10,4,FALSE),P376)</f>
        <v>6289147</v>
      </c>
      <c r="V376" s="353">
        <f t="shared" si="10"/>
        <v>15.802756507931361</v>
      </c>
      <c r="W376" s="353">
        <f t="shared" si="11"/>
        <v>128.39448698413727</v>
      </c>
    </row>
    <row r="377" spans="1:23" ht="15" customHeight="1" x14ac:dyDescent="0.25">
      <c r="A377" s="128">
        <v>2152</v>
      </c>
      <c r="B377" s="129" t="s">
        <v>267</v>
      </c>
      <c r="C377" s="128" t="s">
        <v>3</v>
      </c>
      <c r="D377" s="129" t="s">
        <v>157</v>
      </c>
      <c r="E377" s="129" t="s">
        <v>195</v>
      </c>
      <c r="F377" s="129">
        <v>92545</v>
      </c>
      <c r="G377" s="129">
        <v>92134</v>
      </c>
      <c r="H377" s="130">
        <v>150</v>
      </c>
      <c r="I377" s="129" t="s">
        <v>407</v>
      </c>
      <c r="J377" s="130">
        <v>8</v>
      </c>
      <c r="K377" s="131">
        <v>2</v>
      </c>
      <c r="L377" s="131" t="s">
        <v>3</v>
      </c>
      <c r="M377" s="131" t="s">
        <v>402</v>
      </c>
      <c r="N377" s="131" t="s">
        <v>323</v>
      </c>
      <c r="O377" s="56">
        <f>VLOOKUP($F377,'ZipCode Coordinates'!$A:$E,4,FALSE)</f>
        <v>2210660</v>
      </c>
      <c r="P377" s="56">
        <f>VLOOKUP($F377,'ZipCode Coordinates'!$A:$E,5,FALSE)</f>
        <v>6321330</v>
      </c>
      <c r="Q377" s="56">
        <f>VLOOKUP($G377,'ZipCode Coordinates'!$A:$E,4,FALSE)</f>
        <v>1845130</v>
      </c>
      <c r="R377" s="56">
        <f>VLOOKUP($G377,'ZipCode Coordinates'!$A:$E,5,FALSE)</f>
        <v>6286040</v>
      </c>
      <c r="S377" s="352" t="str">
        <f>IFERROR(VLOOKUP($M377,'External Gateways'!$C$6:$F$10,2,FALSE),"")</f>
        <v>I-15</v>
      </c>
      <c r="T377" s="56">
        <f>IFERROR(VLOOKUP($M377,'External Gateways'!$C$6:$F$10,3,FALSE),O377)</f>
        <v>2102195</v>
      </c>
      <c r="U377" s="56">
        <f>IFERROR(VLOOKUP($M377,'External Gateways'!$C$6:$F$10,4,FALSE),P377)</f>
        <v>6289147</v>
      </c>
      <c r="V377" s="353">
        <f t="shared" si="10"/>
        <v>21.427814454119865</v>
      </c>
      <c r="W377" s="353">
        <f t="shared" si="11"/>
        <v>107.14437109176026</v>
      </c>
    </row>
    <row r="378" spans="1:23" ht="15" customHeight="1" x14ac:dyDescent="0.25">
      <c r="A378" s="128">
        <v>2153</v>
      </c>
      <c r="B378" s="129" t="s">
        <v>224</v>
      </c>
      <c r="C378" s="128" t="s">
        <v>179</v>
      </c>
      <c r="D378" s="129" t="s">
        <v>172</v>
      </c>
      <c r="E378" s="129" t="s">
        <v>206</v>
      </c>
      <c r="F378" s="129">
        <v>92595</v>
      </c>
      <c r="G378" s="129">
        <v>92064</v>
      </c>
      <c r="H378" s="130">
        <v>137</v>
      </c>
      <c r="I378" s="129" t="s">
        <v>406</v>
      </c>
      <c r="J378" s="130">
        <v>7</v>
      </c>
      <c r="K378" s="131"/>
      <c r="L378" s="131" t="s">
        <v>5</v>
      </c>
      <c r="M378" s="131" t="s">
        <v>402</v>
      </c>
      <c r="N378" s="131" t="s">
        <v>327</v>
      </c>
      <c r="O378" s="56">
        <f>VLOOKUP($F378,'ZipCode Coordinates'!$A:$E,4,FALSE)</f>
        <v>2170100</v>
      </c>
      <c r="P378" s="56">
        <f>VLOOKUP($F378,'ZipCode Coordinates'!$A:$E,5,FALSE)</f>
        <v>6254090</v>
      </c>
      <c r="Q378" s="56">
        <f>VLOOKUP($G378,'ZipCode Coordinates'!$A:$E,4,FALSE)</f>
        <v>1939040</v>
      </c>
      <c r="R378" s="56">
        <f>VLOOKUP($G378,'ZipCode Coordinates'!$A:$E,5,FALSE)</f>
        <v>6325350</v>
      </c>
      <c r="S378" s="352" t="str">
        <f>IFERROR(VLOOKUP($M378,'External Gateways'!$C$6:$F$10,2,FALSE),"")</f>
        <v>I-15</v>
      </c>
      <c r="T378" s="56">
        <f>IFERROR(VLOOKUP($M378,'External Gateways'!$C$6:$F$10,3,FALSE),O378)</f>
        <v>2102195</v>
      </c>
      <c r="U378" s="56">
        <f>IFERROR(VLOOKUP($M378,'External Gateways'!$C$6:$F$10,4,FALSE),P378)</f>
        <v>6289147</v>
      </c>
      <c r="V378" s="353">
        <f t="shared" si="10"/>
        <v>14.473566476992975</v>
      </c>
      <c r="W378" s="353">
        <f t="shared" si="11"/>
        <v>108.05286704601406</v>
      </c>
    </row>
    <row r="379" spans="1:23" ht="15" customHeight="1" x14ac:dyDescent="0.25">
      <c r="A379" s="128">
        <v>2166</v>
      </c>
      <c r="B379" s="129" t="s">
        <v>320</v>
      </c>
      <c r="C379" s="128" t="s">
        <v>166</v>
      </c>
      <c r="D379" s="129" t="s">
        <v>154</v>
      </c>
      <c r="E379" s="129" t="s">
        <v>162</v>
      </c>
      <c r="F379" s="129">
        <v>92591</v>
      </c>
      <c r="G379" s="129">
        <v>92130</v>
      </c>
      <c r="H379" s="130">
        <v>135</v>
      </c>
      <c r="I379" s="129" t="s">
        <v>455</v>
      </c>
      <c r="J379" s="130">
        <v>7</v>
      </c>
      <c r="K379" s="131"/>
      <c r="L379" s="131" t="s">
        <v>5</v>
      </c>
      <c r="M379" s="131" t="s">
        <v>402</v>
      </c>
      <c r="N379" s="131" t="s">
        <v>327</v>
      </c>
      <c r="O379" s="56">
        <f>VLOOKUP($F379,'ZipCode Coordinates'!$A:$E,4,FALSE)</f>
        <v>2138420</v>
      </c>
      <c r="P379" s="56">
        <f>VLOOKUP($F379,'ZipCode Coordinates'!$A:$E,5,FALSE)</f>
        <v>6299220</v>
      </c>
      <c r="Q379" s="56">
        <f>VLOOKUP($G379,'ZipCode Coordinates'!$A:$E,4,FALSE)</f>
        <v>1926420</v>
      </c>
      <c r="R379" s="56">
        <f>VLOOKUP($G379,'ZipCode Coordinates'!$A:$E,5,FALSE)</f>
        <v>6268630</v>
      </c>
      <c r="S379" s="352" t="str">
        <f>IFERROR(VLOOKUP($M379,'External Gateways'!$C$6:$F$10,2,FALSE),"")</f>
        <v>I-15</v>
      </c>
      <c r="T379" s="56">
        <f>IFERROR(VLOOKUP($M379,'External Gateways'!$C$6:$F$10,3,FALSE),O379)</f>
        <v>2102195</v>
      </c>
      <c r="U379" s="56">
        <f>IFERROR(VLOOKUP($M379,'External Gateways'!$C$6:$F$10,4,FALSE),P379)</f>
        <v>6289147</v>
      </c>
      <c r="V379" s="353">
        <f t="shared" si="10"/>
        <v>7.1211011888925713</v>
      </c>
      <c r="W379" s="353">
        <f t="shared" si="11"/>
        <v>120.75779762221485</v>
      </c>
    </row>
    <row r="380" spans="1:23" ht="15" customHeight="1" x14ac:dyDescent="0.25">
      <c r="A380" s="128">
        <v>2176</v>
      </c>
      <c r="B380" s="129" t="s">
        <v>282</v>
      </c>
      <c r="C380" s="128" t="s">
        <v>486</v>
      </c>
      <c r="D380" s="129" t="s">
        <v>169</v>
      </c>
      <c r="E380" s="129" t="s">
        <v>162</v>
      </c>
      <c r="F380" s="129">
        <v>92507</v>
      </c>
      <c r="G380" s="129">
        <v>92111</v>
      </c>
      <c r="H380" s="130">
        <v>159</v>
      </c>
      <c r="I380" s="129" t="s">
        <v>408</v>
      </c>
      <c r="J380" s="130">
        <v>7</v>
      </c>
      <c r="K380" s="131"/>
      <c r="L380" s="131" t="s">
        <v>5</v>
      </c>
      <c r="M380" s="131" t="s">
        <v>402</v>
      </c>
      <c r="N380" s="131" t="s">
        <v>327</v>
      </c>
      <c r="O380" s="56">
        <f>VLOOKUP($F380,'ZipCode Coordinates'!$A:$E,4,FALSE)</f>
        <v>2300060</v>
      </c>
      <c r="P380" s="56">
        <f>VLOOKUP($F380,'ZipCode Coordinates'!$A:$E,5,FALSE)</f>
        <v>6235900</v>
      </c>
      <c r="Q380" s="56">
        <f>VLOOKUP($G380,'ZipCode Coordinates'!$A:$E,4,FALSE)</f>
        <v>1876680</v>
      </c>
      <c r="R380" s="56">
        <f>VLOOKUP($G380,'ZipCode Coordinates'!$A:$E,5,FALSE)</f>
        <v>6279830</v>
      </c>
      <c r="S380" s="352" t="str">
        <f>IFERROR(VLOOKUP($M380,'External Gateways'!$C$6:$F$10,2,FALSE),"")</f>
        <v>I-15</v>
      </c>
      <c r="T380" s="56">
        <f>IFERROR(VLOOKUP($M380,'External Gateways'!$C$6:$F$10,3,FALSE),O380)</f>
        <v>2102195</v>
      </c>
      <c r="U380" s="56">
        <f>IFERROR(VLOOKUP($M380,'External Gateways'!$C$6:$F$10,4,FALSE),P380)</f>
        <v>6289147</v>
      </c>
      <c r="V380" s="353">
        <f t="shared" si="10"/>
        <v>38.807646013065693</v>
      </c>
      <c r="W380" s="353">
        <f t="shared" si="11"/>
        <v>81.384707973868615</v>
      </c>
    </row>
    <row r="381" spans="1:23" ht="15" customHeight="1" x14ac:dyDescent="0.25">
      <c r="A381" s="128">
        <v>2183</v>
      </c>
      <c r="B381" s="129" t="s">
        <v>82</v>
      </c>
      <c r="C381" s="128" t="s">
        <v>3</v>
      </c>
      <c r="D381" s="129" t="s">
        <v>162</v>
      </c>
      <c r="E381" s="129" t="s">
        <v>82</v>
      </c>
      <c r="F381" s="129">
        <v>92129</v>
      </c>
      <c r="G381" s="129">
        <v>92055</v>
      </c>
      <c r="H381" s="130">
        <v>109</v>
      </c>
      <c r="I381" s="129" t="s">
        <v>400</v>
      </c>
      <c r="J381" s="130">
        <v>7</v>
      </c>
      <c r="K381" s="131"/>
      <c r="L381" s="131" t="s">
        <v>3</v>
      </c>
      <c r="M381" s="131" t="s">
        <v>327</v>
      </c>
      <c r="N381" s="131" t="s">
        <v>324</v>
      </c>
      <c r="O381" s="56">
        <f>VLOOKUP($F381,'ZipCode Coordinates'!$A:$E,4,FALSE)</f>
        <v>1931860</v>
      </c>
      <c r="P381" s="56">
        <f>VLOOKUP($F381,'ZipCode Coordinates'!$A:$E,5,FALSE)</f>
        <v>6293150</v>
      </c>
      <c r="Q381" s="56">
        <f>VLOOKUP($G381,'ZipCode Coordinates'!$A:$E,4,FALSE)</f>
        <v>2082470</v>
      </c>
      <c r="R381" s="56">
        <f>VLOOKUP($G381,'ZipCode Coordinates'!$A:$E,5,FALSE)</f>
        <v>6206470</v>
      </c>
      <c r="S381" s="352" t="str">
        <f>IFERROR(VLOOKUP($M381,'External Gateways'!$C$6:$F$10,2,FALSE),"")</f>
        <v/>
      </c>
      <c r="T381" s="56">
        <f>IFERROR(VLOOKUP($M381,'External Gateways'!$C$6:$F$10,3,FALSE),O381)</f>
        <v>1931860</v>
      </c>
      <c r="U381" s="56">
        <f>IFERROR(VLOOKUP($M381,'External Gateways'!$C$6:$F$10,4,FALSE),P381)</f>
        <v>6293150</v>
      </c>
      <c r="V381" s="353">
        <f t="shared" si="10"/>
        <v>0</v>
      </c>
      <c r="W381" s="353">
        <f t="shared" si="11"/>
        <v>109</v>
      </c>
    </row>
    <row r="382" spans="1:23" ht="15" customHeight="1" x14ac:dyDescent="0.25">
      <c r="A382" s="128">
        <v>2184</v>
      </c>
      <c r="B382" s="129" t="s">
        <v>311</v>
      </c>
      <c r="C382" s="128" t="s">
        <v>411</v>
      </c>
      <c r="D382" s="129" t="s">
        <v>165</v>
      </c>
      <c r="E382" s="129" t="s">
        <v>413</v>
      </c>
      <c r="F382" s="129">
        <v>91911</v>
      </c>
      <c r="G382" s="129">
        <v>92093</v>
      </c>
      <c r="H382" s="130">
        <v>58</v>
      </c>
      <c r="I382" s="129" t="s">
        <v>401</v>
      </c>
      <c r="J382" s="130">
        <v>7</v>
      </c>
      <c r="K382" s="131"/>
      <c r="L382" s="131" t="s">
        <v>5</v>
      </c>
      <c r="M382" s="131" t="s">
        <v>328</v>
      </c>
      <c r="N382" s="131" t="s">
        <v>327</v>
      </c>
      <c r="O382" s="56">
        <f>VLOOKUP($F382,'ZipCode Coordinates'!$A:$E,4,FALSE)</f>
        <v>1801570</v>
      </c>
      <c r="P382" s="56">
        <f>VLOOKUP($F382,'ZipCode Coordinates'!$A:$E,5,FALSE)</f>
        <v>6315270</v>
      </c>
      <c r="Q382" s="56">
        <f>VLOOKUP($G382,'ZipCode Coordinates'!$A:$E,4,FALSE)</f>
        <v>1901870</v>
      </c>
      <c r="R382" s="56">
        <f>VLOOKUP($G382,'ZipCode Coordinates'!$A:$E,5,FALSE)</f>
        <v>6259600</v>
      </c>
      <c r="S382" s="352" t="str">
        <f>IFERROR(VLOOKUP($M382,'External Gateways'!$C$6:$F$10,2,FALSE),"")</f>
        <v/>
      </c>
      <c r="T382" s="56">
        <f>IFERROR(VLOOKUP($M382,'External Gateways'!$C$6:$F$10,3,FALSE),O382)</f>
        <v>1801570</v>
      </c>
      <c r="U382" s="56">
        <f>IFERROR(VLOOKUP($M382,'External Gateways'!$C$6:$F$10,4,FALSE),P382)</f>
        <v>6315270</v>
      </c>
      <c r="V382" s="353">
        <f t="shared" si="10"/>
        <v>0</v>
      </c>
      <c r="W382" s="353">
        <f t="shared" si="11"/>
        <v>58</v>
      </c>
    </row>
    <row r="383" spans="1:23" ht="15" customHeight="1" x14ac:dyDescent="0.25">
      <c r="A383" s="128">
        <v>2185</v>
      </c>
      <c r="B383" s="129" t="s">
        <v>227</v>
      </c>
      <c r="C383" s="128" t="s">
        <v>198</v>
      </c>
      <c r="D383" s="129" t="s">
        <v>154</v>
      </c>
      <c r="E383" s="129" t="s">
        <v>206</v>
      </c>
      <c r="F383" s="129">
        <v>92592</v>
      </c>
      <c r="G383" s="129">
        <v>92064</v>
      </c>
      <c r="H383" s="130">
        <v>91</v>
      </c>
      <c r="I383" s="129" t="s">
        <v>450</v>
      </c>
      <c r="J383" s="130">
        <v>10</v>
      </c>
      <c r="K383" s="131"/>
      <c r="L383" s="131" t="s">
        <v>5</v>
      </c>
      <c r="M383" s="131" t="s">
        <v>402</v>
      </c>
      <c r="N383" s="131" t="s">
        <v>327</v>
      </c>
      <c r="O383" s="56">
        <f>VLOOKUP($F383,'ZipCode Coordinates'!$A:$E,4,FALSE)</f>
        <v>2128740</v>
      </c>
      <c r="P383" s="56">
        <f>VLOOKUP($F383,'ZipCode Coordinates'!$A:$E,5,FALSE)</f>
        <v>6328900</v>
      </c>
      <c r="Q383" s="56">
        <f>VLOOKUP($G383,'ZipCode Coordinates'!$A:$E,4,FALSE)</f>
        <v>1939040</v>
      </c>
      <c r="R383" s="56">
        <f>VLOOKUP($G383,'ZipCode Coordinates'!$A:$E,5,FALSE)</f>
        <v>6325350</v>
      </c>
      <c r="S383" s="352" t="str">
        <f>IFERROR(VLOOKUP($M383,'External Gateways'!$C$6:$F$10,2,FALSE),"")</f>
        <v>I-15</v>
      </c>
      <c r="T383" s="56">
        <f>IFERROR(VLOOKUP($M383,'External Gateways'!$C$6:$F$10,3,FALSE),O383)</f>
        <v>2102195</v>
      </c>
      <c r="U383" s="56">
        <f>IFERROR(VLOOKUP($M383,'External Gateways'!$C$6:$F$10,4,FALSE),P383)</f>
        <v>6289147</v>
      </c>
      <c r="V383" s="353">
        <f t="shared" si="10"/>
        <v>9.0532245169037147</v>
      </c>
      <c r="W383" s="353">
        <f t="shared" si="11"/>
        <v>72.893550966192578</v>
      </c>
    </row>
    <row r="384" spans="1:23" ht="15" customHeight="1" x14ac:dyDescent="0.25">
      <c r="A384" s="128">
        <v>2186</v>
      </c>
      <c r="B384" s="129" t="s">
        <v>207</v>
      </c>
      <c r="C384" s="128" t="s">
        <v>404</v>
      </c>
      <c r="D384" s="129" t="s">
        <v>154</v>
      </c>
      <c r="E384" s="129" t="s">
        <v>162</v>
      </c>
      <c r="F384" s="129">
        <v>92592</v>
      </c>
      <c r="G384" s="129">
        <v>92123</v>
      </c>
      <c r="H384" s="130">
        <v>129</v>
      </c>
      <c r="I384" s="129" t="s">
        <v>406</v>
      </c>
      <c r="J384" s="130">
        <v>7</v>
      </c>
      <c r="K384" s="131">
        <v>2</v>
      </c>
      <c r="L384" s="131" t="s">
        <v>5</v>
      </c>
      <c r="M384" s="131" t="s">
        <v>402</v>
      </c>
      <c r="N384" s="131" t="s">
        <v>327</v>
      </c>
      <c r="O384" s="56">
        <f>VLOOKUP($F384,'ZipCode Coordinates'!$A:$E,4,FALSE)</f>
        <v>2128740</v>
      </c>
      <c r="P384" s="56">
        <f>VLOOKUP($F384,'ZipCode Coordinates'!$A:$E,5,FALSE)</f>
        <v>6328900</v>
      </c>
      <c r="Q384" s="56">
        <f>VLOOKUP($G384,'ZipCode Coordinates'!$A:$E,4,FALSE)</f>
        <v>1874700</v>
      </c>
      <c r="R384" s="56">
        <f>VLOOKUP($G384,'ZipCode Coordinates'!$A:$E,5,FALSE)</f>
        <v>6289760</v>
      </c>
      <c r="S384" s="352" t="str">
        <f>IFERROR(VLOOKUP($M384,'External Gateways'!$C$6:$F$10,2,FALSE),"")</f>
        <v>I-15</v>
      </c>
      <c r="T384" s="56">
        <f>IFERROR(VLOOKUP($M384,'External Gateways'!$C$6:$F$10,3,FALSE),O384)</f>
        <v>2102195</v>
      </c>
      <c r="U384" s="56">
        <f>IFERROR(VLOOKUP($M384,'External Gateways'!$C$6:$F$10,4,FALSE),P384)</f>
        <v>6289147</v>
      </c>
      <c r="V384" s="353">
        <f t="shared" si="10"/>
        <v>9.0532245169037147</v>
      </c>
      <c r="W384" s="353">
        <f t="shared" si="11"/>
        <v>110.89355096619258</v>
      </c>
    </row>
    <row r="385" spans="1:23" ht="15" customHeight="1" x14ac:dyDescent="0.25">
      <c r="A385" s="128">
        <v>2190</v>
      </c>
      <c r="B385" s="129" t="s">
        <v>164</v>
      </c>
      <c r="C385" s="128" t="s">
        <v>163</v>
      </c>
      <c r="D385" s="129" t="s">
        <v>162</v>
      </c>
      <c r="E385" s="129" t="s">
        <v>162</v>
      </c>
      <c r="F385" s="129">
        <v>92114</v>
      </c>
      <c r="G385" s="129">
        <v>92121</v>
      </c>
      <c r="H385" s="130">
        <v>43</v>
      </c>
      <c r="I385" s="129" t="s">
        <v>406</v>
      </c>
      <c r="J385" s="130">
        <v>7</v>
      </c>
      <c r="K385" s="131"/>
      <c r="L385" s="131" t="s">
        <v>5</v>
      </c>
      <c r="M385" s="131" t="s">
        <v>323</v>
      </c>
      <c r="N385" s="131" t="s">
        <v>327</v>
      </c>
      <c r="O385" s="56">
        <f>VLOOKUP($F385,'ZipCode Coordinates'!$A:$E,4,FALSE)</f>
        <v>1838250</v>
      </c>
      <c r="P385" s="56">
        <f>VLOOKUP($F385,'ZipCode Coordinates'!$A:$E,5,FALSE)</f>
        <v>6314020</v>
      </c>
      <c r="Q385" s="56">
        <f>VLOOKUP($G385,'ZipCode Coordinates'!$A:$E,4,FALSE)</f>
        <v>1907910</v>
      </c>
      <c r="R385" s="56">
        <f>VLOOKUP($G385,'ZipCode Coordinates'!$A:$E,5,FALSE)</f>
        <v>6269540</v>
      </c>
      <c r="S385" s="352" t="str">
        <f>IFERROR(VLOOKUP($M385,'External Gateways'!$C$6:$F$10,2,FALSE),"")</f>
        <v/>
      </c>
      <c r="T385" s="56">
        <f>IFERROR(VLOOKUP($M385,'External Gateways'!$C$6:$F$10,3,FALSE),O385)</f>
        <v>1838250</v>
      </c>
      <c r="U385" s="56">
        <f>IFERROR(VLOOKUP($M385,'External Gateways'!$C$6:$F$10,4,FALSE),P385)</f>
        <v>6314020</v>
      </c>
      <c r="V385" s="353">
        <f t="shared" si="10"/>
        <v>0</v>
      </c>
      <c r="W385" s="353">
        <f t="shared" si="11"/>
        <v>43</v>
      </c>
    </row>
    <row r="386" spans="1:23" ht="15" customHeight="1" x14ac:dyDescent="0.25">
      <c r="A386" s="128">
        <v>2191</v>
      </c>
      <c r="B386" s="129" t="s">
        <v>243</v>
      </c>
      <c r="C386" s="128" t="s">
        <v>198</v>
      </c>
      <c r="D386" s="129" t="s">
        <v>158</v>
      </c>
      <c r="E386" s="129" t="s">
        <v>162</v>
      </c>
      <c r="F386" s="129">
        <v>92563</v>
      </c>
      <c r="G386" s="129">
        <v>92128</v>
      </c>
      <c r="H386" s="130">
        <v>109</v>
      </c>
      <c r="I386" s="129" t="s">
        <v>455</v>
      </c>
      <c r="J386" s="130">
        <v>7</v>
      </c>
      <c r="K386" s="131">
        <v>1</v>
      </c>
      <c r="L386" s="131" t="s">
        <v>5</v>
      </c>
      <c r="M386" s="131" t="s">
        <v>402</v>
      </c>
      <c r="N386" s="131" t="s">
        <v>327</v>
      </c>
      <c r="O386" s="56">
        <f>VLOOKUP($F386,'ZipCode Coordinates'!$A:$E,4,FALSE)</f>
        <v>2156450</v>
      </c>
      <c r="P386" s="56">
        <f>VLOOKUP($F386,'ZipCode Coordinates'!$A:$E,5,FALSE)</f>
        <v>6288710</v>
      </c>
      <c r="Q386" s="56">
        <f>VLOOKUP($G386,'ZipCode Coordinates'!$A:$E,4,FALSE)</f>
        <v>1943580</v>
      </c>
      <c r="R386" s="56">
        <f>VLOOKUP($G386,'ZipCode Coordinates'!$A:$E,5,FALSE)</f>
        <v>6309440</v>
      </c>
      <c r="S386" s="352" t="str">
        <f>IFERROR(VLOOKUP($M386,'External Gateways'!$C$6:$F$10,2,FALSE),"")</f>
        <v>I-15</v>
      </c>
      <c r="T386" s="56">
        <f>IFERROR(VLOOKUP($M386,'External Gateways'!$C$6:$F$10,3,FALSE),O386)</f>
        <v>2102195</v>
      </c>
      <c r="U386" s="56">
        <f>IFERROR(VLOOKUP($M386,'External Gateways'!$C$6:$F$10,4,FALSE),P386)</f>
        <v>6289147</v>
      </c>
      <c r="V386" s="353">
        <f t="shared" si="10"/>
        <v>10.275901494735123</v>
      </c>
      <c r="W386" s="353">
        <f t="shared" si="11"/>
        <v>88.448197010529753</v>
      </c>
    </row>
    <row r="387" spans="1:23" ht="15" customHeight="1" x14ac:dyDescent="0.25">
      <c r="A387" s="128">
        <v>2196</v>
      </c>
      <c r="B387" s="129" t="s">
        <v>311</v>
      </c>
      <c r="C387" s="128" t="s">
        <v>411</v>
      </c>
      <c r="D387" s="129" t="s">
        <v>194</v>
      </c>
      <c r="E387" s="129" t="s">
        <v>413</v>
      </c>
      <c r="F387" s="129">
        <v>91977</v>
      </c>
      <c r="G387" s="129">
        <v>92093</v>
      </c>
      <c r="H387" s="130">
        <v>67</v>
      </c>
      <c r="I387" s="129" t="s">
        <v>401</v>
      </c>
      <c r="J387" s="130">
        <v>7</v>
      </c>
      <c r="K387" s="131">
        <v>1</v>
      </c>
      <c r="L387" s="131" t="s">
        <v>5</v>
      </c>
      <c r="M387" s="131" t="s">
        <v>326</v>
      </c>
      <c r="N387" s="131" t="s">
        <v>327</v>
      </c>
      <c r="O387" s="56">
        <f>VLOOKUP($F387,'ZipCode Coordinates'!$A:$E,4,FALSE)</f>
        <v>1843860</v>
      </c>
      <c r="P387" s="56">
        <f>VLOOKUP($F387,'ZipCode Coordinates'!$A:$E,5,FALSE)</f>
        <v>6332240</v>
      </c>
      <c r="Q387" s="56">
        <f>VLOOKUP($G387,'ZipCode Coordinates'!$A:$E,4,FALSE)</f>
        <v>1901870</v>
      </c>
      <c r="R387" s="56">
        <f>VLOOKUP($G387,'ZipCode Coordinates'!$A:$E,5,FALSE)</f>
        <v>6259600</v>
      </c>
      <c r="S387" s="352" t="str">
        <f>IFERROR(VLOOKUP($M387,'External Gateways'!$C$6:$F$10,2,FALSE),"")</f>
        <v/>
      </c>
      <c r="T387" s="56">
        <f>IFERROR(VLOOKUP($M387,'External Gateways'!$C$6:$F$10,3,FALSE),O387)</f>
        <v>1843860</v>
      </c>
      <c r="U387" s="56">
        <f>IFERROR(VLOOKUP($M387,'External Gateways'!$C$6:$F$10,4,FALSE),P387)</f>
        <v>6332240</v>
      </c>
      <c r="V387" s="353">
        <f t="shared" ref="V387:V450" si="12">SQRT((T387-O387)^2+(U387-P387)^2)/5280</f>
        <v>0</v>
      </c>
      <c r="W387" s="353">
        <f t="shared" ref="W387:W450" si="13">MAX(H387-2*V387,0)</f>
        <v>67</v>
      </c>
    </row>
    <row r="388" spans="1:23" ht="15" customHeight="1" x14ac:dyDescent="0.25">
      <c r="A388" s="128">
        <v>2198</v>
      </c>
      <c r="B388" s="129" t="s">
        <v>82</v>
      </c>
      <c r="C388" s="128" t="s">
        <v>3</v>
      </c>
      <c r="D388" s="129" t="s">
        <v>165</v>
      </c>
      <c r="E388" s="129" t="s">
        <v>82</v>
      </c>
      <c r="F388" s="129">
        <v>92124</v>
      </c>
      <c r="G388" s="129">
        <v>92055</v>
      </c>
      <c r="H388" s="130">
        <v>95</v>
      </c>
      <c r="I388" s="129" t="s">
        <v>407</v>
      </c>
      <c r="J388" s="130">
        <v>8</v>
      </c>
      <c r="K388" s="131"/>
      <c r="L388" s="131" t="s">
        <v>3</v>
      </c>
      <c r="M388" s="131" t="s">
        <v>327</v>
      </c>
      <c r="N388" s="131" t="s">
        <v>324</v>
      </c>
      <c r="O388" s="56">
        <f>VLOOKUP($F388,'ZipCode Coordinates'!$A:$E,4,FALSE)</f>
        <v>1880570</v>
      </c>
      <c r="P388" s="56">
        <f>VLOOKUP($F388,'ZipCode Coordinates'!$A:$E,5,FALSE)</f>
        <v>6302260</v>
      </c>
      <c r="Q388" s="56">
        <f>VLOOKUP($G388,'ZipCode Coordinates'!$A:$E,4,FALSE)</f>
        <v>2082470</v>
      </c>
      <c r="R388" s="56">
        <f>VLOOKUP($G388,'ZipCode Coordinates'!$A:$E,5,FALSE)</f>
        <v>6206470</v>
      </c>
      <c r="S388" s="352" t="str">
        <f>IFERROR(VLOOKUP($M388,'External Gateways'!$C$6:$F$10,2,FALSE),"")</f>
        <v/>
      </c>
      <c r="T388" s="56">
        <f>IFERROR(VLOOKUP($M388,'External Gateways'!$C$6:$F$10,3,FALSE),O388)</f>
        <v>1880570</v>
      </c>
      <c r="U388" s="56">
        <f>IFERROR(VLOOKUP($M388,'External Gateways'!$C$6:$F$10,4,FALSE),P388)</f>
        <v>6302260</v>
      </c>
      <c r="V388" s="353">
        <f t="shared" si="12"/>
        <v>0</v>
      </c>
      <c r="W388" s="353">
        <f t="shared" si="13"/>
        <v>95</v>
      </c>
    </row>
    <row r="389" spans="1:23" ht="15" customHeight="1" x14ac:dyDescent="0.25">
      <c r="A389" s="128">
        <v>2199</v>
      </c>
      <c r="B389" s="129" t="s">
        <v>243</v>
      </c>
      <c r="C389" s="128" t="s">
        <v>198</v>
      </c>
      <c r="D389" s="129" t="s">
        <v>165</v>
      </c>
      <c r="E389" s="129" t="s">
        <v>162</v>
      </c>
      <c r="F389" s="129">
        <v>91910</v>
      </c>
      <c r="G389" s="129">
        <v>92128</v>
      </c>
      <c r="H389" s="130">
        <v>84</v>
      </c>
      <c r="I389" s="129" t="s">
        <v>401</v>
      </c>
      <c r="J389" s="130">
        <v>7</v>
      </c>
      <c r="K389" s="131">
        <v>1</v>
      </c>
      <c r="L389" s="131" t="s">
        <v>5</v>
      </c>
      <c r="M389" s="131" t="s">
        <v>328</v>
      </c>
      <c r="N389" s="131" t="s">
        <v>327</v>
      </c>
      <c r="O389" s="56">
        <f>VLOOKUP($F389,'ZipCode Coordinates'!$A:$E,4,FALSE)</f>
        <v>1812850</v>
      </c>
      <c r="P389" s="56">
        <f>VLOOKUP($F389,'ZipCode Coordinates'!$A:$E,5,FALSE)</f>
        <v>6313650</v>
      </c>
      <c r="Q389" s="56">
        <f>VLOOKUP($G389,'ZipCode Coordinates'!$A:$E,4,FALSE)</f>
        <v>1943580</v>
      </c>
      <c r="R389" s="56">
        <f>VLOOKUP($G389,'ZipCode Coordinates'!$A:$E,5,FALSE)</f>
        <v>6309440</v>
      </c>
      <c r="S389" s="352" t="str">
        <f>IFERROR(VLOOKUP($M389,'External Gateways'!$C$6:$F$10,2,FALSE),"")</f>
        <v/>
      </c>
      <c r="T389" s="56">
        <f>IFERROR(VLOOKUP($M389,'External Gateways'!$C$6:$F$10,3,FALSE),O389)</f>
        <v>1812850</v>
      </c>
      <c r="U389" s="56">
        <f>IFERROR(VLOOKUP($M389,'External Gateways'!$C$6:$F$10,4,FALSE),P389)</f>
        <v>6313650</v>
      </c>
      <c r="V389" s="353">
        <f t="shared" si="12"/>
        <v>0</v>
      </c>
      <c r="W389" s="353">
        <f t="shared" si="13"/>
        <v>84</v>
      </c>
    </row>
    <row r="390" spans="1:23" ht="15" customHeight="1" x14ac:dyDescent="0.25">
      <c r="A390" s="128">
        <v>2202</v>
      </c>
      <c r="B390" s="129" t="s">
        <v>293</v>
      </c>
      <c r="C390" s="128" t="s">
        <v>294</v>
      </c>
      <c r="D390" s="129" t="s">
        <v>162</v>
      </c>
      <c r="E390" s="129" t="s">
        <v>162</v>
      </c>
      <c r="F390" s="129">
        <v>92154</v>
      </c>
      <c r="G390" s="129">
        <v>92123</v>
      </c>
      <c r="H390" s="130">
        <v>47</v>
      </c>
      <c r="I390" s="129" t="s">
        <v>406</v>
      </c>
      <c r="J390" s="130">
        <v>7</v>
      </c>
      <c r="K390" s="131"/>
      <c r="L390" s="131" t="s">
        <v>5</v>
      </c>
      <c r="M390" s="131" t="s">
        <v>328</v>
      </c>
      <c r="N390" s="131" t="s">
        <v>327</v>
      </c>
      <c r="O390" s="56">
        <f>VLOOKUP($F390,'ZipCode Coordinates'!$A:$E,4,FALSE)</f>
        <v>1787080</v>
      </c>
      <c r="P390" s="56">
        <f>VLOOKUP($F390,'ZipCode Coordinates'!$A:$E,5,FALSE)</f>
        <v>6330680</v>
      </c>
      <c r="Q390" s="56">
        <f>VLOOKUP($G390,'ZipCode Coordinates'!$A:$E,4,FALSE)</f>
        <v>1874700</v>
      </c>
      <c r="R390" s="56">
        <f>VLOOKUP($G390,'ZipCode Coordinates'!$A:$E,5,FALSE)</f>
        <v>6289760</v>
      </c>
      <c r="S390" s="352" t="str">
        <f>IFERROR(VLOOKUP($M390,'External Gateways'!$C$6:$F$10,2,FALSE),"")</f>
        <v/>
      </c>
      <c r="T390" s="56">
        <f>IFERROR(VLOOKUP($M390,'External Gateways'!$C$6:$F$10,3,FALSE),O390)</f>
        <v>1787080</v>
      </c>
      <c r="U390" s="56">
        <f>IFERROR(VLOOKUP($M390,'External Gateways'!$C$6:$F$10,4,FALSE),P390)</f>
        <v>6330680</v>
      </c>
      <c r="V390" s="353">
        <f t="shared" si="12"/>
        <v>0</v>
      </c>
      <c r="W390" s="353">
        <f t="shared" si="13"/>
        <v>47</v>
      </c>
    </row>
    <row r="391" spans="1:23" ht="15" customHeight="1" x14ac:dyDescent="0.25">
      <c r="A391" s="128">
        <v>2206</v>
      </c>
      <c r="B391" s="129" t="s">
        <v>263</v>
      </c>
      <c r="C391" s="128" t="s">
        <v>166</v>
      </c>
      <c r="D391" s="129" t="s">
        <v>265</v>
      </c>
      <c r="E391" s="129" t="s">
        <v>162</v>
      </c>
      <c r="F391" s="129">
        <v>92251</v>
      </c>
      <c r="G391" s="129">
        <v>92113</v>
      </c>
      <c r="H391" s="130">
        <v>275</v>
      </c>
      <c r="I391" s="129" t="s">
        <v>441</v>
      </c>
      <c r="J391" s="130">
        <v>8</v>
      </c>
      <c r="K391" s="131"/>
      <c r="L391" s="131" t="s">
        <v>5</v>
      </c>
      <c r="M391" s="131" t="s">
        <v>431</v>
      </c>
      <c r="N391" s="131" t="s">
        <v>323</v>
      </c>
      <c r="O391" s="56">
        <f>VLOOKUP($F391,'ZipCode Coordinates'!$A:$E,4,FALSE)</f>
        <v>1897340</v>
      </c>
      <c r="P391" s="56">
        <f>VLOOKUP($F391,'ZipCode Coordinates'!$A:$E,5,FALSE)</f>
        <v>6754590</v>
      </c>
      <c r="Q391" s="56">
        <f>VLOOKUP($G391,'ZipCode Coordinates'!$A:$E,4,FALSE)</f>
        <v>1834470</v>
      </c>
      <c r="R391" s="56">
        <f>VLOOKUP($G391,'ZipCode Coordinates'!$A:$E,5,FALSE)</f>
        <v>6294590</v>
      </c>
      <c r="S391" s="352" t="str">
        <f>IFERROR(VLOOKUP($M391,'External Gateways'!$C$6:$F$10,2,FALSE),"")</f>
        <v>I-8</v>
      </c>
      <c r="T391" s="56">
        <f>IFERROR(VLOOKUP($M391,'External Gateways'!$C$6:$F$10,3,FALSE),O391)</f>
        <v>1814524</v>
      </c>
      <c r="U391" s="56">
        <f>IFERROR(VLOOKUP($M391,'External Gateways'!$C$6:$F$10,4,FALSE),P391)</f>
        <v>6606089</v>
      </c>
      <c r="V391" s="353">
        <f t="shared" si="12"/>
        <v>32.203117091946467</v>
      </c>
      <c r="W391" s="353">
        <f t="shared" si="13"/>
        <v>210.59376581610707</v>
      </c>
    </row>
    <row r="392" spans="1:23" ht="15" customHeight="1" x14ac:dyDescent="0.25">
      <c r="A392" s="128">
        <v>2207</v>
      </c>
      <c r="B392" s="129" t="s">
        <v>171</v>
      </c>
      <c r="C392" s="128" t="s">
        <v>166</v>
      </c>
      <c r="D392" s="129" t="s">
        <v>174</v>
      </c>
      <c r="E392" s="129" t="s">
        <v>162</v>
      </c>
      <c r="F392" s="129">
        <v>92173</v>
      </c>
      <c r="G392" s="129">
        <v>92113</v>
      </c>
      <c r="H392" s="130">
        <v>45</v>
      </c>
      <c r="I392" s="129" t="s">
        <v>416</v>
      </c>
      <c r="J392" s="130">
        <v>7</v>
      </c>
      <c r="K392" s="131"/>
      <c r="L392" s="131" t="s">
        <v>5</v>
      </c>
      <c r="M392" s="131" t="s">
        <v>328</v>
      </c>
      <c r="N392" s="131" t="s">
        <v>323</v>
      </c>
      <c r="O392" s="56">
        <f>VLOOKUP($F392,'ZipCode Coordinates'!$A:$E,4,FALSE)</f>
        <v>1782600</v>
      </c>
      <c r="P392" s="56">
        <f>VLOOKUP($F392,'ZipCode Coordinates'!$A:$E,5,FALSE)</f>
        <v>6315070</v>
      </c>
      <c r="Q392" s="56">
        <f>VLOOKUP($G392,'ZipCode Coordinates'!$A:$E,4,FALSE)</f>
        <v>1834470</v>
      </c>
      <c r="R392" s="56">
        <f>VLOOKUP($G392,'ZipCode Coordinates'!$A:$E,5,FALSE)</f>
        <v>6294590</v>
      </c>
      <c r="S392" s="352" t="str">
        <f>IFERROR(VLOOKUP($M392,'External Gateways'!$C$6:$F$10,2,FALSE),"")</f>
        <v/>
      </c>
      <c r="T392" s="56">
        <f>IFERROR(VLOOKUP($M392,'External Gateways'!$C$6:$F$10,3,FALSE),O392)</f>
        <v>1782600</v>
      </c>
      <c r="U392" s="56">
        <f>IFERROR(VLOOKUP($M392,'External Gateways'!$C$6:$F$10,4,FALSE),P392)</f>
        <v>6315070</v>
      </c>
      <c r="V392" s="353">
        <f t="shared" si="12"/>
        <v>0</v>
      </c>
      <c r="W392" s="353">
        <f t="shared" si="13"/>
        <v>45</v>
      </c>
    </row>
    <row r="393" spans="1:23" ht="15" customHeight="1" x14ac:dyDescent="0.25">
      <c r="A393" s="128">
        <v>2208</v>
      </c>
      <c r="B393" s="129" t="s">
        <v>263</v>
      </c>
      <c r="C393" s="128" t="s">
        <v>166</v>
      </c>
      <c r="D393" s="129" t="s">
        <v>175</v>
      </c>
      <c r="E393" s="129" t="s">
        <v>162</v>
      </c>
      <c r="F393" s="129">
        <v>92231</v>
      </c>
      <c r="G393" s="129">
        <v>92113</v>
      </c>
      <c r="H393" s="130">
        <v>295</v>
      </c>
      <c r="I393" s="129" t="s">
        <v>429</v>
      </c>
      <c r="J393" s="130">
        <v>9</v>
      </c>
      <c r="K393" s="131"/>
      <c r="L393" s="131" t="s">
        <v>5</v>
      </c>
      <c r="M393" s="131" t="s">
        <v>431</v>
      </c>
      <c r="N393" s="131" t="s">
        <v>323</v>
      </c>
      <c r="O393" s="56">
        <f>VLOOKUP($F393,'ZipCode Coordinates'!$A:$E,4,FALSE)</f>
        <v>1829680</v>
      </c>
      <c r="P393" s="56">
        <f>VLOOKUP($F393,'ZipCode Coordinates'!$A:$E,5,FALSE)</f>
        <v>6778130</v>
      </c>
      <c r="Q393" s="56">
        <f>VLOOKUP($G393,'ZipCode Coordinates'!$A:$E,4,FALSE)</f>
        <v>1834470</v>
      </c>
      <c r="R393" s="56">
        <f>VLOOKUP($G393,'ZipCode Coordinates'!$A:$E,5,FALSE)</f>
        <v>6294590</v>
      </c>
      <c r="S393" s="352" t="str">
        <f>IFERROR(VLOOKUP($M393,'External Gateways'!$C$6:$F$10,2,FALSE),"")</f>
        <v>I-8</v>
      </c>
      <c r="T393" s="56">
        <f>IFERROR(VLOOKUP($M393,'External Gateways'!$C$6:$F$10,3,FALSE),O393)</f>
        <v>1814524</v>
      </c>
      <c r="U393" s="56">
        <f>IFERROR(VLOOKUP($M393,'External Gateways'!$C$6:$F$10,4,FALSE),P393)</f>
        <v>6606089</v>
      </c>
      <c r="V393" s="353">
        <f t="shared" si="12"/>
        <v>32.709715110593962</v>
      </c>
      <c r="W393" s="353">
        <f t="shared" si="13"/>
        <v>229.58056977881208</v>
      </c>
    </row>
    <row r="394" spans="1:23" ht="15" customHeight="1" x14ac:dyDescent="0.25">
      <c r="A394" s="128">
        <v>2212</v>
      </c>
      <c r="B394" s="129" t="s">
        <v>209</v>
      </c>
      <c r="C394" s="128" t="s">
        <v>68</v>
      </c>
      <c r="D394" s="129" t="s">
        <v>196</v>
      </c>
      <c r="E394" s="129" t="s">
        <v>210</v>
      </c>
      <c r="F394" s="129">
        <v>92123</v>
      </c>
      <c r="G394" s="129">
        <v>92081</v>
      </c>
      <c r="H394" s="130">
        <v>68</v>
      </c>
      <c r="I394" s="129" t="s">
        <v>401</v>
      </c>
      <c r="J394" s="130">
        <v>7</v>
      </c>
      <c r="K394" s="131"/>
      <c r="L394" s="131" t="s">
        <v>68</v>
      </c>
      <c r="M394" s="131" t="s">
        <v>327</v>
      </c>
      <c r="N394" s="131" t="s">
        <v>325</v>
      </c>
      <c r="O394" s="56">
        <f>VLOOKUP($F394,'ZipCode Coordinates'!$A:$E,4,FALSE)</f>
        <v>1874700</v>
      </c>
      <c r="P394" s="56">
        <f>VLOOKUP($F394,'ZipCode Coordinates'!$A:$E,5,FALSE)</f>
        <v>6289760</v>
      </c>
      <c r="Q394" s="56">
        <f>VLOOKUP($G394,'ZipCode Coordinates'!$A:$E,4,FALSE)</f>
        <v>2005090</v>
      </c>
      <c r="R394" s="56">
        <f>VLOOKUP($G394,'ZipCode Coordinates'!$A:$E,5,FALSE)</f>
        <v>6258440</v>
      </c>
      <c r="S394" s="352" t="str">
        <f>IFERROR(VLOOKUP($M394,'External Gateways'!$C$6:$F$10,2,FALSE),"")</f>
        <v/>
      </c>
      <c r="T394" s="56">
        <f>IFERROR(VLOOKUP($M394,'External Gateways'!$C$6:$F$10,3,FALSE),O394)</f>
        <v>1874700</v>
      </c>
      <c r="U394" s="56">
        <f>IFERROR(VLOOKUP($M394,'External Gateways'!$C$6:$F$10,4,FALSE),P394)</f>
        <v>6289760</v>
      </c>
      <c r="V394" s="353">
        <f t="shared" si="12"/>
        <v>0</v>
      </c>
      <c r="W394" s="353">
        <f t="shared" si="13"/>
        <v>68</v>
      </c>
    </row>
    <row r="395" spans="1:23" ht="15" customHeight="1" x14ac:dyDescent="0.25">
      <c r="A395" s="128">
        <v>2213</v>
      </c>
      <c r="B395" s="129" t="s">
        <v>82</v>
      </c>
      <c r="C395" s="128" t="s">
        <v>3</v>
      </c>
      <c r="D395" s="129" t="s">
        <v>170</v>
      </c>
      <c r="E395" s="129" t="s">
        <v>82</v>
      </c>
      <c r="F395" s="129">
        <v>92584</v>
      </c>
      <c r="G395" s="129">
        <v>92055</v>
      </c>
      <c r="H395" s="130">
        <v>95</v>
      </c>
      <c r="I395" s="129" t="s">
        <v>420</v>
      </c>
      <c r="J395" s="130">
        <v>7</v>
      </c>
      <c r="K395" s="131">
        <v>1</v>
      </c>
      <c r="L395" s="131" t="s">
        <v>3</v>
      </c>
      <c r="M395" s="131" t="s">
        <v>402</v>
      </c>
      <c r="N395" s="131" t="s">
        <v>324</v>
      </c>
      <c r="O395" s="56">
        <f>VLOOKUP($F395,'ZipCode Coordinates'!$A:$E,4,FALSE)</f>
        <v>2185160</v>
      </c>
      <c r="P395" s="56">
        <f>VLOOKUP($F395,'ZipCode Coordinates'!$A:$E,5,FALSE)</f>
        <v>6280270</v>
      </c>
      <c r="Q395" s="56">
        <f>VLOOKUP($G395,'ZipCode Coordinates'!$A:$E,4,FALSE)</f>
        <v>2082470</v>
      </c>
      <c r="R395" s="56">
        <f>VLOOKUP($G395,'ZipCode Coordinates'!$A:$E,5,FALSE)</f>
        <v>6206470</v>
      </c>
      <c r="S395" s="352" t="str">
        <f>IFERROR(VLOOKUP($M395,'External Gateways'!$C$6:$F$10,2,FALSE),"")</f>
        <v>I-15</v>
      </c>
      <c r="T395" s="56">
        <f>IFERROR(VLOOKUP($M395,'External Gateways'!$C$6:$F$10,3,FALSE),O395)</f>
        <v>2102195</v>
      </c>
      <c r="U395" s="56">
        <f>IFERROR(VLOOKUP($M395,'External Gateways'!$C$6:$F$10,4,FALSE),P395)</f>
        <v>6289147</v>
      </c>
      <c r="V395" s="353">
        <f t="shared" si="12"/>
        <v>15.802756507931361</v>
      </c>
      <c r="W395" s="353">
        <f t="shared" si="13"/>
        <v>63.394486984137274</v>
      </c>
    </row>
    <row r="396" spans="1:23" ht="15" customHeight="1" x14ac:dyDescent="0.25">
      <c r="A396" s="128">
        <v>2216</v>
      </c>
      <c r="B396" s="129" t="s">
        <v>315</v>
      </c>
      <c r="C396" s="128" t="s">
        <v>68</v>
      </c>
      <c r="D396" s="129" t="s">
        <v>154</v>
      </c>
      <c r="E396" s="129" t="s">
        <v>162</v>
      </c>
      <c r="F396" s="129">
        <v>92592</v>
      </c>
      <c r="G396" s="129">
        <v>92154</v>
      </c>
      <c r="H396" s="130">
        <v>166</v>
      </c>
      <c r="I396" s="129" t="s">
        <v>401</v>
      </c>
      <c r="J396" s="130">
        <v>7</v>
      </c>
      <c r="K396" s="131"/>
      <c r="L396" s="131" t="s">
        <v>68</v>
      </c>
      <c r="M396" s="131" t="s">
        <v>402</v>
      </c>
      <c r="N396" s="131" t="s">
        <v>328</v>
      </c>
      <c r="O396" s="56">
        <f>VLOOKUP($F396,'ZipCode Coordinates'!$A:$E,4,FALSE)</f>
        <v>2128740</v>
      </c>
      <c r="P396" s="56">
        <f>VLOOKUP($F396,'ZipCode Coordinates'!$A:$E,5,FALSE)</f>
        <v>6328900</v>
      </c>
      <c r="Q396" s="56">
        <f>VLOOKUP($G396,'ZipCode Coordinates'!$A:$E,4,FALSE)</f>
        <v>1787080</v>
      </c>
      <c r="R396" s="56">
        <f>VLOOKUP($G396,'ZipCode Coordinates'!$A:$E,5,FALSE)</f>
        <v>6330680</v>
      </c>
      <c r="S396" s="352" t="str">
        <f>IFERROR(VLOOKUP($M396,'External Gateways'!$C$6:$F$10,2,FALSE),"")</f>
        <v>I-15</v>
      </c>
      <c r="T396" s="56">
        <f>IFERROR(VLOOKUP($M396,'External Gateways'!$C$6:$F$10,3,FALSE),O396)</f>
        <v>2102195</v>
      </c>
      <c r="U396" s="56">
        <f>IFERROR(VLOOKUP($M396,'External Gateways'!$C$6:$F$10,4,FALSE),P396)</f>
        <v>6289147</v>
      </c>
      <c r="V396" s="353">
        <f t="shared" si="12"/>
        <v>9.0532245169037147</v>
      </c>
      <c r="W396" s="353">
        <f t="shared" si="13"/>
        <v>147.89355096619258</v>
      </c>
    </row>
    <row r="397" spans="1:23" ht="15" customHeight="1" x14ac:dyDescent="0.25">
      <c r="A397" s="128">
        <v>2218</v>
      </c>
      <c r="B397" s="129" t="s">
        <v>82</v>
      </c>
      <c r="C397" s="128" t="s">
        <v>3</v>
      </c>
      <c r="D397" s="129" t="s">
        <v>158</v>
      </c>
      <c r="E397" s="129" t="s">
        <v>82</v>
      </c>
      <c r="F397" s="129">
        <v>92563</v>
      </c>
      <c r="G397" s="129">
        <v>92055</v>
      </c>
      <c r="H397" s="130">
        <v>90</v>
      </c>
      <c r="I397" s="129" t="s">
        <v>408</v>
      </c>
      <c r="J397" s="130">
        <v>7</v>
      </c>
      <c r="K397" s="131"/>
      <c r="L397" s="131" t="s">
        <v>3</v>
      </c>
      <c r="M397" s="131" t="s">
        <v>402</v>
      </c>
      <c r="N397" s="131" t="s">
        <v>324</v>
      </c>
      <c r="O397" s="56">
        <f>VLOOKUP($F397,'ZipCode Coordinates'!$A:$E,4,FALSE)</f>
        <v>2156450</v>
      </c>
      <c r="P397" s="56">
        <f>VLOOKUP($F397,'ZipCode Coordinates'!$A:$E,5,FALSE)</f>
        <v>6288710</v>
      </c>
      <c r="Q397" s="56">
        <f>VLOOKUP($G397,'ZipCode Coordinates'!$A:$E,4,FALSE)</f>
        <v>2082470</v>
      </c>
      <c r="R397" s="56">
        <f>VLOOKUP($G397,'ZipCode Coordinates'!$A:$E,5,FALSE)</f>
        <v>6206470</v>
      </c>
      <c r="S397" s="352" t="str">
        <f>IFERROR(VLOOKUP($M397,'External Gateways'!$C$6:$F$10,2,FALSE),"")</f>
        <v>I-15</v>
      </c>
      <c r="T397" s="56">
        <f>IFERROR(VLOOKUP($M397,'External Gateways'!$C$6:$F$10,3,FALSE),O397)</f>
        <v>2102195</v>
      </c>
      <c r="U397" s="56">
        <f>IFERROR(VLOOKUP($M397,'External Gateways'!$C$6:$F$10,4,FALSE),P397)</f>
        <v>6289147</v>
      </c>
      <c r="V397" s="353">
        <f t="shared" si="12"/>
        <v>10.275901494735123</v>
      </c>
      <c r="W397" s="353">
        <f t="shared" si="13"/>
        <v>69.448197010529753</v>
      </c>
    </row>
    <row r="398" spans="1:23" ht="15" customHeight="1" x14ac:dyDescent="0.25">
      <c r="A398" s="128">
        <v>2222</v>
      </c>
      <c r="B398" s="129" t="s">
        <v>451</v>
      </c>
      <c r="C398" s="128" t="s">
        <v>3</v>
      </c>
      <c r="D398" s="129" t="s">
        <v>154</v>
      </c>
      <c r="E398" s="129" t="s">
        <v>162</v>
      </c>
      <c r="F398" s="129">
        <v>92591</v>
      </c>
      <c r="G398" s="129">
        <v>92136</v>
      </c>
      <c r="H398" s="130">
        <v>139</v>
      </c>
      <c r="I398" s="129" t="s">
        <v>432</v>
      </c>
      <c r="J398" s="130">
        <v>7</v>
      </c>
      <c r="K398" s="131"/>
      <c r="L398" s="131" t="s">
        <v>3</v>
      </c>
      <c r="M398" s="131" t="s">
        <v>402</v>
      </c>
      <c r="N398" s="131" t="s">
        <v>323</v>
      </c>
      <c r="O398" s="56">
        <f>VLOOKUP($F398,'ZipCode Coordinates'!$A:$E,4,FALSE)</f>
        <v>2138420</v>
      </c>
      <c r="P398" s="56">
        <f>VLOOKUP($F398,'ZipCode Coordinates'!$A:$E,5,FALSE)</f>
        <v>6299220</v>
      </c>
      <c r="Q398" s="56">
        <f>VLOOKUP($G398,'ZipCode Coordinates'!$A:$E,4,FALSE)</f>
        <v>1828370</v>
      </c>
      <c r="R398" s="56">
        <f>VLOOKUP($G398,'ZipCode Coordinates'!$A:$E,5,FALSE)</f>
        <v>6293940</v>
      </c>
      <c r="S398" s="352" t="str">
        <f>IFERROR(VLOOKUP($M398,'External Gateways'!$C$6:$F$10,2,FALSE),"")</f>
        <v>I-15</v>
      </c>
      <c r="T398" s="56">
        <f>IFERROR(VLOOKUP($M398,'External Gateways'!$C$6:$F$10,3,FALSE),O398)</f>
        <v>2102195</v>
      </c>
      <c r="U398" s="56">
        <f>IFERROR(VLOOKUP($M398,'External Gateways'!$C$6:$F$10,4,FALSE),P398)</f>
        <v>6289147</v>
      </c>
      <c r="V398" s="353">
        <f t="shared" si="12"/>
        <v>7.1211011888925713</v>
      </c>
      <c r="W398" s="353">
        <f t="shared" si="13"/>
        <v>124.75779762221485</v>
      </c>
    </row>
    <row r="399" spans="1:23" ht="15" customHeight="1" x14ac:dyDescent="0.25">
      <c r="A399" s="128">
        <v>2226</v>
      </c>
      <c r="B399" s="129" t="s">
        <v>451</v>
      </c>
      <c r="C399" s="128" t="s">
        <v>3</v>
      </c>
      <c r="D399" s="129" t="s">
        <v>160</v>
      </c>
      <c r="E399" s="129" t="s">
        <v>162</v>
      </c>
      <c r="F399" s="129">
        <v>92583</v>
      </c>
      <c r="G399" s="129">
        <v>92136</v>
      </c>
      <c r="H399" s="130">
        <v>159</v>
      </c>
      <c r="I399" s="129" t="s">
        <v>459</v>
      </c>
      <c r="J399" s="130">
        <v>8</v>
      </c>
      <c r="K399" s="131"/>
      <c r="L399" s="131" t="s">
        <v>3</v>
      </c>
      <c r="M399" s="131" t="s">
        <v>402</v>
      </c>
      <c r="N399" s="131" t="s">
        <v>323</v>
      </c>
      <c r="O399" s="56">
        <f>VLOOKUP($F399,'ZipCode Coordinates'!$A:$E,4,FALSE)</f>
        <v>2232550</v>
      </c>
      <c r="P399" s="56">
        <f>VLOOKUP($F399,'ZipCode Coordinates'!$A:$E,5,FALSE)</f>
        <v>6358050</v>
      </c>
      <c r="Q399" s="56">
        <f>VLOOKUP($G399,'ZipCode Coordinates'!$A:$E,4,FALSE)</f>
        <v>1828370</v>
      </c>
      <c r="R399" s="56">
        <f>VLOOKUP($G399,'ZipCode Coordinates'!$A:$E,5,FALSE)</f>
        <v>6293940</v>
      </c>
      <c r="S399" s="352" t="str">
        <f>IFERROR(VLOOKUP($M399,'External Gateways'!$C$6:$F$10,2,FALSE),"")</f>
        <v>I-15</v>
      </c>
      <c r="T399" s="56">
        <f>IFERROR(VLOOKUP($M399,'External Gateways'!$C$6:$F$10,3,FALSE),O399)</f>
        <v>2102195</v>
      </c>
      <c r="U399" s="56">
        <f>IFERROR(VLOOKUP($M399,'External Gateways'!$C$6:$F$10,4,FALSE),P399)</f>
        <v>6289147</v>
      </c>
      <c r="V399" s="353">
        <f t="shared" si="12"/>
        <v>27.925203143927018</v>
      </c>
      <c r="W399" s="353">
        <f t="shared" si="13"/>
        <v>103.14959371214596</v>
      </c>
    </row>
    <row r="400" spans="1:23" ht="15" customHeight="1" x14ac:dyDescent="0.25">
      <c r="A400" s="128">
        <v>2232</v>
      </c>
      <c r="B400" s="129" t="s">
        <v>291</v>
      </c>
      <c r="C400" s="128" t="s">
        <v>163</v>
      </c>
      <c r="D400" s="129" t="s">
        <v>438</v>
      </c>
      <c r="E400" s="129" t="s">
        <v>413</v>
      </c>
      <c r="F400" s="129">
        <v>91977</v>
      </c>
      <c r="G400" s="129">
        <v>92037</v>
      </c>
      <c r="H400" s="130">
        <v>74</v>
      </c>
      <c r="I400" s="129" t="s">
        <v>406</v>
      </c>
      <c r="J400" s="130">
        <v>7</v>
      </c>
      <c r="K400" s="131">
        <v>2</v>
      </c>
      <c r="L400" s="131" t="s">
        <v>5</v>
      </c>
      <c r="M400" s="131" t="s">
        <v>326</v>
      </c>
      <c r="N400" s="131" t="s">
        <v>327</v>
      </c>
      <c r="O400" s="56">
        <f>VLOOKUP($F400,'ZipCode Coordinates'!$A:$E,4,FALSE)</f>
        <v>1843860</v>
      </c>
      <c r="P400" s="56">
        <f>VLOOKUP($F400,'ZipCode Coordinates'!$A:$E,5,FALSE)</f>
        <v>6332240</v>
      </c>
      <c r="Q400" s="56">
        <f>VLOOKUP($G400,'ZipCode Coordinates'!$A:$E,4,FALSE)</f>
        <v>1891270</v>
      </c>
      <c r="R400" s="56">
        <f>VLOOKUP($G400,'ZipCode Coordinates'!$A:$E,5,FALSE)</f>
        <v>6254020</v>
      </c>
      <c r="S400" s="352" t="str">
        <f>IFERROR(VLOOKUP($M400,'External Gateways'!$C$6:$F$10,2,FALSE),"")</f>
        <v/>
      </c>
      <c r="T400" s="56">
        <f>IFERROR(VLOOKUP($M400,'External Gateways'!$C$6:$F$10,3,FALSE),O400)</f>
        <v>1843860</v>
      </c>
      <c r="U400" s="56">
        <f>IFERROR(VLOOKUP($M400,'External Gateways'!$C$6:$F$10,4,FALSE),P400)</f>
        <v>6332240</v>
      </c>
      <c r="V400" s="353">
        <f t="shared" si="12"/>
        <v>0</v>
      </c>
      <c r="W400" s="353">
        <f t="shared" si="13"/>
        <v>74</v>
      </c>
    </row>
    <row r="401" spans="1:23" ht="15" customHeight="1" x14ac:dyDescent="0.25">
      <c r="A401" s="128">
        <v>2233</v>
      </c>
      <c r="B401" s="129" t="s">
        <v>289</v>
      </c>
      <c r="C401" s="128" t="s">
        <v>163</v>
      </c>
      <c r="D401" s="129" t="s">
        <v>167</v>
      </c>
      <c r="E401" s="129" t="s">
        <v>162</v>
      </c>
      <c r="F401" s="129">
        <v>92532</v>
      </c>
      <c r="G401" s="129">
        <v>92128</v>
      </c>
      <c r="H401" s="130">
        <v>85</v>
      </c>
      <c r="I401" s="129" t="s">
        <v>489</v>
      </c>
      <c r="J401" s="130">
        <v>10</v>
      </c>
      <c r="K401" s="131"/>
      <c r="L401" s="131" t="s">
        <v>5</v>
      </c>
      <c r="M401" s="131" t="s">
        <v>402</v>
      </c>
      <c r="N401" s="131" t="s">
        <v>327</v>
      </c>
      <c r="O401" s="56">
        <f>VLOOKUP($F401,'ZipCode Coordinates'!$A:$E,4,FALSE)</f>
        <v>2198150</v>
      </c>
      <c r="P401" s="56">
        <f>VLOOKUP($F401,'ZipCode Coordinates'!$A:$E,5,FALSE)</f>
        <v>6239520</v>
      </c>
      <c r="Q401" s="56">
        <f>VLOOKUP($G401,'ZipCode Coordinates'!$A:$E,4,FALSE)</f>
        <v>1943580</v>
      </c>
      <c r="R401" s="56">
        <f>VLOOKUP($G401,'ZipCode Coordinates'!$A:$E,5,FALSE)</f>
        <v>6309440</v>
      </c>
      <c r="S401" s="352" t="str">
        <f>IFERROR(VLOOKUP($M401,'External Gateways'!$C$6:$F$10,2,FALSE),"")</f>
        <v>I-15</v>
      </c>
      <c r="T401" s="56">
        <f>IFERROR(VLOOKUP($M401,'External Gateways'!$C$6:$F$10,3,FALSE),O401)</f>
        <v>2102195</v>
      </c>
      <c r="U401" s="56">
        <f>IFERROR(VLOOKUP($M401,'External Gateways'!$C$6:$F$10,4,FALSE),P401)</f>
        <v>6289147</v>
      </c>
      <c r="V401" s="353">
        <f t="shared" si="12"/>
        <v>20.459982051425438</v>
      </c>
      <c r="W401" s="353">
        <f t="shared" si="13"/>
        <v>44.080035897149124</v>
      </c>
    </row>
    <row r="402" spans="1:23" ht="15" customHeight="1" x14ac:dyDescent="0.25">
      <c r="A402" s="128">
        <v>2236</v>
      </c>
      <c r="B402" s="129" t="s">
        <v>254</v>
      </c>
      <c r="C402" s="128" t="s">
        <v>3</v>
      </c>
      <c r="D402" s="129" t="s">
        <v>160</v>
      </c>
      <c r="E402" s="129" t="s">
        <v>162</v>
      </c>
      <c r="F402" s="129">
        <v>92592</v>
      </c>
      <c r="G402" s="129">
        <v>92140</v>
      </c>
      <c r="H402" s="130">
        <v>135</v>
      </c>
      <c r="I402" s="129" t="s">
        <v>422</v>
      </c>
      <c r="J402" s="130">
        <v>8</v>
      </c>
      <c r="K402" s="131"/>
      <c r="L402" s="131" t="s">
        <v>3</v>
      </c>
      <c r="M402" s="131" t="s">
        <v>402</v>
      </c>
      <c r="N402" s="131" t="s">
        <v>323</v>
      </c>
      <c r="O402" s="56">
        <f>VLOOKUP($F402,'ZipCode Coordinates'!$A:$E,4,FALSE)</f>
        <v>2128740</v>
      </c>
      <c r="P402" s="56">
        <f>VLOOKUP($F402,'ZipCode Coordinates'!$A:$E,5,FALSE)</f>
        <v>6328900</v>
      </c>
      <c r="Q402" s="56">
        <f>VLOOKUP($G402,'ZipCode Coordinates'!$A:$E,4,FALSE)</f>
        <v>1850480</v>
      </c>
      <c r="R402" s="56">
        <f>VLOOKUP($G402,'ZipCode Coordinates'!$A:$E,5,FALSE)</f>
        <v>6270510</v>
      </c>
      <c r="S402" s="352" t="str">
        <f>IFERROR(VLOOKUP($M402,'External Gateways'!$C$6:$F$10,2,FALSE),"")</f>
        <v>I-15</v>
      </c>
      <c r="T402" s="56">
        <f>IFERROR(VLOOKUP($M402,'External Gateways'!$C$6:$F$10,3,FALSE),O402)</f>
        <v>2102195</v>
      </c>
      <c r="U402" s="56">
        <f>IFERROR(VLOOKUP($M402,'External Gateways'!$C$6:$F$10,4,FALSE),P402)</f>
        <v>6289147</v>
      </c>
      <c r="V402" s="353">
        <f t="shared" si="12"/>
        <v>9.0532245169037147</v>
      </c>
      <c r="W402" s="353">
        <f t="shared" si="13"/>
        <v>116.89355096619258</v>
      </c>
    </row>
    <row r="403" spans="1:23" ht="15" customHeight="1" x14ac:dyDescent="0.25">
      <c r="A403" s="128">
        <v>2237</v>
      </c>
      <c r="B403" s="129" t="s">
        <v>451</v>
      </c>
      <c r="C403" s="128" t="s">
        <v>3</v>
      </c>
      <c r="D403" s="129" t="s">
        <v>161</v>
      </c>
      <c r="E403" s="129" t="s">
        <v>162</v>
      </c>
      <c r="F403" s="129">
        <v>92596</v>
      </c>
      <c r="G403" s="129">
        <v>92136</v>
      </c>
      <c r="H403" s="130">
        <v>160</v>
      </c>
      <c r="I403" s="129" t="s">
        <v>422</v>
      </c>
      <c r="J403" s="130">
        <v>8</v>
      </c>
      <c r="K403" s="131">
        <v>1</v>
      </c>
      <c r="L403" s="131" t="s">
        <v>3</v>
      </c>
      <c r="M403" s="131" t="s">
        <v>402</v>
      </c>
      <c r="N403" s="131" t="s">
        <v>323</v>
      </c>
      <c r="O403" s="56">
        <f>VLOOKUP($F403,'ZipCode Coordinates'!$A:$E,4,FALSE)</f>
        <v>2177700</v>
      </c>
      <c r="P403" s="56">
        <f>VLOOKUP($F403,'ZipCode Coordinates'!$A:$E,5,FALSE)</f>
        <v>6311340</v>
      </c>
      <c r="Q403" s="56">
        <f>VLOOKUP($G403,'ZipCode Coordinates'!$A:$E,4,FALSE)</f>
        <v>1828370</v>
      </c>
      <c r="R403" s="56">
        <f>VLOOKUP($G403,'ZipCode Coordinates'!$A:$E,5,FALSE)</f>
        <v>6293940</v>
      </c>
      <c r="S403" s="352" t="str">
        <f>IFERROR(VLOOKUP($M403,'External Gateways'!$C$6:$F$10,2,FALSE),"")</f>
        <v>I-15</v>
      </c>
      <c r="T403" s="56">
        <f>IFERROR(VLOOKUP($M403,'External Gateways'!$C$6:$F$10,3,FALSE),O403)</f>
        <v>2102195</v>
      </c>
      <c r="U403" s="56">
        <f>IFERROR(VLOOKUP($M403,'External Gateways'!$C$6:$F$10,4,FALSE),P403)</f>
        <v>6289147</v>
      </c>
      <c r="V403" s="353">
        <f t="shared" si="12"/>
        <v>14.905115649451727</v>
      </c>
      <c r="W403" s="353">
        <f t="shared" si="13"/>
        <v>130.18976870109654</v>
      </c>
    </row>
    <row r="404" spans="1:23" ht="15" customHeight="1" x14ac:dyDescent="0.25">
      <c r="A404" s="128">
        <v>2239</v>
      </c>
      <c r="B404" s="129" t="s">
        <v>270</v>
      </c>
      <c r="C404" s="128" t="s">
        <v>3</v>
      </c>
      <c r="D404" s="129" t="s">
        <v>154</v>
      </c>
      <c r="E404" s="129" t="s">
        <v>162</v>
      </c>
      <c r="F404" s="129">
        <v>92592</v>
      </c>
      <c r="G404" s="129">
        <v>92132</v>
      </c>
      <c r="H404" s="130">
        <v>134</v>
      </c>
      <c r="I404" s="129" t="s">
        <v>459</v>
      </c>
      <c r="J404" s="130">
        <v>8</v>
      </c>
      <c r="K404" s="131"/>
      <c r="L404" s="131" t="s">
        <v>3</v>
      </c>
      <c r="M404" s="131" t="s">
        <v>402</v>
      </c>
      <c r="N404" s="131" t="s">
        <v>323</v>
      </c>
      <c r="O404" s="56">
        <f>VLOOKUP($F404,'ZipCode Coordinates'!$A:$E,4,FALSE)</f>
        <v>2128740</v>
      </c>
      <c r="P404" s="56">
        <f>VLOOKUP($F404,'ZipCode Coordinates'!$A:$E,5,FALSE)</f>
        <v>6328900</v>
      </c>
      <c r="Q404" s="56">
        <f>VLOOKUP($G404,'ZipCode Coordinates'!$A:$E,4,FALSE)</f>
        <v>1842732</v>
      </c>
      <c r="R404" s="56">
        <f>VLOOKUP($G404,'ZipCode Coordinates'!$A:$E,5,FALSE)</f>
        <v>6278505</v>
      </c>
      <c r="S404" s="352" t="str">
        <f>IFERROR(VLOOKUP($M404,'External Gateways'!$C$6:$F$10,2,FALSE),"")</f>
        <v>I-15</v>
      </c>
      <c r="T404" s="56">
        <f>IFERROR(VLOOKUP($M404,'External Gateways'!$C$6:$F$10,3,FALSE),O404)</f>
        <v>2102195</v>
      </c>
      <c r="U404" s="56">
        <f>IFERROR(VLOOKUP($M404,'External Gateways'!$C$6:$F$10,4,FALSE),P404)</f>
        <v>6289147</v>
      </c>
      <c r="V404" s="353">
        <f t="shared" si="12"/>
        <v>9.0532245169037147</v>
      </c>
      <c r="W404" s="353">
        <f t="shared" si="13"/>
        <v>115.89355096619258</v>
      </c>
    </row>
    <row r="405" spans="1:23" ht="15" customHeight="1" x14ac:dyDescent="0.25">
      <c r="A405" s="128">
        <v>2241</v>
      </c>
      <c r="B405" s="129" t="s">
        <v>253</v>
      </c>
      <c r="C405" s="128" t="s">
        <v>3</v>
      </c>
      <c r="D405" s="129" t="s">
        <v>191</v>
      </c>
      <c r="E405" s="129" t="s">
        <v>162</v>
      </c>
      <c r="F405" s="129">
        <v>92571</v>
      </c>
      <c r="G405" s="129">
        <v>92145</v>
      </c>
      <c r="H405" s="130">
        <v>159</v>
      </c>
      <c r="I405" s="129" t="s">
        <v>406</v>
      </c>
      <c r="J405" s="130">
        <v>7</v>
      </c>
      <c r="K405" s="131"/>
      <c r="L405" s="131" t="s">
        <v>3</v>
      </c>
      <c r="M405" s="131" t="s">
        <v>402</v>
      </c>
      <c r="N405" s="131" t="s">
        <v>327</v>
      </c>
      <c r="O405" s="56">
        <f>VLOOKUP($F405,'ZipCode Coordinates'!$A:$E,4,FALSE)</f>
        <v>2247520</v>
      </c>
      <c r="P405" s="56">
        <f>VLOOKUP($F405,'ZipCode Coordinates'!$A:$E,5,FALSE)</f>
        <v>6276380</v>
      </c>
      <c r="Q405" s="56">
        <f>VLOOKUP($G405,'ZipCode Coordinates'!$A:$E,4,FALSE)</f>
        <v>1896720</v>
      </c>
      <c r="R405" s="56">
        <f>VLOOKUP($G405,'ZipCode Coordinates'!$A:$E,5,FALSE)</f>
        <v>6297440</v>
      </c>
      <c r="S405" s="352" t="str">
        <f>IFERROR(VLOOKUP($M405,'External Gateways'!$C$6:$F$10,2,FALSE),"")</f>
        <v>I-15</v>
      </c>
      <c r="T405" s="56">
        <f>IFERROR(VLOOKUP($M405,'External Gateways'!$C$6:$F$10,3,FALSE),O405)</f>
        <v>2102195</v>
      </c>
      <c r="U405" s="56">
        <f>IFERROR(VLOOKUP($M405,'External Gateways'!$C$6:$F$10,4,FALSE),P405)</f>
        <v>6289147</v>
      </c>
      <c r="V405" s="353">
        <f t="shared" si="12"/>
        <v>27.629682067783218</v>
      </c>
      <c r="W405" s="353">
        <f t="shared" si="13"/>
        <v>103.74063586443356</v>
      </c>
    </row>
    <row r="406" spans="1:23" ht="15" customHeight="1" x14ac:dyDescent="0.25">
      <c r="A406" s="128">
        <v>2243</v>
      </c>
      <c r="B406" s="129" t="s">
        <v>275</v>
      </c>
      <c r="C406" s="128" t="s">
        <v>163</v>
      </c>
      <c r="D406" s="129" t="s">
        <v>170</v>
      </c>
      <c r="E406" s="129" t="s">
        <v>156</v>
      </c>
      <c r="F406" s="129">
        <v>92586</v>
      </c>
      <c r="G406" s="129">
        <v>92029</v>
      </c>
      <c r="H406" s="130">
        <v>106</v>
      </c>
      <c r="I406" s="129" t="s">
        <v>401</v>
      </c>
      <c r="J406" s="130">
        <v>7</v>
      </c>
      <c r="K406" s="131"/>
      <c r="L406" s="131" t="s">
        <v>5</v>
      </c>
      <c r="M406" s="131" t="s">
        <v>402</v>
      </c>
      <c r="N406" s="131" t="s">
        <v>325</v>
      </c>
      <c r="O406" s="56">
        <f>VLOOKUP($F406,'ZipCode Coordinates'!$A:$E,4,FALSE)</f>
        <v>2202010</v>
      </c>
      <c r="P406" s="56">
        <f>VLOOKUP($F406,'ZipCode Coordinates'!$A:$E,5,FALSE)</f>
        <v>6272780</v>
      </c>
      <c r="Q406" s="56">
        <f>VLOOKUP($G406,'ZipCode Coordinates'!$A:$E,4,FALSE)</f>
        <v>1974260</v>
      </c>
      <c r="R406" s="56">
        <f>VLOOKUP($G406,'ZipCode Coordinates'!$A:$E,5,FALSE)</f>
        <v>6291680</v>
      </c>
      <c r="S406" s="352" t="str">
        <f>IFERROR(VLOOKUP($M406,'External Gateways'!$C$6:$F$10,2,FALSE),"")</f>
        <v>I-15</v>
      </c>
      <c r="T406" s="56">
        <f>IFERROR(VLOOKUP($M406,'External Gateways'!$C$6:$F$10,3,FALSE),O406)</f>
        <v>2102195</v>
      </c>
      <c r="U406" s="56">
        <f>IFERROR(VLOOKUP($M406,'External Gateways'!$C$6:$F$10,4,FALSE),P406)</f>
        <v>6289147</v>
      </c>
      <c r="V406" s="353">
        <f t="shared" si="12"/>
        <v>19.156813510070481</v>
      </c>
      <c r="W406" s="353">
        <f t="shared" si="13"/>
        <v>67.686372979859044</v>
      </c>
    </row>
    <row r="407" spans="1:23" ht="15" customHeight="1" x14ac:dyDescent="0.25">
      <c r="A407" s="128">
        <v>2244</v>
      </c>
      <c r="B407" s="129" t="s">
        <v>311</v>
      </c>
      <c r="C407" s="128" t="s">
        <v>411</v>
      </c>
      <c r="D407" s="129" t="s">
        <v>154</v>
      </c>
      <c r="E407" s="129" t="s">
        <v>413</v>
      </c>
      <c r="F407" s="129">
        <v>92592</v>
      </c>
      <c r="G407" s="129">
        <v>92093</v>
      </c>
      <c r="H407" s="130">
        <v>139</v>
      </c>
      <c r="I407" s="129" t="s">
        <v>403</v>
      </c>
      <c r="J407" s="130">
        <v>8</v>
      </c>
      <c r="K407" s="131"/>
      <c r="L407" s="131" t="s">
        <v>5</v>
      </c>
      <c r="M407" s="131" t="s">
        <v>402</v>
      </c>
      <c r="N407" s="131" t="s">
        <v>327</v>
      </c>
      <c r="O407" s="56">
        <f>VLOOKUP($F407,'ZipCode Coordinates'!$A:$E,4,FALSE)</f>
        <v>2128740</v>
      </c>
      <c r="P407" s="56">
        <f>VLOOKUP($F407,'ZipCode Coordinates'!$A:$E,5,FALSE)</f>
        <v>6328900</v>
      </c>
      <c r="Q407" s="56">
        <f>VLOOKUP($G407,'ZipCode Coordinates'!$A:$E,4,FALSE)</f>
        <v>1901870</v>
      </c>
      <c r="R407" s="56">
        <f>VLOOKUP($G407,'ZipCode Coordinates'!$A:$E,5,FALSE)</f>
        <v>6259600</v>
      </c>
      <c r="S407" s="352" t="str">
        <f>IFERROR(VLOOKUP($M407,'External Gateways'!$C$6:$F$10,2,FALSE),"")</f>
        <v>I-15</v>
      </c>
      <c r="T407" s="56">
        <f>IFERROR(VLOOKUP($M407,'External Gateways'!$C$6:$F$10,3,FALSE),O407)</f>
        <v>2102195</v>
      </c>
      <c r="U407" s="56">
        <f>IFERROR(VLOOKUP($M407,'External Gateways'!$C$6:$F$10,4,FALSE),P407)</f>
        <v>6289147</v>
      </c>
      <c r="V407" s="353">
        <f t="shared" si="12"/>
        <v>9.0532245169037147</v>
      </c>
      <c r="W407" s="353">
        <f t="shared" si="13"/>
        <v>120.89355096619258</v>
      </c>
    </row>
    <row r="408" spans="1:23" ht="15" customHeight="1" x14ac:dyDescent="0.25">
      <c r="A408" s="128">
        <v>2245</v>
      </c>
      <c r="B408" s="129" t="s">
        <v>263</v>
      </c>
      <c r="C408" s="128" t="s">
        <v>166</v>
      </c>
      <c r="D408" s="129" t="s">
        <v>265</v>
      </c>
      <c r="E408" s="129" t="s">
        <v>162</v>
      </c>
      <c r="F408" s="129">
        <v>92250</v>
      </c>
      <c r="G408" s="129">
        <v>92113</v>
      </c>
      <c r="H408" s="130">
        <v>291</v>
      </c>
      <c r="I408" s="129" t="s">
        <v>403</v>
      </c>
      <c r="J408" s="130">
        <v>8</v>
      </c>
      <c r="K408" s="131"/>
      <c r="L408" s="131" t="s">
        <v>5</v>
      </c>
      <c r="M408" s="131" t="s">
        <v>431</v>
      </c>
      <c r="N408" s="131" t="s">
        <v>323</v>
      </c>
      <c r="O408" s="56">
        <f>VLOOKUP($F408,'ZipCode Coordinates'!$A:$E,4,FALSE)</f>
        <v>1869920</v>
      </c>
      <c r="P408" s="56">
        <f>VLOOKUP($F408,'ZipCode Coordinates'!$A:$E,5,FALSE)</f>
        <v>6836260</v>
      </c>
      <c r="Q408" s="56">
        <f>VLOOKUP($G408,'ZipCode Coordinates'!$A:$E,4,FALSE)</f>
        <v>1834470</v>
      </c>
      <c r="R408" s="56">
        <f>VLOOKUP($G408,'ZipCode Coordinates'!$A:$E,5,FALSE)</f>
        <v>6294590</v>
      </c>
      <c r="S408" s="352" t="str">
        <f>IFERROR(VLOOKUP($M408,'External Gateways'!$C$6:$F$10,2,FALSE),"")</f>
        <v>I-8</v>
      </c>
      <c r="T408" s="56">
        <f>IFERROR(VLOOKUP($M408,'External Gateways'!$C$6:$F$10,3,FALSE),O408)</f>
        <v>1814524</v>
      </c>
      <c r="U408" s="56">
        <f>IFERROR(VLOOKUP($M408,'External Gateways'!$C$6:$F$10,4,FALSE),P408)</f>
        <v>6606089</v>
      </c>
      <c r="V408" s="353">
        <f t="shared" si="12"/>
        <v>44.837752596941137</v>
      </c>
      <c r="W408" s="353">
        <f t="shared" si="13"/>
        <v>201.32449480611774</v>
      </c>
    </row>
    <row r="409" spans="1:23" ht="15" customHeight="1" x14ac:dyDescent="0.25">
      <c r="A409" s="128">
        <v>2246</v>
      </c>
      <c r="B409" s="129" t="s">
        <v>315</v>
      </c>
      <c r="C409" s="128" t="s">
        <v>68</v>
      </c>
      <c r="D409" s="129" t="s">
        <v>162</v>
      </c>
      <c r="E409" s="129" t="s">
        <v>201</v>
      </c>
      <c r="F409" s="129">
        <v>92154</v>
      </c>
      <c r="G409" s="129">
        <v>91962</v>
      </c>
      <c r="H409" s="130">
        <v>160</v>
      </c>
      <c r="I409" s="129" t="s">
        <v>418</v>
      </c>
      <c r="J409" s="130">
        <v>9</v>
      </c>
      <c r="K409" s="131"/>
      <c r="L409" s="131" t="s">
        <v>68</v>
      </c>
      <c r="M409" s="131" t="s">
        <v>328</v>
      </c>
      <c r="N409" s="131" t="s">
        <v>329</v>
      </c>
      <c r="O409" s="56">
        <f>VLOOKUP($F409,'ZipCode Coordinates'!$A:$E,4,FALSE)</f>
        <v>1787080</v>
      </c>
      <c r="P409" s="56">
        <f>VLOOKUP($F409,'ZipCode Coordinates'!$A:$E,5,FALSE)</f>
        <v>6330680</v>
      </c>
      <c r="Q409" s="56">
        <f>VLOOKUP($G409,'ZipCode Coordinates'!$A:$E,4,FALSE)</f>
        <v>1874980</v>
      </c>
      <c r="R409" s="56">
        <f>VLOOKUP($G409,'ZipCode Coordinates'!$A:$E,5,FALSE)</f>
        <v>6499110</v>
      </c>
      <c r="S409" s="352" t="str">
        <f>IFERROR(VLOOKUP($M409,'External Gateways'!$C$6:$F$10,2,FALSE),"")</f>
        <v/>
      </c>
      <c r="T409" s="56">
        <f>IFERROR(VLOOKUP($M409,'External Gateways'!$C$6:$F$10,3,FALSE),O409)</f>
        <v>1787080</v>
      </c>
      <c r="U409" s="56">
        <f>IFERROR(VLOOKUP($M409,'External Gateways'!$C$6:$F$10,4,FALSE),P409)</f>
        <v>6330680</v>
      </c>
      <c r="V409" s="353">
        <f t="shared" si="12"/>
        <v>0</v>
      </c>
      <c r="W409" s="353">
        <f t="shared" si="13"/>
        <v>160</v>
      </c>
    </row>
    <row r="410" spans="1:23" ht="15" customHeight="1" x14ac:dyDescent="0.25">
      <c r="A410" s="128">
        <v>2253</v>
      </c>
      <c r="B410" s="129" t="s">
        <v>290</v>
      </c>
      <c r="C410" s="128" t="s">
        <v>163</v>
      </c>
      <c r="D410" s="129" t="s">
        <v>170</v>
      </c>
      <c r="E410" s="129" t="s">
        <v>210</v>
      </c>
      <c r="F410" s="129">
        <v>92584</v>
      </c>
      <c r="G410" s="129">
        <v>92083</v>
      </c>
      <c r="H410" s="130">
        <v>79</v>
      </c>
      <c r="I410" s="129" t="s">
        <v>401</v>
      </c>
      <c r="J410" s="130">
        <v>7</v>
      </c>
      <c r="K410" s="131"/>
      <c r="L410" s="131" t="s">
        <v>5</v>
      </c>
      <c r="M410" s="131" t="s">
        <v>402</v>
      </c>
      <c r="N410" s="131" t="s">
        <v>325</v>
      </c>
      <c r="O410" s="56">
        <f>VLOOKUP($F410,'ZipCode Coordinates'!$A:$E,4,FALSE)</f>
        <v>2185160</v>
      </c>
      <c r="P410" s="56">
        <f>VLOOKUP($F410,'ZipCode Coordinates'!$A:$E,5,FALSE)</f>
        <v>6280270</v>
      </c>
      <c r="Q410" s="56">
        <f>VLOOKUP($G410,'ZipCode Coordinates'!$A:$E,4,FALSE)</f>
        <v>2017120</v>
      </c>
      <c r="R410" s="56">
        <f>VLOOKUP($G410,'ZipCode Coordinates'!$A:$E,5,FALSE)</f>
        <v>6256330</v>
      </c>
      <c r="S410" s="352" t="str">
        <f>IFERROR(VLOOKUP($M410,'External Gateways'!$C$6:$F$10,2,FALSE),"")</f>
        <v>I-15</v>
      </c>
      <c r="T410" s="56">
        <f>IFERROR(VLOOKUP($M410,'External Gateways'!$C$6:$F$10,3,FALSE),O410)</f>
        <v>2102195</v>
      </c>
      <c r="U410" s="56">
        <f>IFERROR(VLOOKUP($M410,'External Gateways'!$C$6:$F$10,4,FALSE),P410)</f>
        <v>6289147</v>
      </c>
      <c r="V410" s="353">
        <f t="shared" si="12"/>
        <v>15.802756507931361</v>
      </c>
      <c r="W410" s="353">
        <f t="shared" si="13"/>
        <v>47.394486984137274</v>
      </c>
    </row>
    <row r="411" spans="1:23" ht="15" customHeight="1" x14ac:dyDescent="0.25">
      <c r="A411" s="128">
        <v>2254</v>
      </c>
      <c r="B411" s="129" t="s">
        <v>82</v>
      </c>
      <c r="C411" s="128" t="s">
        <v>3</v>
      </c>
      <c r="D411" s="129" t="s">
        <v>161</v>
      </c>
      <c r="E411" s="129" t="s">
        <v>82</v>
      </c>
      <c r="F411" s="129">
        <v>92596</v>
      </c>
      <c r="G411" s="129">
        <v>92055</v>
      </c>
      <c r="H411" s="130">
        <v>64</v>
      </c>
      <c r="I411" s="129" t="s">
        <v>408</v>
      </c>
      <c r="J411" s="130">
        <v>7</v>
      </c>
      <c r="K411" s="131">
        <v>3</v>
      </c>
      <c r="L411" s="131" t="s">
        <v>3</v>
      </c>
      <c r="M411" s="131" t="s">
        <v>402</v>
      </c>
      <c r="N411" s="131" t="s">
        <v>324</v>
      </c>
      <c r="O411" s="56">
        <f>VLOOKUP($F411,'ZipCode Coordinates'!$A:$E,4,FALSE)</f>
        <v>2177700</v>
      </c>
      <c r="P411" s="56">
        <f>VLOOKUP($F411,'ZipCode Coordinates'!$A:$E,5,FALSE)</f>
        <v>6311340</v>
      </c>
      <c r="Q411" s="56">
        <f>VLOOKUP($G411,'ZipCode Coordinates'!$A:$E,4,FALSE)</f>
        <v>2082470</v>
      </c>
      <c r="R411" s="56">
        <f>VLOOKUP($G411,'ZipCode Coordinates'!$A:$E,5,FALSE)</f>
        <v>6206470</v>
      </c>
      <c r="S411" s="352" t="str">
        <f>IFERROR(VLOOKUP($M411,'External Gateways'!$C$6:$F$10,2,FALSE),"")</f>
        <v>I-15</v>
      </c>
      <c r="T411" s="56">
        <f>IFERROR(VLOOKUP($M411,'External Gateways'!$C$6:$F$10,3,FALSE),O411)</f>
        <v>2102195</v>
      </c>
      <c r="U411" s="56">
        <f>IFERROR(VLOOKUP($M411,'External Gateways'!$C$6:$F$10,4,FALSE),P411)</f>
        <v>6289147</v>
      </c>
      <c r="V411" s="353">
        <f t="shared" si="12"/>
        <v>14.905115649451727</v>
      </c>
      <c r="W411" s="353">
        <f t="shared" si="13"/>
        <v>34.189768701096547</v>
      </c>
    </row>
    <row r="412" spans="1:23" ht="15" customHeight="1" x14ac:dyDescent="0.25">
      <c r="A412" s="128">
        <v>2258</v>
      </c>
      <c r="B412" s="129" t="s">
        <v>307</v>
      </c>
      <c r="C412" s="128" t="s">
        <v>3</v>
      </c>
      <c r="D412" s="129" t="s">
        <v>165</v>
      </c>
      <c r="E412" s="129" t="s">
        <v>162</v>
      </c>
      <c r="F412" s="129">
        <v>91915</v>
      </c>
      <c r="G412" s="129">
        <v>92152</v>
      </c>
      <c r="H412" s="130">
        <v>64</v>
      </c>
      <c r="I412" s="129" t="s">
        <v>401</v>
      </c>
      <c r="J412" s="130">
        <v>7</v>
      </c>
      <c r="K412" s="131"/>
      <c r="L412" s="131" t="s">
        <v>3</v>
      </c>
      <c r="M412" s="131" t="s">
        <v>326</v>
      </c>
      <c r="N412" s="131" t="s">
        <v>323</v>
      </c>
      <c r="O412" s="56">
        <f>VLOOKUP($F412,'ZipCode Coordinates'!$A:$E,4,FALSE)</f>
        <v>1804550</v>
      </c>
      <c r="P412" s="56">
        <f>VLOOKUP($F412,'ZipCode Coordinates'!$A:$E,5,FALSE)</f>
        <v>6342300</v>
      </c>
      <c r="Q412" s="56">
        <f>VLOOKUP($G412,'ZipCode Coordinates'!$A:$E,4,FALSE)</f>
        <v>1833340</v>
      </c>
      <c r="R412" s="56">
        <f>VLOOKUP($G412,'ZipCode Coordinates'!$A:$E,5,FALSE)</f>
        <v>6255150</v>
      </c>
      <c r="S412" s="352" t="str">
        <f>IFERROR(VLOOKUP($M412,'External Gateways'!$C$6:$F$10,2,FALSE),"")</f>
        <v/>
      </c>
      <c r="T412" s="56">
        <f>IFERROR(VLOOKUP($M412,'External Gateways'!$C$6:$F$10,3,FALSE),O412)</f>
        <v>1804550</v>
      </c>
      <c r="U412" s="56">
        <f>IFERROR(VLOOKUP($M412,'External Gateways'!$C$6:$F$10,4,FALSE),P412)</f>
        <v>6342300</v>
      </c>
      <c r="V412" s="353">
        <f t="shared" si="12"/>
        <v>0</v>
      </c>
      <c r="W412" s="353">
        <f t="shared" si="13"/>
        <v>64</v>
      </c>
    </row>
    <row r="413" spans="1:23" ht="15" customHeight="1" x14ac:dyDescent="0.25">
      <c r="A413" s="128">
        <v>2260</v>
      </c>
      <c r="B413" s="129" t="s">
        <v>258</v>
      </c>
      <c r="C413" s="128" t="s">
        <v>3</v>
      </c>
      <c r="D413" s="129" t="s">
        <v>158</v>
      </c>
      <c r="E413" s="129" t="s">
        <v>162</v>
      </c>
      <c r="F413" s="129">
        <v>92563</v>
      </c>
      <c r="G413" s="129">
        <v>92135</v>
      </c>
      <c r="H413" s="130">
        <v>129</v>
      </c>
      <c r="I413" s="129" t="s">
        <v>429</v>
      </c>
      <c r="J413" s="130">
        <v>9</v>
      </c>
      <c r="K413" s="131">
        <v>1</v>
      </c>
      <c r="L413" s="131" t="s">
        <v>3</v>
      </c>
      <c r="M413" s="131" t="s">
        <v>402</v>
      </c>
      <c r="N413" s="131" t="s">
        <v>323</v>
      </c>
      <c r="O413" s="56">
        <f>VLOOKUP($F413,'ZipCode Coordinates'!$A:$E,4,FALSE)</f>
        <v>2156450</v>
      </c>
      <c r="P413" s="56">
        <f>VLOOKUP($F413,'ZipCode Coordinates'!$A:$E,5,FALSE)</f>
        <v>6288710</v>
      </c>
      <c r="Q413" s="56">
        <f>VLOOKUP($G413,'ZipCode Coordinates'!$A:$E,4,FALSE)</f>
        <v>1835720</v>
      </c>
      <c r="R413" s="56">
        <f>VLOOKUP($G413,'ZipCode Coordinates'!$A:$E,5,FALSE)</f>
        <v>6266670</v>
      </c>
      <c r="S413" s="352" t="str">
        <f>IFERROR(VLOOKUP($M413,'External Gateways'!$C$6:$F$10,2,FALSE),"")</f>
        <v>I-15</v>
      </c>
      <c r="T413" s="56">
        <f>IFERROR(VLOOKUP($M413,'External Gateways'!$C$6:$F$10,3,FALSE),O413)</f>
        <v>2102195</v>
      </c>
      <c r="U413" s="56">
        <f>IFERROR(VLOOKUP($M413,'External Gateways'!$C$6:$F$10,4,FALSE),P413)</f>
        <v>6289147</v>
      </c>
      <c r="V413" s="353">
        <f t="shared" si="12"/>
        <v>10.275901494735123</v>
      </c>
      <c r="W413" s="353">
        <f t="shared" si="13"/>
        <v>108.44819701052975</v>
      </c>
    </row>
    <row r="414" spans="1:23" ht="15" customHeight="1" x14ac:dyDescent="0.25">
      <c r="A414" s="128">
        <v>2262</v>
      </c>
      <c r="B414" s="129" t="s">
        <v>224</v>
      </c>
      <c r="C414" s="128" t="s">
        <v>179</v>
      </c>
      <c r="D414" s="129" t="s">
        <v>158</v>
      </c>
      <c r="E414" s="129" t="s">
        <v>206</v>
      </c>
      <c r="F414" s="129">
        <v>92562</v>
      </c>
      <c r="G414" s="129">
        <v>92064</v>
      </c>
      <c r="H414" s="130">
        <v>110</v>
      </c>
      <c r="I414" s="129" t="s">
        <v>416</v>
      </c>
      <c r="J414" s="130">
        <v>7</v>
      </c>
      <c r="K414" s="131"/>
      <c r="L414" s="131" t="s">
        <v>5</v>
      </c>
      <c r="M414" s="131" t="s">
        <v>402</v>
      </c>
      <c r="N414" s="131" t="s">
        <v>327</v>
      </c>
      <c r="O414" s="56">
        <f>VLOOKUP($F414,'ZipCode Coordinates'!$A:$E,4,FALSE)</f>
        <v>2144470</v>
      </c>
      <c r="P414" s="56">
        <f>VLOOKUP($F414,'ZipCode Coordinates'!$A:$E,5,FALSE)</f>
        <v>6251450</v>
      </c>
      <c r="Q414" s="56">
        <f>VLOOKUP($G414,'ZipCode Coordinates'!$A:$E,4,FALSE)</f>
        <v>1939040</v>
      </c>
      <c r="R414" s="56">
        <f>VLOOKUP($G414,'ZipCode Coordinates'!$A:$E,5,FALSE)</f>
        <v>6325350</v>
      </c>
      <c r="S414" s="352" t="str">
        <f>IFERROR(VLOOKUP($M414,'External Gateways'!$C$6:$F$10,2,FALSE),"")</f>
        <v>I-15</v>
      </c>
      <c r="T414" s="56">
        <f>IFERROR(VLOOKUP($M414,'External Gateways'!$C$6:$F$10,3,FALSE),O414)</f>
        <v>2102195</v>
      </c>
      <c r="U414" s="56">
        <f>IFERROR(VLOOKUP($M414,'External Gateways'!$C$6:$F$10,4,FALSE),P414)</f>
        <v>6289147</v>
      </c>
      <c r="V414" s="353">
        <f t="shared" si="12"/>
        <v>10.727523233277124</v>
      </c>
      <c r="W414" s="353">
        <f t="shared" si="13"/>
        <v>88.544953533445749</v>
      </c>
    </row>
    <row r="415" spans="1:23" ht="15" customHeight="1" x14ac:dyDescent="0.25">
      <c r="A415" s="128">
        <v>2266</v>
      </c>
      <c r="B415" s="129" t="s">
        <v>291</v>
      </c>
      <c r="C415" s="128" t="s">
        <v>163</v>
      </c>
      <c r="D415" s="129" t="s">
        <v>162</v>
      </c>
      <c r="E415" s="129" t="s">
        <v>162</v>
      </c>
      <c r="F415" s="129">
        <v>92154</v>
      </c>
      <c r="G415" s="129">
        <v>92121</v>
      </c>
      <c r="H415" s="130">
        <v>71</v>
      </c>
      <c r="I415" s="129" t="s">
        <v>401</v>
      </c>
      <c r="J415" s="130">
        <v>7</v>
      </c>
      <c r="K415" s="131"/>
      <c r="L415" s="131" t="s">
        <v>5</v>
      </c>
      <c r="M415" s="131" t="s">
        <v>328</v>
      </c>
      <c r="N415" s="131" t="s">
        <v>327</v>
      </c>
      <c r="O415" s="56">
        <f>VLOOKUP($F415,'ZipCode Coordinates'!$A:$E,4,FALSE)</f>
        <v>1787080</v>
      </c>
      <c r="P415" s="56">
        <f>VLOOKUP($F415,'ZipCode Coordinates'!$A:$E,5,FALSE)</f>
        <v>6330680</v>
      </c>
      <c r="Q415" s="56">
        <f>VLOOKUP($G415,'ZipCode Coordinates'!$A:$E,4,FALSE)</f>
        <v>1907910</v>
      </c>
      <c r="R415" s="56">
        <f>VLOOKUP($G415,'ZipCode Coordinates'!$A:$E,5,FALSE)</f>
        <v>6269540</v>
      </c>
      <c r="S415" s="352" t="str">
        <f>IFERROR(VLOOKUP($M415,'External Gateways'!$C$6:$F$10,2,FALSE),"")</f>
        <v/>
      </c>
      <c r="T415" s="56">
        <f>IFERROR(VLOOKUP($M415,'External Gateways'!$C$6:$F$10,3,FALSE),O415)</f>
        <v>1787080</v>
      </c>
      <c r="U415" s="56">
        <f>IFERROR(VLOOKUP($M415,'External Gateways'!$C$6:$F$10,4,FALSE),P415)</f>
        <v>6330680</v>
      </c>
      <c r="V415" s="353">
        <f t="shared" si="12"/>
        <v>0</v>
      </c>
      <c r="W415" s="353">
        <f t="shared" si="13"/>
        <v>71</v>
      </c>
    </row>
    <row r="416" spans="1:23" ht="15" customHeight="1" x14ac:dyDescent="0.25">
      <c r="A416" s="128">
        <v>2268</v>
      </c>
      <c r="B416" s="129" t="s">
        <v>315</v>
      </c>
      <c r="C416" s="128" t="s">
        <v>68</v>
      </c>
      <c r="D416" s="129" t="s">
        <v>196</v>
      </c>
      <c r="E416" s="129" t="s">
        <v>234</v>
      </c>
      <c r="F416" s="129">
        <v>92021</v>
      </c>
      <c r="G416" s="129">
        <v>92251</v>
      </c>
      <c r="H416" s="130">
        <v>264</v>
      </c>
      <c r="I416" s="129" t="s">
        <v>445</v>
      </c>
      <c r="J416" s="130">
        <v>14</v>
      </c>
      <c r="K416" s="131"/>
      <c r="L416" s="131" t="s">
        <v>68</v>
      </c>
      <c r="M416" s="131" t="s">
        <v>326</v>
      </c>
      <c r="N416" s="131" t="s">
        <v>431</v>
      </c>
      <c r="O416" s="56">
        <f>VLOOKUP($F416,'ZipCode Coordinates'!$A:$E,4,FALSE)</f>
        <v>1885700</v>
      </c>
      <c r="P416" s="56">
        <f>VLOOKUP($F416,'ZipCode Coordinates'!$A:$E,5,FALSE)</f>
        <v>6371420</v>
      </c>
      <c r="Q416" s="56">
        <f>VLOOKUP($G416,'ZipCode Coordinates'!$A:$E,4,FALSE)</f>
        <v>1897340</v>
      </c>
      <c r="R416" s="56">
        <f>VLOOKUP($G416,'ZipCode Coordinates'!$A:$E,5,FALSE)</f>
        <v>6754590</v>
      </c>
      <c r="S416" s="352" t="str">
        <f>IFERROR(VLOOKUP($M416,'External Gateways'!$C$6:$F$10,2,FALSE),"")</f>
        <v/>
      </c>
      <c r="T416" s="56">
        <f>IFERROR(VLOOKUP($M416,'External Gateways'!$C$6:$F$10,3,FALSE),O416)</f>
        <v>1885700</v>
      </c>
      <c r="U416" s="56">
        <f>IFERROR(VLOOKUP($M416,'External Gateways'!$C$6:$F$10,4,FALSE),P416)</f>
        <v>6371420</v>
      </c>
      <c r="V416" s="353">
        <f t="shared" si="12"/>
        <v>0</v>
      </c>
      <c r="W416" s="353">
        <f t="shared" si="13"/>
        <v>264</v>
      </c>
    </row>
    <row r="417" spans="1:23" ht="15" customHeight="1" x14ac:dyDescent="0.25">
      <c r="A417" s="128">
        <v>2283</v>
      </c>
      <c r="B417" s="129" t="s">
        <v>258</v>
      </c>
      <c r="C417" s="128" t="s">
        <v>3</v>
      </c>
      <c r="D417" s="129" t="s">
        <v>158</v>
      </c>
      <c r="E417" s="129" t="s">
        <v>162</v>
      </c>
      <c r="F417" s="129">
        <v>92563</v>
      </c>
      <c r="G417" s="129">
        <v>92135</v>
      </c>
      <c r="H417" s="130">
        <v>160</v>
      </c>
      <c r="I417" s="129" t="s">
        <v>416</v>
      </c>
      <c r="J417" s="130">
        <v>7</v>
      </c>
      <c r="K417" s="131"/>
      <c r="L417" s="131" t="s">
        <v>3</v>
      </c>
      <c r="M417" s="131" t="s">
        <v>402</v>
      </c>
      <c r="N417" s="131" t="s">
        <v>323</v>
      </c>
      <c r="O417" s="56">
        <f>VLOOKUP($F417,'ZipCode Coordinates'!$A:$E,4,FALSE)</f>
        <v>2156450</v>
      </c>
      <c r="P417" s="56">
        <f>VLOOKUP($F417,'ZipCode Coordinates'!$A:$E,5,FALSE)</f>
        <v>6288710</v>
      </c>
      <c r="Q417" s="56">
        <f>VLOOKUP($G417,'ZipCode Coordinates'!$A:$E,4,FALSE)</f>
        <v>1835720</v>
      </c>
      <c r="R417" s="56">
        <f>VLOOKUP($G417,'ZipCode Coordinates'!$A:$E,5,FALSE)</f>
        <v>6266670</v>
      </c>
      <c r="S417" s="352" t="str">
        <f>IFERROR(VLOOKUP($M417,'External Gateways'!$C$6:$F$10,2,FALSE),"")</f>
        <v>I-15</v>
      </c>
      <c r="T417" s="56">
        <f>IFERROR(VLOOKUP($M417,'External Gateways'!$C$6:$F$10,3,FALSE),O417)</f>
        <v>2102195</v>
      </c>
      <c r="U417" s="56">
        <f>IFERROR(VLOOKUP($M417,'External Gateways'!$C$6:$F$10,4,FALSE),P417)</f>
        <v>6289147</v>
      </c>
      <c r="V417" s="353">
        <f t="shared" si="12"/>
        <v>10.275901494735123</v>
      </c>
      <c r="W417" s="353">
        <f t="shared" si="13"/>
        <v>139.44819701052975</v>
      </c>
    </row>
    <row r="418" spans="1:23" ht="15" customHeight="1" x14ac:dyDescent="0.25">
      <c r="A418" s="128">
        <v>2285</v>
      </c>
      <c r="B418" s="129" t="s">
        <v>291</v>
      </c>
      <c r="C418" s="128" t="s">
        <v>163</v>
      </c>
      <c r="D418" s="129" t="s">
        <v>203</v>
      </c>
      <c r="E418" s="129" t="s">
        <v>162</v>
      </c>
      <c r="F418" s="129">
        <v>91950</v>
      </c>
      <c r="G418" s="129">
        <v>92121</v>
      </c>
      <c r="H418" s="130">
        <v>69</v>
      </c>
      <c r="I418" s="129" t="s">
        <v>412</v>
      </c>
      <c r="J418" s="130">
        <v>10</v>
      </c>
      <c r="K418" s="131"/>
      <c r="L418" s="131" t="s">
        <v>5</v>
      </c>
      <c r="M418" s="131" t="s">
        <v>323</v>
      </c>
      <c r="N418" s="131" t="s">
        <v>327</v>
      </c>
      <c r="O418" s="56">
        <f>VLOOKUP($F418,'ZipCode Coordinates'!$A:$E,4,FALSE)</f>
        <v>1823970</v>
      </c>
      <c r="P418" s="56">
        <f>VLOOKUP($F418,'ZipCode Coordinates'!$A:$E,5,FALSE)</f>
        <v>6302610</v>
      </c>
      <c r="Q418" s="56">
        <f>VLOOKUP($G418,'ZipCode Coordinates'!$A:$E,4,FALSE)</f>
        <v>1907910</v>
      </c>
      <c r="R418" s="56">
        <f>VLOOKUP($G418,'ZipCode Coordinates'!$A:$E,5,FALSE)</f>
        <v>6269540</v>
      </c>
      <c r="S418" s="352" t="str">
        <f>IFERROR(VLOOKUP($M418,'External Gateways'!$C$6:$F$10,2,FALSE),"")</f>
        <v/>
      </c>
      <c r="T418" s="56">
        <f>IFERROR(VLOOKUP($M418,'External Gateways'!$C$6:$F$10,3,FALSE),O418)</f>
        <v>1823970</v>
      </c>
      <c r="U418" s="56">
        <f>IFERROR(VLOOKUP($M418,'External Gateways'!$C$6:$F$10,4,FALSE),P418)</f>
        <v>6302610</v>
      </c>
      <c r="V418" s="353">
        <f t="shared" si="12"/>
        <v>0</v>
      </c>
      <c r="W418" s="353">
        <f t="shared" si="13"/>
        <v>69</v>
      </c>
    </row>
    <row r="419" spans="1:23" ht="15" customHeight="1" x14ac:dyDescent="0.25">
      <c r="A419" s="128">
        <v>2287</v>
      </c>
      <c r="B419" s="129" t="s">
        <v>82</v>
      </c>
      <c r="C419" s="128" t="s">
        <v>3</v>
      </c>
      <c r="D419" s="129" t="s">
        <v>194</v>
      </c>
      <c r="E419" s="129" t="s">
        <v>82</v>
      </c>
      <c r="F419" s="129">
        <v>91977</v>
      </c>
      <c r="G419" s="129">
        <v>92055</v>
      </c>
      <c r="H419" s="130">
        <v>135</v>
      </c>
      <c r="I419" s="129" t="s">
        <v>423</v>
      </c>
      <c r="J419" s="130">
        <v>8</v>
      </c>
      <c r="K419" s="131">
        <v>1</v>
      </c>
      <c r="L419" s="131" t="s">
        <v>3</v>
      </c>
      <c r="M419" s="131" t="s">
        <v>326</v>
      </c>
      <c r="N419" s="131" t="s">
        <v>324</v>
      </c>
      <c r="O419" s="56">
        <f>VLOOKUP($F419,'ZipCode Coordinates'!$A:$E,4,FALSE)</f>
        <v>1843860</v>
      </c>
      <c r="P419" s="56">
        <f>VLOOKUP($F419,'ZipCode Coordinates'!$A:$E,5,FALSE)</f>
        <v>6332240</v>
      </c>
      <c r="Q419" s="56">
        <f>VLOOKUP($G419,'ZipCode Coordinates'!$A:$E,4,FALSE)</f>
        <v>2082470</v>
      </c>
      <c r="R419" s="56">
        <f>VLOOKUP($G419,'ZipCode Coordinates'!$A:$E,5,FALSE)</f>
        <v>6206470</v>
      </c>
      <c r="S419" s="352" t="str">
        <f>IFERROR(VLOOKUP($M419,'External Gateways'!$C$6:$F$10,2,FALSE),"")</f>
        <v/>
      </c>
      <c r="T419" s="56">
        <f>IFERROR(VLOOKUP($M419,'External Gateways'!$C$6:$F$10,3,FALSE),O419)</f>
        <v>1843860</v>
      </c>
      <c r="U419" s="56">
        <f>IFERROR(VLOOKUP($M419,'External Gateways'!$C$6:$F$10,4,FALSE),P419)</f>
        <v>6332240</v>
      </c>
      <c r="V419" s="353">
        <f t="shared" si="12"/>
        <v>0</v>
      </c>
      <c r="W419" s="353">
        <f t="shared" si="13"/>
        <v>135</v>
      </c>
    </row>
    <row r="420" spans="1:23" ht="15" customHeight="1" x14ac:dyDescent="0.25">
      <c r="A420" s="128">
        <v>2289</v>
      </c>
      <c r="B420" s="129" t="s">
        <v>218</v>
      </c>
      <c r="C420" s="128" t="s">
        <v>68</v>
      </c>
      <c r="D420" s="129" t="s">
        <v>154</v>
      </c>
      <c r="E420" s="129" t="s">
        <v>162</v>
      </c>
      <c r="F420" s="129">
        <v>92592</v>
      </c>
      <c r="G420" s="129">
        <v>92161</v>
      </c>
      <c r="H420" s="130">
        <v>135</v>
      </c>
      <c r="I420" s="129" t="s">
        <v>409</v>
      </c>
      <c r="J420" s="130">
        <v>8</v>
      </c>
      <c r="K420" s="131"/>
      <c r="L420" s="131" t="s">
        <v>68</v>
      </c>
      <c r="M420" s="131" t="s">
        <v>402</v>
      </c>
      <c r="N420" s="131" t="s">
        <v>327</v>
      </c>
      <c r="O420" s="56">
        <f>VLOOKUP($F420,'ZipCode Coordinates'!$A:$E,4,FALSE)</f>
        <v>2128740</v>
      </c>
      <c r="P420" s="56">
        <f>VLOOKUP($F420,'ZipCode Coordinates'!$A:$E,5,FALSE)</f>
        <v>6328900</v>
      </c>
      <c r="Q420" s="56">
        <f>VLOOKUP($G420,'ZipCode Coordinates'!$A:$E,4,FALSE)</f>
        <v>1899477</v>
      </c>
      <c r="R420" s="56">
        <f>VLOOKUP($G420,'ZipCode Coordinates'!$A:$E,5,FALSE)</f>
        <v>6258957</v>
      </c>
      <c r="S420" s="352" t="str">
        <f>IFERROR(VLOOKUP($M420,'External Gateways'!$C$6:$F$10,2,FALSE),"")</f>
        <v>I-15</v>
      </c>
      <c r="T420" s="56">
        <f>IFERROR(VLOOKUP($M420,'External Gateways'!$C$6:$F$10,3,FALSE),O420)</f>
        <v>2102195</v>
      </c>
      <c r="U420" s="56">
        <f>IFERROR(VLOOKUP($M420,'External Gateways'!$C$6:$F$10,4,FALSE),P420)</f>
        <v>6289147</v>
      </c>
      <c r="V420" s="353">
        <f t="shared" si="12"/>
        <v>9.0532245169037147</v>
      </c>
      <c r="W420" s="353">
        <f t="shared" si="13"/>
        <v>116.89355096619258</v>
      </c>
    </row>
    <row r="421" spans="1:23" ht="15" customHeight="1" x14ac:dyDescent="0.25">
      <c r="A421" s="128">
        <v>2290</v>
      </c>
      <c r="B421" s="129" t="s">
        <v>253</v>
      </c>
      <c r="C421" s="128" t="s">
        <v>3</v>
      </c>
      <c r="D421" s="129" t="s">
        <v>154</v>
      </c>
      <c r="E421" s="129" t="s">
        <v>162</v>
      </c>
      <c r="F421" s="129">
        <v>92592</v>
      </c>
      <c r="G421" s="129">
        <v>92145</v>
      </c>
      <c r="H421" s="130">
        <v>135</v>
      </c>
      <c r="I421" s="129" t="s">
        <v>407</v>
      </c>
      <c r="J421" s="130">
        <v>8</v>
      </c>
      <c r="K421" s="131"/>
      <c r="L421" s="131" t="s">
        <v>3</v>
      </c>
      <c r="M421" s="131" t="s">
        <v>402</v>
      </c>
      <c r="N421" s="131" t="s">
        <v>327</v>
      </c>
      <c r="O421" s="56">
        <f>VLOOKUP($F421,'ZipCode Coordinates'!$A:$E,4,FALSE)</f>
        <v>2128740</v>
      </c>
      <c r="P421" s="56">
        <f>VLOOKUP($F421,'ZipCode Coordinates'!$A:$E,5,FALSE)</f>
        <v>6328900</v>
      </c>
      <c r="Q421" s="56">
        <f>VLOOKUP($G421,'ZipCode Coordinates'!$A:$E,4,FALSE)</f>
        <v>1896720</v>
      </c>
      <c r="R421" s="56">
        <f>VLOOKUP($G421,'ZipCode Coordinates'!$A:$E,5,FALSE)</f>
        <v>6297440</v>
      </c>
      <c r="S421" s="352" t="str">
        <f>IFERROR(VLOOKUP($M421,'External Gateways'!$C$6:$F$10,2,FALSE),"")</f>
        <v>I-15</v>
      </c>
      <c r="T421" s="56">
        <f>IFERROR(VLOOKUP($M421,'External Gateways'!$C$6:$F$10,3,FALSE),O421)</f>
        <v>2102195</v>
      </c>
      <c r="U421" s="56">
        <f>IFERROR(VLOOKUP($M421,'External Gateways'!$C$6:$F$10,4,FALSE),P421)</f>
        <v>6289147</v>
      </c>
      <c r="V421" s="353">
        <f t="shared" si="12"/>
        <v>9.0532245169037147</v>
      </c>
      <c r="W421" s="353">
        <f t="shared" si="13"/>
        <v>116.89355096619258</v>
      </c>
    </row>
    <row r="422" spans="1:23" ht="15" customHeight="1" x14ac:dyDescent="0.25">
      <c r="A422" s="128">
        <v>2293</v>
      </c>
      <c r="B422" s="129" t="s">
        <v>253</v>
      </c>
      <c r="C422" s="128" t="s">
        <v>3</v>
      </c>
      <c r="D422" s="129" t="s">
        <v>154</v>
      </c>
      <c r="E422" s="129" t="s">
        <v>162</v>
      </c>
      <c r="F422" s="129">
        <v>92590</v>
      </c>
      <c r="G422" s="129">
        <v>92145</v>
      </c>
      <c r="H422" s="130">
        <v>102</v>
      </c>
      <c r="I422" s="129" t="s">
        <v>401</v>
      </c>
      <c r="J422" s="130">
        <v>7</v>
      </c>
      <c r="K422" s="131"/>
      <c r="L422" s="131" t="s">
        <v>3</v>
      </c>
      <c r="M422" s="131" t="s">
        <v>402</v>
      </c>
      <c r="N422" s="131" t="s">
        <v>327</v>
      </c>
      <c r="O422" s="56">
        <f>VLOOKUP($F422,'ZipCode Coordinates'!$A:$E,4,FALSE)</f>
        <v>2120110</v>
      </c>
      <c r="P422" s="56">
        <f>VLOOKUP($F422,'ZipCode Coordinates'!$A:$E,5,FALSE)</f>
        <v>6266430</v>
      </c>
      <c r="Q422" s="56">
        <f>VLOOKUP($G422,'ZipCode Coordinates'!$A:$E,4,FALSE)</f>
        <v>1896720</v>
      </c>
      <c r="R422" s="56">
        <f>VLOOKUP($G422,'ZipCode Coordinates'!$A:$E,5,FALSE)</f>
        <v>6297440</v>
      </c>
      <c r="S422" s="352" t="str">
        <f>IFERROR(VLOOKUP($M422,'External Gateways'!$C$6:$F$10,2,FALSE),"")</f>
        <v>I-15</v>
      </c>
      <c r="T422" s="56">
        <f>IFERROR(VLOOKUP($M422,'External Gateways'!$C$6:$F$10,3,FALSE),O422)</f>
        <v>2102195</v>
      </c>
      <c r="U422" s="56">
        <f>IFERROR(VLOOKUP($M422,'External Gateways'!$C$6:$F$10,4,FALSE),P422)</f>
        <v>6289147</v>
      </c>
      <c r="V422" s="353">
        <f t="shared" si="12"/>
        <v>5.4793775098483213</v>
      </c>
      <c r="W422" s="353">
        <f t="shared" si="13"/>
        <v>91.041244980303361</v>
      </c>
    </row>
    <row r="423" spans="1:23" ht="15" customHeight="1" x14ac:dyDescent="0.25">
      <c r="A423" s="128">
        <v>2296</v>
      </c>
      <c r="B423" s="129" t="s">
        <v>258</v>
      </c>
      <c r="C423" s="128" t="s">
        <v>3</v>
      </c>
      <c r="D423" s="129" t="s">
        <v>170</v>
      </c>
      <c r="E423" s="129" t="s">
        <v>162</v>
      </c>
      <c r="F423" s="129">
        <v>92584</v>
      </c>
      <c r="G423" s="129">
        <v>92135</v>
      </c>
      <c r="H423" s="130">
        <v>162</v>
      </c>
      <c r="I423" s="129" t="s">
        <v>403</v>
      </c>
      <c r="J423" s="130">
        <v>8</v>
      </c>
      <c r="K423" s="131"/>
      <c r="L423" s="131" t="s">
        <v>3</v>
      </c>
      <c r="M423" s="131" t="s">
        <v>402</v>
      </c>
      <c r="N423" s="131" t="s">
        <v>323</v>
      </c>
      <c r="O423" s="56">
        <f>VLOOKUP($F423,'ZipCode Coordinates'!$A:$E,4,FALSE)</f>
        <v>2185160</v>
      </c>
      <c r="P423" s="56">
        <f>VLOOKUP($F423,'ZipCode Coordinates'!$A:$E,5,FALSE)</f>
        <v>6280270</v>
      </c>
      <c r="Q423" s="56">
        <f>VLOOKUP($G423,'ZipCode Coordinates'!$A:$E,4,FALSE)</f>
        <v>1835720</v>
      </c>
      <c r="R423" s="56">
        <f>VLOOKUP($G423,'ZipCode Coordinates'!$A:$E,5,FALSE)</f>
        <v>6266670</v>
      </c>
      <c r="S423" s="352" t="str">
        <f>IFERROR(VLOOKUP($M423,'External Gateways'!$C$6:$F$10,2,FALSE),"")</f>
        <v>I-15</v>
      </c>
      <c r="T423" s="56">
        <f>IFERROR(VLOOKUP($M423,'External Gateways'!$C$6:$F$10,3,FALSE),O423)</f>
        <v>2102195</v>
      </c>
      <c r="U423" s="56">
        <f>IFERROR(VLOOKUP($M423,'External Gateways'!$C$6:$F$10,4,FALSE),P423)</f>
        <v>6289147</v>
      </c>
      <c r="V423" s="353">
        <f t="shared" si="12"/>
        <v>15.802756507931361</v>
      </c>
      <c r="W423" s="353">
        <f t="shared" si="13"/>
        <v>130.39448698413727</v>
      </c>
    </row>
    <row r="424" spans="1:23" ht="15" customHeight="1" x14ac:dyDescent="0.25">
      <c r="A424" s="128">
        <v>2301</v>
      </c>
      <c r="B424" s="129" t="s">
        <v>253</v>
      </c>
      <c r="C424" s="128" t="s">
        <v>3</v>
      </c>
      <c r="D424" s="129" t="s">
        <v>154</v>
      </c>
      <c r="E424" s="129" t="s">
        <v>162</v>
      </c>
      <c r="F424" s="129">
        <v>92592</v>
      </c>
      <c r="G424" s="129">
        <v>92145</v>
      </c>
      <c r="H424" s="130">
        <v>115</v>
      </c>
      <c r="I424" s="129" t="s">
        <v>412</v>
      </c>
      <c r="J424" s="130">
        <v>10</v>
      </c>
      <c r="K424" s="131"/>
      <c r="L424" s="131" t="s">
        <v>3</v>
      </c>
      <c r="M424" s="131" t="s">
        <v>402</v>
      </c>
      <c r="N424" s="131" t="s">
        <v>327</v>
      </c>
      <c r="O424" s="56">
        <f>VLOOKUP($F424,'ZipCode Coordinates'!$A:$E,4,FALSE)</f>
        <v>2128740</v>
      </c>
      <c r="P424" s="56">
        <f>VLOOKUP($F424,'ZipCode Coordinates'!$A:$E,5,FALSE)</f>
        <v>6328900</v>
      </c>
      <c r="Q424" s="56">
        <f>VLOOKUP($G424,'ZipCode Coordinates'!$A:$E,4,FALSE)</f>
        <v>1896720</v>
      </c>
      <c r="R424" s="56">
        <f>VLOOKUP($G424,'ZipCode Coordinates'!$A:$E,5,FALSE)</f>
        <v>6297440</v>
      </c>
      <c r="S424" s="352" t="str">
        <f>IFERROR(VLOOKUP($M424,'External Gateways'!$C$6:$F$10,2,FALSE),"")</f>
        <v>I-15</v>
      </c>
      <c r="T424" s="56">
        <f>IFERROR(VLOOKUP($M424,'External Gateways'!$C$6:$F$10,3,FALSE),O424)</f>
        <v>2102195</v>
      </c>
      <c r="U424" s="56">
        <f>IFERROR(VLOOKUP($M424,'External Gateways'!$C$6:$F$10,4,FALSE),P424)</f>
        <v>6289147</v>
      </c>
      <c r="V424" s="353">
        <f t="shared" si="12"/>
        <v>9.0532245169037147</v>
      </c>
      <c r="W424" s="353">
        <f t="shared" si="13"/>
        <v>96.893550966192578</v>
      </c>
    </row>
    <row r="425" spans="1:23" ht="15" customHeight="1" x14ac:dyDescent="0.25">
      <c r="A425" s="128">
        <v>2303</v>
      </c>
      <c r="B425" s="129" t="s">
        <v>253</v>
      </c>
      <c r="C425" s="128" t="s">
        <v>3</v>
      </c>
      <c r="D425" s="129" t="s">
        <v>165</v>
      </c>
      <c r="E425" s="129" t="s">
        <v>162</v>
      </c>
      <c r="F425" s="129">
        <v>91913</v>
      </c>
      <c r="G425" s="129">
        <v>92145</v>
      </c>
      <c r="H425" s="130">
        <v>67</v>
      </c>
      <c r="I425" s="129" t="s">
        <v>401</v>
      </c>
      <c r="J425" s="130">
        <v>7</v>
      </c>
      <c r="K425" s="131"/>
      <c r="L425" s="131" t="s">
        <v>3</v>
      </c>
      <c r="M425" s="131" t="s">
        <v>328</v>
      </c>
      <c r="N425" s="131" t="s">
        <v>327</v>
      </c>
      <c r="O425" s="56">
        <f>VLOOKUP($F425,'ZipCode Coordinates'!$A:$E,4,FALSE)</f>
        <v>1810320</v>
      </c>
      <c r="P425" s="56">
        <f>VLOOKUP($F425,'ZipCode Coordinates'!$A:$E,5,FALSE)</f>
        <v>6334990</v>
      </c>
      <c r="Q425" s="56">
        <f>VLOOKUP($G425,'ZipCode Coordinates'!$A:$E,4,FALSE)</f>
        <v>1896720</v>
      </c>
      <c r="R425" s="56">
        <f>VLOOKUP($G425,'ZipCode Coordinates'!$A:$E,5,FALSE)</f>
        <v>6297440</v>
      </c>
      <c r="S425" s="352" t="str">
        <f>IFERROR(VLOOKUP($M425,'External Gateways'!$C$6:$F$10,2,FALSE),"")</f>
        <v/>
      </c>
      <c r="T425" s="56">
        <f>IFERROR(VLOOKUP($M425,'External Gateways'!$C$6:$F$10,3,FALSE),O425)</f>
        <v>1810320</v>
      </c>
      <c r="U425" s="56">
        <f>IFERROR(VLOOKUP($M425,'External Gateways'!$C$6:$F$10,4,FALSE),P425)</f>
        <v>6334990</v>
      </c>
      <c r="V425" s="353">
        <f t="shared" si="12"/>
        <v>0</v>
      </c>
      <c r="W425" s="353">
        <f t="shared" si="13"/>
        <v>67</v>
      </c>
    </row>
    <row r="426" spans="1:23" ht="15" customHeight="1" x14ac:dyDescent="0.25">
      <c r="A426" s="128">
        <v>2309</v>
      </c>
      <c r="B426" s="129" t="s">
        <v>315</v>
      </c>
      <c r="C426" s="128" t="s">
        <v>68</v>
      </c>
      <c r="D426" s="129" t="s">
        <v>196</v>
      </c>
      <c r="E426" s="129" t="s">
        <v>201</v>
      </c>
      <c r="F426" s="129">
        <v>92020</v>
      </c>
      <c r="G426" s="129">
        <v>91962</v>
      </c>
      <c r="H426" s="130">
        <v>109</v>
      </c>
      <c r="I426" s="129" t="s">
        <v>421</v>
      </c>
      <c r="J426" s="130">
        <v>7</v>
      </c>
      <c r="K426" s="131"/>
      <c r="L426" s="131" t="s">
        <v>68</v>
      </c>
      <c r="M426" s="131" t="s">
        <v>326</v>
      </c>
      <c r="N426" s="131" t="s">
        <v>329</v>
      </c>
      <c r="O426" s="56">
        <f>VLOOKUP($F426,'ZipCode Coordinates'!$A:$E,4,FALSE)</f>
        <v>1870340</v>
      </c>
      <c r="P426" s="56">
        <f>VLOOKUP($F426,'ZipCode Coordinates'!$A:$E,5,FALSE)</f>
        <v>6340260</v>
      </c>
      <c r="Q426" s="56">
        <f>VLOOKUP($G426,'ZipCode Coordinates'!$A:$E,4,FALSE)</f>
        <v>1874980</v>
      </c>
      <c r="R426" s="56">
        <f>VLOOKUP($G426,'ZipCode Coordinates'!$A:$E,5,FALSE)</f>
        <v>6499110</v>
      </c>
      <c r="S426" s="352" t="str">
        <f>IFERROR(VLOOKUP($M426,'External Gateways'!$C$6:$F$10,2,FALSE),"")</f>
        <v/>
      </c>
      <c r="T426" s="56">
        <f>IFERROR(VLOOKUP($M426,'External Gateways'!$C$6:$F$10,3,FALSE),O426)</f>
        <v>1870340</v>
      </c>
      <c r="U426" s="56">
        <f>IFERROR(VLOOKUP($M426,'External Gateways'!$C$6:$F$10,4,FALSE),P426)</f>
        <v>6340260</v>
      </c>
      <c r="V426" s="353">
        <f t="shared" si="12"/>
        <v>0</v>
      </c>
      <c r="W426" s="353">
        <f t="shared" si="13"/>
        <v>109</v>
      </c>
    </row>
    <row r="427" spans="1:23" ht="15" customHeight="1" x14ac:dyDescent="0.25">
      <c r="A427" s="128">
        <v>2310</v>
      </c>
      <c r="B427" s="129" t="s">
        <v>433</v>
      </c>
      <c r="C427" s="128" t="s">
        <v>3</v>
      </c>
      <c r="D427" s="129" t="s">
        <v>457</v>
      </c>
      <c r="E427" s="129" t="s">
        <v>162</v>
      </c>
      <c r="F427" s="129">
        <v>92064</v>
      </c>
      <c r="G427" s="129">
        <v>92106</v>
      </c>
      <c r="H427" s="130">
        <v>109</v>
      </c>
      <c r="I427" s="129" t="s">
        <v>458</v>
      </c>
      <c r="J427" s="130">
        <v>8</v>
      </c>
      <c r="K427" s="131"/>
      <c r="L427" s="131" t="s">
        <v>3</v>
      </c>
      <c r="M427" s="131" t="s">
        <v>327</v>
      </c>
      <c r="N427" s="131" t="s">
        <v>323</v>
      </c>
      <c r="O427" s="56">
        <f>VLOOKUP($F427,'ZipCode Coordinates'!$A:$E,4,FALSE)</f>
        <v>1939040</v>
      </c>
      <c r="P427" s="56">
        <f>VLOOKUP($F427,'ZipCode Coordinates'!$A:$E,5,FALSE)</f>
        <v>6325350</v>
      </c>
      <c r="Q427" s="56">
        <f>VLOOKUP($G427,'ZipCode Coordinates'!$A:$E,4,FALSE)</f>
        <v>1842660</v>
      </c>
      <c r="R427" s="56">
        <f>VLOOKUP($G427,'ZipCode Coordinates'!$A:$E,5,FALSE)</f>
        <v>6259060</v>
      </c>
      <c r="S427" s="352" t="str">
        <f>IFERROR(VLOOKUP($M427,'External Gateways'!$C$6:$F$10,2,FALSE),"")</f>
        <v/>
      </c>
      <c r="T427" s="56">
        <f>IFERROR(VLOOKUP($M427,'External Gateways'!$C$6:$F$10,3,FALSE),O427)</f>
        <v>1939040</v>
      </c>
      <c r="U427" s="56">
        <f>IFERROR(VLOOKUP($M427,'External Gateways'!$C$6:$F$10,4,FALSE),P427)</f>
        <v>6325350</v>
      </c>
      <c r="V427" s="353">
        <f t="shared" si="12"/>
        <v>0</v>
      </c>
      <c r="W427" s="353">
        <f t="shared" si="13"/>
        <v>109</v>
      </c>
    </row>
    <row r="428" spans="1:23" ht="15" customHeight="1" x14ac:dyDescent="0.25">
      <c r="A428" s="128">
        <v>2314</v>
      </c>
      <c r="B428" s="129" t="s">
        <v>451</v>
      </c>
      <c r="C428" s="128" t="s">
        <v>3</v>
      </c>
      <c r="D428" s="129" t="s">
        <v>158</v>
      </c>
      <c r="E428" s="129" t="s">
        <v>162</v>
      </c>
      <c r="F428" s="129">
        <v>92563</v>
      </c>
      <c r="G428" s="129">
        <v>92136</v>
      </c>
      <c r="H428" s="130">
        <v>160</v>
      </c>
      <c r="I428" s="129" t="s">
        <v>422</v>
      </c>
      <c r="J428" s="130">
        <v>8</v>
      </c>
      <c r="K428" s="131">
        <v>2</v>
      </c>
      <c r="L428" s="131" t="s">
        <v>3</v>
      </c>
      <c r="M428" s="131" t="s">
        <v>402</v>
      </c>
      <c r="N428" s="131" t="s">
        <v>323</v>
      </c>
      <c r="O428" s="56">
        <f>VLOOKUP($F428,'ZipCode Coordinates'!$A:$E,4,FALSE)</f>
        <v>2156450</v>
      </c>
      <c r="P428" s="56">
        <f>VLOOKUP($F428,'ZipCode Coordinates'!$A:$E,5,FALSE)</f>
        <v>6288710</v>
      </c>
      <c r="Q428" s="56">
        <f>VLOOKUP($G428,'ZipCode Coordinates'!$A:$E,4,FALSE)</f>
        <v>1828370</v>
      </c>
      <c r="R428" s="56">
        <f>VLOOKUP($G428,'ZipCode Coordinates'!$A:$E,5,FALSE)</f>
        <v>6293940</v>
      </c>
      <c r="S428" s="352" t="str">
        <f>IFERROR(VLOOKUP($M428,'External Gateways'!$C$6:$F$10,2,FALSE),"")</f>
        <v>I-15</v>
      </c>
      <c r="T428" s="56">
        <f>IFERROR(VLOOKUP($M428,'External Gateways'!$C$6:$F$10,3,FALSE),O428)</f>
        <v>2102195</v>
      </c>
      <c r="U428" s="56">
        <f>IFERROR(VLOOKUP($M428,'External Gateways'!$C$6:$F$10,4,FALSE),P428)</f>
        <v>6289147</v>
      </c>
      <c r="V428" s="353">
        <f t="shared" si="12"/>
        <v>10.275901494735123</v>
      </c>
      <c r="W428" s="353">
        <f t="shared" si="13"/>
        <v>139.44819701052975</v>
      </c>
    </row>
    <row r="429" spans="1:23" ht="15" customHeight="1" x14ac:dyDescent="0.25">
      <c r="A429" s="128">
        <v>2315</v>
      </c>
      <c r="B429" s="129" t="s">
        <v>246</v>
      </c>
      <c r="C429" s="128" t="s">
        <v>163</v>
      </c>
      <c r="D429" s="129" t="s">
        <v>158</v>
      </c>
      <c r="E429" s="129" t="s">
        <v>162</v>
      </c>
      <c r="F429" s="129">
        <v>92563</v>
      </c>
      <c r="G429" s="129">
        <v>92120</v>
      </c>
      <c r="H429" s="130">
        <v>117</v>
      </c>
      <c r="I429" s="129" t="s">
        <v>412</v>
      </c>
      <c r="J429" s="130">
        <v>10</v>
      </c>
      <c r="K429" s="131"/>
      <c r="L429" s="131" t="s">
        <v>5</v>
      </c>
      <c r="M429" s="131" t="s">
        <v>402</v>
      </c>
      <c r="N429" s="131" t="s">
        <v>327</v>
      </c>
      <c r="O429" s="56">
        <f>VLOOKUP($F429,'ZipCode Coordinates'!$A:$E,4,FALSE)</f>
        <v>2156450</v>
      </c>
      <c r="P429" s="56">
        <f>VLOOKUP($F429,'ZipCode Coordinates'!$A:$E,5,FALSE)</f>
        <v>6288710</v>
      </c>
      <c r="Q429" s="56">
        <f>VLOOKUP($G429,'ZipCode Coordinates'!$A:$E,4,FALSE)</f>
        <v>1869860</v>
      </c>
      <c r="R429" s="56">
        <f>VLOOKUP($G429,'ZipCode Coordinates'!$A:$E,5,FALSE)</f>
        <v>6308830</v>
      </c>
      <c r="S429" s="352" t="str">
        <f>IFERROR(VLOOKUP($M429,'External Gateways'!$C$6:$F$10,2,FALSE),"")</f>
        <v>I-15</v>
      </c>
      <c r="T429" s="56">
        <f>IFERROR(VLOOKUP($M429,'External Gateways'!$C$6:$F$10,3,FALSE),O429)</f>
        <v>2102195</v>
      </c>
      <c r="U429" s="56">
        <f>IFERROR(VLOOKUP($M429,'External Gateways'!$C$6:$F$10,4,FALSE),P429)</f>
        <v>6289147</v>
      </c>
      <c r="V429" s="353">
        <f t="shared" si="12"/>
        <v>10.275901494735123</v>
      </c>
      <c r="W429" s="353">
        <f t="shared" si="13"/>
        <v>96.448197010529753</v>
      </c>
    </row>
    <row r="430" spans="1:23" ht="15" customHeight="1" x14ac:dyDescent="0.25">
      <c r="A430" s="128">
        <v>2317</v>
      </c>
      <c r="B430" s="129" t="s">
        <v>315</v>
      </c>
      <c r="C430" s="128" t="s">
        <v>68</v>
      </c>
      <c r="D430" s="129" t="s">
        <v>196</v>
      </c>
      <c r="E430" s="129" t="s">
        <v>201</v>
      </c>
      <c r="F430" s="129">
        <v>91913</v>
      </c>
      <c r="G430" s="129">
        <v>91962</v>
      </c>
      <c r="H430" s="130">
        <v>159</v>
      </c>
      <c r="I430" s="129" t="s">
        <v>407</v>
      </c>
      <c r="J430" s="130">
        <v>8</v>
      </c>
      <c r="K430" s="131"/>
      <c r="L430" s="131" t="s">
        <v>68</v>
      </c>
      <c r="M430" s="131" t="s">
        <v>328</v>
      </c>
      <c r="N430" s="131" t="s">
        <v>329</v>
      </c>
      <c r="O430" s="56">
        <f>VLOOKUP($F430,'ZipCode Coordinates'!$A:$E,4,FALSE)</f>
        <v>1810320</v>
      </c>
      <c r="P430" s="56">
        <f>VLOOKUP($F430,'ZipCode Coordinates'!$A:$E,5,FALSE)</f>
        <v>6334990</v>
      </c>
      <c r="Q430" s="56">
        <f>VLOOKUP($G430,'ZipCode Coordinates'!$A:$E,4,FALSE)</f>
        <v>1874980</v>
      </c>
      <c r="R430" s="56">
        <f>VLOOKUP($G430,'ZipCode Coordinates'!$A:$E,5,FALSE)</f>
        <v>6499110</v>
      </c>
      <c r="S430" s="352" t="str">
        <f>IFERROR(VLOOKUP($M430,'External Gateways'!$C$6:$F$10,2,FALSE),"")</f>
        <v/>
      </c>
      <c r="T430" s="56">
        <f>IFERROR(VLOOKUP($M430,'External Gateways'!$C$6:$F$10,3,FALSE),O430)</f>
        <v>1810320</v>
      </c>
      <c r="U430" s="56">
        <f>IFERROR(VLOOKUP($M430,'External Gateways'!$C$6:$F$10,4,FALSE),P430)</f>
        <v>6334990</v>
      </c>
      <c r="V430" s="353">
        <f t="shared" si="12"/>
        <v>0</v>
      </c>
      <c r="W430" s="353">
        <f t="shared" si="13"/>
        <v>159</v>
      </c>
    </row>
    <row r="431" spans="1:23" ht="15" customHeight="1" x14ac:dyDescent="0.25">
      <c r="A431" s="128">
        <v>2319</v>
      </c>
      <c r="B431" s="129" t="s">
        <v>263</v>
      </c>
      <c r="C431" s="128" t="s">
        <v>166</v>
      </c>
      <c r="D431" s="129" t="s">
        <v>156</v>
      </c>
      <c r="E431" s="129" t="s">
        <v>162</v>
      </c>
      <c r="F431" s="129">
        <v>92027</v>
      </c>
      <c r="G431" s="129">
        <v>92113</v>
      </c>
      <c r="H431" s="130">
        <v>85</v>
      </c>
      <c r="I431" s="129" t="s">
        <v>406</v>
      </c>
      <c r="J431" s="130">
        <v>7</v>
      </c>
      <c r="K431" s="131"/>
      <c r="L431" s="131" t="s">
        <v>5</v>
      </c>
      <c r="M431" s="131" t="s">
        <v>325</v>
      </c>
      <c r="N431" s="131" t="s">
        <v>323</v>
      </c>
      <c r="O431" s="56">
        <f>VLOOKUP($F431,'ZipCode Coordinates'!$A:$E,4,FALSE)</f>
        <v>1994010</v>
      </c>
      <c r="P431" s="56">
        <f>VLOOKUP($F431,'ZipCode Coordinates'!$A:$E,5,FALSE)</f>
        <v>6337210</v>
      </c>
      <c r="Q431" s="56">
        <f>VLOOKUP($G431,'ZipCode Coordinates'!$A:$E,4,FALSE)</f>
        <v>1834470</v>
      </c>
      <c r="R431" s="56">
        <f>VLOOKUP($G431,'ZipCode Coordinates'!$A:$E,5,FALSE)</f>
        <v>6294590</v>
      </c>
      <c r="S431" s="352" t="str">
        <f>IFERROR(VLOOKUP($M431,'External Gateways'!$C$6:$F$10,2,FALSE),"")</f>
        <v/>
      </c>
      <c r="T431" s="56">
        <f>IFERROR(VLOOKUP($M431,'External Gateways'!$C$6:$F$10,3,FALSE),O431)</f>
        <v>1994010</v>
      </c>
      <c r="U431" s="56">
        <f>IFERROR(VLOOKUP($M431,'External Gateways'!$C$6:$F$10,4,FALSE),P431)</f>
        <v>6337210</v>
      </c>
      <c r="V431" s="353">
        <f t="shared" si="12"/>
        <v>0</v>
      </c>
      <c r="W431" s="353">
        <f t="shared" si="13"/>
        <v>85</v>
      </c>
    </row>
    <row r="432" spans="1:23" ht="15" customHeight="1" x14ac:dyDescent="0.25">
      <c r="A432" s="128">
        <v>2321</v>
      </c>
      <c r="B432" s="129" t="s">
        <v>254</v>
      </c>
      <c r="C432" s="128" t="s">
        <v>3</v>
      </c>
      <c r="D432" s="129" t="s">
        <v>158</v>
      </c>
      <c r="E432" s="129" t="s">
        <v>162</v>
      </c>
      <c r="F432" s="129">
        <v>92563</v>
      </c>
      <c r="G432" s="129">
        <v>92140</v>
      </c>
      <c r="H432" s="130">
        <v>159</v>
      </c>
      <c r="I432" s="129" t="s">
        <v>401</v>
      </c>
      <c r="J432" s="130">
        <v>7</v>
      </c>
      <c r="K432" s="131"/>
      <c r="L432" s="131" t="s">
        <v>3</v>
      </c>
      <c r="M432" s="131" t="s">
        <v>402</v>
      </c>
      <c r="N432" s="131" t="s">
        <v>323</v>
      </c>
      <c r="O432" s="56">
        <f>VLOOKUP($F432,'ZipCode Coordinates'!$A:$E,4,FALSE)</f>
        <v>2156450</v>
      </c>
      <c r="P432" s="56">
        <f>VLOOKUP($F432,'ZipCode Coordinates'!$A:$E,5,FALSE)</f>
        <v>6288710</v>
      </c>
      <c r="Q432" s="56">
        <f>VLOOKUP($G432,'ZipCode Coordinates'!$A:$E,4,FALSE)</f>
        <v>1850480</v>
      </c>
      <c r="R432" s="56">
        <f>VLOOKUP($G432,'ZipCode Coordinates'!$A:$E,5,FALSE)</f>
        <v>6270510</v>
      </c>
      <c r="S432" s="352" t="str">
        <f>IFERROR(VLOOKUP($M432,'External Gateways'!$C$6:$F$10,2,FALSE),"")</f>
        <v>I-15</v>
      </c>
      <c r="T432" s="56">
        <f>IFERROR(VLOOKUP($M432,'External Gateways'!$C$6:$F$10,3,FALSE),O432)</f>
        <v>2102195</v>
      </c>
      <c r="U432" s="56">
        <f>IFERROR(VLOOKUP($M432,'External Gateways'!$C$6:$F$10,4,FALSE),P432)</f>
        <v>6289147</v>
      </c>
      <c r="V432" s="353">
        <f t="shared" si="12"/>
        <v>10.275901494735123</v>
      </c>
      <c r="W432" s="353">
        <f t="shared" si="13"/>
        <v>138.44819701052975</v>
      </c>
    </row>
    <row r="433" spans="1:23" ht="15" customHeight="1" x14ac:dyDescent="0.25">
      <c r="A433" s="128">
        <v>2322</v>
      </c>
      <c r="B433" s="129" t="s">
        <v>82</v>
      </c>
      <c r="C433" s="128" t="s">
        <v>3</v>
      </c>
      <c r="D433" s="129" t="s">
        <v>177</v>
      </c>
      <c r="E433" s="129" t="s">
        <v>82</v>
      </c>
      <c r="F433" s="129">
        <v>91932</v>
      </c>
      <c r="G433" s="129">
        <v>92055</v>
      </c>
      <c r="H433" s="130">
        <v>110</v>
      </c>
      <c r="I433" s="129" t="s">
        <v>406</v>
      </c>
      <c r="J433" s="130">
        <v>7</v>
      </c>
      <c r="K433" s="131"/>
      <c r="L433" s="131" t="s">
        <v>3</v>
      </c>
      <c r="M433" s="131" t="s">
        <v>328</v>
      </c>
      <c r="N433" s="131" t="s">
        <v>324</v>
      </c>
      <c r="O433" s="56">
        <f>VLOOKUP($F433,'ZipCode Coordinates'!$A:$E,4,FALSE)</f>
        <v>1790360</v>
      </c>
      <c r="P433" s="56">
        <f>VLOOKUP($F433,'ZipCode Coordinates'!$A:$E,5,FALSE)</f>
        <v>6293930</v>
      </c>
      <c r="Q433" s="56">
        <f>VLOOKUP($G433,'ZipCode Coordinates'!$A:$E,4,FALSE)</f>
        <v>2082470</v>
      </c>
      <c r="R433" s="56">
        <f>VLOOKUP($G433,'ZipCode Coordinates'!$A:$E,5,FALSE)</f>
        <v>6206470</v>
      </c>
      <c r="S433" s="352" t="str">
        <f>IFERROR(VLOOKUP($M433,'External Gateways'!$C$6:$F$10,2,FALSE),"")</f>
        <v/>
      </c>
      <c r="T433" s="56">
        <f>IFERROR(VLOOKUP($M433,'External Gateways'!$C$6:$F$10,3,FALSE),O433)</f>
        <v>1790360</v>
      </c>
      <c r="U433" s="56">
        <f>IFERROR(VLOOKUP($M433,'External Gateways'!$C$6:$F$10,4,FALSE),P433)</f>
        <v>6293930</v>
      </c>
      <c r="V433" s="353">
        <f t="shared" si="12"/>
        <v>0</v>
      </c>
      <c r="W433" s="353">
        <f t="shared" si="13"/>
        <v>110</v>
      </c>
    </row>
    <row r="434" spans="1:23" ht="15" customHeight="1" x14ac:dyDescent="0.25">
      <c r="A434" s="128">
        <v>2326</v>
      </c>
      <c r="B434" s="129" t="s">
        <v>82</v>
      </c>
      <c r="C434" s="128" t="s">
        <v>3</v>
      </c>
      <c r="D434" s="129" t="s">
        <v>195</v>
      </c>
      <c r="E434" s="129" t="s">
        <v>82</v>
      </c>
      <c r="F434" s="129">
        <v>92111</v>
      </c>
      <c r="G434" s="129">
        <v>92055</v>
      </c>
      <c r="H434" s="130">
        <v>135</v>
      </c>
      <c r="I434" s="129" t="s">
        <v>416</v>
      </c>
      <c r="J434" s="130">
        <v>7</v>
      </c>
      <c r="K434" s="131"/>
      <c r="L434" s="131" t="s">
        <v>3</v>
      </c>
      <c r="M434" s="131" t="s">
        <v>327</v>
      </c>
      <c r="N434" s="131" t="s">
        <v>324</v>
      </c>
      <c r="O434" s="56">
        <f>VLOOKUP($F434,'ZipCode Coordinates'!$A:$E,4,FALSE)</f>
        <v>1876680</v>
      </c>
      <c r="P434" s="56">
        <f>VLOOKUP($F434,'ZipCode Coordinates'!$A:$E,5,FALSE)</f>
        <v>6279830</v>
      </c>
      <c r="Q434" s="56">
        <f>VLOOKUP($G434,'ZipCode Coordinates'!$A:$E,4,FALSE)</f>
        <v>2082470</v>
      </c>
      <c r="R434" s="56">
        <f>VLOOKUP($G434,'ZipCode Coordinates'!$A:$E,5,FALSE)</f>
        <v>6206470</v>
      </c>
      <c r="S434" s="352" t="str">
        <f>IFERROR(VLOOKUP($M434,'External Gateways'!$C$6:$F$10,2,FALSE),"")</f>
        <v/>
      </c>
      <c r="T434" s="56">
        <f>IFERROR(VLOOKUP($M434,'External Gateways'!$C$6:$F$10,3,FALSE),O434)</f>
        <v>1876680</v>
      </c>
      <c r="U434" s="56">
        <f>IFERROR(VLOOKUP($M434,'External Gateways'!$C$6:$F$10,4,FALSE),P434)</f>
        <v>6279830</v>
      </c>
      <c r="V434" s="353">
        <f t="shared" si="12"/>
        <v>0</v>
      </c>
      <c r="W434" s="353">
        <f t="shared" si="13"/>
        <v>135</v>
      </c>
    </row>
    <row r="435" spans="1:23" ht="15" customHeight="1" x14ac:dyDescent="0.25">
      <c r="A435" s="128">
        <v>2332</v>
      </c>
      <c r="B435" s="129" t="s">
        <v>315</v>
      </c>
      <c r="C435" s="128" t="s">
        <v>68</v>
      </c>
      <c r="D435" s="129" t="s">
        <v>264</v>
      </c>
      <c r="E435" s="129" t="s">
        <v>201</v>
      </c>
      <c r="F435" s="129">
        <v>91901</v>
      </c>
      <c r="G435" s="129">
        <v>91962</v>
      </c>
      <c r="H435" s="130">
        <v>83</v>
      </c>
      <c r="I435" s="129" t="s">
        <v>408</v>
      </c>
      <c r="J435" s="130">
        <v>7</v>
      </c>
      <c r="K435" s="131"/>
      <c r="L435" s="131" t="s">
        <v>68</v>
      </c>
      <c r="M435" s="131" t="s">
        <v>329</v>
      </c>
      <c r="N435" s="131" t="s">
        <v>329</v>
      </c>
      <c r="O435" s="56">
        <f>VLOOKUP($F435,'ZipCode Coordinates'!$A:$E,4,FALSE)</f>
        <v>1874070</v>
      </c>
      <c r="P435" s="56">
        <f>VLOOKUP($F435,'ZipCode Coordinates'!$A:$E,5,FALSE)</f>
        <v>6418790</v>
      </c>
      <c r="Q435" s="56">
        <f>VLOOKUP($G435,'ZipCode Coordinates'!$A:$E,4,FALSE)</f>
        <v>1874980</v>
      </c>
      <c r="R435" s="56">
        <f>VLOOKUP($G435,'ZipCode Coordinates'!$A:$E,5,FALSE)</f>
        <v>6499110</v>
      </c>
      <c r="S435" s="352" t="str">
        <f>IFERROR(VLOOKUP($M435,'External Gateways'!$C$6:$F$10,2,FALSE),"")</f>
        <v/>
      </c>
      <c r="T435" s="56">
        <f>IFERROR(VLOOKUP($M435,'External Gateways'!$C$6:$F$10,3,FALSE),O435)</f>
        <v>1874070</v>
      </c>
      <c r="U435" s="56">
        <f>IFERROR(VLOOKUP($M435,'External Gateways'!$C$6:$F$10,4,FALSE),P435)</f>
        <v>6418790</v>
      </c>
      <c r="V435" s="353">
        <f t="shared" si="12"/>
        <v>0</v>
      </c>
      <c r="W435" s="353">
        <f t="shared" si="13"/>
        <v>83</v>
      </c>
    </row>
    <row r="436" spans="1:23" ht="15" customHeight="1" x14ac:dyDescent="0.25">
      <c r="A436" s="128">
        <v>2336</v>
      </c>
      <c r="B436" s="129" t="s">
        <v>82</v>
      </c>
      <c r="C436" s="128" t="s">
        <v>3</v>
      </c>
      <c r="D436" s="129" t="s">
        <v>154</v>
      </c>
      <c r="E436" s="129" t="s">
        <v>82</v>
      </c>
      <c r="F436" s="129">
        <v>92591</v>
      </c>
      <c r="G436" s="129">
        <v>92055</v>
      </c>
      <c r="H436" s="130">
        <v>109</v>
      </c>
      <c r="I436" s="129" t="s">
        <v>408</v>
      </c>
      <c r="J436" s="130">
        <v>7</v>
      </c>
      <c r="K436" s="131"/>
      <c r="L436" s="131" t="s">
        <v>3</v>
      </c>
      <c r="M436" s="131" t="s">
        <v>402</v>
      </c>
      <c r="N436" s="131" t="s">
        <v>324</v>
      </c>
      <c r="O436" s="56">
        <f>VLOOKUP($F436,'ZipCode Coordinates'!$A:$E,4,FALSE)</f>
        <v>2138420</v>
      </c>
      <c r="P436" s="56">
        <f>VLOOKUP($F436,'ZipCode Coordinates'!$A:$E,5,FALSE)</f>
        <v>6299220</v>
      </c>
      <c r="Q436" s="56">
        <f>VLOOKUP($G436,'ZipCode Coordinates'!$A:$E,4,FALSE)</f>
        <v>2082470</v>
      </c>
      <c r="R436" s="56">
        <f>VLOOKUP($G436,'ZipCode Coordinates'!$A:$E,5,FALSE)</f>
        <v>6206470</v>
      </c>
      <c r="S436" s="352" t="str">
        <f>IFERROR(VLOOKUP($M436,'External Gateways'!$C$6:$F$10,2,FALSE),"")</f>
        <v>I-15</v>
      </c>
      <c r="T436" s="56">
        <f>IFERROR(VLOOKUP($M436,'External Gateways'!$C$6:$F$10,3,FALSE),O436)</f>
        <v>2102195</v>
      </c>
      <c r="U436" s="56">
        <f>IFERROR(VLOOKUP($M436,'External Gateways'!$C$6:$F$10,4,FALSE),P436)</f>
        <v>6289147</v>
      </c>
      <c r="V436" s="353">
        <f t="shared" si="12"/>
        <v>7.1211011888925713</v>
      </c>
      <c r="W436" s="353">
        <f t="shared" si="13"/>
        <v>94.757797622214852</v>
      </c>
    </row>
    <row r="437" spans="1:23" ht="15" customHeight="1" x14ac:dyDescent="0.25">
      <c r="A437" s="128">
        <v>2338</v>
      </c>
      <c r="B437" s="129" t="s">
        <v>258</v>
      </c>
      <c r="C437" s="128" t="s">
        <v>3</v>
      </c>
      <c r="D437" s="129" t="s">
        <v>197</v>
      </c>
      <c r="E437" s="129" t="s">
        <v>162</v>
      </c>
      <c r="F437" s="129">
        <v>92056</v>
      </c>
      <c r="G437" s="129">
        <v>92135</v>
      </c>
      <c r="H437" s="130">
        <v>109</v>
      </c>
      <c r="I437" s="129" t="s">
        <v>401</v>
      </c>
      <c r="J437" s="130">
        <v>7</v>
      </c>
      <c r="K437" s="131">
        <v>1</v>
      </c>
      <c r="L437" s="131" t="s">
        <v>3</v>
      </c>
      <c r="M437" s="131" t="s">
        <v>324</v>
      </c>
      <c r="N437" s="131" t="s">
        <v>323</v>
      </c>
      <c r="O437" s="56">
        <f>VLOOKUP($F437,'ZipCode Coordinates'!$A:$E,4,FALSE)</f>
        <v>2018560</v>
      </c>
      <c r="P437" s="56">
        <f>VLOOKUP($F437,'ZipCode Coordinates'!$A:$E,5,FALSE)</f>
        <v>6243750</v>
      </c>
      <c r="Q437" s="56">
        <f>VLOOKUP($G437,'ZipCode Coordinates'!$A:$E,4,FALSE)</f>
        <v>1835720</v>
      </c>
      <c r="R437" s="56">
        <f>VLOOKUP($G437,'ZipCode Coordinates'!$A:$E,5,FALSE)</f>
        <v>6266670</v>
      </c>
      <c r="S437" s="352" t="str">
        <f>IFERROR(VLOOKUP($M437,'External Gateways'!$C$6:$F$10,2,FALSE),"")</f>
        <v/>
      </c>
      <c r="T437" s="56">
        <f>IFERROR(VLOOKUP($M437,'External Gateways'!$C$6:$F$10,3,FALSE),O437)</f>
        <v>2018560</v>
      </c>
      <c r="U437" s="56">
        <f>IFERROR(VLOOKUP($M437,'External Gateways'!$C$6:$F$10,4,FALSE),P437)</f>
        <v>6243750</v>
      </c>
      <c r="V437" s="353">
        <f t="shared" si="12"/>
        <v>0</v>
      </c>
      <c r="W437" s="353">
        <f t="shared" si="13"/>
        <v>109</v>
      </c>
    </row>
    <row r="438" spans="1:23" ht="15" customHeight="1" x14ac:dyDescent="0.25">
      <c r="A438" s="128">
        <v>2340</v>
      </c>
      <c r="B438" s="129" t="s">
        <v>275</v>
      </c>
      <c r="C438" s="128" t="s">
        <v>163</v>
      </c>
      <c r="D438" s="129" t="s">
        <v>158</v>
      </c>
      <c r="E438" s="129" t="s">
        <v>156</v>
      </c>
      <c r="F438" s="129">
        <v>92563</v>
      </c>
      <c r="G438" s="129">
        <v>92029</v>
      </c>
      <c r="H438" s="130">
        <v>63</v>
      </c>
      <c r="I438" s="129" t="s">
        <v>401</v>
      </c>
      <c r="J438" s="130">
        <v>7</v>
      </c>
      <c r="K438" s="131"/>
      <c r="L438" s="131" t="s">
        <v>5</v>
      </c>
      <c r="M438" s="131" t="s">
        <v>402</v>
      </c>
      <c r="N438" s="131" t="s">
        <v>325</v>
      </c>
      <c r="O438" s="56">
        <f>VLOOKUP($F438,'ZipCode Coordinates'!$A:$E,4,FALSE)</f>
        <v>2156450</v>
      </c>
      <c r="P438" s="56">
        <f>VLOOKUP($F438,'ZipCode Coordinates'!$A:$E,5,FALSE)</f>
        <v>6288710</v>
      </c>
      <c r="Q438" s="56">
        <f>VLOOKUP($G438,'ZipCode Coordinates'!$A:$E,4,FALSE)</f>
        <v>1974260</v>
      </c>
      <c r="R438" s="56">
        <f>VLOOKUP($G438,'ZipCode Coordinates'!$A:$E,5,FALSE)</f>
        <v>6291680</v>
      </c>
      <c r="S438" s="352" t="str">
        <f>IFERROR(VLOOKUP($M438,'External Gateways'!$C$6:$F$10,2,FALSE),"")</f>
        <v>I-15</v>
      </c>
      <c r="T438" s="56">
        <f>IFERROR(VLOOKUP($M438,'External Gateways'!$C$6:$F$10,3,FALSE),O438)</f>
        <v>2102195</v>
      </c>
      <c r="U438" s="56">
        <f>IFERROR(VLOOKUP($M438,'External Gateways'!$C$6:$F$10,4,FALSE),P438)</f>
        <v>6289147</v>
      </c>
      <c r="V438" s="353">
        <f t="shared" si="12"/>
        <v>10.275901494735123</v>
      </c>
      <c r="W438" s="353">
        <f t="shared" si="13"/>
        <v>42.448197010529753</v>
      </c>
    </row>
    <row r="439" spans="1:23" ht="15" customHeight="1" x14ac:dyDescent="0.25">
      <c r="A439" s="128">
        <v>2344</v>
      </c>
      <c r="B439" s="129" t="s">
        <v>502</v>
      </c>
      <c r="C439" s="128" t="s">
        <v>68</v>
      </c>
      <c r="D439" s="129" t="s">
        <v>158</v>
      </c>
      <c r="E439" s="129" t="s">
        <v>162</v>
      </c>
      <c r="F439" s="129">
        <v>92563</v>
      </c>
      <c r="G439" s="129">
        <v>92179</v>
      </c>
      <c r="H439" s="130">
        <v>248</v>
      </c>
      <c r="I439" s="129" t="s">
        <v>448</v>
      </c>
      <c r="J439" s="130">
        <v>10</v>
      </c>
      <c r="K439" s="131"/>
      <c r="L439" s="131" t="s">
        <v>68</v>
      </c>
      <c r="M439" s="131" t="s">
        <v>402</v>
      </c>
      <c r="N439" s="131" t="s">
        <v>328</v>
      </c>
      <c r="O439" s="56">
        <f>VLOOKUP($F439,'ZipCode Coordinates'!$A:$E,4,FALSE)</f>
        <v>2156450</v>
      </c>
      <c r="P439" s="56">
        <f>VLOOKUP($F439,'ZipCode Coordinates'!$A:$E,5,FALSE)</f>
        <v>6288710</v>
      </c>
      <c r="Q439" s="56">
        <f>VLOOKUP($G439,'ZipCode Coordinates'!$A:$E,4,FALSE)</f>
        <v>1789485</v>
      </c>
      <c r="R439" s="56">
        <f>VLOOKUP($G439,'ZipCode Coordinates'!$A:$E,5,FALSE)</f>
        <v>6349974</v>
      </c>
      <c r="S439" s="352" t="str">
        <f>IFERROR(VLOOKUP($M439,'External Gateways'!$C$6:$F$10,2,FALSE),"")</f>
        <v>I-15</v>
      </c>
      <c r="T439" s="56">
        <f>IFERROR(VLOOKUP($M439,'External Gateways'!$C$6:$F$10,3,FALSE),O439)</f>
        <v>2102195</v>
      </c>
      <c r="U439" s="56">
        <f>IFERROR(VLOOKUP($M439,'External Gateways'!$C$6:$F$10,4,FALSE),P439)</f>
        <v>6289147</v>
      </c>
      <c r="V439" s="353">
        <f t="shared" si="12"/>
        <v>10.275901494735123</v>
      </c>
      <c r="W439" s="353">
        <f t="shared" si="13"/>
        <v>227.44819701052975</v>
      </c>
    </row>
    <row r="440" spans="1:23" ht="15" customHeight="1" x14ac:dyDescent="0.25">
      <c r="A440" s="128">
        <v>2346</v>
      </c>
      <c r="B440" s="129" t="s">
        <v>315</v>
      </c>
      <c r="C440" s="128" t="s">
        <v>68</v>
      </c>
      <c r="D440" s="129" t="s">
        <v>196</v>
      </c>
      <c r="E440" s="129" t="s">
        <v>234</v>
      </c>
      <c r="F440" s="129">
        <v>92021</v>
      </c>
      <c r="G440" s="129">
        <v>92251</v>
      </c>
      <c r="H440" s="130">
        <v>300</v>
      </c>
      <c r="I440" s="129" t="s">
        <v>407</v>
      </c>
      <c r="J440" s="130">
        <v>8</v>
      </c>
      <c r="K440" s="131"/>
      <c r="L440" s="131" t="s">
        <v>68</v>
      </c>
      <c r="M440" s="131" t="s">
        <v>326</v>
      </c>
      <c r="N440" s="131" t="s">
        <v>431</v>
      </c>
      <c r="O440" s="56">
        <f>VLOOKUP($F440,'ZipCode Coordinates'!$A:$E,4,FALSE)</f>
        <v>1885700</v>
      </c>
      <c r="P440" s="56">
        <f>VLOOKUP($F440,'ZipCode Coordinates'!$A:$E,5,FALSE)</f>
        <v>6371420</v>
      </c>
      <c r="Q440" s="56">
        <f>VLOOKUP($G440,'ZipCode Coordinates'!$A:$E,4,FALSE)</f>
        <v>1897340</v>
      </c>
      <c r="R440" s="56">
        <f>VLOOKUP($G440,'ZipCode Coordinates'!$A:$E,5,FALSE)</f>
        <v>6754590</v>
      </c>
      <c r="S440" s="352" t="str">
        <f>IFERROR(VLOOKUP($M440,'External Gateways'!$C$6:$F$10,2,FALSE),"")</f>
        <v/>
      </c>
      <c r="T440" s="56">
        <f>IFERROR(VLOOKUP($M440,'External Gateways'!$C$6:$F$10,3,FALSE),O440)</f>
        <v>1885700</v>
      </c>
      <c r="U440" s="56">
        <f>IFERROR(VLOOKUP($M440,'External Gateways'!$C$6:$F$10,4,FALSE),P440)</f>
        <v>6371420</v>
      </c>
      <c r="V440" s="353">
        <f t="shared" si="12"/>
        <v>0</v>
      </c>
      <c r="W440" s="353">
        <f t="shared" si="13"/>
        <v>300</v>
      </c>
    </row>
    <row r="441" spans="1:23" ht="15" customHeight="1" x14ac:dyDescent="0.25">
      <c r="A441" s="128">
        <v>2348</v>
      </c>
      <c r="B441" s="129" t="s">
        <v>218</v>
      </c>
      <c r="C441" s="128" t="s">
        <v>68</v>
      </c>
      <c r="D441" s="129" t="s">
        <v>248</v>
      </c>
      <c r="E441" s="129" t="s">
        <v>162</v>
      </c>
      <c r="F441" s="129">
        <v>91902</v>
      </c>
      <c r="G441" s="129">
        <v>92161</v>
      </c>
      <c r="H441" s="130">
        <v>64</v>
      </c>
      <c r="I441" s="129" t="s">
        <v>408</v>
      </c>
      <c r="J441" s="130">
        <v>7</v>
      </c>
      <c r="K441" s="131"/>
      <c r="L441" s="131" t="s">
        <v>68</v>
      </c>
      <c r="M441" s="131" t="s">
        <v>328</v>
      </c>
      <c r="N441" s="131" t="s">
        <v>327</v>
      </c>
      <c r="O441" s="56">
        <f>VLOOKUP($F441,'ZipCode Coordinates'!$A:$E,4,FALSE)</f>
        <v>1825850</v>
      </c>
      <c r="P441" s="56">
        <f>VLOOKUP($F441,'ZipCode Coordinates'!$A:$E,5,FALSE)</f>
        <v>6329330</v>
      </c>
      <c r="Q441" s="56">
        <f>VLOOKUP($G441,'ZipCode Coordinates'!$A:$E,4,FALSE)</f>
        <v>1899477</v>
      </c>
      <c r="R441" s="56">
        <f>VLOOKUP($G441,'ZipCode Coordinates'!$A:$E,5,FALSE)</f>
        <v>6258957</v>
      </c>
      <c r="S441" s="352" t="str">
        <f>IFERROR(VLOOKUP($M441,'External Gateways'!$C$6:$F$10,2,FALSE),"")</f>
        <v/>
      </c>
      <c r="T441" s="56">
        <f>IFERROR(VLOOKUP($M441,'External Gateways'!$C$6:$F$10,3,FALSE),O441)</f>
        <v>1825850</v>
      </c>
      <c r="U441" s="56">
        <f>IFERROR(VLOOKUP($M441,'External Gateways'!$C$6:$F$10,4,FALSE),P441)</f>
        <v>6329330</v>
      </c>
      <c r="V441" s="353">
        <f t="shared" si="12"/>
        <v>0</v>
      </c>
      <c r="W441" s="353">
        <f t="shared" si="13"/>
        <v>64</v>
      </c>
    </row>
    <row r="442" spans="1:23" ht="15" customHeight="1" x14ac:dyDescent="0.25">
      <c r="A442" s="128">
        <v>2354</v>
      </c>
      <c r="B442" s="129" t="s">
        <v>254</v>
      </c>
      <c r="C442" s="128" t="s">
        <v>3</v>
      </c>
      <c r="D442" s="129" t="s">
        <v>154</v>
      </c>
      <c r="E442" s="129" t="s">
        <v>162</v>
      </c>
      <c r="F442" s="129">
        <v>92592</v>
      </c>
      <c r="G442" s="129">
        <v>92140</v>
      </c>
      <c r="H442" s="130">
        <v>135</v>
      </c>
      <c r="I442" s="129" t="s">
        <v>401</v>
      </c>
      <c r="J442" s="130">
        <v>7</v>
      </c>
      <c r="K442" s="131"/>
      <c r="L442" s="131" t="s">
        <v>3</v>
      </c>
      <c r="M442" s="131" t="s">
        <v>402</v>
      </c>
      <c r="N442" s="131" t="s">
        <v>323</v>
      </c>
      <c r="O442" s="56">
        <f>VLOOKUP($F442,'ZipCode Coordinates'!$A:$E,4,FALSE)</f>
        <v>2128740</v>
      </c>
      <c r="P442" s="56">
        <f>VLOOKUP($F442,'ZipCode Coordinates'!$A:$E,5,FALSE)</f>
        <v>6328900</v>
      </c>
      <c r="Q442" s="56">
        <f>VLOOKUP($G442,'ZipCode Coordinates'!$A:$E,4,FALSE)</f>
        <v>1850480</v>
      </c>
      <c r="R442" s="56">
        <f>VLOOKUP($G442,'ZipCode Coordinates'!$A:$E,5,FALSE)</f>
        <v>6270510</v>
      </c>
      <c r="S442" s="352" t="str">
        <f>IFERROR(VLOOKUP($M442,'External Gateways'!$C$6:$F$10,2,FALSE),"")</f>
        <v>I-15</v>
      </c>
      <c r="T442" s="56">
        <f>IFERROR(VLOOKUP($M442,'External Gateways'!$C$6:$F$10,3,FALSE),O442)</f>
        <v>2102195</v>
      </c>
      <c r="U442" s="56">
        <f>IFERROR(VLOOKUP($M442,'External Gateways'!$C$6:$F$10,4,FALSE),P442)</f>
        <v>6289147</v>
      </c>
      <c r="V442" s="353">
        <f t="shared" si="12"/>
        <v>9.0532245169037147</v>
      </c>
      <c r="W442" s="353">
        <f t="shared" si="13"/>
        <v>116.89355096619258</v>
      </c>
    </row>
    <row r="443" spans="1:23" ht="15" customHeight="1" x14ac:dyDescent="0.25">
      <c r="A443" s="128">
        <v>2357</v>
      </c>
      <c r="B443" s="129" t="s">
        <v>311</v>
      </c>
      <c r="C443" s="128" t="s">
        <v>411</v>
      </c>
      <c r="D443" s="129" t="s">
        <v>165</v>
      </c>
      <c r="E443" s="129" t="s">
        <v>413</v>
      </c>
      <c r="F443" s="129">
        <v>91910</v>
      </c>
      <c r="G443" s="129">
        <v>92093</v>
      </c>
      <c r="H443" s="130">
        <v>65</v>
      </c>
      <c r="I443" s="129" t="s">
        <v>417</v>
      </c>
      <c r="J443" s="130">
        <v>7</v>
      </c>
      <c r="K443" s="131"/>
      <c r="L443" s="131" t="s">
        <v>5</v>
      </c>
      <c r="M443" s="131" t="s">
        <v>328</v>
      </c>
      <c r="N443" s="131" t="s">
        <v>327</v>
      </c>
      <c r="O443" s="56">
        <f>VLOOKUP($F443,'ZipCode Coordinates'!$A:$E,4,FALSE)</f>
        <v>1812850</v>
      </c>
      <c r="P443" s="56">
        <f>VLOOKUP($F443,'ZipCode Coordinates'!$A:$E,5,FALSE)</f>
        <v>6313650</v>
      </c>
      <c r="Q443" s="56">
        <f>VLOOKUP($G443,'ZipCode Coordinates'!$A:$E,4,FALSE)</f>
        <v>1901870</v>
      </c>
      <c r="R443" s="56">
        <f>VLOOKUP($G443,'ZipCode Coordinates'!$A:$E,5,FALSE)</f>
        <v>6259600</v>
      </c>
      <c r="S443" s="352" t="str">
        <f>IFERROR(VLOOKUP($M443,'External Gateways'!$C$6:$F$10,2,FALSE),"")</f>
        <v/>
      </c>
      <c r="T443" s="56">
        <f>IFERROR(VLOOKUP($M443,'External Gateways'!$C$6:$F$10,3,FALSE),O443)</f>
        <v>1812850</v>
      </c>
      <c r="U443" s="56">
        <f>IFERROR(VLOOKUP($M443,'External Gateways'!$C$6:$F$10,4,FALSE),P443)</f>
        <v>6313650</v>
      </c>
      <c r="V443" s="353">
        <f t="shared" si="12"/>
        <v>0</v>
      </c>
      <c r="W443" s="353">
        <f t="shared" si="13"/>
        <v>65</v>
      </c>
    </row>
    <row r="444" spans="1:23" ht="15" customHeight="1" x14ac:dyDescent="0.25">
      <c r="A444" s="128">
        <v>2358</v>
      </c>
      <c r="B444" s="129" t="s">
        <v>311</v>
      </c>
      <c r="C444" s="128" t="s">
        <v>411</v>
      </c>
      <c r="D444" s="129" t="s">
        <v>162</v>
      </c>
      <c r="E444" s="129" t="s">
        <v>413</v>
      </c>
      <c r="F444" s="129">
        <v>92154</v>
      </c>
      <c r="G444" s="129">
        <v>92093</v>
      </c>
      <c r="H444" s="130">
        <v>77</v>
      </c>
      <c r="I444" s="129" t="s">
        <v>418</v>
      </c>
      <c r="J444" s="130">
        <v>9</v>
      </c>
      <c r="K444" s="131"/>
      <c r="L444" s="131" t="s">
        <v>5</v>
      </c>
      <c r="M444" s="131" t="s">
        <v>328</v>
      </c>
      <c r="N444" s="131" t="s">
        <v>327</v>
      </c>
      <c r="O444" s="56">
        <f>VLOOKUP($F444,'ZipCode Coordinates'!$A:$E,4,FALSE)</f>
        <v>1787080</v>
      </c>
      <c r="P444" s="56">
        <f>VLOOKUP($F444,'ZipCode Coordinates'!$A:$E,5,FALSE)</f>
        <v>6330680</v>
      </c>
      <c r="Q444" s="56">
        <f>VLOOKUP($G444,'ZipCode Coordinates'!$A:$E,4,FALSE)</f>
        <v>1901870</v>
      </c>
      <c r="R444" s="56">
        <f>VLOOKUP($G444,'ZipCode Coordinates'!$A:$E,5,FALSE)</f>
        <v>6259600</v>
      </c>
      <c r="S444" s="352" t="str">
        <f>IFERROR(VLOOKUP($M444,'External Gateways'!$C$6:$F$10,2,FALSE),"")</f>
        <v/>
      </c>
      <c r="T444" s="56">
        <f>IFERROR(VLOOKUP($M444,'External Gateways'!$C$6:$F$10,3,FALSE),O444)</f>
        <v>1787080</v>
      </c>
      <c r="U444" s="56">
        <f>IFERROR(VLOOKUP($M444,'External Gateways'!$C$6:$F$10,4,FALSE),P444)</f>
        <v>6330680</v>
      </c>
      <c r="V444" s="353">
        <f t="shared" si="12"/>
        <v>0</v>
      </c>
      <c r="W444" s="353">
        <f t="shared" si="13"/>
        <v>77</v>
      </c>
    </row>
    <row r="445" spans="1:23" ht="15" customHeight="1" x14ac:dyDescent="0.25">
      <c r="A445" s="128">
        <v>2359</v>
      </c>
      <c r="B445" s="129" t="s">
        <v>318</v>
      </c>
      <c r="C445" s="128" t="s">
        <v>68</v>
      </c>
      <c r="D445" s="129" t="s">
        <v>170</v>
      </c>
      <c r="E445" s="129" t="s">
        <v>162</v>
      </c>
      <c r="F445" s="129">
        <v>92586</v>
      </c>
      <c r="G445" s="129">
        <v>92108</v>
      </c>
      <c r="H445" s="130">
        <v>160</v>
      </c>
      <c r="I445" s="129" t="s">
        <v>416</v>
      </c>
      <c r="J445" s="130">
        <v>7</v>
      </c>
      <c r="K445" s="131"/>
      <c r="L445" s="131" t="s">
        <v>68</v>
      </c>
      <c r="M445" s="131" t="s">
        <v>402</v>
      </c>
      <c r="N445" s="131" t="s">
        <v>327</v>
      </c>
      <c r="O445" s="56">
        <f>VLOOKUP($F445,'ZipCode Coordinates'!$A:$E,4,FALSE)</f>
        <v>2202010</v>
      </c>
      <c r="P445" s="56">
        <f>VLOOKUP($F445,'ZipCode Coordinates'!$A:$E,5,FALSE)</f>
        <v>6272780</v>
      </c>
      <c r="Q445" s="56">
        <f>VLOOKUP($G445,'ZipCode Coordinates'!$A:$E,4,FALSE)</f>
        <v>1862470</v>
      </c>
      <c r="R445" s="56">
        <f>VLOOKUP($G445,'ZipCode Coordinates'!$A:$E,5,FALSE)</f>
        <v>6286860</v>
      </c>
      <c r="S445" s="352" t="str">
        <f>IFERROR(VLOOKUP($M445,'External Gateways'!$C$6:$F$10,2,FALSE),"")</f>
        <v>I-15</v>
      </c>
      <c r="T445" s="56">
        <f>IFERROR(VLOOKUP($M445,'External Gateways'!$C$6:$F$10,3,FALSE),O445)</f>
        <v>2102195</v>
      </c>
      <c r="U445" s="56">
        <f>IFERROR(VLOOKUP($M445,'External Gateways'!$C$6:$F$10,4,FALSE),P445)</f>
        <v>6289147</v>
      </c>
      <c r="V445" s="353">
        <f t="shared" si="12"/>
        <v>19.156813510070481</v>
      </c>
      <c r="W445" s="353">
        <f t="shared" si="13"/>
        <v>121.68637297985904</v>
      </c>
    </row>
    <row r="446" spans="1:23" ht="15" customHeight="1" x14ac:dyDescent="0.25">
      <c r="A446" s="128">
        <v>2361</v>
      </c>
      <c r="B446" s="129" t="s">
        <v>307</v>
      </c>
      <c r="C446" s="128" t="s">
        <v>3</v>
      </c>
      <c r="D446" s="129" t="s">
        <v>154</v>
      </c>
      <c r="E446" s="129" t="s">
        <v>162</v>
      </c>
      <c r="F446" s="129">
        <v>92592</v>
      </c>
      <c r="G446" s="129">
        <v>92110</v>
      </c>
      <c r="H446" s="130">
        <v>160</v>
      </c>
      <c r="I446" s="129" t="s">
        <v>407</v>
      </c>
      <c r="J446" s="130">
        <v>8</v>
      </c>
      <c r="K446" s="131">
        <v>1</v>
      </c>
      <c r="L446" s="131" t="s">
        <v>3</v>
      </c>
      <c r="M446" s="131" t="s">
        <v>402</v>
      </c>
      <c r="N446" s="131" t="s">
        <v>327</v>
      </c>
      <c r="O446" s="56">
        <f>VLOOKUP($F446,'ZipCode Coordinates'!$A:$E,4,FALSE)</f>
        <v>2128740</v>
      </c>
      <c r="P446" s="56">
        <f>VLOOKUP($F446,'ZipCode Coordinates'!$A:$E,5,FALSE)</f>
        <v>6328900</v>
      </c>
      <c r="Q446" s="56">
        <f>VLOOKUP($G446,'ZipCode Coordinates'!$A:$E,4,FALSE)</f>
        <v>1859050</v>
      </c>
      <c r="R446" s="56">
        <f>VLOOKUP($G446,'ZipCode Coordinates'!$A:$E,5,FALSE)</f>
        <v>6269400</v>
      </c>
      <c r="S446" s="352" t="str">
        <f>IFERROR(VLOOKUP($M446,'External Gateways'!$C$6:$F$10,2,FALSE),"")</f>
        <v>I-15</v>
      </c>
      <c r="T446" s="56">
        <f>IFERROR(VLOOKUP($M446,'External Gateways'!$C$6:$F$10,3,FALSE),O446)</f>
        <v>2102195</v>
      </c>
      <c r="U446" s="56">
        <f>IFERROR(VLOOKUP($M446,'External Gateways'!$C$6:$F$10,4,FALSE),P446)</f>
        <v>6289147</v>
      </c>
      <c r="V446" s="353">
        <f t="shared" si="12"/>
        <v>9.0532245169037147</v>
      </c>
      <c r="W446" s="353">
        <f t="shared" si="13"/>
        <v>141.89355096619258</v>
      </c>
    </row>
    <row r="447" spans="1:23" ht="15" customHeight="1" x14ac:dyDescent="0.25">
      <c r="A447" s="128">
        <v>2365</v>
      </c>
      <c r="B447" s="129" t="s">
        <v>279</v>
      </c>
      <c r="C447" s="128" t="s">
        <v>404</v>
      </c>
      <c r="D447" s="129" t="s">
        <v>281</v>
      </c>
      <c r="E447" s="129" t="s">
        <v>162</v>
      </c>
      <c r="F447" s="129">
        <v>91945</v>
      </c>
      <c r="G447" s="129">
        <v>92179</v>
      </c>
      <c r="H447" s="130">
        <v>41</v>
      </c>
      <c r="I447" s="129" t="s">
        <v>412</v>
      </c>
      <c r="J447" s="130">
        <v>10</v>
      </c>
      <c r="K447" s="131"/>
      <c r="L447" s="131" t="s">
        <v>5</v>
      </c>
      <c r="M447" s="131" t="s">
        <v>326</v>
      </c>
      <c r="N447" s="131" t="s">
        <v>328</v>
      </c>
      <c r="O447" s="56">
        <f>VLOOKUP($F447,'ZipCode Coordinates'!$A:$E,4,FALSE)</f>
        <v>1847470</v>
      </c>
      <c r="P447" s="56">
        <f>VLOOKUP($F447,'ZipCode Coordinates'!$A:$E,5,FALSE)</f>
        <v>6320620</v>
      </c>
      <c r="Q447" s="56">
        <f>VLOOKUP($G447,'ZipCode Coordinates'!$A:$E,4,FALSE)</f>
        <v>1789485</v>
      </c>
      <c r="R447" s="56">
        <f>VLOOKUP($G447,'ZipCode Coordinates'!$A:$E,5,FALSE)</f>
        <v>6349974</v>
      </c>
      <c r="S447" s="352" t="str">
        <f>IFERROR(VLOOKUP($M447,'External Gateways'!$C$6:$F$10,2,FALSE),"")</f>
        <v/>
      </c>
      <c r="T447" s="56">
        <f>IFERROR(VLOOKUP($M447,'External Gateways'!$C$6:$F$10,3,FALSE),O447)</f>
        <v>1847470</v>
      </c>
      <c r="U447" s="56">
        <f>IFERROR(VLOOKUP($M447,'External Gateways'!$C$6:$F$10,4,FALSE),P447)</f>
        <v>6320620</v>
      </c>
      <c r="V447" s="353">
        <f t="shared" si="12"/>
        <v>0</v>
      </c>
      <c r="W447" s="353">
        <f t="shared" si="13"/>
        <v>41</v>
      </c>
    </row>
    <row r="448" spans="1:23" ht="15" customHeight="1" x14ac:dyDescent="0.25">
      <c r="A448" s="128">
        <v>2368</v>
      </c>
      <c r="B448" s="129" t="s">
        <v>82</v>
      </c>
      <c r="C448" s="128" t="s">
        <v>3</v>
      </c>
      <c r="D448" s="129" t="s">
        <v>157</v>
      </c>
      <c r="E448" s="129" t="s">
        <v>82</v>
      </c>
      <c r="F448" s="129">
        <v>92584</v>
      </c>
      <c r="G448" s="129">
        <v>92055</v>
      </c>
      <c r="H448" s="130">
        <v>134</v>
      </c>
      <c r="I448" s="129" t="s">
        <v>420</v>
      </c>
      <c r="J448" s="130">
        <v>7</v>
      </c>
      <c r="K448" s="131"/>
      <c r="L448" s="131" t="s">
        <v>3</v>
      </c>
      <c r="M448" s="131" t="s">
        <v>402</v>
      </c>
      <c r="N448" s="131" t="s">
        <v>324</v>
      </c>
      <c r="O448" s="56">
        <f>VLOOKUP($F448,'ZipCode Coordinates'!$A:$E,4,FALSE)</f>
        <v>2185160</v>
      </c>
      <c r="P448" s="56">
        <f>VLOOKUP($F448,'ZipCode Coordinates'!$A:$E,5,FALSE)</f>
        <v>6280270</v>
      </c>
      <c r="Q448" s="56">
        <f>VLOOKUP($G448,'ZipCode Coordinates'!$A:$E,4,FALSE)</f>
        <v>2082470</v>
      </c>
      <c r="R448" s="56">
        <f>VLOOKUP($G448,'ZipCode Coordinates'!$A:$E,5,FALSE)</f>
        <v>6206470</v>
      </c>
      <c r="S448" s="352" t="str">
        <f>IFERROR(VLOOKUP($M448,'External Gateways'!$C$6:$F$10,2,FALSE),"")</f>
        <v>I-15</v>
      </c>
      <c r="T448" s="56">
        <f>IFERROR(VLOOKUP($M448,'External Gateways'!$C$6:$F$10,3,FALSE),O448)</f>
        <v>2102195</v>
      </c>
      <c r="U448" s="56">
        <f>IFERROR(VLOOKUP($M448,'External Gateways'!$C$6:$F$10,4,FALSE),P448)</f>
        <v>6289147</v>
      </c>
      <c r="V448" s="353">
        <f t="shared" si="12"/>
        <v>15.802756507931361</v>
      </c>
      <c r="W448" s="353">
        <f t="shared" si="13"/>
        <v>102.39448698413727</v>
      </c>
    </row>
    <row r="449" spans="1:23" ht="15" customHeight="1" x14ac:dyDescent="0.25">
      <c r="A449" s="128">
        <v>2371</v>
      </c>
      <c r="B449" s="129" t="s">
        <v>243</v>
      </c>
      <c r="C449" s="128" t="s">
        <v>198</v>
      </c>
      <c r="D449" s="129" t="s">
        <v>157</v>
      </c>
      <c r="E449" s="129" t="s">
        <v>162</v>
      </c>
      <c r="F449" s="129">
        <v>92545</v>
      </c>
      <c r="G449" s="129">
        <v>92128</v>
      </c>
      <c r="H449" s="130">
        <v>110</v>
      </c>
      <c r="I449" s="129" t="s">
        <v>408</v>
      </c>
      <c r="J449" s="130">
        <v>7</v>
      </c>
      <c r="K449" s="131"/>
      <c r="L449" s="131" t="s">
        <v>5</v>
      </c>
      <c r="M449" s="131" t="s">
        <v>402</v>
      </c>
      <c r="N449" s="131" t="s">
        <v>327</v>
      </c>
      <c r="O449" s="56">
        <f>VLOOKUP($F449,'ZipCode Coordinates'!$A:$E,4,FALSE)</f>
        <v>2210660</v>
      </c>
      <c r="P449" s="56">
        <f>VLOOKUP($F449,'ZipCode Coordinates'!$A:$E,5,FALSE)</f>
        <v>6321330</v>
      </c>
      <c r="Q449" s="56">
        <f>VLOOKUP($G449,'ZipCode Coordinates'!$A:$E,4,FALSE)</f>
        <v>1943580</v>
      </c>
      <c r="R449" s="56">
        <f>VLOOKUP($G449,'ZipCode Coordinates'!$A:$E,5,FALSE)</f>
        <v>6309440</v>
      </c>
      <c r="S449" s="352" t="str">
        <f>IFERROR(VLOOKUP($M449,'External Gateways'!$C$6:$F$10,2,FALSE),"")</f>
        <v>I-15</v>
      </c>
      <c r="T449" s="56">
        <f>IFERROR(VLOOKUP($M449,'External Gateways'!$C$6:$F$10,3,FALSE),O449)</f>
        <v>2102195</v>
      </c>
      <c r="U449" s="56">
        <f>IFERROR(VLOOKUP($M449,'External Gateways'!$C$6:$F$10,4,FALSE),P449)</f>
        <v>6289147</v>
      </c>
      <c r="V449" s="353">
        <f t="shared" si="12"/>
        <v>21.427814454119865</v>
      </c>
      <c r="W449" s="353">
        <f t="shared" si="13"/>
        <v>67.144371091760263</v>
      </c>
    </row>
    <row r="450" spans="1:23" ht="15" customHeight="1" x14ac:dyDescent="0.25">
      <c r="A450" s="128">
        <v>2375</v>
      </c>
      <c r="B450" s="129" t="s">
        <v>253</v>
      </c>
      <c r="C450" s="128" t="s">
        <v>3</v>
      </c>
      <c r="D450" s="129" t="s">
        <v>161</v>
      </c>
      <c r="E450" s="129" t="s">
        <v>162</v>
      </c>
      <c r="F450" s="129">
        <v>92596</v>
      </c>
      <c r="G450" s="129">
        <v>92145</v>
      </c>
      <c r="H450" s="130">
        <v>135</v>
      </c>
      <c r="I450" s="129" t="s">
        <v>408</v>
      </c>
      <c r="J450" s="130">
        <v>7</v>
      </c>
      <c r="K450" s="131"/>
      <c r="L450" s="131" t="s">
        <v>3</v>
      </c>
      <c r="M450" s="131" t="s">
        <v>402</v>
      </c>
      <c r="N450" s="131" t="s">
        <v>327</v>
      </c>
      <c r="O450" s="56">
        <f>VLOOKUP($F450,'ZipCode Coordinates'!$A:$E,4,FALSE)</f>
        <v>2177700</v>
      </c>
      <c r="P450" s="56">
        <f>VLOOKUP($F450,'ZipCode Coordinates'!$A:$E,5,FALSE)</f>
        <v>6311340</v>
      </c>
      <c r="Q450" s="56">
        <f>VLOOKUP($G450,'ZipCode Coordinates'!$A:$E,4,FALSE)</f>
        <v>1896720</v>
      </c>
      <c r="R450" s="56">
        <f>VLOOKUP($G450,'ZipCode Coordinates'!$A:$E,5,FALSE)</f>
        <v>6297440</v>
      </c>
      <c r="S450" s="352" t="str">
        <f>IFERROR(VLOOKUP($M450,'External Gateways'!$C$6:$F$10,2,FALSE),"")</f>
        <v>I-15</v>
      </c>
      <c r="T450" s="56">
        <f>IFERROR(VLOOKUP($M450,'External Gateways'!$C$6:$F$10,3,FALSE),O450)</f>
        <v>2102195</v>
      </c>
      <c r="U450" s="56">
        <f>IFERROR(VLOOKUP($M450,'External Gateways'!$C$6:$F$10,4,FALSE),P450)</f>
        <v>6289147</v>
      </c>
      <c r="V450" s="353">
        <f t="shared" si="12"/>
        <v>14.905115649451727</v>
      </c>
      <c r="W450" s="353">
        <f t="shared" si="13"/>
        <v>105.18976870109654</v>
      </c>
    </row>
    <row r="451" spans="1:23" ht="15" customHeight="1" x14ac:dyDescent="0.25">
      <c r="A451" s="128">
        <v>2377</v>
      </c>
      <c r="B451" s="129" t="s">
        <v>227</v>
      </c>
      <c r="C451" s="128" t="s">
        <v>198</v>
      </c>
      <c r="D451" s="129" t="s">
        <v>154</v>
      </c>
      <c r="E451" s="129" t="s">
        <v>206</v>
      </c>
      <c r="F451" s="129">
        <v>92591</v>
      </c>
      <c r="G451" s="129">
        <v>92064</v>
      </c>
      <c r="H451" s="130">
        <v>94</v>
      </c>
      <c r="I451" s="129" t="s">
        <v>401</v>
      </c>
      <c r="J451" s="130">
        <v>7</v>
      </c>
      <c r="K451" s="131"/>
      <c r="L451" s="131" t="s">
        <v>5</v>
      </c>
      <c r="M451" s="131" t="s">
        <v>402</v>
      </c>
      <c r="N451" s="131" t="s">
        <v>327</v>
      </c>
      <c r="O451" s="56">
        <f>VLOOKUP($F451,'ZipCode Coordinates'!$A:$E,4,FALSE)</f>
        <v>2138420</v>
      </c>
      <c r="P451" s="56">
        <f>VLOOKUP($F451,'ZipCode Coordinates'!$A:$E,5,FALSE)</f>
        <v>6299220</v>
      </c>
      <c r="Q451" s="56">
        <f>VLOOKUP($G451,'ZipCode Coordinates'!$A:$E,4,FALSE)</f>
        <v>1939040</v>
      </c>
      <c r="R451" s="56">
        <f>VLOOKUP($G451,'ZipCode Coordinates'!$A:$E,5,FALSE)</f>
        <v>6325350</v>
      </c>
      <c r="S451" s="352" t="str">
        <f>IFERROR(VLOOKUP($M451,'External Gateways'!$C$6:$F$10,2,FALSE),"")</f>
        <v>I-15</v>
      </c>
      <c r="T451" s="56">
        <f>IFERROR(VLOOKUP($M451,'External Gateways'!$C$6:$F$10,3,FALSE),O451)</f>
        <v>2102195</v>
      </c>
      <c r="U451" s="56">
        <f>IFERROR(VLOOKUP($M451,'External Gateways'!$C$6:$F$10,4,FALSE),P451)</f>
        <v>6289147</v>
      </c>
      <c r="V451" s="353">
        <f t="shared" ref="V451:V514" si="14">SQRT((T451-O451)^2+(U451-P451)^2)/5280</f>
        <v>7.1211011888925713</v>
      </c>
      <c r="W451" s="353">
        <f t="shared" ref="W451:W514" si="15">MAX(H451-2*V451,0)</f>
        <v>79.757797622214852</v>
      </c>
    </row>
    <row r="452" spans="1:23" ht="15" customHeight="1" x14ac:dyDescent="0.25">
      <c r="A452" s="128">
        <v>2380</v>
      </c>
      <c r="B452" s="129" t="s">
        <v>311</v>
      </c>
      <c r="C452" s="128" t="s">
        <v>411</v>
      </c>
      <c r="D452" s="129" t="s">
        <v>172</v>
      </c>
      <c r="E452" s="129" t="s">
        <v>413</v>
      </c>
      <c r="F452" s="129">
        <v>92595</v>
      </c>
      <c r="G452" s="129">
        <v>92093</v>
      </c>
      <c r="H452" s="130">
        <v>142</v>
      </c>
      <c r="I452" s="129" t="s">
        <v>441</v>
      </c>
      <c r="J452" s="130">
        <v>8</v>
      </c>
      <c r="K452" s="131"/>
      <c r="L452" s="131" t="s">
        <v>5</v>
      </c>
      <c r="M452" s="131" t="s">
        <v>402</v>
      </c>
      <c r="N452" s="131" t="s">
        <v>327</v>
      </c>
      <c r="O452" s="56">
        <f>VLOOKUP($F452,'ZipCode Coordinates'!$A:$E,4,FALSE)</f>
        <v>2170100</v>
      </c>
      <c r="P452" s="56">
        <f>VLOOKUP($F452,'ZipCode Coordinates'!$A:$E,5,FALSE)</f>
        <v>6254090</v>
      </c>
      <c r="Q452" s="56">
        <f>VLOOKUP($G452,'ZipCode Coordinates'!$A:$E,4,FALSE)</f>
        <v>1901870</v>
      </c>
      <c r="R452" s="56">
        <f>VLOOKUP($G452,'ZipCode Coordinates'!$A:$E,5,FALSE)</f>
        <v>6259600</v>
      </c>
      <c r="S452" s="352" t="str">
        <f>IFERROR(VLOOKUP($M452,'External Gateways'!$C$6:$F$10,2,FALSE),"")</f>
        <v>I-15</v>
      </c>
      <c r="T452" s="56">
        <f>IFERROR(VLOOKUP($M452,'External Gateways'!$C$6:$F$10,3,FALSE),O452)</f>
        <v>2102195</v>
      </c>
      <c r="U452" s="56">
        <f>IFERROR(VLOOKUP($M452,'External Gateways'!$C$6:$F$10,4,FALSE),P452)</f>
        <v>6289147</v>
      </c>
      <c r="V452" s="353">
        <f t="shared" si="14"/>
        <v>14.473566476992975</v>
      </c>
      <c r="W452" s="353">
        <f t="shared" si="15"/>
        <v>113.05286704601406</v>
      </c>
    </row>
    <row r="453" spans="1:23" ht="15" customHeight="1" x14ac:dyDescent="0.25">
      <c r="A453" s="128">
        <v>2384</v>
      </c>
      <c r="B453" s="129" t="s">
        <v>185</v>
      </c>
      <c r="C453" s="128" t="s">
        <v>179</v>
      </c>
      <c r="D453" s="129" t="s">
        <v>154</v>
      </c>
      <c r="E453" s="129" t="s">
        <v>162</v>
      </c>
      <c r="F453" s="129">
        <v>92591</v>
      </c>
      <c r="G453" s="129">
        <v>92127</v>
      </c>
      <c r="H453" s="130">
        <v>110</v>
      </c>
      <c r="I453" s="129" t="s">
        <v>475</v>
      </c>
      <c r="J453" s="130">
        <v>10</v>
      </c>
      <c r="K453" s="131"/>
      <c r="L453" s="131" t="s">
        <v>5</v>
      </c>
      <c r="M453" s="131" t="s">
        <v>402</v>
      </c>
      <c r="N453" s="131" t="s">
        <v>327</v>
      </c>
      <c r="O453" s="56">
        <f>VLOOKUP($F453,'ZipCode Coordinates'!$A:$E,4,FALSE)</f>
        <v>2138420</v>
      </c>
      <c r="P453" s="56">
        <f>VLOOKUP($F453,'ZipCode Coordinates'!$A:$E,5,FALSE)</f>
        <v>6299220</v>
      </c>
      <c r="Q453" s="56">
        <f>VLOOKUP($G453,'ZipCode Coordinates'!$A:$E,4,FALSE)</f>
        <v>1951970</v>
      </c>
      <c r="R453" s="56">
        <f>VLOOKUP($G453,'ZipCode Coordinates'!$A:$E,5,FALSE)</f>
        <v>6293830</v>
      </c>
      <c r="S453" s="352" t="str">
        <f>IFERROR(VLOOKUP($M453,'External Gateways'!$C$6:$F$10,2,FALSE),"")</f>
        <v>I-15</v>
      </c>
      <c r="T453" s="56">
        <f>IFERROR(VLOOKUP($M453,'External Gateways'!$C$6:$F$10,3,FALSE),O453)</f>
        <v>2102195</v>
      </c>
      <c r="U453" s="56">
        <f>IFERROR(VLOOKUP($M453,'External Gateways'!$C$6:$F$10,4,FALSE),P453)</f>
        <v>6289147</v>
      </c>
      <c r="V453" s="353">
        <f t="shared" si="14"/>
        <v>7.1211011888925713</v>
      </c>
      <c r="W453" s="353">
        <f t="shared" si="15"/>
        <v>95.757797622214852</v>
      </c>
    </row>
    <row r="454" spans="1:23" ht="15" customHeight="1" x14ac:dyDescent="0.25">
      <c r="A454" s="128">
        <v>2385</v>
      </c>
      <c r="B454" s="129" t="s">
        <v>212</v>
      </c>
      <c r="C454" s="128" t="s">
        <v>198</v>
      </c>
      <c r="D454" s="129" t="s">
        <v>248</v>
      </c>
      <c r="E454" s="129" t="s">
        <v>206</v>
      </c>
      <c r="F454" s="129">
        <v>91950</v>
      </c>
      <c r="G454" s="129">
        <v>92064</v>
      </c>
      <c r="H454" s="130">
        <v>85</v>
      </c>
      <c r="I454" s="129" t="s">
        <v>416</v>
      </c>
      <c r="J454" s="130">
        <v>7</v>
      </c>
      <c r="K454" s="131"/>
      <c r="L454" s="131" t="s">
        <v>5</v>
      </c>
      <c r="M454" s="131" t="s">
        <v>323</v>
      </c>
      <c r="N454" s="131" t="s">
        <v>327</v>
      </c>
      <c r="O454" s="56">
        <f>VLOOKUP($F454,'ZipCode Coordinates'!$A:$E,4,FALSE)</f>
        <v>1823970</v>
      </c>
      <c r="P454" s="56">
        <f>VLOOKUP($F454,'ZipCode Coordinates'!$A:$E,5,FALSE)</f>
        <v>6302610</v>
      </c>
      <c r="Q454" s="56">
        <f>VLOOKUP($G454,'ZipCode Coordinates'!$A:$E,4,FALSE)</f>
        <v>1939040</v>
      </c>
      <c r="R454" s="56">
        <f>VLOOKUP($G454,'ZipCode Coordinates'!$A:$E,5,FALSE)</f>
        <v>6325350</v>
      </c>
      <c r="S454" s="352" t="str">
        <f>IFERROR(VLOOKUP($M454,'External Gateways'!$C$6:$F$10,2,FALSE),"")</f>
        <v/>
      </c>
      <c r="T454" s="56">
        <f>IFERROR(VLOOKUP($M454,'External Gateways'!$C$6:$F$10,3,FALSE),O454)</f>
        <v>1823970</v>
      </c>
      <c r="U454" s="56">
        <f>IFERROR(VLOOKUP($M454,'External Gateways'!$C$6:$F$10,4,FALSE),P454)</f>
        <v>6302610</v>
      </c>
      <c r="V454" s="353">
        <f t="shared" si="14"/>
        <v>0</v>
      </c>
      <c r="W454" s="353">
        <f t="shared" si="15"/>
        <v>85</v>
      </c>
    </row>
    <row r="455" spans="1:23" ht="15" customHeight="1" x14ac:dyDescent="0.25">
      <c r="A455" s="128">
        <v>2386</v>
      </c>
      <c r="B455" s="129" t="s">
        <v>218</v>
      </c>
      <c r="C455" s="128" t="s">
        <v>68</v>
      </c>
      <c r="D455" s="129" t="s">
        <v>220</v>
      </c>
      <c r="E455" s="129" t="s">
        <v>162</v>
      </c>
      <c r="F455" s="129">
        <v>92071</v>
      </c>
      <c r="G455" s="129">
        <v>92161</v>
      </c>
      <c r="H455" s="130">
        <v>64</v>
      </c>
      <c r="I455" s="129" t="s">
        <v>420</v>
      </c>
      <c r="J455" s="130">
        <v>7</v>
      </c>
      <c r="K455" s="131">
        <v>1</v>
      </c>
      <c r="L455" s="131" t="s">
        <v>68</v>
      </c>
      <c r="M455" s="131" t="s">
        <v>326</v>
      </c>
      <c r="N455" s="131" t="s">
        <v>327</v>
      </c>
      <c r="O455" s="56">
        <f>VLOOKUP($F455,'ZipCode Coordinates'!$A:$E,4,FALSE)</f>
        <v>1895600</v>
      </c>
      <c r="P455" s="56">
        <f>VLOOKUP($F455,'ZipCode Coordinates'!$A:$E,5,FALSE)</f>
        <v>6327040</v>
      </c>
      <c r="Q455" s="56">
        <f>VLOOKUP($G455,'ZipCode Coordinates'!$A:$E,4,FALSE)</f>
        <v>1899477</v>
      </c>
      <c r="R455" s="56">
        <f>VLOOKUP($G455,'ZipCode Coordinates'!$A:$E,5,FALSE)</f>
        <v>6258957</v>
      </c>
      <c r="S455" s="352" t="str">
        <f>IFERROR(VLOOKUP($M455,'External Gateways'!$C$6:$F$10,2,FALSE),"")</f>
        <v/>
      </c>
      <c r="T455" s="56">
        <f>IFERROR(VLOOKUP($M455,'External Gateways'!$C$6:$F$10,3,FALSE),O455)</f>
        <v>1895600</v>
      </c>
      <c r="U455" s="56">
        <f>IFERROR(VLOOKUP($M455,'External Gateways'!$C$6:$F$10,4,FALSE),P455)</f>
        <v>6327040</v>
      </c>
      <c r="V455" s="353">
        <f t="shared" si="14"/>
        <v>0</v>
      </c>
      <c r="W455" s="353">
        <f t="shared" si="15"/>
        <v>64</v>
      </c>
    </row>
    <row r="456" spans="1:23" ht="15" customHeight="1" x14ac:dyDescent="0.25">
      <c r="A456" s="128">
        <v>2389</v>
      </c>
      <c r="B456" s="129" t="s">
        <v>227</v>
      </c>
      <c r="C456" s="128" t="s">
        <v>198</v>
      </c>
      <c r="D456" s="129" t="s">
        <v>154</v>
      </c>
      <c r="E456" s="129" t="s">
        <v>162</v>
      </c>
      <c r="F456" s="129">
        <v>92591</v>
      </c>
      <c r="G456" s="129">
        <v>92127</v>
      </c>
      <c r="H456" s="130">
        <v>109</v>
      </c>
      <c r="I456" s="129" t="s">
        <v>401</v>
      </c>
      <c r="J456" s="130">
        <v>7</v>
      </c>
      <c r="K456" s="131"/>
      <c r="L456" s="131" t="s">
        <v>5</v>
      </c>
      <c r="M456" s="131" t="s">
        <v>402</v>
      </c>
      <c r="N456" s="131" t="s">
        <v>327</v>
      </c>
      <c r="O456" s="56">
        <f>VLOOKUP($F456,'ZipCode Coordinates'!$A:$E,4,FALSE)</f>
        <v>2138420</v>
      </c>
      <c r="P456" s="56">
        <f>VLOOKUP($F456,'ZipCode Coordinates'!$A:$E,5,FALSE)</f>
        <v>6299220</v>
      </c>
      <c r="Q456" s="56">
        <f>VLOOKUP($G456,'ZipCode Coordinates'!$A:$E,4,FALSE)</f>
        <v>1951970</v>
      </c>
      <c r="R456" s="56">
        <f>VLOOKUP($G456,'ZipCode Coordinates'!$A:$E,5,FALSE)</f>
        <v>6293830</v>
      </c>
      <c r="S456" s="352" t="str">
        <f>IFERROR(VLOOKUP($M456,'External Gateways'!$C$6:$F$10,2,FALSE),"")</f>
        <v>I-15</v>
      </c>
      <c r="T456" s="56">
        <f>IFERROR(VLOOKUP($M456,'External Gateways'!$C$6:$F$10,3,FALSE),O456)</f>
        <v>2102195</v>
      </c>
      <c r="U456" s="56">
        <f>IFERROR(VLOOKUP($M456,'External Gateways'!$C$6:$F$10,4,FALSE),P456)</f>
        <v>6289147</v>
      </c>
      <c r="V456" s="353">
        <f t="shared" si="14"/>
        <v>7.1211011888925713</v>
      </c>
      <c r="W456" s="353">
        <f t="shared" si="15"/>
        <v>94.757797622214852</v>
      </c>
    </row>
    <row r="457" spans="1:23" ht="15" customHeight="1" x14ac:dyDescent="0.25">
      <c r="A457" s="128">
        <v>2392</v>
      </c>
      <c r="B457" s="129" t="s">
        <v>451</v>
      </c>
      <c r="C457" s="128" t="s">
        <v>3</v>
      </c>
      <c r="D457" s="129" t="s">
        <v>154</v>
      </c>
      <c r="E457" s="129" t="s">
        <v>162</v>
      </c>
      <c r="F457" s="129">
        <v>92592</v>
      </c>
      <c r="G457" s="129">
        <v>92136</v>
      </c>
      <c r="H457" s="130">
        <v>159</v>
      </c>
      <c r="I457" s="129" t="s">
        <v>432</v>
      </c>
      <c r="J457" s="130">
        <v>7</v>
      </c>
      <c r="K457" s="131">
        <v>1</v>
      </c>
      <c r="L457" s="131" t="s">
        <v>3</v>
      </c>
      <c r="M457" s="131" t="s">
        <v>402</v>
      </c>
      <c r="N457" s="131" t="s">
        <v>323</v>
      </c>
      <c r="O457" s="56">
        <f>VLOOKUP($F457,'ZipCode Coordinates'!$A:$E,4,FALSE)</f>
        <v>2128740</v>
      </c>
      <c r="P457" s="56">
        <f>VLOOKUP($F457,'ZipCode Coordinates'!$A:$E,5,FALSE)</f>
        <v>6328900</v>
      </c>
      <c r="Q457" s="56">
        <f>VLOOKUP($G457,'ZipCode Coordinates'!$A:$E,4,FALSE)</f>
        <v>1828370</v>
      </c>
      <c r="R457" s="56">
        <f>VLOOKUP($G457,'ZipCode Coordinates'!$A:$E,5,FALSE)</f>
        <v>6293940</v>
      </c>
      <c r="S457" s="352" t="str">
        <f>IFERROR(VLOOKUP($M457,'External Gateways'!$C$6:$F$10,2,FALSE),"")</f>
        <v>I-15</v>
      </c>
      <c r="T457" s="56">
        <f>IFERROR(VLOOKUP($M457,'External Gateways'!$C$6:$F$10,3,FALSE),O457)</f>
        <v>2102195</v>
      </c>
      <c r="U457" s="56">
        <f>IFERROR(VLOOKUP($M457,'External Gateways'!$C$6:$F$10,4,FALSE),P457)</f>
        <v>6289147</v>
      </c>
      <c r="V457" s="353">
        <f t="shared" si="14"/>
        <v>9.0532245169037147</v>
      </c>
      <c r="W457" s="353">
        <f t="shared" si="15"/>
        <v>140.89355096619258</v>
      </c>
    </row>
    <row r="458" spans="1:23" ht="15" customHeight="1" x14ac:dyDescent="0.25">
      <c r="A458" s="128">
        <v>2394</v>
      </c>
      <c r="B458" s="129" t="s">
        <v>243</v>
      </c>
      <c r="C458" s="128" t="s">
        <v>198</v>
      </c>
      <c r="D458" s="129" t="s">
        <v>162</v>
      </c>
      <c r="E458" s="129" t="s">
        <v>162</v>
      </c>
      <c r="F458" s="129">
        <v>92114</v>
      </c>
      <c r="G458" s="129">
        <v>92128</v>
      </c>
      <c r="H458" s="130">
        <v>65</v>
      </c>
      <c r="I458" s="129" t="s">
        <v>406</v>
      </c>
      <c r="J458" s="130">
        <v>7</v>
      </c>
      <c r="K458" s="131"/>
      <c r="L458" s="131" t="s">
        <v>5</v>
      </c>
      <c r="M458" s="131" t="s">
        <v>323</v>
      </c>
      <c r="N458" s="131" t="s">
        <v>327</v>
      </c>
      <c r="O458" s="56">
        <f>VLOOKUP($F458,'ZipCode Coordinates'!$A:$E,4,FALSE)</f>
        <v>1838250</v>
      </c>
      <c r="P458" s="56">
        <f>VLOOKUP($F458,'ZipCode Coordinates'!$A:$E,5,FALSE)</f>
        <v>6314020</v>
      </c>
      <c r="Q458" s="56">
        <f>VLOOKUP($G458,'ZipCode Coordinates'!$A:$E,4,FALSE)</f>
        <v>1943580</v>
      </c>
      <c r="R458" s="56">
        <f>VLOOKUP($G458,'ZipCode Coordinates'!$A:$E,5,FALSE)</f>
        <v>6309440</v>
      </c>
      <c r="S458" s="352" t="str">
        <f>IFERROR(VLOOKUP($M458,'External Gateways'!$C$6:$F$10,2,FALSE),"")</f>
        <v/>
      </c>
      <c r="T458" s="56">
        <f>IFERROR(VLOOKUP($M458,'External Gateways'!$C$6:$F$10,3,FALSE),O458)</f>
        <v>1838250</v>
      </c>
      <c r="U458" s="56">
        <f>IFERROR(VLOOKUP($M458,'External Gateways'!$C$6:$F$10,4,FALSE),P458)</f>
        <v>6314020</v>
      </c>
      <c r="V458" s="353">
        <f t="shared" si="14"/>
        <v>0</v>
      </c>
      <c r="W458" s="353">
        <f t="shared" si="15"/>
        <v>65</v>
      </c>
    </row>
    <row r="459" spans="1:23" ht="15" customHeight="1" x14ac:dyDescent="0.25">
      <c r="A459" s="128">
        <v>2395</v>
      </c>
      <c r="B459" s="129" t="s">
        <v>318</v>
      </c>
      <c r="C459" s="128" t="s">
        <v>68</v>
      </c>
      <c r="D459" s="129" t="s">
        <v>158</v>
      </c>
      <c r="E459" s="129" t="s">
        <v>162</v>
      </c>
      <c r="F459" s="129">
        <v>92563</v>
      </c>
      <c r="G459" s="129">
        <v>92108</v>
      </c>
      <c r="H459" s="130">
        <v>185</v>
      </c>
      <c r="I459" s="129" t="s">
        <v>407</v>
      </c>
      <c r="J459" s="130">
        <v>8</v>
      </c>
      <c r="K459" s="131"/>
      <c r="L459" s="131" t="s">
        <v>68</v>
      </c>
      <c r="M459" s="131" t="s">
        <v>402</v>
      </c>
      <c r="N459" s="131" t="s">
        <v>327</v>
      </c>
      <c r="O459" s="56">
        <f>VLOOKUP($F459,'ZipCode Coordinates'!$A:$E,4,FALSE)</f>
        <v>2156450</v>
      </c>
      <c r="P459" s="56">
        <f>VLOOKUP($F459,'ZipCode Coordinates'!$A:$E,5,FALSE)</f>
        <v>6288710</v>
      </c>
      <c r="Q459" s="56">
        <f>VLOOKUP($G459,'ZipCode Coordinates'!$A:$E,4,FALSE)</f>
        <v>1862470</v>
      </c>
      <c r="R459" s="56">
        <f>VLOOKUP($G459,'ZipCode Coordinates'!$A:$E,5,FALSE)</f>
        <v>6286860</v>
      </c>
      <c r="S459" s="352" t="str">
        <f>IFERROR(VLOOKUP($M459,'External Gateways'!$C$6:$F$10,2,FALSE),"")</f>
        <v>I-15</v>
      </c>
      <c r="T459" s="56">
        <f>IFERROR(VLOOKUP($M459,'External Gateways'!$C$6:$F$10,3,FALSE),O459)</f>
        <v>2102195</v>
      </c>
      <c r="U459" s="56">
        <f>IFERROR(VLOOKUP($M459,'External Gateways'!$C$6:$F$10,4,FALSE),P459)</f>
        <v>6289147</v>
      </c>
      <c r="V459" s="353">
        <f t="shared" si="14"/>
        <v>10.275901494735123</v>
      </c>
      <c r="W459" s="353">
        <f t="shared" si="15"/>
        <v>164.44819701052975</v>
      </c>
    </row>
    <row r="460" spans="1:23" ht="15" customHeight="1" x14ac:dyDescent="0.25">
      <c r="A460" s="128">
        <v>2396</v>
      </c>
      <c r="B460" s="129" t="s">
        <v>171</v>
      </c>
      <c r="C460" s="128" t="s">
        <v>166</v>
      </c>
      <c r="D460" s="129" t="s">
        <v>157</v>
      </c>
      <c r="E460" s="129" t="s">
        <v>195</v>
      </c>
      <c r="F460" s="129">
        <v>92544</v>
      </c>
      <c r="G460" s="129">
        <v>92113</v>
      </c>
      <c r="H460" s="130">
        <v>161</v>
      </c>
      <c r="I460" s="129" t="s">
        <v>403</v>
      </c>
      <c r="J460" s="130">
        <v>8</v>
      </c>
      <c r="K460" s="131"/>
      <c r="L460" s="131" t="s">
        <v>5</v>
      </c>
      <c r="M460" s="131" t="s">
        <v>402</v>
      </c>
      <c r="N460" s="131" t="s">
        <v>323</v>
      </c>
      <c r="O460" s="56">
        <f>VLOOKUP($F460,'ZipCode Coordinates'!$A:$E,4,FALSE)</f>
        <v>2177850</v>
      </c>
      <c r="P460" s="56">
        <f>VLOOKUP($F460,'ZipCode Coordinates'!$A:$E,5,FALSE)</f>
        <v>6364200</v>
      </c>
      <c r="Q460" s="56">
        <f>VLOOKUP($G460,'ZipCode Coordinates'!$A:$E,4,FALSE)</f>
        <v>1834470</v>
      </c>
      <c r="R460" s="56">
        <f>VLOOKUP($G460,'ZipCode Coordinates'!$A:$E,5,FALSE)</f>
        <v>6294590</v>
      </c>
      <c r="S460" s="352" t="str">
        <f>IFERROR(VLOOKUP($M460,'External Gateways'!$C$6:$F$10,2,FALSE),"")</f>
        <v>I-15</v>
      </c>
      <c r="T460" s="56">
        <f>IFERROR(VLOOKUP($M460,'External Gateways'!$C$6:$F$10,3,FALSE),O460)</f>
        <v>2102195</v>
      </c>
      <c r="U460" s="56">
        <f>IFERROR(VLOOKUP($M460,'External Gateways'!$C$6:$F$10,4,FALSE),P460)</f>
        <v>6289147</v>
      </c>
      <c r="V460" s="353">
        <f t="shared" si="14"/>
        <v>20.183238438870013</v>
      </c>
      <c r="W460" s="353">
        <f t="shared" si="15"/>
        <v>120.63352312225997</v>
      </c>
    </row>
    <row r="461" spans="1:23" ht="15" customHeight="1" x14ac:dyDescent="0.25">
      <c r="A461" s="128">
        <v>2397</v>
      </c>
      <c r="B461" s="129" t="s">
        <v>451</v>
      </c>
      <c r="C461" s="128" t="s">
        <v>3</v>
      </c>
      <c r="D461" s="129" t="s">
        <v>161</v>
      </c>
      <c r="E461" s="129" t="s">
        <v>162</v>
      </c>
      <c r="F461" s="129">
        <v>92596</v>
      </c>
      <c r="G461" s="129">
        <v>92136</v>
      </c>
      <c r="H461" s="130">
        <v>134</v>
      </c>
      <c r="I461" s="129" t="s">
        <v>455</v>
      </c>
      <c r="J461" s="130">
        <v>7</v>
      </c>
      <c r="K461" s="131"/>
      <c r="L461" s="131" t="s">
        <v>3</v>
      </c>
      <c r="M461" s="131" t="s">
        <v>402</v>
      </c>
      <c r="N461" s="131" t="s">
        <v>323</v>
      </c>
      <c r="O461" s="56">
        <f>VLOOKUP($F461,'ZipCode Coordinates'!$A:$E,4,FALSE)</f>
        <v>2177700</v>
      </c>
      <c r="P461" s="56">
        <f>VLOOKUP($F461,'ZipCode Coordinates'!$A:$E,5,FALSE)</f>
        <v>6311340</v>
      </c>
      <c r="Q461" s="56">
        <f>VLOOKUP($G461,'ZipCode Coordinates'!$A:$E,4,FALSE)</f>
        <v>1828370</v>
      </c>
      <c r="R461" s="56">
        <f>VLOOKUP($G461,'ZipCode Coordinates'!$A:$E,5,FALSE)</f>
        <v>6293940</v>
      </c>
      <c r="S461" s="352" t="str">
        <f>IFERROR(VLOOKUP($M461,'External Gateways'!$C$6:$F$10,2,FALSE),"")</f>
        <v>I-15</v>
      </c>
      <c r="T461" s="56">
        <f>IFERROR(VLOOKUP($M461,'External Gateways'!$C$6:$F$10,3,FALSE),O461)</f>
        <v>2102195</v>
      </c>
      <c r="U461" s="56">
        <f>IFERROR(VLOOKUP($M461,'External Gateways'!$C$6:$F$10,4,FALSE),P461)</f>
        <v>6289147</v>
      </c>
      <c r="V461" s="353">
        <f t="shared" si="14"/>
        <v>14.905115649451727</v>
      </c>
      <c r="W461" s="353">
        <f t="shared" si="15"/>
        <v>104.18976870109654</v>
      </c>
    </row>
    <row r="462" spans="1:23" ht="15" customHeight="1" x14ac:dyDescent="0.25">
      <c r="A462" s="128">
        <v>2398</v>
      </c>
      <c r="B462" s="129" t="s">
        <v>82</v>
      </c>
      <c r="C462" s="128" t="s">
        <v>3</v>
      </c>
      <c r="D462" s="129" t="s">
        <v>158</v>
      </c>
      <c r="E462" s="129" t="s">
        <v>82</v>
      </c>
      <c r="F462" s="129">
        <v>92563</v>
      </c>
      <c r="G462" s="129">
        <v>92055</v>
      </c>
      <c r="H462" s="130">
        <v>386</v>
      </c>
      <c r="I462" s="129" t="s">
        <v>416</v>
      </c>
      <c r="J462" s="130">
        <v>7</v>
      </c>
      <c r="K462" s="131"/>
      <c r="L462" s="131" t="s">
        <v>3</v>
      </c>
      <c r="M462" s="131" t="s">
        <v>402</v>
      </c>
      <c r="N462" s="131" t="s">
        <v>324</v>
      </c>
      <c r="O462" s="56">
        <f>VLOOKUP($F462,'ZipCode Coordinates'!$A:$E,4,FALSE)</f>
        <v>2156450</v>
      </c>
      <c r="P462" s="56">
        <f>VLOOKUP($F462,'ZipCode Coordinates'!$A:$E,5,FALSE)</f>
        <v>6288710</v>
      </c>
      <c r="Q462" s="56">
        <f>VLOOKUP($G462,'ZipCode Coordinates'!$A:$E,4,FALSE)</f>
        <v>2082470</v>
      </c>
      <c r="R462" s="56">
        <f>VLOOKUP($G462,'ZipCode Coordinates'!$A:$E,5,FALSE)</f>
        <v>6206470</v>
      </c>
      <c r="S462" s="352" t="str">
        <f>IFERROR(VLOOKUP($M462,'External Gateways'!$C$6:$F$10,2,FALSE),"")</f>
        <v>I-15</v>
      </c>
      <c r="T462" s="56">
        <f>IFERROR(VLOOKUP($M462,'External Gateways'!$C$6:$F$10,3,FALSE),O462)</f>
        <v>2102195</v>
      </c>
      <c r="U462" s="56">
        <f>IFERROR(VLOOKUP($M462,'External Gateways'!$C$6:$F$10,4,FALSE),P462)</f>
        <v>6289147</v>
      </c>
      <c r="V462" s="353">
        <f t="shared" si="14"/>
        <v>10.275901494735123</v>
      </c>
      <c r="W462" s="353">
        <f t="shared" si="15"/>
        <v>365.44819701052973</v>
      </c>
    </row>
    <row r="463" spans="1:23" ht="15" customHeight="1" x14ac:dyDescent="0.25">
      <c r="A463" s="128">
        <v>2401</v>
      </c>
      <c r="B463" s="129" t="s">
        <v>311</v>
      </c>
      <c r="C463" s="128" t="s">
        <v>411</v>
      </c>
      <c r="D463" s="129" t="s">
        <v>165</v>
      </c>
      <c r="E463" s="129" t="s">
        <v>413</v>
      </c>
      <c r="F463" s="129">
        <v>91910</v>
      </c>
      <c r="G463" s="129">
        <v>92093</v>
      </c>
      <c r="H463" s="130">
        <v>65</v>
      </c>
      <c r="I463" s="129" t="s">
        <v>418</v>
      </c>
      <c r="J463" s="130">
        <v>9</v>
      </c>
      <c r="K463" s="131"/>
      <c r="L463" s="131" t="s">
        <v>5</v>
      </c>
      <c r="M463" s="131" t="s">
        <v>328</v>
      </c>
      <c r="N463" s="131" t="s">
        <v>327</v>
      </c>
      <c r="O463" s="56">
        <f>VLOOKUP($F463,'ZipCode Coordinates'!$A:$E,4,FALSE)</f>
        <v>1812850</v>
      </c>
      <c r="P463" s="56">
        <f>VLOOKUP($F463,'ZipCode Coordinates'!$A:$E,5,FALSE)</f>
        <v>6313650</v>
      </c>
      <c r="Q463" s="56">
        <f>VLOOKUP($G463,'ZipCode Coordinates'!$A:$E,4,FALSE)</f>
        <v>1901870</v>
      </c>
      <c r="R463" s="56">
        <f>VLOOKUP($G463,'ZipCode Coordinates'!$A:$E,5,FALSE)</f>
        <v>6259600</v>
      </c>
      <c r="S463" s="352" t="str">
        <f>IFERROR(VLOOKUP($M463,'External Gateways'!$C$6:$F$10,2,FALSE),"")</f>
        <v/>
      </c>
      <c r="T463" s="56">
        <f>IFERROR(VLOOKUP($M463,'External Gateways'!$C$6:$F$10,3,FALSE),O463)</f>
        <v>1812850</v>
      </c>
      <c r="U463" s="56">
        <f>IFERROR(VLOOKUP($M463,'External Gateways'!$C$6:$F$10,4,FALSE),P463)</f>
        <v>6313650</v>
      </c>
      <c r="V463" s="353">
        <f t="shared" si="14"/>
        <v>0</v>
      </c>
      <c r="W463" s="353">
        <f t="shared" si="15"/>
        <v>65</v>
      </c>
    </row>
    <row r="464" spans="1:23" ht="15" customHeight="1" x14ac:dyDescent="0.25">
      <c r="A464" s="128">
        <v>2402</v>
      </c>
      <c r="B464" s="129" t="s">
        <v>82</v>
      </c>
      <c r="C464" s="128" t="s">
        <v>3</v>
      </c>
      <c r="D464" s="129" t="s">
        <v>167</v>
      </c>
      <c r="E464" s="129" t="s">
        <v>82</v>
      </c>
      <c r="F464" s="129">
        <v>92530</v>
      </c>
      <c r="G464" s="129">
        <v>92055</v>
      </c>
      <c r="H464" s="130">
        <v>92</v>
      </c>
      <c r="I464" s="129" t="s">
        <v>401</v>
      </c>
      <c r="J464" s="130">
        <v>7</v>
      </c>
      <c r="K464" s="131"/>
      <c r="L464" s="131" t="s">
        <v>3</v>
      </c>
      <c r="M464" s="131" t="s">
        <v>402</v>
      </c>
      <c r="N464" s="131" t="s">
        <v>324</v>
      </c>
      <c r="O464" s="56">
        <f>VLOOKUP($F464,'ZipCode Coordinates'!$A:$E,4,FALSE)</f>
        <v>2166440</v>
      </c>
      <c r="P464" s="56">
        <f>VLOOKUP($F464,'ZipCode Coordinates'!$A:$E,5,FALSE)</f>
        <v>6212730</v>
      </c>
      <c r="Q464" s="56">
        <f>VLOOKUP($G464,'ZipCode Coordinates'!$A:$E,4,FALSE)</f>
        <v>2082470</v>
      </c>
      <c r="R464" s="56">
        <f>VLOOKUP($G464,'ZipCode Coordinates'!$A:$E,5,FALSE)</f>
        <v>6206470</v>
      </c>
      <c r="S464" s="352" t="str">
        <f>IFERROR(VLOOKUP($M464,'External Gateways'!$C$6:$F$10,2,FALSE),"")</f>
        <v>I-15</v>
      </c>
      <c r="T464" s="56">
        <f>IFERROR(VLOOKUP($M464,'External Gateways'!$C$6:$F$10,3,FALSE),O464)</f>
        <v>2102195</v>
      </c>
      <c r="U464" s="56">
        <f>IFERROR(VLOOKUP($M464,'External Gateways'!$C$6:$F$10,4,FALSE),P464)</f>
        <v>6289147</v>
      </c>
      <c r="V464" s="353">
        <f t="shared" si="14"/>
        <v>18.908097166137583</v>
      </c>
      <c r="W464" s="353">
        <f t="shared" si="15"/>
        <v>54.183805667724833</v>
      </c>
    </row>
    <row r="465" spans="1:23" ht="15" customHeight="1" x14ac:dyDescent="0.25">
      <c r="A465" s="335">
        <v>2404</v>
      </c>
      <c r="B465" s="336" t="s">
        <v>228</v>
      </c>
      <c r="C465" s="56" t="s">
        <v>198</v>
      </c>
      <c r="D465" s="336" t="s">
        <v>229</v>
      </c>
      <c r="E465" s="336" t="s">
        <v>155</v>
      </c>
      <c r="F465" s="336">
        <v>92780</v>
      </c>
      <c r="G465" s="336">
        <v>92008</v>
      </c>
      <c r="H465" s="336">
        <v>119</v>
      </c>
      <c r="I465" s="336" t="s">
        <v>455</v>
      </c>
      <c r="J465" s="336">
        <v>7</v>
      </c>
      <c r="K465" s="336"/>
      <c r="L465" s="336" t="s">
        <v>5</v>
      </c>
      <c r="M465" s="337" t="s">
        <v>439</v>
      </c>
      <c r="N465" s="337" t="s">
        <v>324</v>
      </c>
      <c r="O465" s="56">
        <f>VLOOKUP($F465,'ZipCode Coordinates'!$A:$E,4,FALSE)</f>
        <v>2214930</v>
      </c>
      <c r="P465" s="56">
        <f>VLOOKUP($F465,'ZipCode Coordinates'!$A:$E,5,FALSE)</f>
        <v>6084610</v>
      </c>
      <c r="Q465" s="56">
        <f>VLOOKUP($G465,'ZipCode Coordinates'!$A:$E,4,FALSE)</f>
        <v>1998660</v>
      </c>
      <c r="R465" s="56">
        <f>VLOOKUP($G465,'ZipCode Coordinates'!$A:$E,5,FALSE)</f>
        <v>6234650</v>
      </c>
      <c r="S465" s="352" t="str">
        <f>IFERROR(VLOOKUP($M465,'External Gateways'!$C$6:$F$10,2,FALSE),"")</f>
        <v>I-5</v>
      </c>
      <c r="T465" s="56">
        <f>IFERROR(VLOOKUP($M465,'External Gateways'!$C$6:$F$10,3,FALSE),O465)</f>
        <v>2090594</v>
      </c>
      <c r="U465" s="56">
        <f>IFERROR(VLOOKUP($M465,'External Gateways'!$C$6:$F$10,4,FALSE),P465)</f>
        <v>6151524</v>
      </c>
      <c r="V465" s="353">
        <f t="shared" si="14"/>
        <v>26.7420783762723</v>
      </c>
      <c r="W465" s="353">
        <f t="shared" si="15"/>
        <v>65.515843247455393</v>
      </c>
    </row>
    <row r="466" spans="1:23" ht="15" customHeight="1" x14ac:dyDescent="0.25">
      <c r="A466" s="128">
        <v>2405</v>
      </c>
      <c r="B466" s="129" t="s">
        <v>315</v>
      </c>
      <c r="C466" s="128" t="s">
        <v>68</v>
      </c>
      <c r="D466" s="129" t="s">
        <v>234</v>
      </c>
      <c r="E466" s="129" t="s">
        <v>425</v>
      </c>
      <c r="F466" s="129">
        <v>92251</v>
      </c>
      <c r="G466" s="129">
        <v>91906</v>
      </c>
      <c r="H466" s="130">
        <v>140</v>
      </c>
      <c r="I466" s="129" t="s">
        <v>428</v>
      </c>
      <c r="J466" s="130">
        <v>7</v>
      </c>
      <c r="K466" s="131"/>
      <c r="L466" s="131" t="s">
        <v>68</v>
      </c>
      <c r="M466" s="131" t="s">
        <v>431</v>
      </c>
      <c r="N466" s="131" t="s">
        <v>329</v>
      </c>
      <c r="O466" s="56">
        <f>VLOOKUP($F466,'ZipCode Coordinates'!$A:$E,4,FALSE)</f>
        <v>1897340</v>
      </c>
      <c r="P466" s="56">
        <f>VLOOKUP($F466,'ZipCode Coordinates'!$A:$E,5,FALSE)</f>
        <v>6754590</v>
      </c>
      <c r="Q466" s="56">
        <f>VLOOKUP($G466,'ZipCode Coordinates'!$A:$E,4,FALSE)</f>
        <v>1833150</v>
      </c>
      <c r="R466" s="56">
        <f>VLOOKUP($G466,'ZipCode Coordinates'!$A:$E,5,FALSE)</f>
        <v>6479630</v>
      </c>
      <c r="S466" s="352" t="str">
        <f>IFERROR(VLOOKUP($M466,'External Gateways'!$C$6:$F$10,2,FALSE),"")</f>
        <v>I-8</v>
      </c>
      <c r="T466" s="56">
        <f>IFERROR(VLOOKUP($M466,'External Gateways'!$C$6:$F$10,3,FALSE),O466)</f>
        <v>1814524</v>
      </c>
      <c r="U466" s="56">
        <f>IFERROR(VLOOKUP($M466,'External Gateways'!$C$6:$F$10,4,FALSE),P466)</f>
        <v>6606089</v>
      </c>
      <c r="V466" s="353">
        <f t="shared" si="14"/>
        <v>32.203117091946467</v>
      </c>
      <c r="W466" s="353">
        <f t="shared" si="15"/>
        <v>75.593765816107066</v>
      </c>
    </row>
    <row r="467" spans="1:23" ht="15" customHeight="1" x14ac:dyDescent="0.25">
      <c r="A467" s="128">
        <v>2408</v>
      </c>
      <c r="B467" s="129" t="s">
        <v>317</v>
      </c>
      <c r="C467" s="128" t="s">
        <v>3</v>
      </c>
      <c r="D467" s="129" t="s">
        <v>154</v>
      </c>
      <c r="E467" s="129" t="s">
        <v>162</v>
      </c>
      <c r="F467" s="129">
        <v>92591</v>
      </c>
      <c r="G467" s="129">
        <v>92106</v>
      </c>
      <c r="H467" s="130">
        <v>109</v>
      </c>
      <c r="I467" s="129" t="s">
        <v>488</v>
      </c>
      <c r="J467" s="130">
        <v>7</v>
      </c>
      <c r="K467" s="131"/>
      <c r="L467" s="131" t="s">
        <v>3</v>
      </c>
      <c r="M467" s="131" t="s">
        <v>402</v>
      </c>
      <c r="N467" s="131" t="s">
        <v>323</v>
      </c>
      <c r="O467" s="56">
        <f>VLOOKUP($F467,'ZipCode Coordinates'!$A:$E,4,FALSE)</f>
        <v>2138420</v>
      </c>
      <c r="P467" s="56">
        <f>VLOOKUP($F467,'ZipCode Coordinates'!$A:$E,5,FALSE)</f>
        <v>6299220</v>
      </c>
      <c r="Q467" s="56">
        <f>VLOOKUP($G467,'ZipCode Coordinates'!$A:$E,4,FALSE)</f>
        <v>1842660</v>
      </c>
      <c r="R467" s="56">
        <f>VLOOKUP($G467,'ZipCode Coordinates'!$A:$E,5,FALSE)</f>
        <v>6259060</v>
      </c>
      <c r="S467" s="352" t="str">
        <f>IFERROR(VLOOKUP($M467,'External Gateways'!$C$6:$F$10,2,FALSE),"")</f>
        <v>I-15</v>
      </c>
      <c r="T467" s="56">
        <f>IFERROR(VLOOKUP($M467,'External Gateways'!$C$6:$F$10,3,FALSE),O467)</f>
        <v>2102195</v>
      </c>
      <c r="U467" s="56">
        <f>IFERROR(VLOOKUP($M467,'External Gateways'!$C$6:$F$10,4,FALSE),P467)</f>
        <v>6289147</v>
      </c>
      <c r="V467" s="353">
        <f t="shared" si="14"/>
        <v>7.1211011888925713</v>
      </c>
      <c r="W467" s="353">
        <f t="shared" si="15"/>
        <v>94.757797622214852</v>
      </c>
    </row>
    <row r="468" spans="1:23" ht="15" customHeight="1" x14ac:dyDescent="0.25">
      <c r="A468" s="128">
        <v>2413</v>
      </c>
      <c r="B468" s="129" t="s">
        <v>291</v>
      </c>
      <c r="C468" s="128" t="s">
        <v>163</v>
      </c>
      <c r="D468" s="129" t="s">
        <v>165</v>
      </c>
      <c r="E468" s="129" t="s">
        <v>162</v>
      </c>
      <c r="F468" s="129">
        <v>91911</v>
      </c>
      <c r="G468" s="129">
        <v>92127</v>
      </c>
      <c r="H468" s="130">
        <v>69</v>
      </c>
      <c r="I468" s="129" t="s">
        <v>416</v>
      </c>
      <c r="J468" s="130">
        <v>7</v>
      </c>
      <c r="K468" s="131"/>
      <c r="L468" s="131" t="s">
        <v>5</v>
      </c>
      <c r="M468" s="131" t="s">
        <v>328</v>
      </c>
      <c r="N468" s="131" t="s">
        <v>327</v>
      </c>
      <c r="O468" s="56">
        <f>VLOOKUP($F468,'ZipCode Coordinates'!$A:$E,4,FALSE)</f>
        <v>1801570</v>
      </c>
      <c r="P468" s="56">
        <f>VLOOKUP($F468,'ZipCode Coordinates'!$A:$E,5,FALSE)</f>
        <v>6315270</v>
      </c>
      <c r="Q468" s="56">
        <f>VLOOKUP($G468,'ZipCode Coordinates'!$A:$E,4,FALSE)</f>
        <v>1951970</v>
      </c>
      <c r="R468" s="56">
        <f>VLOOKUP($G468,'ZipCode Coordinates'!$A:$E,5,FALSE)</f>
        <v>6293830</v>
      </c>
      <c r="S468" s="352" t="str">
        <f>IFERROR(VLOOKUP($M468,'External Gateways'!$C$6:$F$10,2,FALSE),"")</f>
        <v/>
      </c>
      <c r="T468" s="56">
        <f>IFERROR(VLOOKUP($M468,'External Gateways'!$C$6:$F$10,3,FALSE),O468)</f>
        <v>1801570</v>
      </c>
      <c r="U468" s="56">
        <f>IFERROR(VLOOKUP($M468,'External Gateways'!$C$6:$F$10,4,FALSE),P468)</f>
        <v>6315270</v>
      </c>
      <c r="V468" s="353">
        <f t="shared" si="14"/>
        <v>0</v>
      </c>
      <c r="W468" s="353">
        <f t="shared" si="15"/>
        <v>69</v>
      </c>
    </row>
    <row r="469" spans="1:23" ht="15" customHeight="1" x14ac:dyDescent="0.25">
      <c r="A469" s="128">
        <v>2415</v>
      </c>
      <c r="B469" s="129" t="s">
        <v>433</v>
      </c>
      <c r="C469" s="128" t="s">
        <v>3</v>
      </c>
      <c r="D469" s="129" t="s">
        <v>158</v>
      </c>
      <c r="E469" s="129" t="s">
        <v>162</v>
      </c>
      <c r="F469" s="129">
        <v>92563</v>
      </c>
      <c r="G469" s="129">
        <v>92106</v>
      </c>
      <c r="H469" s="130">
        <v>164</v>
      </c>
      <c r="I469" s="129" t="s">
        <v>455</v>
      </c>
      <c r="J469" s="130">
        <v>7</v>
      </c>
      <c r="K469" s="131"/>
      <c r="L469" s="131" t="s">
        <v>3</v>
      </c>
      <c r="M469" s="131" t="s">
        <v>402</v>
      </c>
      <c r="N469" s="131" t="s">
        <v>323</v>
      </c>
      <c r="O469" s="56">
        <f>VLOOKUP($F469,'ZipCode Coordinates'!$A:$E,4,FALSE)</f>
        <v>2156450</v>
      </c>
      <c r="P469" s="56">
        <f>VLOOKUP($F469,'ZipCode Coordinates'!$A:$E,5,FALSE)</f>
        <v>6288710</v>
      </c>
      <c r="Q469" s="56">
        <f>VLOOKUP($G469,'ZipCode Coordinates'!$A:$E,4,FALSE)</f>
        <v>1842660</v>
      </c>
      <c r="R469" s="56">
        <f>VLOOKUP($G469,'ZipCode Coordinates'!$A:$E,5,FALSE)</f>
        <v>6259060</v>
      </c>
      <c r="S469" s="352" t="str">
        <f>IFERROR(VLOOKUP($M469,'External Gateways'!$C$6:$F$10,2,FALSE),"")</f>
        <v>I-15</v>
      </c>
      <c r="T469" s="56">
        <f>IFERROR(VLOOKUP($M469,'External Gateways'!$C$6:$F$10,3,FALSE),O469)</f>
        <v>2102195</v>
      </c>
      <c r="U469" s="56">
        <f>IFERROR(VLOOKUP($M469,'External Gateways'!$C$6:$F$10,4,FALSE),P469)</f>
        <v>6289147</v>
      </c>
      <c r="V469" s="353">
        <f t="shared" si="14"/>
        <v>10.275901494735123</v>
      </c>
      <c r="W469" s="353">
        <f t="shared" si="15"/>
        <v>143.44819701052975</v>
      </c>
    </row>
    <row r="470" spans="1:23" ht="15" customHeight="1" x14ac:dyDescent="0.25">
      <c r="A470" s="128">
        <v>2416</v>
      </c>
      <c r="B470" s="129" t="s">
        <v>258</v>
      </c>
      <c r="C470" s="128" t="s">
        <v>3</v>
      </c>
      <c r="D470" s="129" t="s">
        <v>156</v>
      </c>
      <c r="E470" s="129" t="s">
        <v>162</v>
      </c>
      <c r="F470" s="129">
        <v>92027</v>
      </c>
      <c r="G470" s="129">
        <v>92135</v>
      </c>
      <c r="H470" s="130">
        <v>99</v>
      </c>
      <c r="I470" s="129" t="s">
        <v>401</v>
      </c>
      <c r="J470" s="130">
        <v>7</v>
      </c>
      <c r="K470" s="131">
        <v>1</v>
      </c>
      <c r="L470" s="131" t="s">
        <v>3</v>
      </c>
      <c r="M470" s="131" t="s">
        <v>325</v>
      </c>
      <c r="N470" s="131" t="s">
        <v>323</v>
      </c>
      <c r="O470" s="56">
        <f>VLOOKUP($F470,'ZipCode Coordinates'!$A:$E,4,FALSE)</f>
        <v>1994010</v>
      </c>
      <c r="P470" s="56">
        <f>VLOOKUP($F470,'ZipCode Coordinates'!$A:$E,5,FALSE)</f>
        <v>6337210</v>
      </c>
      <c r="Q470" s="56">
        <f>VLOOKUP($G470,'ZipCode Coordinates'!$A:$E,4,FALSE)</f>
        <v>1835720</v>
      </c>
      <c r="R470" s="56">
        <f>VLOOKUP($G470,'ZipCode Coordinates'!$A:$E,5,FALSE)</f>
        <v>6266670</v>
      </c>
      <c r="S470" s="352" t="str">
        <f>IFERROR(VLOOKUP($M470,'External Gateways'!$C$6:$F$10,2,FALSE),"")</f>
        <v/>
      </c>
      <c r="T470" s="56">
        <f>IFERROR(VLOOKUP($M470,'External Gateways'!$C$6:$F$10,3,FALSE),O470)</f>
        <v>1994010</v>
      </c>
      <c r="U470" s="56">
        <f>IFERROR(VLOOKUP($M470,'External Gateways'!$C$6:$F$10,4,FALSE),P470)</f>
        <v>6337210</v>
      </c>
      <c r="V470" s="353">
        <f t="shared" si="14"/>
        <v>0</v>
      </c>
      <c r="W470" s="353">
        <f t="shared" si="15"/>
        <v>99</v>
      </c>
    </row>
    <row r="471" spans="1:23" ht="15" customHeight="1" x14ac:dyDescent="0.25">
      <c r="A471" s="128">
        <v>2417</v>
      </c>
      <c r="B471" s="129" t="s">
        <v>171</v>
      </c>
      <c r="C471" s="128" t="s">
        <v>166</v>
      </c>
      <c r="D471" s="129" t="s">
        <v>162</v>
      </c>
      <c r="E471" s="129" t="s">
        <v>162</v>
      </c>
      <c r="F471" s="129">
        <v>92154</v>
      </c>
      <c r="G471" s="129">
        <v>92113</v>
      </c>
      <c r="H471" s="130">
        <v>71</v>
      </c>
      <c r="I471" s="129" t="s">
        <v>408</v>
      </c>
      <c r="J471" s="130">
        <v>7</v>
      </c>
      <c r="K471" s="131"/>
      <c r="L471" s="131" t="s">
        <v>5</v>
      </c>
      <c r="M471" s="131" t="s">
        <v>328</v>
      </c>
      <c r="N471" s="131" t="s">
        <v>323</v>
      </c>
      <c r="O471" s="56">
        <f>VLOOKUP($F471,'ZipCode Coordinates'!$A:$E,4,FALSE)</f>
        <v>1787080</v>
      </c>
      <c r="P471" s="56">
        <f>VLOOKUP($F471,'ZipCode Coordinates'!$A:$E,5,FALSE)</f>
        <v>6330680</v>
      </c>
      <c r="Q471" s="56">
        <f>VLOOKUP($G471,'ZipCode Coordinates'!$A:$E,4,FALSE)</f>
        <v>1834470</v>
      </c>
      <c r="R471" s="56">
        <f>VLOOKUP($G471,'ZipCode Coordinates'!$A:$E,5,FALSE)</f>
        <v>6294590</v>
      </c>
      <c r="S471" s="352" t="str">
        <f>IFERROR(VLOOKUP($M471,'External Gateways'!$C$6:$F$10,2,FALSE),"")</f>
        <v/>
      </c>
      <c r="T471" s="56">
        <f>IFERROR(VLOOKUP($M471,'External Gateways'!$C$6:$F$10,3,FALSE),O471)</f>
        <v>1787080</v>
      </c>
      <c r="U471" s="56">
        <f>IFERROR(VLOOKUP($M471,'External Gateways'!$C$6:$F$10,4,FALSE),P471)</f>
        <v>6330680</v>
      </c>
      <c r="V471" s="353">
        <f t="shared" si="14"/>
        <v>0</v>
      </c>
      <c r="W471" s="353">
        <f t="shared" si="15"/>
        <v>71</v>
      </c>
    </row>
    <row r="472" spans="1:23" ht="15" customHeight="1" x14ac:dyDescent="0.25">
      <c r="A472" s="128">
        <v>2418</v>
      </c>
      <c r="B472" s="129" t="s">
        <v>300</v>
      </c>
      <c r="C472" s="128" t="s">
        <v>166</v>
      </c>
      <c r="D472" s="129" t="s">
        <v>197</v>
      </c>
      <c r="E472" s="129" t="s">
        <v>162</v>
      </c>
      <c r="F472" s="129">
        <v>92057</v>
      </c>
      <c r="G472" s="129">
        <v>92101</v>
      </c>
      <c r="H472" s="130">
        <v>71</v>
      </c>
      <c r="I472" s="129" t="s">
        <v>416</v>
      </c>
      <c r="J472" s="130">
        <v>7</v>
      </c>
      <c r="K472" s="131"/>
      <c r="L472" s="131" t="s">
        <v>5</v>
      </c>
      <c r="M472" s="131" t="s">
        <v>324</v>
      </c>
      <c r="N472" s="131" t="s">
        <v>323</v>
      </c>
      <c r="O472" s="56">
        <f>VLOOKUP($F472,'ZipCode Coordinates'!$A:$E,4,FALSE)</f>
        <v>2037040</v>
      </c>
      <c r="P472" s="56">
        <f>VLOOKUP($F472,'ZipCode Coordinates'!$A:$E,5,FALSE)</f>
        <v>6243630</v>
      </c>
      <c r="Q472" s="56">
        <f>VLOOKUP($G472,'ZipCode Coordinates'!$A:$E,4,FALSE)</f>
        <v>1844080</v>
      </c>
      <c r="R472" s="56">
        <f>VLOOKUP($G472,'ZipCode Coordinates'!$A:$E,5,FALSE)</f>
        <v>6278770</v>
      </c>
      <c r="S472" s="352" t="str">
        <f>IFERROR(VLOOKUP($M472,'External Gateways'!$C$6:$F$10,2,FALSE),"")</f>
        <v/>
      </c>
      <c r="T472" s="56">
        <f>IFERROR(VLOOKUP($M472,'External Gateways'!$C$6:$F$10,3,FALSE),O472)</f>
        <v>2037040</v>
      </c>
      <c r="U472" s="56">
        <f>IFERROR(VLOOKUP($M472,'External Gateways'!$C$6:$F$10,4,FALSE),P472)</f>
        <v>6243630</v>
      </c>
      <c r="V472" s="353">
        <f t="shared" si="14"/>
        <v>0</v>
      </c>
      <c r="W472" s="353">
        <f t="shared" si="15"/>
        <v>71</v>
      </c>
    </row>
    <row r="473" spans="1:23" ht="15" customHeight="1" x14ac:dyDescent="0.25">
      <c r="A473" s="128">
        <v>2419</v>
      </c>
      <c r="B473" s="129" t="s">
        <v>253</v>
      </c>
      <c r="C473" s="128" t="s">
        <v>3</v>
      </c>
      <c r="D473" s="129" t="s">
        <v>158</v>
      </c>
      <c r="E473" s="129" t="s">
        <v>162</v>
      </c>
      <c r="F473" s="129">
        <v>92562</v>
      </c>
      <c r="G473" s="129">
        <v>92145</v>
      </c>
      <c r="H473" s="130">
        <v>106</v>
      </c>
      <c r="I473" s="129" t="s">
        <v>401</v>
      </c>
      <c r="J473" s="130">
        <v>7</v>
      </c>
      <c r="K473" s="131"/>
      <c r="L473" s="131" t="s">
        <v>3</v>
      </c>
      <c r="M473" s="131" t="s">
        <v>402</v>
      </c>
      <c r="N473" s="131" t="s">
        <v>327</v>
      </c>
      <c r="O473" s="56">
        <f>VLOOKUP($F473,'ZipCode Coordinates'!$A:$E,4,FALSE)</f>
        <v>2144470</v>
      </c>
      <c r="P473" s="56">
        <f>VLOOKUP($F473,'ZipCode Coordinates'!$A:$E,5,FALSE)</f>
        <v>6251450</v>
      </c>
      <c r="Q473" s="56">
        <f>VLOOKUP($G473,'ZipCode Coordinates'!$A:$E,4,FALSE)</f>
        <v>1896720</v>
      </c>
      <c r="R473" s="56">
        <f>VLOOKUP($G473,'ZipCode Coordinates'!$A:$E,5,FALSE)</f>
        <v>6297440</v>
      </c>
      <c r="S473" s="352" t="str">
        <f>IFERROR(VLOOKUP($M473,'External Gateways'!$C$6:$F$10,2,FALSE),"")</f>
        <v>I-15</v>
      </c>
      <c r="T473" s="56">
        <f>IFERROR(VLOOKUP($M473,'External Gateways'!$C$6:$F$10,3,FALSE),O473)</f>
        <v>2102195</v>
      </c>
      <c r="U473" s="56">
        <f>IFERROR(VLOOKUP($M473,'External Gateways'!$C$6:$F$10,4,FALSE),P473)</f>
        <v>6289147</v>
      </c>
      <c r="V473" s="353">
        <f t="shared" si="14"/>
        <v>10.727523233277124</v>
      </c>
      <c r="W473" s="353">
        <f t="shared" si="15"/>
        <v>84.544953533445749</v>
      </c>
    </row>
    <row r="474" spans="1:23" ht="15" customHeight="1" x14ac:dyDescent="0.25">
      <c r="A474" s="128">
        <v>2420</v>
      </c>
      <c r="B474" s="129" t="s">
        <v>300</v>
      </c>
      <c r="C474" s="128" t="s">
        <v>166</v>
      </c>
      <c r="D474" s="129" t="s">
        <v>165</v>
      </c>
      <c r="E474" s="129" t="s">
        <v>162</v>
      </c>
      <c r="F474" s="129">
        <v>91914</v>
      </c>
      <c r="G474" s="129">
        <v>92123</v>
      </c>
      <c r="H474" s="130">
        <v>57</v>
      </c>
      <c r="I474" s="129" t="s">
        <v>408</v>
      </c>
      <c r="J474" s="130">
        <v>7</v>
      </c>
      <c r="K474" s="131"/>
      <c r="L474" s="131" t="s">
        <v>5</v>
      </c>
      <c r="M474" s="131" t="s">
        <v>326</v>
      </c>
      <c r="N474" s="131" t="s">
        <v>327</v>
      </c>
      <c r="O474" s="56">
        <f>VLOOKUP($F474,'ZipCode Coordinates'!$A:$E,4,FALSE)</f>
        <v>1823440</v>
      </c>
      <c r="P474" s="56">
        <f>VLOOKUP($F474,'ZipCode Coordinates'!$A:$E,5,FALSE)</f>
        <v>6346410</v>
      </c>
      <c r="Q474" s="56">
        <f>VLOOKUP($G474,'ZipCode Coordinates'!$A:$E,4,FALSE)</f>
        <v>1874700</v>
      </c>
      <c r="R474" s="56">
        <f>VLOOKUP($G474,'ZipCode Coordinates'!$A:$E,5,FALSE)</f>
        <v>6289760</v>
      </c>
      <c r="S474" s="352" t="str">
        <f>IFERROR(VLOOKUP($M474,'External Gateways'!$C$6:$F$10,2,FALSE),"")</f>
        <v/>
      </c>
      <c r="T474" s="56">
        <f>IFERROR(VLOOKUP($M474,'External Gateways'!$C$6:$F$10,3,FALSE),O474)</f>
        <v>1823440</v>
      </c>
      <c r="U474" s="56">
        <f>IFERROR(VLOOKUP($M474,'External Gateways'!$C$6:$F$10,4,FALSE),P474)</f>
        <v>6346410</v>
      </c>
      <c r="V474" s="353">
        <f t="shared" si="14"/>
        <v>0</v>
      </c>
      <c r="W474" s="353">
        <f t="shared" si="15"/>
        <v>57</v>
      </c>
    </row>
    <row r="475" spans="1:23" ht="15" customHeight="1" x14ac:dyDescent="0.25">
      <c r="A475" s="132">
        <v>2423</v>
      </c>
      <c r="B475" s="129" t="s">
        <v>255</v>
      </c>
      <c r="C475" s="128" t="s">
        <v>68</v>
      </c>
      <c r="D475" s="129" t="s">
        <v>158</v>
      </c>
      <c r="E475" s="129" t="s">
        <v>162</v>
      </c>
      <c r="F475" s="129">
        <v>92563</v>
      </c>
      <c r="G475" s="129">
        <v>92101</v>
      </c>
      <c r="H475" s="130">
        <v>159</v>
      </c>
      <c r="I475" s="129" t="s">
        <v>401</v>
      </c>
      <c r="J475" s="130">
        <v>7</v>
      </c>
      <c r="K475" s="131"/>
      <c r="L475" s="131" t="s">
        <v>68</v>
      </c>
      <c r="M475" s="131" t="s">
        <v>402</v>
      </c>
      <c r="N475" s="131" t="s">
        <v>323</v>
      </c>
      <c r="O475" s="56">
        <f>VLOOKUP($F475,'ZipCode Coordinates'!$A:$E,4,FALSE)</f>
        <v>2156450</v>
      </c>
      <c r="P475" s="56">
        <f>VLOOKUP($F475,'ZipCode Coordinates'!$A:$E,5,FALSE)</f>
        <v>6288710</v>
      </c>
      <c r="Q475" s="56">
        <f>VLOOKUP($G475,'ZipCode Coordinates'!$A:$E,4,FALSE)</f>
        <v>1844080</v>
      </c>
      <c r="R475" s="56">
        <f>VLOOKUP($G475,'ZipCode Coordinates'!$A:$E,5,FALSE)</f>
        <v>6278770</v>
      </c>
      <c r="S475" s="352" t="str">
        <f>IFERROR(VLOOKUP($M475,'External Gateways'!$C$6:$F$10,2,FALSE),"")</f>
        <v>I-15</v>
      </c>
      <c r="T475" s="56">
        <f>IFERROR(VLOOKUP($M475,'External Gateways'!$C$6:$F$10,3,FALSE),O475)</f>
        <v>2102195</v>
      </c>
      <c r="U475" s="56">
        <f>IFERROR(VLOOKUP($M475,'External Gateways'!$C$6:$F$10,4,FALSE),P475)</f>
        <v>6289147</v>
      </c>
      <c r="V475" s="353">
        <f t="shared" si="14"/>
        <v>10.275901494735123</v>
      </c>
      <c r="W475" s="353">
        <f t="shared" si="15"/>
        <v>138.44819701052975</v>
      </c>
    </row>
    <row r="476" spans="1:23" ht="15" customHeight="1" x14ac:dyDescent="0.25">
      <c r="A476" s="128">
        <v>2424</v>
      </c>
      <c r="B476" s="129" t="s">
        <v>451</v>
      </c>
      <c r="C476" s="128" t="s">
        <v>3</v>
      </c>
      <c r="D476" s="129" t="s">
        <v>162</v>
      </c>
      <c r="E476" s="129" t="s">
        <v>162</v>
      </c>
      <c r="F476" s="129">
        <v>92128</v>
      </c>
      <c r="G476" s="129">
        <v>92136</v>
      </c>
      <c r="H476" s="130">
        <v>85</v>
      </c>
      <c r="I476" s="129" t="s">
        <v>468</v>
      </c>
      <c r="J476" s="130">
        <v>7</v>
      </c>
      <c r="K476" s="131"/>
      <c r="L476" s="131" t="s">
        <v>3</v>
      </c>
      <c r="M476" s="131" t="s">
        <v>327</v>
      </c>
      <c r="N476" s="131" t="s">
        <v>323</v>
      </c>
      <c r="O476" s="56">
        <f>VLOOKUP($F476,'ZipCode Coordinates'!$A:$E,4,FALSE)</f>
        <v>1943580</v>
      </c>
      <c r="P476" s="56">
        <f>VLOOKUP($F476,'ZipCode Coordinates'!$A:$E,5,FALSE)</f>
        <v>6309440</v>
      </c>
      <c r="Q476" s="56">
        <f>VLOOKUP($G476,'ZipCode Coordinates'!$A:$E,4,FALSE)</f>
        <v>1828370</v>
      </c>
      <c r="R476" s="56">
        <f>VLOOKUP($G476,'ZipCode Coordinates'!$A:$E,5,FALSE)</f>
        <v>6293940</v>
      </c>
      <c r="S476" s="352" t="str">
        <f>IFERROR(VLOOKUP($M476,'External Gateways'!$C$6:$F$10,2,FALSE),"")</f>
        <v/>
      </c>
      <c r="T476" s="56">
        <f>IFERROR(VLOOKUP($M476,'External Gateways'!$C$6:$F$10,3,FALSE),O476)</f>
        <v>1943580</v>
      </c>
      <c r="U476" s="56">
        <f>IFERROR(VLOOKUP($M476,'External Gateways'!$C$6:$F$10,4,FALSE),P476)</f>
        <v>6309440</v>
      </c>
      <c r="V476" s="353">
        <f t="shared" si="14"/>
        <v>0</v>
      </c>
      <c r="W476" s="353">
        <f t="shared" si="15"/>
        <v>85</v>
      </c>
    </row>
    <row r="477" spans="1:23" ht="15" customHeight="1" x14ac:dyDescent="0.25">
      <c r="A477" s="128">
        <v>2427</v>
      </c>
      <c r="B477" s="129" t="s">
        <v>291</v>
      </c>
      <c r="C477" s="128" t="s">
        <v>163</v>
      </c>
      <c r="D477" s="129" t="s">
        <v>165</v>
      </c>
      <c r="E477" s="129" t="s">
        <v>162</v>
      </c>
      <c r="F477" s="129">
        <v>91910</v>
      </c>
      <c r="G477" s="129">
        <v>92127</v>
      </c>
      <c r="H477" s="130">
        <v>71</v>
      </c>
      <c r="I477" s="129" t="s">
        <v>416</v>
      </c>
      <c r="J477" s="130">
        <v>7</v>
      </c>
      <c r="K477" s="131"/>
      <c r="L477" s="131" t="s">
        <v>5</v>
      </c>
      <c r="M477" s="131" t="s">
        <v>328</v>
      </c>
      <c r="N477" s="131" t="s">
        <v>327</v>
      </c>
      <c r="O477" s="56">
        <f>VLOOKUP($F477,'ZipCode Coordinates'!$A:$E,4,FALSE)</f>
        <v>1812850</v>
      </c>
      <c r="P477" s="56">
        <f>VLOOKUP($F477,'ZipCode Coordinates'!$A:$E,5,FALSE)</f>
        <v>6313650</v>
      </c>
      <c r="Q477" s="56">
        <f>VLOOKUP($G477,'ZipCode Coordinates'!$A:$E,4,FALSE)</f>
        <v>1951970</v>
      </c>
      <c r="R477" s="56">
        <f>VLOOKUP($G477,'ZipCode Coordinates'!$A:$E,5,FALSE)</f>
        <v>6293830</v>
      </c>
      <c r="S477" s="352" t="str">
        <f>IFERROR(VLOOKUP($M477,'External Gateways'!$C$6:$F$10,2,FALSE),"")</f>
        <v/>
      </c>
      <c r="T477" s="56">
        <f>IFERROR(VLOOKUP($M477,'External Gateways'!$C$6:$F$10,3,FALSE),O477)</f>
        <v>1812850</v>
      </c>
      <c r="U477" s="56">
        <f>IFERROR(VLOOKUP($M477,'External Gateways'!$C$6:$F$10,4,FALSE),P477)</f>
        <v>6313650</v>
      </c>
      <c r="V477" s="353">
        <f t="shared" si="14"/>
        <v>0</v>
      </c>
      <c r="W477" s="353">
        <f t="shared" si="15"/>
        <v>71</v>
      </c>
    </row>
    <row r="478" spans="1:23" ht="15" customHeight="1" x14ac:dyDescent="0.25">
      <c r="A478" s="128">
        <v>2428</v>
      </c>
      <c r="B478" s="129" t="s">
        <v>277</v>
      </c>
      <c r="C478" s="128" t="s">
        <v>198</v>
      </c>
      <c r="D478" s="129" t="s">
        <v>158</v>
      </c>
      <c r="E478" s="129" t="s">
        <v>162</v>
      </c>
      <c r="F478" s="129">
        <v>92592</v>
      </c>
      <c r="G478" s="129">
        <v>92121</v>
      </c>
      <c r="H478" s="130">
        <v>115</v>
      </c>
      <c r="I478" s="129" t="s">
        <v>428</v>
      </c>
      <c r="J478" s="130">
        <v>7</v>
      </c>
      <c r="K478" s="131"/>
      <c r="L478" s="131" t="s">
        <v>5</v>
      </c>
      <c r="M478" s="131" t="s">
        <v>402</v>
      </c>
      <c r="N478" s="131" t="s">
        <v>327</v>
      </c>
      <c r="O478" s="56">
        <f>VLOOKUP($F478,'ZipCode Coordinates'!$A:$E,4,FALSE)</f>
        <v>2128740</v>
      </c>
      <c r="P478" s="56">
        <f>VLOOKUP($F478,'ZipCode Coordinates'!$A:$E,5,FALSE)</f>
        <v>6328900</v>
      </c>
      <c r="Q478" s="56">
        <f>VLOOKUP($G478,'ZipCode Coordinates'!$A:$E,4,FALSE)</f>
        <v>1907910</v>
      </c>
      <c r="R478" s="56">
        <f>VLOOKUP($G478,'ZipCode Coordinates'!$A:$E,5,FALSE)</f>
        <v>6269540</v>
      </c>
      <c r="S478" s="352" t="str">
        <f>IFERROR(VLOOKUP($M478,'External Gateways'!$C$6:$F$10,2,FALSE),"")</f>
        <v>I-15</v>
      </c>
      <c r="T478" s="56">
        <f>IFERROR(VLOOKUP($M478,'External Gateways'!$C$6:$F$10,3,FALSE),O478)</f>
        <v>2102195</v>
      </c>
      <c r="U478" s="56">
        <f>IFERROR(VLOOKUP($M478,'External Gateways'!$C$6:$F$10,4,FALSE),P478)</f>
        <v>6289147</v>
      </c>
      <c r="V478" s="353">
        <f t="shared" si="14"/>
        <v>9.0532245169037147</v>
      </c>
      <c r="W478" s="353">
        <f t="shared" si="15"/>
        <v>96.893550966192578</v>
      </c>
    </row>
    <row r="479" spans="1:23" ht="15" customHeight="1" x14ac:dyDescent="0.25">
      <c r="A479" s="128">
        <v>2431</v>
      </c>
      <c r="B479" s="129" t="s">
        <v>267</v>
      </c>
      <c r="C479" s="128" t="s">
        <v>3</v>
      </c>
      <c r="D479" s="129" t="s">
        <v>154</v>
      </c>
      <c r="E479" s="129" t="s">
        <v>162</v>
      </c>
      <c r="F479" s="129">
        <v>92592</v>
      </c>
      <c r="G479" s="129">
        <v>92134</v>
      </c>
      <c r="H479" s="130">
        <v>159</v>
      </c>
      <c r="I479" s="129" t="s">
        <v>401</v>
      </c>
      <c r="J479" s="130">
        <v>7</v>
      </c>
      <c r="K479" s="131"/>
      <c r="L479" s="131" t="s">
        <v>3</v>
      </c>
      <c r="M479" s="131" t="s">
        <v>402</v>
      </c>
      <c r="N479" s="131" t="s">
        <v>323</v>
      </c>
      <c r="O479" s="56">
        <f>VLOOKUP($F479,'ZipCode Coordinates'!$A:$E,4,FALSE)</f>
        <v>2128740</v>
      </c>
      <c r="P479" s="56">
        <f>VLOOKUP($F479,'ZipCode Coordinates'!$A:$E,5,FALSE)</f>
        <v>6328900</v>
      </c>
      <c r="Q479" s="56">
        <f>VLOOKUP($G479,'ZipCode Coordinates'!$A:$E,4,FALSE)</f>
        <v>1845130</v>
      </c>
      <c r="R479" s="56">
        <f>VLOOKUP($G479,'ZipCode Coordinates'!$A:$E,5,FALSE)</f>
        <v>6286040</v>
      </c>
      <c r="S479" s="352" t="str">
        <f>IFERROR(VLOOKUP($M479,'External Gateways'!$C$6:$F$10,2,FALSE),"")</f>
        <v>I-15</v>
      </c>
      <c r="T479" s="56">
        <f>IFERROR(VLOOKUP($M479,'External Gateways'!$C$6:$F$10,3,FALSE),O479)</f>
        <v>2102195</v>
      </c>
      <c r="U479" s="56">
        <f>IFERROR(VLOOKUP($M479,'External Gateways'!$C$6:$F$10,4,FALSE),P479)</f>
        <v>6289147</v>
      </c>
      <c r="V479" s="353">
        <f t="shared" si="14"/>
        <v>9.0532245169037147</v>
      </c>
      <c r="W479" s="353">
        <f t="shared" si="15"/>
        <v>140.89355096619258</v>
      </c>
    </row>
    <row r="480" spans="1:23" ht="15" customHeight="1" x14ac:dyDescent="0.25">
      <c r="A480" s="128">
        <v>2433</v>
      </c>
      <c r="B480" s="129" t="s">
        <v>258</v>
      </c>
      <c r="C480" s="128" t="s">
        <v>3</v>
      </c>
      <c r="D480" s="129" t="s">
        <v>154</v>
      </c>
      <c r="E480" s="129" t="s">
        <v>162</v>
      </c>
      <c r="F480" s="129">
        <v>92592</v>
      </c>
      <c r="G480" s="129">
        <v>92135</v>
      </c>
      <c r="H480" s="130">
        <v>159</v>
      </c>
      <c r="I480" s="129" t="s">
        <v>432</v>
      </c>
      <c r="J480" s="130">
        <v>7</v>
      </c>
      <c r="K480" s="131"/>
      <c r="L480" s="131" t="s">
        <v>3</v>
      </c>
      <c r="M480" s="131" t="s">
        <v>402</v>
      </c>
      <c r="N480" s="131" t="s">
        <v>323</v>
      </c>
      <c r="O480" s="56">
        <f>VLOOKUP($F480,'ZipCode Coordinates'!$A:$E,4,FALSE)</f>
        <v>2128740</v>
      </c>
      <c r="P480" s="56">
        <f>VLOOKUP($F480,'ZipCode Coordinates'!$A:$E,5,FALSE)</f>
        <v>6328900</v>
      </c>
      <c r="Q480" s="56">
        <f>VLOOKUP($G480,'ZipCode Coordinates'!$A:$E,4,FALSE)</f>
        <v>1835720</v>
      </c>
      <c r="R480" s="56">
        <f>VLOOKUP($G480,'ZipCode Coordinates'!$A:$E,5,FALSE)</f>
        <v>6266670</v>
      </c>
      <c r="S480" s="352" t="str">
        <f>IFERROR(VLOOKUP($M480,'External Gateways'!$C$6:$F$10,2,FALSE),"")</f>
        <v>I-15</v>
      </c>
      <c r="T480" s="56">
        <f>IFERROR(VLOOKUP($M480,'External Gateways'!$C$6:$F$10,3,FALSE),O480)</f>
        <v>2102195</v>
      </c>
      <c r="U480" s="56">
        <f>IFERROR(VLOOKUP($M480,'External Gateways'!$C$6:$F$10,4,FALSE),P480)</f>
        <v>6289147</v>
      </c>
      <c r="V480" s="353">
        <f t="shared" si="14"/>
        <v>9.0532245169037147</v>
      </c>
      <c r="W480" s="353">
        <f t="shared" si="15"/>
        <v>140.89355096619258</v>
      </c>
    </row>
    <row r="481" spans="1:23" ht="15" customHeight="1" x14ac:dyDescent="0.25">
      <c r="A481" s="128">
        <v>2436</v>
      </c>
      <c r="B481" s="129" t="s">
        <v>451</v>
      </c>
      <c r="C481" s="128" t="s">
        <v>3</v>
      </c>
      <c r="D481" s="129" t="s">
        <v>158</v>
      </c>
      <c r="E481" s="129" t="s">
        <v>162</v>
      </c>
      <c r="F481" s="129">
        <v>92563</v>
      </c>
      <c r="G481" s="129">
        <v>92136</v>
      </c>
      <c r="H481" s="130">
        <v>160</v>
      </c>
      <c r="I481" s="129" t="s">
        <v>408</v>
      </c>
      <c r="J481" s="130">
        <v>7</v>
      </c>
      <c r="K481" s="131"/>
      <c r="L481" s="131" t="s">
        <v>3</v>
      </c>
      <c r="M481" s="131" t="s">
        <v>402</v>
      </c>
      <c r="N481" s="131" t="s">
        <v>323</v>
      </c>
      <c r="O481" s="56">
        <f>VLOOKUP($F481,'ZipCode Coordinates'!$A:$E,4,FALSE)</f>
        <v>2156450</v>
      </c>
      <c r="P481" s="56">
        <f>VLOOKUP($F481,'ZipCode Coordinates'!$A:$E,5,FALSE)</f>
        <v>6288710</v>
      </c>
      <c r="Q481" s="56">
        <f>VLOOKUP($G481,'ZipCode Coordinates'!$A:$E,4,FALSE)</f>
        <v>1828370</v>
      </c>
      <c r="R481" s="56">
        <f>VLOOKUP($G481,'ZipCode Coordinates'!$A:$E,5,FALSE)</f>
        <v>6293940</v>
      </c>
      <c r="S481" s="352" t="str">
        <f>IFERROR(VLOOKUP($M481,'External Gateways'!$C$6:$F$10,2,FALSE),"")</f>
        <v>I-15</v>
      </c>
      <c r="T481" s="56">
        <f>IFERROR(VLOOKUP($M481,'External Gateways'!$C$6:$F$10,3,FALSE),O481)</f>
        <v>2102195</v>
      </c>
      <c r="U481" s="56">
        <f>IFERROR(VLOOKUP($M481,'External Gateways'!$C$6:$F$10,4,FALSE),P481)</f>
        <v>6289147</v>
      </c>
      <c r="V481" s="353">
        <f t="shared" si="14"/>
        <v>10.275901494735123</v>
      </c>
      <c r="W481" s="353">
        <f t="shared" si="15"/>
        <v>139.44819701052975</v>
      </c>
    </row>
    <row r="482" spans="1:23" ht="15" customHeight="1" x14ac:dyDescent="0.25">
      <c r="A482" s="128">
        <v>2439</v>
      </c>
      <c r="B482" s="129" t="s">
        <v>291</v>
      </c>
      <c r="C482" s="128" t="s">
        <v>163</v>
      </c>
      <c r="D482" s="129" t="s">
        <v>203</v>
      </c>
      <c r="E482" s="129" t="s">
        <v>162</v>
      </c>
      <c r="F482" s="129">
        <v>91950</v>
      </c>
      <c r="G482" s="129">
        <v>92127</v>
      </c>
      <c r="H482" s="130">
        <v>83</v>
      </c>
      <c r="I482" s="129" t="s">
        <v>416</v>
      </c>
      <c r="J482" s="130">
        <v>7</v>
      </c>
      <c r="K482" s="131"/>
      <c r="L482" s="131" t="s">
        <v>5</v>
      </c>
      <c r="M482" s="131" t="s">
        <v>323</v>
      </c>
      <c r="N482" s="131" t="s">
        <v>327</v>
      </c>
      <c r="O482" s="56">
        <f>VLOOKUP($F482,'ZipCode Coordinates'!$A:$E,4,FALSE)</f>
        <v>1823970</v>
      </c>
      <c r="P482" s="56">
        <f>VLOOKUP($F482,'ZipCode Coordinates'!$A:$E,5,FALSE)</f>
        <v>6302610</v>
      </c>
      <c r="Q482" s="56">
        <f>VLOOKUP($G482,'ZipCode Coordinates'!$A:$E,4,FALSE)</f>
        <v>1951970</v>
      </c>
      <c r="R482" s="56">
        <f>VLOOKUP($G482,'ZipCode Coordinates'!$A:$E,5,FALSE)</f>
        <v>6293830</v>
      </c>
      <c r="S482" s="352" t="str">
        <f>IFERROR(VLOOKUP($M482,'External Gateways'!$C$6:$F$10,2,FALSE),"")</f>
        <v/>
      </c>
      <c r="T482" s="56">
        <f>IFERROR(VLOOKUP($M482,'External Gateways'!$C$6:$F$10,3,FALSE),O482)</f>
        <v>1823970</v>
      </c>
      <c r="U482" s="56">
        <f>IFERROR(VLOOKUP($M482,'External Gateways'!$C$6:$F$10,4,FALSE),P482)</f>
        <v>6302610</v>
      </c>
      <c r="V482" s="353">
        <f t="shared" si="14"/>
        <v>0</v>
      </c>
      <c r="W482" s="353">
        <f t="shared" si="15"/>
        <v>83</v>
      </c>
    </row>
    <row r="483" spans="1:23" ht="15" customHeight="1" x14ac:dyDescent="0.25">
      <c r="A483" s="128">
        <v>2440</v>
      </c>
      <c r="B483" s="129" t="s">
        <v>315</v>
      </c>
      <c r="C483" s="128" t="s">
        <v>68</v>
      </c>
      <c r="D483" s="129" t="s">
        <v>173</v>
      </c>
      <c r="E483" s="129" t="s">
        <v>174</v>
      </c>
      <c r="F483" s="129">
        <v>92553</v>
      </c>
      <c r="G483" s="129">
        <v>92173</v>
      </c>
      <c r="H483" s="130">
        <v>185</v>
      </c>
      <c r="I483" s="129" t="s">
        <v>491</v>
      </c>
      <c r="J483" s="130">
        <v>12</v>
      </c>
      <c r="K483" s="131"/>
      <c r="L483" s="131" t="s">
        <v>68</v>
      </c>
      <c r="M483" s="131" t="s">
        <v>402</v>
      </c>
      <c r="N483" s="131" t="s">
        <v>328</v>
      </c>
      <c r="O483" s="56">
        <f>VLOOKUP($F483,'ZipCode Coordinates'!$A:$E,4,FALSE)</f>
        <v>2280950</v>
      </c>
      <c r="P483" s="56">
        <f>VLOOKUP($F483,'ZipCode Coordinates'!$A:$E,5,FALSE)</f>
        <v>6259720</v>
      </c>
      <c r="Q483" s="56">
        <f>VLOOKUP($G483,'ZipCode Coordinates'!$A:$E,4,FALSE)</f>
        <v>1782600</v>
      </c>
      <c r="R483" s="56">
        <f>VLOOKUP($G483,'ZipCode Coordinates'!$A:$E,5,FALSE)</f>
        <v>6315070</v>
      </c>
      <c r="S483" s="352" t="str">
        <f>IFERROR(VLOOKUP($M483,'External Gateways'!$C$6:$F$10,2,FALSE),"")</f>
        <v>I-15</v>
      </c>
      <c r="T483" s="56">
        <f>IFERROR(VLOOKUP($M483,'External Gateways'!$C$6:$F$10,3,FALSE),O483)</f>
        <v>2102195</v>
      </c>
      <c r="U483" s="56">
        <f>IFERROR(VLOOKUP($M483,'External Gateways'!$C$6:$F$10,4,FALSE),P483)</f>
        <v>6289147</v>
      </c>
      <c r="V483" s="353">
        <f t="shared" si="14"/>
        <v>34.310790453656878</v>
      </c>
      <c r="W483" s="353">
        <f t="shared" si="15"/>
        <v>116.37841909268624</v>
      </c>
    </row>
    <row r="484" spans="1:23" ht="15" customHeight="1" x14ac:dyDescent="0.25">
      <c r="A484" s="335">
        <v>2443</v>
      </c>
      <c r="B484" s="336" t="s">
        <v>227</v>
      </c>
      <c r="C484" s="56" t="s">
        <v>198</v>
      </c>
      <c r="D484" s="336" t="s">
        <v>193</v>
      </c>
      <c r="E484" s="336" t="s">
        <v>206</v>
      </c>
      <c r="F484" s="336">
        <v>92881</v>
      </c>
      <c r="G484" s="336">
        <v>92064</v>
      </c>
      <c r="H484" s="336">
        <v>103</v>
      </c>
      <c r="I484" s="336" t="s">
        <v>489</v>
      </c>
      <c r="J484" s="336">
        <v>10</v>
      </c>
      <c r="K484" s="336"/>
      <c r="L484" s="336" t="s">
        <v>5</v>
      </c>
      <c r="M484" s="337" t="s">
        <v>402</v>
      </c>
      <c r="N484" s="337" t="s">
        <v>327</v>
      </c>
      <c r="O484" s="56">
        <f>VLOOKUP($F484,'ZipCode Coordinates'!$A:$E,4,FALSE)</f>
        <v>2251800</v>
      </c>
      <c r="P484" s="56">
        <f>VLOOKUP($F484,'ZipCode Coordinates'!$A:$E,5,FALSE)</f>
        <v>6183190</v>
      </c>
      <c r="Q484" s="56">
        <f>VLOOKUP($G484,'ZipCode Coordinates'!$A:$E,4,FALSE)</f>
        <v>1939040</v>
      </c>
      <c r="R484" s="56">
        <f>VLOOKUP($G484,'ZipCode Coordinates'!$A:$E,5,FALSE)</f>
        <v>6325350</v>
      </c>
      <c r="S484" s="352" t="str">
        <f>IFERROR(VLOOKUP($M484,'External Gateways'!$C$6:$F$10,2,FALSE),"")</f>
        <v>I-15</v>
      </c>
      <c r="T484" s="56">
        <f>IFERROR(VLOOKUP($M484,'External Gateways'!$C$6:$F$10,3,FALSE),O484)</f>
        <v>2102195</v>
      </c>
      <c r="U484" s="56">
        <f>IFERROR(VLOOKUP($M484,'External Gateways'!$C$6:$F$10,4,FALSE),P484)</f>
        <v>6289147</v>
      </c>
      <c r="V484" s="353">
        <f t="shared" si="14"/>
        <v>34.720895111575949</v>
      </c>
      <c r="W484" s="353">
        <f t="shared" si="15"/>
        <v>33.558209776848102</v>
      </c>
    </row>
    <row r="485" spans="1:23" ht="15" customHeight="1" x14ac:dyDescent="0.25">
      <c r="A485" s="128">
        <v>2445</v>
      </c>
      <c r="B485" s="129" t="s">
        <v>292</v>
      </c>
      <c r="C485" s="128" t="s">
        <v>163</v>
      </c>
      <c r="D485" s="129" t="s">
        <v>281</v>
      </c>
      <c r="E485" s="129" t="s">
        <v>162</v>
      </c>
      <c r="F485" s="129">
        <v>91945</v>
      </c>
      <c r="G485" s="129">
        <v>92121</v>
      </c>
      <c r="H485" s="130">
        <v>71</v>
      </c>
      <c r="I485" s="129" t="s">
        <v>416</v>
      </c>
      <c r="J485" s="130">
        <v>7</v>
      </c>
      <c r="K485" s="131"/>
      <c r="L485" s="131" t="s">
        <v>5</v>
      </c>
      <c r="M485" s="131" t="s">
        <v>326</v>
      </c>
      <c r="N485" s="131" t="s">
        <v>327</v>
      </c>
      <c r="O485" s="56">
        <f>VLOOKUP($F485,'ZipCode Coordinates'!$A:$E,4,FALSE)</f>
        <v>1847470</v>
      </c>
      <c r="P485" s="56">
        <f>VLOOKUP($F485,'ZipCode Coordinates'!$A:$E,5,FALSE)</f>
        <v>6320620</v>
      </c>
      <c r="Q485" s="56">
        <f>VLOOKUP($G485,'ZipCode Coordinates'!$A:$E,4,FALSE)</f>
        <v>1907910</v>
      </c>
      <c r="R485" s="56">
        <f>VLOOKUP($G485,'ZipCode Coordinates'!$A:$E,5,FALSE)</f>
        <v>6269540</v>
      </c>
      <c r="S485" s="352" t="str">
        <f>IFERROR(VLOOKUP($M485,'External Gateways'!$C$6:$F$10,2,FALSE),"")</f>
        <v/>
      </c>
      <c r="T485" s="56">
        <f>IFERROR(VLOOKUP($M485,'External Gateways'!$C$6:$F$10,3,FALSE),O485)</f>
        <v>1847470</v>
      </c>
      <c r="U485" s="56">
        <f>IFERROR(VLOOKUP($M485,'External Gateways'!$C$6:$F$10,4,FALSE),P485)</f>
        <v>6320620</v>
      </c>
      <c r="V485" s="353">
        <f t="shared" si="14"/>
        <v>0</v>
      </c>
      <c r="W485" s="353">
        <f t="shared" si="15"/>
        <v>71</v>
      </c>
    </row>
    <row r="486" spans="1:23" ht="15" customHeight="1" x14ac:dyDescent="0.25">
      <c r="A486" s="128">
        <v>2446</v>
      </c>
      <c r="B486" s="129" t="s">
        <v>315</v>
      </c>
      <c r="C486" s="128" t="s">
        <v>68</v>
      </c>
      <c r="D486" s="129" t="s">
        <v>234</v>
      </c>
      <c r="E486" s="129" t="s">
        <v>405</v>
      </c>
      <c r="F486" s="129">
        <v>92251</v>
      </c>
      <c r="G486" s="129">
        <v>91905</v>
      </c>
      <c r="H486" s="130">
        <v>160</v>
      </c>
      <c r="I486" s="129" t="s">
        <v>416</v>
      </c>
      <c r="J486" s="130">
        <v>7</v>
      </c>
      <c r="K486" s="131"/>
      <c r="L486" s="131" t="s">
        <v>68</v>
      </c>
      <c r="M486" s="131" t="s">
        <v>431</v>
      </c>
      <c r="N486" s="131" t="s">
        <v>329</v>
      </c>
      <c r="O486" s="56">
        <f>VLOOKUP($F486,'ZipCode Coordinates'!$A:$E,4,FALSE)</f>
        <v>1897340</v>
      </c>
      <c r="P486" s="56">
        <f>VLOOKUP($F486,'ZipCode Coordinates'!$A:$E,5,FALSE)</f>
        <v>6754590</v>
      </c>
      <c r="Q486" s="56">
        <f>VLOOKUP($G486,'ZipCode Coordinates'!$A:$E,4,FALSE)</f>
        <v>1844120</v>
      </c>
      <c r="R486" s="56">
        <f>VLOOKUP($G486,'ZipCode Coordinates'!$A:$E,5,FALSE)</f>
        <v>6545720</v>
      </c>
      <c r="S486" s="352" t="str">
        <f>IFERROR(VLOOKUP($M486,'External Gateways'!$C$6:$F$10,2,FALSE),"")</f>
        <v>I-8</v>
      </c>
      <c r="T486" s="56">
        <f>IFERROR(VLOOKUP($M486,'External Gateways'!$C$6:$F$10,3,FALSE),O486)</f>
        <v>1814524</v>
      </c>
      <c r="U486" s="56">
        <f>IFERROR(VLOOKUP($M486,'External Gateways'!$C$6:$F$10,4,FALSE),P486)</f>
        <v>6606089</v>
      </c>
      <c r="V486" s="353">
        <f t="shared" si="14"/>
        <v>32.203117091946467</v>
      </c>
      <c r="W486" s="353">
        <f t="shared" si="15"/>
        <v>95.593765816107066</v>
      </c>
    </row>
    <row r="487" spans="1:23" ht="15" customHeight="1" x14ac:dyDescent="0.25">
      <c r="A487" s="128">
        <v>2447</v>
      </c>
      <c r="B487" s="129" t="s">
        <v>82</v>
      </c>
      <c r="C487" s="128" t="s">
        <v>3</v>
      </c>
      <c r="D487" s="129" t="s">
        <v>154</v>
      </c>
      <c r="E487" s="129" t="s">
        <v>82</v>
      </c>
      <c r="F487" s="129">
        <v>92591</v>
      </c>
      <c r="G487" s="129">
        <v>92055</v>
      </c>
      <c r="H487" s="130">
        <v>134</v>
      </c>
      <c r="I487" s="129" t="s">
        <v>427</v>
      </c>
      <c r="J487" s="130">
        <v>7</v>
      </c>
      <c r="K487" s="131"/>
      <c r="L487" s="131" t="s">
        <v>3</v>
      </c>
      <c r="M487" s="131" t="s">
        <v>402</v>
      </c>
      <c r="N487" s="131" t="s">
        <v>324</v>
      </c>
      <c r="O487" s="56">
        <f>VLOOKUP($F487,'ZipCode Coordinates'!$A:$E,4,FALSE)</f>
        <v>2138420</v>
      </c>
      <c r="P487" s="56">
        <f>VLOOKUP($F487,'ZipCode Coordinates'!$A:$E,5,FALSE)</f>
        <v>6299220</v>
      </c>
      <c r="Q487" s="56">
        <f>VLOOKUP($G487,'ZipCode Coordinates'!$A:$E,4,FALSE)</f>
        <v>2082470</v>
      </c>
      <c r="R487" s="56">
        <f>VLOOKUP($G487,'ZipCode Coordinates'!$A:$E,5,FALSE)</f>
        <v>6206470</v>
      </c>
      <c r="S487" s="352" t="str">
        <f>IFERROR(VLOOKUP($M487,'External Gateways'!$C$6:$F$10,2,FALSE),"")</f>
        <v>I-15</v>
      </c>
      <c r="T487" s="56">
        <f>IFERROR(VLOOKUP($M487,'External Gateways'!$C$6:$F$10,3,FALSE),O487)</f>
        <v>2102195</v>
      </c>
      <c r="U487" s="56">
        <f>IFERROR(VLOOKUP($M487,'External Gateways'!$C$6:$F$10,4,FALSE),P487)</f>
        <v>6289147</v>
      </c>
      <c r="V487" s="353">
        <f t="shared" si="14"/>
        <v>7.1211011888925713</v>
      </c>
      <c r="W487" s="353">
        <f t="shared" si="15"/>
        <v>119.75779762221485</v>
      </c>
    </row>
    <row r="488" spans="1:23" ht="15" customHeight="1" x14ac:dyDescent="0.25">
      <c r="A488" s="128">
        <v>2448</v>
      </c>
      <c r="B488" s="129" t="s">
        <v>171</v>
      </c>
      <c r="C488" s="128" t="s">
        <v>166</v>
      </c>
      <c r="D488" s="129" t="s">
        <v>174</v>
      </c>
      <c r="E488" s="129" t="s">
        <v>162</v>
      </c>
      <c r="F488" s="129">
        <v>92173</v>
      </c>
      <c r="G488" s="129">
        <v>92113</v>
      </c>
      <c r="H488" s="130">
        <v>65</v>
      </c>
      <c r="I488" s="129" t="s">
        <v>416</v>
      </c>
      <c r="J488" s="130">
        <v>7</v>
      </c>
      <c r="K488" s="131"/>
      <c r="L488" s="131" t="s">
        <v>5</v>
      </c>
      <c r="M488" s="131" t="s">
        <v>328</v>
      </c>
      <c r="N488" s="131" t="s">
        <v>323</v>
      </c>
      <c r="O488" s="56">
        <f>VLOOKUP($F488,'ZipCode Coordinates'!$A:$E,4,FALSE)</f>
        <v>1782600</v>
      </c>
      <c r="P488" s="56">
        <f>VLOOKUP($F488,'ZipCode Coordinates'!$A:$E,5,FALSE)</f>
        <v>6315070</v>
      </c>
      <c r="Q488" s="56">
        <f>VLOOKUP($G488,'ZipCode Coordinates'!$A:$E,4,FALSE)</f>
        <v>1834470</v>
      </c>
      <c r="R488" s="56">
        <f>VLOOKUP($G488,'ZipCode Coordinates'!$A:$E,5,FALSE)</f>
        <v>6294590</v>
      </c>
      <c r="S488" s="352" t="str">
        <f>IFERROR(VLOOKUP($M488,'External Gateways'!$C$6:$F$10,2,FALSE),"")</f>
        <v/>
      </c>
      <c r="T488" s="56">
        <f>IFERROR(VLOOKUP($M488,'External Gateways'!$C$6:$F$10,3,FALSE),O488)</f>
        <v>1782600</v>
      </c>
      <c r="U488" s="56">
        <f>IFERROR(VLOOKUP($M488,'External Gateways'!$C$6:$F$10,4,FALSE),P488)</f>
        <v>6315070</v>
      </c>
      <c r="V488" s="353">
        <f t="shared" si="14"/>
        <v>0</v>
      </c>
      <c r="W488" s="353">
        <f t="shared" si="15"/>
        <v>65</v>
      </c>
    </row>
    <row r="489" spans="1:23" ht="15" customHeight="1" x14ac:dyDescent="0.25">
      <c r="A489" s="128">
        <v>2455</v>
      </c>
      <c r="B489" s="129" t="s">
        <v>275</v>
      </c>
      <c r="C489" s="128" t="s">
        <v>163</v>
      </c>
      <c r="D489" s="129" t="s">
        <v>154</v>
      </c>
      <c r="E489" s="129" t="s">
        <v>156</v>
      </c>
      <c r="F489" s="129">
        <v>92592</v>
      </c>
      <c r="G489" s="129">
        <v>92029</v>
      </c>
      <c r="H489" s="130">
        <v>103</v>
      </c>
      <c r="I489" s="129" t="s">
        <v>401</v>
      </c>
      <c r="J489" s="130">
        <v>7</v>
      </c>
      <c r="K489" s="131"/>
      <c r="L489" s="131" t="s">
        <v>5</v>
      </c>
      <c r="M489" s="131" t="s">
        <v>402</v>
      </c>
      <c r="N489" s="131" t="s">
        <v>325</v>
      </c>
      <c r="O489" s="56">
        <f>VLOOKUP($F489,'ZipCode Coordinates'!$A:$E,4,FALSE)</f>
        <v>2128740</v>
      </c>
      <c r="P489" s="56">
        <f>VLOOKUP($F489,'ZipCode Coordinates'!$A:$E,5,FALSE)</f>
        <v>6328900</v>
      </c>
      <c r="Q489" s="56">
        <f>VLOOKUP($G489,'ZipCode Coordinates'!$A:$E,4,FALSE)</f>
        <v>1974260</v>
      </c>
      <c r="R489" s="56">
        <f>VLOOKUP($G489,'ZipCode Coordinates'!$A:$E,5,FALSE)</f>
        <v>6291680</v>
      </c>
      <c r="S489" s="352" t="str">
        <f>IFERROR(VLOOKUP($M489,'External Gateways'!$C$6:$F$10,2,FALSE),"")</f>
        <v>I-15</v>
      </c>
      <c r="T489" s="56">
        <f>IFERROR(VLOOKUP($M489,'External Gateways'!$C$6:$F$10,3,FALSE),O489)</f>
        <v>2102195</v>
      </c>
      <c r="U489" s="56">
        <f>IFERROR(VLOOKUP($M489,'External Gateways'!$C$6:$F$10,4,FALSE),P489)</f>
        <v>6289147</v>
      </c>
      <c r="V489" s="353">
        <f t="shared" si="14"/>
        <v>9.0532245169037147</v>
      </c>
      <c r="W489" s="353">
        <f t="shared" si="15"/>
        <v>84.893550966192578</v>
      </c>
    </row>
    <row r="490" spans="1:23" ht="15" customHeight="1" x14ac:dyDescent="0.25">
      <c r="A490" s="128">
        <v>2456</v>
      </c>
      <c r="B490" s="129" t="s">
        <v>238</v>
      </c>
      <c r="C490" s="128" t="s">
        <v>198</v>
      </c>
      <c r="D490" s="129" t="s">
        <v>154</v>
      </c>
      <c r="E490" s="129" t="s">
        <v>162</v>
      </c>
      <c r="F490" s="129">
        <v>92591</v>
      </c>
      <c r="G490" s="129">
        <v>92122</v>
      </c>
      <c r="H490" s="130">
        <v>131</v>
      </c>
      <c r="I490" s="129" t="s">
        <v>423</v>
      </c>
      <c r="J490" s="130">
        <v>8</v>
      </c>
      <c r="K490" s="131"/>
      <c r="L490" s="131" t="s">
        <v>5</v>
      </c>
      <c r="M490" s="131" t="s">
        <v>402</v>
      </c>
      <c r="N490" s="131" t="s">
        <v>327</v>
      </c>
      <c r="O490" s="56">
        <f>VLOOKUP($F490,'ZipCode Coordinates'!$A:$E,4,FALSE)</f>
        <v>2138420</v>
      </c>
      <c r="P490" s="56">
        <f>VLOOKUP($F490,'ZipCode Coordinates'!$A:$E,5,FALSE)</f>
        <v>6299220</v>
      </c>
      <c r="Q490" s="56">
        <f>VLOOKUP($G490,'ZipCode Coordinates'!$A:$E,4,FALSE)</f>
        <v>1893170</v>
      </c>
      <c r="R490" s="56">
        <f>VLOOKUP($G490,'ZipCode Coordinates'!$A:$E,5,FALSE)</f>
        <v>6267940</v>
      </c>
      <c r="S490" s="352" t="str">
        <f>IFERROR(VLOOKUP($M490,'External Gateways'!$C$6:$F$10,2,FALSE),"")</f>
        <v>I-15</v>
      </c>
      <c r="T490" s="56">
        <f>IFERROR(VLOOKUP($M490,'External Gateways'!$C$6:$F$10,3,FALSE),O490)</f>
        <v>2102195</v>
      </c>
      <c r="U490" s="56">
        <f>IFERROR(VLOOKUP($M490,'External Gateways'!$C$6:$F$10,4,FALSE),P490)</f>
        <v>6289147</v>
      </c>
      <c r="V490" s="353">
        <f t="shared" si="14"/>
        <v>7.1211011888925713</v>
      </c>
      <c r="W490" s="353">
        <f t="shared" si="15"/>
        <v>116.75779762221485</v>
      </c>
    </row>
    <row r="491" spans="1:23" ht="15" customHeight="1" x14ac:dyDescent="0.25">
      <c r="A491" s="128">
        <v>2457</v>
      </c>
      <c r="B491" s="129" t="s">
        <v>82</v>
      </c>
      <c r="C491" s="128" t="s">
        <v>3</v>
      </c>
      <c r="D491" s="129" t="s">
        <v>172</v>
      </c>
      <c r="E491" s="129" t="s">
        <v>82</v>
      </c>
      <c r="F491" s="129">
        <v>92592</v>
      </c>
      <c r="G491" s="129">
        <v>92055</v>
      </c>
      <c r="H491" s="130">
        <v>80</v>
      </c>
      <c r="I491" s="129" t="s">
        <v>412</v>
      </c>
      <c r="J491" s="130">
        <v>10</v>
      </c>
      <c r="K491" s="131"/>
      <c r="L491" s="131" t="s">
        <v>3</v>
      </c>
      <c r="M491" s="131" t="s">
        <v>402</v>
      </c>
      <c r="N491" s="131" t="s">
        <v>324</v>
      </c>
      <c r="O491" s="56">
        <f>VLOOKUP($F491,'ZipCode Coordinates'!$A:$E,4,FALSE)</f>
        <v>2128740</v>
      </c>
      <c r="P491" s="56">
        <f>VLOOKUP($F491,'ZipCode Coordinates'!$A:$E,5,FALSE)</f>
        <v>6328900</v>
      </c>
      <c r="Q491" s="56">
        <f>VLOOKUP($G491,'ZipCode Coordinates'!$A:$E,4,FALSE)</f>
        <v>2082470</v>
      </c>
      <c r="R491" s="56">
        <f>VLOOKUP($G491,'ZipCode Coordinates'!$A:$E,5,FALSE)</f>
        <v>6206470</v>
      </c>
      <c r="S491" s="352" t="str">
        <f>IFERROR(VLOOKUP($M491,'External Gateways'!$C$6:$F$10,2,FALSE),"")</f>
        <v>I-15</v>
      </c>
      <c r="T491" s="56">
        <f>IFERROR(VLOOKUP($M491,'External Gateways'!$C$6:$F$10,3,FALSE),O491)</f>
        <v>2102195</v>
      </c>
      <c r="U491" s="56">
        <f>IFERROR(VLOOKUP($M491,'External Gateways'!$C$6:$F$10,4,FALSE),P491)</f>
        <v>6289147</v>
      </c>
      <c r="V491" s="353">
        <f t="shared" si="14"/>
        <v>9.0532245169037147</v>
      </c>
      <c r="W491" s="353">
        <f t="shared" si="15"/>
        <v>61.893550966192571</v>
      </c>
    </row>
    <row r="492" spans="1:23" ht="15" customHeight="1" x14ac:dyDescent="0.25">
      <c r="A492" s="128">
        <v>2458</v>
      </c>
      <c r="B492" s="129" t="s">
        <v>238</v>
      </c>
      <c r="C492" s="128" t="s">
        <v>198</v>
      </c>
      <c r="D492" s="129" t="s">
        <v>162</v>
      </c>
      <c r="E492" s="129" t="s">
        <v>162</v>
      </c>
      <c r="F492" s="129">
        <v>92104</v>
      </c>
      <c r="G492" s="129">
        <v>92122</v>
      </c>
      <c r="H492" s="130">
        <v>36</v>
      </c>
      <c r="I492" s="129" t="s">
        <v>416</v>
      </c>
      <c r="J492" s="130">
        <v>7</v>
      </c>
      <c r="K492" s="131"/>
      <c r="L492" s="131" t="s">
        <v>5</v>
      </c>
      <c r="M492" s="131" t="s">
        <v>323</v>
      </c>
      <c r="N492" s="131" t="s">
        <v>327</v>
      </c>
      <c r="O492" s="56">
        <f>VLOOKUP($F492,'ZipCode Coordinates'!$A:$E,4,FALSE)</f>
        <v>1851190</v>
      </c>
      <c r="P492" s="56">
        <f>VLOOKUP($F492,'ZipCode Coordinates'!$A:$E,5,FALSE)</f>
        <v>6292080</v>
      </c>
      <c r="Q492" s="56">
        <f>VLOOKUP($G492,'ZipCode Coordinates'!$A:$E,4,FALSE)</f>
        <v>1893170</v>
      </c>
      <c r="R492" s="56">
        <f>VLOOKUP($G492,'ZipCode Coordinates'!$A:$E,5,FALSE)</f>
        <v>6267940</v>
      </c>
      <c r="S492" s="352" t="str">
        <f>IFERROR(VLOOKUP($M492,'External Gateways'!$C$6:$F$10,2,FALSE),"")</f>
        <v/>
      </c>
      <c r="T492" s="56">
        <f>IFERROR(VLOOKUP($M492,'External Gateways'!$C$6:$F$10,3,FALSE),O492)</f>
        <v>1851190</v>
      </c>
      <c r="U492" s="56">
        <f>IFERROR(VLOOKUP($M492,'External Gateways'!$C$6:$F$10,4,FALSE),P492)</f>
        <v>6292080</v>
      </c>
      <c r="V492" s="353">
        <f t="shared" si="14"/>
        <v>0</v>
      </c>
      <c r="W492" s="353">
        <f t="shared" si="15"/>
        <v>36</v>
      </c>
    </row>
    <row r="493" spans="1:23" ht="15" customHeight="1" x14ac:dyDescent="0.25">
      <c r="A493" s="128">
        <v>2459</v>
      </c>
      <c r="B493" s="129" t="s">
        <v>289</v>
      </c>
      <c r="C493" s="128" t="s">
        <v>163</v>
      </c>
      <c r="D493" s="129" t="s">
        <v>162</v>
      </c>
      <c r="E493" s="129" t="s">
        <v>162</v>
      </c>
      <c r="F493" s="129">
        <v>92104</v>
      </c>
      <c r="G493" s="129">
        <v>92127</v>
      </c>
      <c r="H493" s="130">
        <v>60</v>
      </c>
      <c r="I493" s="129" t="s">
        <v>416</v>
      </c>
      <c r="J493" s="130">
        <v>7</v>
      </c>
      <c r="K493" s="131"/>
      <c r="L493" s="131" t="s">
        <v>5</v>
      </c>
      <c r="M493" s="131" t="s">
        <v>323</v>
      </c>
      <c r="N493" s="131" t="s">
        <v>327</v>
      </c>
      <c r="O493" s="56">
        <f>VLOOKUP($F493,'ZipCode Coordinates'!$A:$E,4,FALSE)</f>
        <v>1851190</v>
      </c>
      <c r="P493" s="56">
        <f>VLOOKUP($F493,'ZipCode Coordinates'!$A:$E,5,FALSE)</f>
        <v>6292080</v>
      </c>
      <c r="Q493" s="56">
        <f>VLOOKUP($G493,'ZipCode Coordinates'!$A:$E,4,FALSE)</f>
        <v>1951970</v>
      </c>
      <c r="R493" s="56">
        <f>VLOOKUP($G493,'ZipCode Coordinates'!$A:$E,5,FALSE)</f>
        <v>6293830</v>
      </c>
      <c r="S493" s="352" t="str">
        <f>IFERROR(VLOOKUP($M493,'External Gateways'!$C$6:$F$10,2,FALSE),"")</f>
        <v/>
      </c>
      <c r="T493" s="56">
        <f>IFERROR(VLOOKUP($M493,'External Gateways'!$C$6:$F$10,3,FALSE),O493)</f>
        <v>1851190</v>
      </c>
      <c r="U493" s="56">
        <f>IFERROR(VLOOKUP($M493,'External Gateways'!$C$6:$F$10,4,FALSE),P493)</f>
        <v>6292080</v>
      </c>
      <c r="V493" s="353">
        <f t="shared" si="14"/>
        <v>0</v>
      </c>
      <c r="W493" s="353">
        <f t="shared" si="15"/>
        <v>60</v>
      </c>
    </row>
    <row r="494" spans="1:23" ht="15" customHeight="1" x14ac:dyDescent="0.25">
      <c r="A494" s="128">
        <v>2460</v>
      </c>
      <c r="B494" s="129" t="s">
        <v>305</v>
      </c>
      <c r="C494" s="128" t="s">
        <v>198</v>
      </c>
      <c r="D494" s="129" t="s">
        <v>162</v>
      </c>
      <c r="E494" s="129" t="s">
        <v>210</v>
      </c>
      <c r="F494" s="129">
        <v>92154</v>
      </c>
      <c r="G494" s="129">
        <v>92081</v>
      </c>
      <c r="H494" s="130">
        <v>109</v>
      </c>
      <c r="I494" s="129" t="s">
        <v>434</v>
      </c>
      <c r="J494" s="130">
        <v>7</v>
      </c>
      <c r="K494" s="131"/>
      <c r="L494" s="131" t="s">
        <v>5</v>
      </c>
      <c r="M494" s="131" t="s">
        <v>328</v>
      </c>
      <c r="N494" s="131" t="s">
        <v>325</v>
      </c>
      <c r="O494" s="56">
        <f>VLOOKUP($F494,'ZipCode Coordinates'!$A:$E,4,FALSE)</f>
        <v>1787080</v>
      </c>
      <c r="P494" s="56">
        <f>VLOOKUP($F494,'ZipCode Coordinates'!$A:$E,5,FALSE)</f>
        <v>6330680</v>
      </c>
      <c r="Q494" s="56">
        <f>VLOOKUP($G494,'ZipCode Coordinates'!$A:$E,4,FALSE)</f>
        <v>2005090</v>
      </c>
      <c r="R494" s="56">
        <f>VLOOKUP($G494,'ZipCode Coordinates'!$A:$E,5,FALSE)</f>
        <v>6258440</v>
      </c>
      <c r="S494" s="352" t="str">
        <f>IFERROR(VLOOKUP($M494,'External Gateways'!$C$6:$F$10,2,FALSE),"")</f>
        <v/>
      </c>
      <c r="T494" s="56">
        <f>IFERROR(VLOOKUP($M494,'External Gateways'!$C$6:$F$10,3,FALSE),O494)</f>
        <v>1787080</v>
      </c>
      <c r="U494" s="56">
        <f>IFERROR(VLOOKUP($M494,'External Gateways'!$C$6:$F$10,4,FALSE),P494)</f>
        <v>6330680</v>
      </c>
      <c r="V494" s="353">
        <f t="shared" si="14"/>
        <v>0</v>
      </c>
      <c r="W494" s="353">
        <f t="shared" si="15"/>
        <v>109</v>
      </c>
    </row>
    <row r="495" spans="1:23" ht="15" customHeight="1" x14ac:dyDescent="0.25">
      <c r="A495" s="128">
        <v>2464</v>
      </c>
      <c r="B495" s="129" t="s">
        <v>226</v>
      </c>
      <c r="C495" s="128" t="s">
        <v>198</v>
      </c>
      <c r="D495" s="129" t="s">
        <v>165</v>
      </c>
      <c r="E495" s="129" t="s">
        <v>197</v>
      </c>
      <c r="F495" s="129">
        <v>91910</v>
      </c>
      <c r="G495" s="129">
        <v>92056</v>
      </c>
      <c r="H495" s="130">
        <v>134</v>
      </c>
      <c r="I495" s="129" t="s">
        <v>408</v>
      </c>
      <c r="J495" s="130">
        <v>7</v>
      </c>
      <c r="K495" s="131"/>
      <c r="L495" s="131" t="s">
        <v>5</v>
      </c>
      <c r="M495" s="131" t="s">
        <v>328</v>
      </c>
      <c r="N495" s="131" t="s">
        <v>324</v>
      </c>
      <c r="O495" s="56">
        <f>VLOOKUP($F495,'ZipCode Coordinates'!$A:$E,4,FALSE)</f>
        <v>1812850</v>
      </c>
      <c r="P495" s="56">
        <f>VLOOKUP($F495,'ZipCode Coordinates'!$A:$E,5,FALSE)</f>
        <v>6313650</v>
      </c>
      <c r="Q495" s="56">
        <f>VLOOKUP($G495,'ZipCode Coordinates'!$A:$E,4,FALSE)</f>
        <v>2018560</v>
      </c>
      <c r="R495" s="56">
        <f>VLOOKUP($G495,'ZipCode Coordinates'!$A:$E,5,FALSE)</f>
        <v>6243750</v>
      </c>
      <c r="S495" s="352" t="str">
        <f>IFERROR(VLOOKUP($M495,'External Gateways'!$C$6:$F$10,2,FALSE),"")</f>
        <v/>
      </c>
      <c r="T495" s="56">
        <f>IFERROR(VLOOKUP($M495,'External Gateways'!$C$6:$F$10,3,FALSE),O495)</f>
        <v>1812850</v>
      </c>
      <c r="U495" s="56">
        <f>IFERROR(VLOOKUP($M495,'External Gateways'!$C$6:$F$10,4,FALSE),P495)</f>
        <v>6313650</v>
      </c>
      <c r="V495" s="353">
        <f t="shared" si="14"/>
        <v>0</v>
      </c>
      <c r="W495" s="353">
        <f t="shared" si="15"/>
        <v>134</v>
      </c>
    </row>
    <row r="496" spans="1:23" ht="15" customHeight="1" x14ac:dyDescent="0.25">
      <c r="A496" s="128">
        <v>2465</v>
      </c>
      <c r="B496" s="129" t="s">
        <v>242</v>
      </c>
      <c r="C496" s="128" t="s">
        <v>166</v>
      </c>
      <c r="D496" s="129" t="s">
        <v>174</v>
      </c>
      <c r="E496" s="129" t="s">
        <v>162</v>
      </c>
      <c r="F496" s="129">
        <v>92173</v>
      </c>
      <c r="G496" s="129">
        <v>92127</v>
      </c>
      <c r="H496" s="130">
        <v>109</v>
      </c>
      <c r="I496" s="129" t="s">
        <v>409</v>
      </c>
      <c r="J496" s="130">
        <v>8</v>
      </c>
      <c r="K496" s="131"/>
      <c r="L496" s="131" t="s">
        <v>5</v>
      </c>
      <c r="M496" s="131" t="s">
        <v>328</v>
      </c>
      <c r="N496" s="131" t="s">
        <v>327</v>
      </c>
      <c r="O496" s="56">
        <f>VLOOKUP($F496,'ZipCode Coordinates'!$A:$E,4,FALSE)</f>
        <v>1782600</v>
      </c>
      <c r="P496" s="56">
        <f>VLOOKUP($F496,'ZipCode Coordinates'!$A:$E,5,FALSE)</f>
        <v>6315070</v>
      </c>
      <c r="Q496" s="56">
        <f>VLOOKUP($G496,'ZipCode Coordinates'!$A:$E,4,FALSE)</f>
        <v>1951970</v>
      </c>
      <c r="R496" s="56">
        <f>VLOOKUP($G496,'ZipCode Coordinates'!$A:$E,5,FALSE)</f>
        <v>6293830</v>
      </c>
      <c r="S496" s="352" t="str">
        <f>IFERROR(VLOOKUP($M496,'External Gateways'!$C$6:$F$10,2,FALSE),"")</f>
        <v/>
      </c>
      <c r="T496" s="56">
        <f>IFERROR(VLOOKUP($M496,'External Gateways'!$C$6:$F$10,3,FALSE),O496)</f>
        <v>1782600</v>
      </c>
      <c r="U496" s="56">
        <f>IFERROR(VLOOKUP($M496,'External Gateways'!$C$6:$F$10,4,FALSE),P496)</f>
        <v>6315070</v>
      </c>
      <c r="V496" s="353">
        <f t="shared" si="14"/>
        <v>0</v>
      </c>
      <c r="W496" s="353">
        <f t="shared" si="15"/>
        <v>109</v>
      </c>
    </row>
    <row r="497" spans="1:23" ht="15" customHeight="1" x14ac:dyDescent="0.25">
      <c r="A497" s="128">
        <v>2466</v>
      </c>
      <c r="B497" s="129" t="s">
        <v>242</v>
      </c>
      <c r="C497" s="128" t="s">
        <v>166</v>
      </c>
      <c r="D497" s="129" t="s">
        <v>174</v>
      </c>
      <c r="E497" s="129" t="s">
        <v>162</v>
      </c>
      <c r="F497" s="129">
        <v>92173</v>
      </c>
      <c r="G497" s="129">
        <v>92127</v>
      </c>
      <c r="H497" s="130">
        <v>84</v>
      </c>
      <c r="I497" s="129" t="s">
        <v>428</v>
      </c>
      <c r="J497" s="130">
        <v>7</v>
      </c>
      <c r="K497" s="131"/>
      <c r="L497" s="131" t="s">
        <v>5</v>
      </c>
      <c r="M497" s="131" t="s">
        <v>328</v>
      </c>
      <c r="N497" s="131" t="s">
        <v>327</v>
      </c>
      <c r="O497" s="56">
        <f>VLOOKUP($F497,'ZipCode Coordinates'!$A:$E,4,FALSE)</f>
        <v>1782600</v>
      </c>
      <c r="P497" s="56">
        <f>VLOOKUP($F497,'ZipCode Coordinates'!$A:$E,5,FALSE)</f>
        <v>6315070</v>
      </c>
      <c r="Q497" s="56">
        <f>VLOOKUP($G497,'ZipCode Coordinates'!$A:$E,4,FALSE)</f>
        <v>1951970</v>
      </c>
      <c r="R497" s="56">
        <f>VLOOKUP($G497,'ZipCode Coordinates'!$A:$E,5,FALSE)</f>
        <v>6293830</v>
      </c>
      <c r="S497" s="352" t="str">
        <f>IFERROR(VLOOKUP($M497,'External Gateways'!$C$6:$F$10,2,FALSE),"")</f>
        <v/>
      </c>
      <c r="T497" s="56">
        <f>IFERROR(VLOOKUP($M497,'External Gateways'!$C$6:$F$10,3,FALSE),O497)</f>
        <v>1782600</v>
      </c>
      <c r="U497" s="56">
        <f>IFERROR(VLOOKUP($M497,'External Gateways'!$C$6:$F$10,4,FALSE),P497)</f>
        <v>6315070</v>
      </c>
      <c r="V497" s="353">
        <f t="shared" si="14"/>
        <v>0</v>
      </c>
      <c r="W497" s="353">
        <f t="shared" si="15"/>
        <v>84</v>
      </c>
    </row>
    <row r="498" spans="1:23" ht="15" customHeight="1" x14ac:dyDescent="0.25">
      <c r="A498" s="128">
        <v>2470</v>
      </c>
      <c r="B498" s="129" t="s">
        <v>200</v>
      </c>
      <c r="C498" s="128" t="s">
        <v>404</v>
      </c>
      <c r="D498" s="129" t="s">
        <v>156</v>
      </c>
      <c r="E498" s="129" t="s">
        <v>162</v>
      </c>
      <c r="F498" s="129">
        <v>92027</v>
      </c>
      <c r="G498" s="129">
        <v>92123</v>
      </c>
      <c r="H498" s="130">
        <v>37</v>
      </c>
      <c r="I498" s="129" t="s">
        <v>416</v>
      </c>
      <c r="J498" s="130">
        <v>7</v>
      </c>
      <c r="K498" s="131"/>
      <c r="L498" s="131" t="s">
        <v>5</v>
      </c>
      <c r="M498" s="131" t="s">
        <v>325</v>
      </c>
      <c r="N498" s="131" t="s">
        <v>327</v>
      </c>
      <c r="O498" s="56">
        <f>VLOOKUP($F498,'ZipCode Coordinates'!$A:$E,4,FALSE)</f>
        <v>1994010</v>
      </c>
      <c r="P498" s="56">
        <f>VLOOKUP($F498,'ZipCode Coordinates'!$A:$E,5,FALSE)</f>
        <v>6337210</v>
      </c>
      <c r="Q498" s="56">
        <f>VLOOKUP($G498,'ZipCode Coordinates'!$A:$E,4,FALSE)</f>
        <v>1874700</v>
      </c>
      <c r="R498" s="56">
        <f>VLOOKUP($G498,'ZipCode Coordinates'!$A:$E,5,FALSE)</f>
        <v>6289760</v>
      </c>
      <c r="S498" s="352" t="str">
        <f>IFERROR(VLOOKUP($M498,'External Gateways'!$C$6:$F$10,2,FALSE),"")</f>
        <v/>
      </c>
      <c r="T498" s="56">
        <f>IFERROR(VLOOKUP($M498,'External Gateways'!$C$6:$F$10,3,FALSE),O498)</f>
        <v>1994010</v>
      </c>
      <c r="U498" s="56">
        <f>IFERROR(VLOOKUP($M498,'External Gateways'!$C$6:$F$10,4,FALSE),P498)</f>
        <v>6337210</v>
      </c>
      <c r="V498" s="353">
        <f t="shared" si="14"/>
        <v>0</v>
      </c>
      <c r="W498" s="353">
        <f t="shared" si="15"/>
        <v>37</v>
      </c>
    </row>
    <row r="499" spans="1:23" ht="15" customHeight="1" x14ac:dyDescent="0.25">
      <c r="A499" s="128">
        <v>2471</v>
      </c>
      <c r="B499" s="129" t="s">
        <v>227</v>
      </c>
      <c r="C499" s="128" t="s">
        <v>198</v>
      </c>
      <c r="D499" s="129" t="s">
        <v>161</v>
      </c>
      <c r="E499" s="129" t="s">
        <v>206</v>
      </c>
      <c r="F499" s="129">
        <v>92596</v>
      </c>
      <c r="G499" s="129">
        <v>92064</v>
      </c>
      <c r="H499" s="130">
        <v>103</v>
      </c>
      <c r="I499" s="129" t="s">
        <v>480</v>
      </c>
      <c r="J499" s="130">
        <v>10</v>
      </c>
      <c r="K499" s="131"/>
      <c r="L499" s="131" t="s">
        <v>5</v>
      </c>
      <c r="M499" s="131" t="s">
        <v>402</v>
      </c>
      <c r="N499" s="131" t="s">
        <v>327</v>
      </c>
      <c r="O499" s="56">
        <f>VLOOKUP($F499,'ZipCode Coordinates'!$A:$E,4,FALSE)</f>
        <v>2177700</v>
      </c>
      <c r="P499" s="56">
        <f>VLOOKUP($F499,'ZipCode Coordinates'!$A:$E,5,FALSE)</f>
        <v>6311340</v>
      </c>
      <c r="Q499" s="56">
        <f>VLOOKUP($G499,'ZipCode Coordinates'!$A:$E,4,FALSE)</f>
        <v>1939040</v>
      </c>
      <c r="R499" s="56">
        <f>VLOOKUP($G499,'ZipCode Coordinates'!$A:$E,5,FALSE)</f>
        <v>6325350</v>
      </c>
      <c r="S499" s="352" t="str">
        <f>IFERROR(VLOOKUP($M499,'External Gateways'!$C$6:$F$10,2,FALSE),"")</f>
        <v>I-15</v>
      </c>
      <c r="T499" s="56">
        <f>IFERROR(VLOOKUP($M499,'External Gateways'!$C$6:$F$10,3,FALSE),O499)</f>
        <v>2102195</v>
      </c>
      <c r="U499" s="56">
        <f>IFERROR(VLOOKUP($M499,'External Gateways'!$C$6:$F$10,4,FALSE),P499)</f>
        <v>6289147</v>
      </c>
      <c r="V499" s="353">
        <f t="shared" si="14"/>
        <v>14.905115649451727</v>
      </c>
      <c r="W499" s="353">
        <f t="shared" si="15"/>
        <v>73.18976870109654</v>
      </c>
    </row>
    <row r="500" spans="1:23" ht="15" customHeight="1" x14ac:dyDescent="0.25">
      <c r="A500" s="128">
        <v>2472</v>
      </c>
      <c r="B500" s="129" t="s">
        <v>218</v>
      </c>
      <c r="C500" s="128" t="s">
        <v>68</v>
      </c>
      <c r="D500" s="129" t="s">
        <v>205</v>
      </c>
      <c r="E500" s="129" t="s">
        <v>162</v>
      </c>
      <c r="F500" s="129">
        <v>91941</v>
      </c>
      <c r="G500" s="129">
        <v>92161</v>
      </c>
      <c r="H500" s="130">
        <v>58</v>
      </c>
      <c r="I500" s="129" t="s">
        <v>407</v>
      </c>
      <c r="J500" s="130">
        <v>8</v>
      </c>
      <c r="K500" s="131">
        <v>1</v>
      </c>
      <c r="L500" s="131" t="s">
        <v>68</v>
      </c>
      <c r="M500" s="131" t="s">
        <v>326</v>
      </c>
      <c r="N500" s="131" t="s">
        <v>327</v>
      </c>
      <c r="O500" s="56">
        <f>VLOOKUP($F500,'ZipCode Coordinates'!$A:$E,4,FALSE)</f>
        <v>1857090</v>
      </c>
      <c r="P500" s="56">
        <f>VLOOKUP($F500,'ZipCode Coordinates'!$A:$E,5,FALSE)</f>
        <v>6332960</v>
      </c>
      <c r="Q500" s="56">
        <f>VLOOKUP($G500,'ZipCode Coordinates'!$A:$E,4,FALSE)</f>
        <v>1899477</v>
      </c>
      <c r="R500" s="56">
        <f>VLOOKUP($G500,'ZipCode Coordinates'!$A:$E,5,FALSE)</f>
        <v>6258957</v>
      </c>
      <c r="S500" s="352" t="str">
        <f>IFERROR(VLOOKUP($M500,'External Gateways'!$C$6:$F$10,2,FALSE),"")</f>
        <v/>
      </c>
      <c r="T500" s="56">
        <f>IFERROR(VLOOKUP($M500,'External Gateways'!$C$6:$F$10,3,FALSE),O500)</f>
        <v>1857090</v>
      </c>
      <c r="U500" s="56">
        <f>IFERROR(VLOOKUP($M500,'External Gateways'!$C$6:$F$10,4,FALSE),P500)</f>
        <v>6332960</v>
      </c>
      <c r="V500" s="353">
        <f t="shared" si="14"/>
        <v>0</v>
      </c>
      <c r="W500" s="353">
        <f t="shared" si="15"/>
        <v>58</v>
      </c>
    </row>
    <row r="501" spans="1:23" ht="15" customHeight="1" x14ac:dyDescent="0.25">
      <c r="A501" s="128">
        <v>2473</v>
      </c>
      <c r="B501" s="129" t="s">
        <v>238</v>
      </c>
      <c r="C501" s="128" t="s">
        <v>198</v>
      </c>
      <c r="D501" s="129" t="s">
        <v>197</v>
      </c>
      <c r="E501" s="129" t="s">
        <v>162</v>
      </c>
      <c r="F501" s="129">
        <v>92056</v>
      </c>
      <c r="G501" s="129">
        <v>92122</v>
      </c>
      <c r="H501" s="130">
        <v>71</v>
      </c>
      <c r="I501" s="129" t="s">
        <v>416</v>
      </c>
      <c r="J501" s="130">
        <v>7</v>
      </c>
      <c r="K501" s="131"/>
      <c r="L501" s="131" t="s">
        <v>5</v>
      </c>
      <c r="M501" s="131" t="s">
        <v>324</v>
      </c>
      <c r="N501" s="131" t="s">
        <v>327</v>
      </c>
      <c r="O501" s="56">
        <f>VLOOKUP($F501,'ZipCode Coordinates'!$A:$E,4,FALSE)</f>
        <v>2018560</v>
      </c>
      <c r="P501" s="56">
        <f>VLOOKUP($F501,'ZipCode Coordinates'!$A:$E,5,FALSE)</f>
        <v>6243750</v>
      </c>
      <c r="Q501" s="56">
        <f>VLOOKUP($G501,'ZipCode Coordinates'!$A:$E,4,FALSE)</f>
        <v>1893170</v>
      </c>
      <c r="R501" s="56">
        <f>VLOOKUP($G501,'ZipCode Coordinates'!$A:$E,5,FALSE)</f>
        <v>6267940</v>
      </c>
      <c r="S501" s="352" t="str">
        <f>IFERROR(VLOOKUP($M501,'External Gateways'!$C$6:$F$10,2,FALSE),"")</f>
        <v/>
      </c>
      <c r="T501" s="56">
        <f>IFERROR(VLOOKUP($M501,'External Gateways'!$C$6:$F$10,3,FALSE),O501)</f>
        <v>2018560</v>
      </c>
      <c r="U501" s="56">
        <f>IFERROR(VLOOKUP($M501,'External Gateways'!$C$6:$F$10,4,FALSE),P501)</f>
        <v>6243750</v>
      </c>
      <c r="V501" s="353">
        <f t="shared" si="14"/>
        <v>0</v>
      </c>
      <c r="W501" s="353">
        <f t="shared" si="15"/>
        <v>71</v>
      </c>
    </row>
    <row r="502" spans="1:23" ht="15" customHeight="1" x14ac:dyDescent="0.25">
      <c r="A502" s="128">
        <v>2474</v>
      </c>
      <c r="B502" s="129" t="s">
        <v>291</v>
      </c>
      <c r="C502" s="128" t="s">
        <v>163</v>
      </c>
      <c r="D502" s="129" t="s">
        <v>196</v>
      </c>
      <c r="E502" s="129" t="s">
        <v>162</v>
      </c>
      <c r="F502" s="129">
        <v>92020</v>
      </c>
      <c r="G502" s="129">
        <v>92127</v>
      </c>
      <c r="H502" s="130">
        <v>71</v>
      </c>
      <c r="I502" s="129" t="s">
        <v>416</v>
      </c>
      <c r="J502" s="130">
        <v>7</v>
      </c>
      <c r="K502" s="131"/>
      <c r="L502" s="131" t="s">
        <v>5</v>
      </c>
      <c r="M502" s="131" t="s">
        <v>326</v>
      </c>
      <c r="N502" s="131" t="s">
        <v>327</v>
      </c>
      <c r="O502" s="56">
        <f>VLOOKUP($F502,'ZipCode Coordinates'!$A:$E,4,FALSE)</f>
        <v>1870340</v>
      </c>
      <c r="P502" s="56">
        <f>VLOOKUP($F502,'ZipCode Coordinates'!$A:$E,5,FALSE)</f>
        <v>6340260</v>
      </c>
      <c r="Q502" s="56">
        <f>VLOOKUP($G502,'ZipCode Coordinates'!$A:$E,4,FALSE)</f>
        <v>1951970</v>
      </c>
      <c r="R502" s="56">
        <f>VLOOKUP($G502,'ZipCode Coordinates'!$A:$E,5,FALSE)</f>
        <v>6293830</v>
      </c>
      <c r="S502" s="352" t="str">
        <f>IFERROR(VLOOKUP($M502,'External Gateways'!$C$6:$F$10,2,FALSE),"")</f>
        <v/>
      </c>
      <c r="T502" s="56">
        <f>IFERROR(VLOOKUP($M502,'External Gateways'!$C$6:$F$10,3,FALSE),O502)</f>
        <v>1870340</v>
      </c>
      <c r="U502" s="56">
        <f>IFERROR(VLOOKUP($M502,'External Gateways'!$C$6:$F$10,4,FALSE),P502)</f>
        <v>6340260</v>
      </c>
      <c r="V502" s="353">
        <f t="shared" si="14"/>
        <v>0</v>
      </c>
      <c r="W502" s="353">
        <f t="shared" si="15"/>
        <v>71</v>
      </c>
    </row>
    <row r="503" spans="1:23" ht="15" customHeight="1" x14ac:dyDescent="0.25">
      <c r="A503" s="128">
        <v>2475</v>
      </c>
      <c r="B503" s="129" t="s">
        <v>238</v>
      </c>
      <c r="C503" s="128" t="s">
        <v>198</v>
      </c>
      <c r="D503" s="129" t="s">
        <v>188</v>
      </c>
      <c r="E503" s="129" t="s">
        <v>162</v>
      </c>
      <c r="F503" s="129">
        <v>92069</v>
      </c>
      <c r="G503" s="129">
        <v>92122</v>
      </c>
      <c r="H503" s="130">
        <v>83</v>
      </c>
      <c r="I503" s="129" t="s">
        <v>408</v>
      </c>
      <c r="J503" s="130">
        <v>7</v>
      </c>
      <c r="K503" s="131"/>
      <c r="L503" s="131" t="s">
        <v>5</v>
      </c>
      <c r="M503" s="131" t="s">
        <v>325</v>
      </c>
      <c r="N503" s="131" t="s">
        <v>327</v>
      </c>
      <c r="O503" s="56">
        <f>VLOOKUP($F503,'ZipCode Coordinates'!$A:$E,4,FALSE)</f>
        <v>2008640</v>
      </c>
      <c r="P503" s="56">
        <f>VLOOKUP($F503,'ZipCode Coordinates'!$A:$E,5,FALSE)</f>
        <v>6283870</v>
      </c>
      <c r="Q503" s="56">
        <f>VLOOKUP($G503,'ZipCode Coordinates'!$A:$E,4,FALSE)</f>
        <v>1893170</v>
      </c>
      <c r="R503" s="56">
        <f>VLOOKUP($G503,'ZipCode Coordinates'!$A:$E,5,FALSE)</f>
        <v>6267940</v>
      </c>
      <c r="S503" s="352" t="str">
        <f>IFERROR(VLOOKUP($M503,'External Gateways'!$C$6:$F$10,2,FALSE),"")</f>
        <v/>
      </c>
      <c r="T503" s="56">
        <f>IFERROR(VLOOKUP($M503,'External Gateways'!$C$6:$F$10,3,FALSE),O503)</f>
        <v>2008640</v>
      </c>
      <c r="U503" s="56">
        <f>IFERROR(VLOOKUP($M503,'External Gateways'!$C$6:$F$10,4,FALSE),P503)</f>
        <v>6283870</v>
      </c>
      <c r="V503" s="353">
        <f t="shared" si="14"/>
        <v>0</v>
      </c>
      <c r="W503" s="353">
        <f t="shared" si="15"/>
        <v>83</v>
      </c>
    </row>
    <row r="504" spans="1:23" ht="15" customHeight="1" x14ac:dyDescent="0.25">
      <c r="A504" s="128">
        <v>2477</v>
      </c>
      <c r="B504" s="129" t="s">
        <v>242</v>
      </c>
      <c r="C504" s="128" t="s">
        <v>166</v>
      </c>
      <c r="D504" s="129" t="s">
        <v>174</v>
      </c>
      <c r="E504" s="129" t="s">
        <v>162</v>
      </c>
      <c r="F504" s="129">
        <v>92173</v>
      </c>
      <c r="G504" s="129">
        <v>92127</v>
      </c>
      <c r="H504" s="130">
        <v>109</v>
      </c>
      <c r="I504" s="129" t="s">
        <v>401</v>
      </c>
      <c r="J504" s="130">
        <v>7</v>
      </c>
      <c r="K504" s="131"/>
      <c r="L504" s="131" t="s">
        <v>5</v>
      </c>
      <c r="M504" s="131" t="s">
        <v>328</v>
      </c>
      <c r="N504" s="131" t="s">
        <v>327</v>
      </c>
      <c r="O504" s="56">
        <f>VLOOKUP($F504,'ZipCode Coordinates'!$A:$E,4,FALSE)</f>
        <v>1782600</v>
      </c>
      <c r="P504" s="56">
        <f>VLOOKUP($F504,'ZipCode Coordinates'!$A:$E,5,FALSE)</f>
        <v>6315070</v>
      </c>
      <c r="Q504" s="56">
        <f>VLOOKUP($G504,'ZipCode Coordinates'!$A:$E,4,FALSE)</f>
        <v>1951970</v>
      </c>
      <c r="R504" s="56">
        <f>VLOOKUP($G504,'ZipCode Coordinates'!$A:$E,5,FALSE)</f>
        <v>6293830</v>
      </c>
      <c r="S504" s="352" t="str">
        <f>IFERROR(VLOOKUP($M504,'External Gateways'!$C$6:$F$10,2,FALSE),"")</f>
        <v/>
      </c>
      <c r="T504" s="56">
        <f>IFERROR(VLOOKUP($M504,'External Gateways'!$C$6:$F$10,3,FALSE),O504)</f>
        <v>1782600</v>
      </c>
      <c r="U504" s="56">
        <f>IFERROR(VLOOKUP($M504,'External Gateways'!$C$6:$F$10,4,FALSE),P504)</f>
        <v>6315070</v>
      </c>
      <c r="V504" s="353">
        <f t="shared" si="14"/>
        <v>0</v>
      </c>
      <c r="W504" s="353">
        <f t="shared" si="15"/>
        <v>109</v>
      </c>
    </row>
    <row r="505" spans="1:23" ht="15" customHeight="1" x14ac:dyDescent="0.25">
      <c r="A505" s="128">
        <v>2480</v>
      </c>
      <c r="B505" s="129" t="s">
        <v>317</v>
      </c>
      <c r="C505" s="128" t="s">
        <v>3</v>
      </c>
      <c r="D505" s="129" t="s">
        <v>154</v>
      </c>
      <c r="E505" s="129" t="s">
        <v>162</v>
      </c>
      <c r="F505" s="129">
        <v>92592</v>
      </c>
      <c r="G505" s="129">
        <v>92106</v>
      </c>
      <c r="H505" s="130">
        <v>159</v>
      </c>
      <c r="I505" s="129" t="s">
        <v>459</v>
      </c>
      <c r="J505" s="130">
        <v>8</v>
      </c>
      <c r="K505" s="131"/>
      <c r="L505" s="131" t="s">
        <v>3</v>
      </c>
      <c r="M505" s="131" t="s">
        <v>402</v>
      </c>
      <c r="N505" s="131" t="s">
        <v>323</v>
      </c>
      <c r="O505" s="56">
        <f>VLOOKUP($F505,'ZipCode Coordinates'!$A:$E,4,FALSE)</f>
        <v>2128740</v>
      </c>
      <c r="P505" s="56">
        <f>VLOOKUP($F505,'ZipCode Coordinates'!$A:$E,5,FALSE)</f>
        <v>6328900</v>
      </c>
      <c r="Q505" s="56">
        <f>VLOOKUP($G505,'ZipCode Coordinates'!$A:$E,4,FALSE)</f>
        <v>1842660</v>
      </c>
      <c r="R505" s="56">
        <f>VLOOKUP($G505,'ZipCode Coordinates'!$A:$E,5,FALSE)</f>
        <v>6259060</v>
      </c>
      <c r="S505" s="352" t="str">
        <f>IFERROR(VLOOKUP($M505,'External Gateways'!$C$6:$F$10,2,FALSE),"")</f>
        <v>I-15</v>
      </c>
      <c r="T505" s="56">
        <f>IFERROR(VLOOKUP($M505,'External Gateways'!$C$6:$F$10,3,FALSE),O505)</f>
        <v>2102195</v>
      </c>
      <c r="U505" s="56">
        <f>IFERROR(VLOOKUP($M505,'External Gateways'!$C$6:$F$10,4,FALSE),P505)</f>
        <v>6289147</v>
      </c>
      <c r="V505" s="353">
        <f t="shared" si="14"/>
        <v>9.0532245169037147</v>
      </c>
      <c r="W505" s="353">
        <f t="shared" si="15"/>
        <v>140.89355096619258</v>
      </c>
    </row>
    <row r="506" spans="1:23" ht="15" customHeight="1" x14ac:dyDescent="0.25">
      <c r="A506" s="128">
        <v>2481</v>
      </c>
      <c r="B506" s="129" t="s">
        <v>315</v>
      </c>
      <c r="C506" s="128" t="s">
        <v>68</v>
      </c>
      <c r="D506" s="129" t="s">
        <v>220</v>
      </c>
      <c r="E506" s="129" t="s">
        <v>201</v>
      </c>
      <c r="F506" s="129">
        <v>92021</v>
      </c>
      <c r="G506" s="129">
        <v>91962</v>
      </c>
      <c r="H506" s="130">
        <v>83</v>
      </c>
      <c r="I506" s="129" t="s">
        <v>422</v>
      </c>
      <c r="J506" s="130">
        <v>8</v>
      </c>
      <c r="K506" s="131"/>
      <c r="L506" s="131" t="s">
        <v>68</v>
      </c>
      <c r="M506" s="131" t="s">
        <v>326</v>
      </c>
      <c r="N506" s="131" t="s">
        <v>329</v>
      </c>
      <c r="O506" s="56">
        <f>VLOOKUP($F506,'ZipCode Coordinates'!$A:$E,4,FALSE)</f>
        <v>1885700</v>
      </c>
      <c r="P506" s="56">
        <f>VLOOKUP($F506,'ZipCode Coordinates'!$A:$E,5,FALSE)</f>
        <v>6371420</v>
      </c>
      <c r="Q506" s="56">
        <f>VLOOKUP($G506,'ZipCode Coordinates'!$A:$E,4,FALSE)</f>
        <v>1874980</v>
      </c>
      <c r="R506" s="56">
        <f>VLOOKUP($G506,'ZipCode Coordinates'!$A:$E,5,FALSE)</f>
        <v>6499110</v>
      </c>
      <c r="S506" s="352" t="str">
        <f>IFERROR(VLOOKUP($M506,'External Gateways'!$C$6:$F$10,2,FALSE),"")</f>
        <v/>
      </c>
      <c r="T506" s="56">
        <f>IFERROR(VLOOKUP($M506,'External Gateways'!$C$6:$F$10,3,FALSE),O506)</f>
        <v>1885700</v>
      </c>
      <c r="U506" s="56">
        <f>IFERROR(VLOOKUP($M506,'External Gateways'!$C$6:$F$10,4,FALSE),P506)</f>
        <v>6371420</v>
      </c>
      <c r="V506" s="353">
        <f t="shared" si="14"/>
        <v>0</v>
      </c>
      <c r="W506" s="353">
        <f t="shared" si="15"/>
        <v>83</v>
      </c>
    </row>
    <row r="507" spans="1:23" ht="15" customHeight="1" x14ac:dyDescent="0.25">
      <c r="A507" s="128">
        <v>2482</v>
      </c>
      <c r="B507" s="129" t="s">
        <v>238</v>
      </c>
      <c r="C507" s="128" t="s">
        <v>198</v>
      </c>
      <c r="D507" s="129" t="s">
        <v>521</v>
      </c>
      <c r="E507" s="129" t="s">
        <v>162</v>
      </c>
      <c r="F507" s="129">
        <v>92694</v>
      </c>
      <c r="G507" s="129">
        <v>92122</v>
      </c>
      <c r="H507" s="130">
        <v>129</v>
      </c>
      <c r="I507" s="129" t="s">
        <v>522</v>
      </c>
      <c r="J507" s="130">
        <v>7</v>
      </c>
      <c r="K507" s="131"/>
      <c r="L507" s="131" t="s">
        <v>5</v>
      </c>
      <c r="M507" s="131" t="s">
        <v>439</v>
      </c>
      <c r="N507" s="131" t="s">
        <v>327</v>
      </c>
      <c r="O507" s="56">
        <f>VLOOKUP($F507,'ZipCode Coordinates'!$A:$E,4,FALSE)</f>
        <v>2145940</v>
      </c>
      <c r="P507" s="56">
        <f>VLOOKUP($F507,'ZipCode Coordinates'!$A:$E,5,FALSE)</f>
        <v>6138400</v>
      </c>
      <c r="Q507" s="56">
        <f>VLOOKUP($G507,'ZipCode Coordinates'!$A:$E,4,FALSE)</f>
        <v>1893170</v>
      </c>
      <c r="R507" s="56">
        <f>VLOOKUP($G507,'ZipCode Coordinates'!$A:$E,5,FALSE)</f>
        <v>6267940</v>
      </c>
      <c r="S507" s="352" t="str">
        <f>IFERROR(VLOOKUP($M507,'External Gateways'!$C$6:$F$10,2,FALSE),"")</f>
        <v>I-5</v>
      </c>
      <c r="T507" s="56">
        <f>IFERROR(VLOOKUP($M507,'External Gateways'!$C$6:$F$10,3,FALSE),O507)</f>
        <v>2090594</v>
      </c>
      <c r="U507" s="56">
        <f>IFERROR(VLOOKUP($M507,'External Gateways'!$C$6:$F$10,4,FALSE),P507)</f>
        <v>6151524</v>
      </c>
      <c r="V507" s="353">
        <f t="shared" si="14"/>
        <v>10.772868271729953</v>
      </c>
      <c r="W507" s="353">
        <f t="shared" si="15"/>
        <v>107.45426345654009</v>
      </c>
    </row>
    <row r="508" spans="1:23" ht="15" customHeight="1" x14ac:dyDescent="0.25">
      <c r="A508" s="128">
        <v>2483</v>
      </c>
      <c r="B508" s="129" t="s">
        <v>291</v>
      </c>
      <c r="C508" s="128" t="s">
        <v>163</v>
      </c>
      <c r="D508" s="129" t="s">
        <v>162</v>
      </c>
      <c r="E508" s="129" t="s">
        <v>162</v>
      </c>
      <c r="F508" s="129">
        <v>92139</v>
      </c>
      <c r="G508" s="129">
        <v>92127</v>
      </c>
      <c r="H508" s="130">
        <v>83</v>
      </c>
      <c r="I508" s="129" t="s">
        <v>416</v>
      </c>
      <c r="J508" s="130">
        <v>7</v>
      </c>
      <c r="K508" s="131"/>
      <c r="L508" s="131" t="s">
        <v>5</v>
      </c>
      <c r="M508" s="131" t="s">
        <v>323</v>
      </c>
      <c r="N508" s="131" t="s">
        <v>327</v>
      </c>
      <c r="O508" s="56">
        <f>VLOOKUP($F508,'ZipCode Coordinates'!$A:$E,4,FALSE)</f>
        <v>1828110</v>
      </c>
      <c r="P508" s="56">
        <f>VLOOKUP($F508,'ZipCode Coordinates'!$A:$E,5,FALSE)</f>
        <v>6315850</v>
      </c>
      <c r="Q508" s="56">
        <f>VLOOKUP($G508,'ZipCode Coordinates'!$A:$E,4,FALSE)</f>
        <v>1951970</v>
      </c>
      <c r="R508" s="56">
        <f>VLOOKUP($G508,'ZipCode Coordinates'!$A:$E,5,FALSE)</f>
        <v>6293830</v>
      </c>
      <c r="S508" s="352" t="str">
        <f>IFERROR(VLOOKUP($M508,'External Gateways'!$C$6:$F$10,2,FALSE),"")</f>
        <v/>
      </c>
      <c r="T508" s="56">
        <f>IFERROR(VLOOKUP($M508,'External Gateways'!$C$6:$F$10,3,FALSE),O508)</f>
        <v>1828110</v>
      </c>
      <c r="U508" s="56">
        <f>IFERROR(VLOOKUP($M508,'External Gateways'!$C$6:$F$10,4,FALSE),P508)</f>
        <v>6315850</v>
      </c>
      <c r="V508" s="353">
        <f t="shared" si="14"/>
        <v>0</v>
      </c>
      <c r="W508" s="353">
        <f t="shared" si="15"/>
        <v>83</v>
      </c>
    </row>
    <row r="509" spans="1:23" ht="15" customHeight="1" x14ac:dyDescent="0.25">
      <c r="A509" s="128">
        <v>2484</v>
      </c>
      <c r="B509" s="129" t="s">
        <v>238</v>
      </c>
      <c r="C509" s="128" t="s">
        <v>198</v>
      </c>
      <c r="D509" s="129" t="s">
        <v>162</v>
      </c>
      <c r="E509" s="129" t="s">
        <v>162</v>
      </c>
      <c r="F509" s="129">
        <v>92128</v>
      </c>
      <c r="G509" s="129">
        <v>92122</v>
      </c>
      <c r="H509" s="130">
        <v>48</v>
      </c>
      <c r="I509" s="129" t="s">
        <v>408</v>
      </c>
      <c r="J509" s="130">
        <v>7</v>
      </c>
      <c r="K509" s="131"/>
      <c r="L509" s="131" t="s">
        <v>5</v>
      </c>
      <c r="M509" s="131" t="s">
        <v>327</v>
      </c>
      <c r="N509" s="131" t="s">
        <v>327</v>
      </c>
      <c r="O509" s="56">
        <f>VLOOKUP($F509,'ZipCode Coordinates'!$A:$E,4,FALSE)</f>
        <v>1943580</v>
      </c>
      <c r="P509" s="56">
        <f>VLOOKUP($F509,'ZipCode Coordinates'!$A:$E,5,FALSE)</f>
        <v>6309440</v>
      </c>
      <c r="Q509" s="56">
        <f>VLOOKUP($G509,'ZipCode Coordinates'!$A:$E,4,FALSE)</f>
        <v>1893170</v>
      </c>
      <c r="R509" s="56">
        <f>VLOOKUP($G509,'ZipCode Coordinates'!$A:$E,5,FALSE)</f>
        <v>6267940</v>
      </c>
      <c r="S509" s="352" t="str">
        <f>IFERROR(VLOOKUP($M509,'External Gateways'!$C$6:$F$10,2,FALSE),"")</f>
        <v/>
      </c>
      <c r="T509" s="56">
        <f>IFERROR(VLOOKUP($M509,'External Gateways'!$C$6:$F$10,3,FALSE),O509)</f>
        <v>1943580</v>
      </c>
      <c r="U509" s="56">
        <f>IFERROR(VLOOKUP($M509,'External Gateways'!$C$6:$F$10,4,FALSE),P509)</f>
        <v>6309440</v>
      </c>
      <c r="V509" s="353">
        <f t="shared" si="14"/>
        <v>0</v>
      </c>
      <c r="W509" s="353">
        <f t="shared" si="15"/>
        <v>48</v>
      </c>
    </row>
    <row r="510" spans="1:23" ht="15" customHeight="1" x14ac:dyDescent="0.25">
      <c r="A510" s="128">
        <v>2485</v>
      </c>
      <c r="B510" s="129" t="s">
        <v>218</v>
      </c>
      <c r="C510" s="128" t="s">
        <v>68</v>
      </c>
      <c r="D510" s="129" t="s">
        <v>162</v>
      </c>
      <c r="E510" s="129" t="s">
        <v>162</v>
      </c>
      <c r="F510" s="129">
        <v>92154</v>
      </c>
      <c r="G510" s="129">
        <v>92161</v>
      </c>
      <c r="H510" s="130">
        <v>134</v>
      </c>
      <c r="I510" s="129" t="s">
        <v>401</v>
      </c>
      <c r="J510" s="130">
        <v>7</v>
      </c>
      <c r="K510" s="131"/>
      <c r="L510" s="131" t="s">
        <v>68</v>
      </c>
      <c r="M510" s="131" t="s">
        <v>328</v>
      </c>
      <c r="N510" s="131" t="s">
        <v>327</v>
      </c>
      <c r="O510" s="56">
        <f>VLOOKUP($F510,'ZipCode Coordinates'!$A:$E,4,FALSE)</f>
        <v>1787080</v>
      </c>
      <c r="P510" s="56">
        <f>VLOOKUP($F510,'ZipCode Coordinates'!$A:$E,5,FALSE)</f>
        <v>6330680</v>
      </c>
      <c r="Q510" s="56">
        <f>VLOOKUP($G510,'ZipCode Coordinates'!$A:$E,4,FALSE)</f>
        <v>1899477</v>
      </c>
      <c r="R510" s="56">
        <f>VLOOKUP($G510,'ZipCode Coordinates'!$A:$E,5,FALSE)</f>
        <v>6258957</v>
      </c>
      <c r="S510" s="352" t="str">
        <f>IFERROR(VLOOKUP($M510,'External Gateways'!$C$6:$F$10,2,FALSE),"")</f>
        <v/>
      </c>
      <c r="T510" s="56">
        <f>IFERROR(VLOOKUP($M510,'External Gateways'!$C$6:$F$10,3,FALSE),O510)</f>
        <v>1787080</v>
      </c>
      <c r="U510" s="56">
        <f>IFERROR(VLOOKUP($M510,'External Gateways'!$C$6:$F$10,4,FALSE),P510)</f>
        <v>6330680</v>
      </c>
      <c r="V510" s="353">
        <f t="shared" si="14"/>
        <v>0</v>
      </c>
      <c r="W510" s="353">
        <f t="shared" si="15"/>
        <v>134</v>
      </c>
    </row>
    <row r="511" spans="1:23" ht="15" customHeight="1" x14ac:dyDescent="0.25">
      <c r="A511" s="128">
        <v>2488</v>
      </c>
      <c r="B511" s="129" t="s">
        <v>276</v>
      </c>
      <c r="C511" s="128" t="s">
        <v>404</v>
      </c>
      <c r="D511" s="129" t="s">
        <v>165</v>
      </c>
      <c r="E511" s="129" t="s">
        <v>162</v>
      </c>
      <c r="F511" s="129">
        <v>91913</v>
      </c>
      <c r="G511" s="129">
        <v>92101</v>
      </c>
      <c r="H511" s="130">
        <v>64</v>
      </c>
      <c r="I511" s="129" t="s">
        <v>424</v>
      </c>
      <c r="J511" s="130">
        <v>7</v>
      </c>
      <c r="K511" s="131"/>
      <c r="L511" s="131" t="s">
        <v>5</v>
      </c>
      <c r="M511" s="131" t="s">
        <v>328</v>
      </c>
      <c r="N511" s="131" t="s">
        <v>323</v>
      </c>
      <c r="O511" s="56">
        <f>VLOOKUP($F511,'ZipCode Coordinates'!$A:$E,4,FALSE)</f>
        <v>1810320</v>
      </c>
      <c r="P511" s="56">
        <f>VLOOKUP($F511,'ZipCode Coordinates'!$A:$E,5,FALSE)</f>
        <v>6334990</v>
      </c>
      <c r="Q511" s="56">
        <f>VLOOKUP($G511,'ZipCode Coordinates'!$A:$E,4,FALSE)</f>
        <v>1844080</v>
      </c>
      <c r="R511" s="56">
        <f>VLOOKUP($G511,'ZipCode Coordinates'!$A:$E,5,FALSE)</f>
        <v>6278770</v>
      </c>
      <c r="S511" s="352" t="str">
        <f>IFERROR(VLOOKUP($M511,'External Gateways'!$C$6:$F$10,2,FALSE),"")</f>
        <v/>
      </c>
      <c r="T511" s="56">
        <f>IFERROR(VLOOKUP($M511,'External Gateways'!$C$6:$F$10,3,FALSE),O511)</f>
        <v>1810320</v>
      </c>
      <c r="U511" s="56">
        <f>IFERROR(VLOOKUP($M511,'External Gateways'!$C$6:$F$10,4,FALSE),P511)</f>
        <v>6334990</v>
      </c>
      <c r="V511" s="353">
        <f t="shared" si="14"/>
        <v>0</v>
      </c>
      <c r="W511" s="353">
        <f t="shared" si="15"/>
        <v>64</v>
      </c>
    </row>
    <row r="512" spans="1:23" ht="15" customHeight="1" x14ac:dyDescent="0.25">
      <c r="A512" s="128">
        <v>2489</v>
      </c>
      <c r="B512" s="129" t="s">
        <v>309</v>
      </c>
      <c r="C512" s="128" t="s">
        <v>198</v>
      </c>
      <c r="D512" s="129" t="s">
        <v>239</v>
      </c>
      <c r="E512" s="129" t="s">
        <v>155</v>
      </c>
      <c r="F512" s="129">
        <v>92656</v>
      </c>
      <c r="G512" s="129">
        <v>92008</v>
      </c>
      <c r="H512" s="130">
        <v>135</v>
      </c>
      <c r="I512" s="129" t="s">
        <v>407</v>
      </c>
      <c r="J512" s="130">
        <v>8</v>
      </c>
      <c r="K512" s="131"/>
      <c r="L512" s="131" t="s">
        <v>5</v>
      </c>
      <c r="M512" s="131" t="s">
        <v>439</v>
      </c>
      <c r="N512" s="131" t="s">
        <v>324</v>
      </c>
      <c r="O512" s="56">
        <f>VLOOKUP($F512,'ZipCode Coordinates'!$A:$E,4,FALSE)</f>
        <v>2156060</v>
      </c>
      <c r="P512" s="56">
        <f>VLOOKUP($F512,'ZipCode Coordinates'!$A:$E,5,FALSE)</f>
        <v>6110250</v>
      </c>
      <c r="Q512" s="56">
        <f>VLOOKUP($G512,'ZipCode Coordinates'!$A:$E,4,FALSE)</f>
        <v>1998660</v>
      </c>
      <c r="R512" s="56">
        <f>VLOOKUP($G512,'ZipCode Coordinates'!$A:$E,5,FALSE)</f>
        <v>6234650</v>
      </c>
      <c r="S512" s="352" t="str">
        <f>IFERROR(VLOOKUP($M512,'External Gateways'!$C$6:$F$10,2,FALSE),"")</f>
        <v>I-5</v>
      </c>
      <c r="T512" s="56">
        <f>IFERROR(VLOOKUP($M512,'External Gateways'!$C$6:$F$10,3,FALSE),O512)</f>
        <v>2090594</v>
      </c>
      <c r="U512" s="56">
        <f>IFERROR(VLOOKUP($M512,'External Gateways'!$C$6:$F$10,4,FALSE),P512)</f>
        <v>6151524</v>
      </c>
      <c r="V512" s="353">
        <f t="shared" si="14"/>
        <v>14.65735375542155</v>
      </c>
      <c r="W512" s="353">
        <f t="shared" si="15"/>
        <v>105.68529248915689</v>
      </c>
    </row>
    <row r="513" spans="1:23" ht="15" customHeight="1" x14ac:dyDescent="0.25">
      <c r="A513" s="128">
        <v>2490</v>
      </c>
      <c r="B513" s="129" t="s">
        <v>238</v>
      </c>
      <c r="C513" s="128" t="s">
        <v>198</v>
      </c>
      <c r="D513" s="129" t="s">
        <v>162</v>
      </c>
      <c r="E513" s="129" t="s">
        <v>162</v>
      </c>
      <c r="F513" s="129">
        <v>92129</v>
      </c>
      <c r="G513" s="129">
        <v>92122</v>
      </c>
      <c r="H513" s="130">
        <v>35</v>
      </c>
      <c r="I513" s="129" t="s">
        <v>428</v>
      </c>
      <c r="J513" s="130">
        <v>7</v>
      </c>
      <c r="K513" s="131">
        <v>2</v>
      </c>
      <c r="L513" s="131" t="s">
        <v>5</v>
      </c>
      <c r="M513" s="131" t="s">
        <v>327</v>
      </c>
      <c r="N513" s="131" t="s">
        <v>327</v>
      </c>
      <c r="O513" s="56">
        <f>VLOOKUP($F513,'ZipCode Coordinates'!$A:$E,4,FALSE)</f>
        <v>1931860</v>
      </c>
      <c r="P513" s="56">
        <f>VLOOKUP($F513,'ZipCode Coordinates'!$A:$E,5,FALSE)</f>
        <v>6293150</v>
      </c>
      <c r="Q513" s="56">
        <f>VLOOKUP($G513,'ZipCode Coordinates'!$A:$E,4,FALSE)</f>
        <v>1893170</v>
      </c>
      <c r="R513" s="56">
        <f>VLOOKUP($G513,'ZipCode Coordinates'!$A:$E,5,FALSE)</f>
        <v>6267940</v>
      </c>
      <c r="S513" s="352" t="str">
        <f>IFERROR(VLOOKUP($M513,'External Gateways'!$C$6:$F$10,2,FALSE),"")</f>
        <v/>
      </c>
      <c r="T513" s="56">
        <f>IFERROR(VLOOKUP($M513,'External Gateways'!$C$6:$F$10,3,FALSE),O513)</f>
        <v>1931860</v>
      </c>
      <c r="U513" s="56">
        <f>IFERROR(VLOOKUP($M513,'External Gateways'!$C$6:$F$10,4,FALSE),P513)</f>
        <v>6293150</v>
      </c>
      <c r="V513" s="353">
        <f t="shared" si="14"/>
        <v>0</v>
      </c>
      <c r="W513" s="353">
        <f t="shared" si="15"/>
        <v>35</v>
      </c>
    </row>
    <row r="514" spans="1:23" ht="15" customHeight="1" x14ac:dyDescent="0.25">
      <c r="A514" s="128">
        <v>2491</v>
      </c>
      <c r="B514" s="129" t="s">
        <v>451</v>
      </c>
      <c r="C514" s="128" t="s">
        <v>3</v>
      </c>
      <c r="D514" s="129" t="s">
        <v>158</v>
      </c>
      <c r="E514" s="129" t="s">
        <v>162</v>
      </c>
      <c r="F514" s="129">
        <v>92563</v>
      </c>
      <c r="G514" s="129">
        <v>92136</v>
      </c>
      <c r="H514" s="130">
        <v>160</v>
      </c>
      <c r="I514" s="129" t="s">
        <v>434</v>
      </c>
      <c r="J514" s="130">
        <v>7</v>
      </c>
      <c r="K514" s="131"/>
      <c r="L514" s="131" t="s">
        <v>3</v>
      </c>
      <c r="M514" s="131" t="s">
        <v>402</v>
      </c>
      <c r="N514" s="131" t="s">
        <v>323</v>
      </c>
      <c r="O514" s="56">
        <f>VLOOKUP($F514,'ZipCode Coordinates'!$A:$E,4,FALSE)</f>
        <v>2156450</v>
      </c>
      <c r="P514" s="56">
        <f>VLOOKUP($F514,'ZipCode Coordinates'!$A:$E,5,FALSE)</f>
        <v>6288710</v>
      </c>
      <c r="Q514" s="56">
        <f>VLOOKUP($G514,'ZipCode Coordinates'!$A:$E,4,FALSE)</f>
        <v>1828370</v>
      </c>
      <c r="R514" s="56">
        <f>VLOOKUP($G514,'ZipCode Coordinates'!$A:$E,5,FALSE)</f>
        <v>6293940</v>
      </c>
      <c r="S514" s="352" t="str">
        <f>IFERROR(VLOOKUP($M514,'External Gateways'!$C$6:$F$10,2,FALSE),"")</f>
        <v>I-15</v>
      </c>
      <c r="T514" s="56">
        <f>IFERROR(VLOOKUP($M514,'External Gateways'!$C$6:$F$10,3,FALSE),O514)</f>
        <v>2102195</v>
      </c>
      <c r="U514" s="56">
        <f>IFERROR(VLOOKUP($M514,'External Gateways'!$C$6:$F$10,4,FALSE),P514)</f>
        <v>6289147</v>
      </c>
      <c r="V514" s="353">
        <f t="shared" si="14"/>
        <v>10.275901494735123</v>
      </c>
      <c r="W514" s="353">
        <f t="shared" si="15"/>
        <v>139.44819701052975</v>
      </c>
    </row>
    <row r="515" spans="1:23" ht="15" customHeight="1" x14ac:dyDescent="0.25">
      <c r="A515" s="128">
        <v>2493</v>
      </c>
      <c r="B515" s="129" t="s">
        <v>82</v>
      </c>
      <c r="C515" s="128" t="s">
        <v>3</v>
      </c>
      <c r="D515" s="129" t="s">
        <v>295</v>
      </c>
      <c r="E515" s="129" t="s">
        <v>82</v>
      </c>
      <c r="F515" s="129">
        <v>92592</v>
      </c>
      <c r="G515" s="129">
        <v>92055</v>
      </c>
      <c r="H515" s="130">
        <v>109</v>
      </c>
      <c r="I515" s="129" t="s">
        <v>459</v>
      </c>
      <c r="J515" s="130">
        <v>8</v>
      </c>
      <c r="K515" s="131">
        <v>2</v>
      </c>
      <c r="L515" s="131" t="s">
        <v>3</v>
      </c>
      <c r="M515" s="131" t="s">
        <v>402</v>
      </c>
      <c r="N515" s="131" t="s">
        <v>324</v>
      </c>
      <c r="O515" s="56">
        <f>VLOOKUP($F515,'ZipCode Coordinates'!$A:$E,4,FALSE)</f>
        <v>2128740</v>
      </c>
      <c r="P515" s="56">
        <f>VLOOKUP($F515,'ZipCode Coordinates'!$A:$E,5,FALSE)</f>
        <v>6328900</v>
      </c>
      <c r="Q515" s="56">
        <f>VLOOKUP($G515,'ZipCode Coordinates'!$A:$E,4,FALSE)</f>
        <v>2082470</v>
      </c>
      <c r="R515" s="56">
        <f>VLOOKUP($G515,'ZipCode Coordinates'!$A:$E,5,FALSE)</f>
        <v>6206470</v>
      </c>
      <c r="S515" s="352" t="str">
        <f>IFERROR(VLOOKUP($M515,'External Gateways'!$C$6:$F$10,2,FALSE),"")</f>
        <v>I-15</v>
      </c>
      <c r="T515" s="56">
        <f>IFERROR(VLOOKUP($M515,'External Gateways'!$C$6:$F$10,3,FALSE),O515)</f>
        <v>2102195</v>
      </c>
      <c r="U515" s="56">
        <f>IFERROR(VLOOKUP($M515,'External Gateways'!$C$6:$F$10,4,FALSE),P515)</f>
        <v>6289147</v>
      </c>
      <c r="V515" s="353">
        <f t="shared" ref="V515:V578" si="16">SQRT((T515-O515)^2+(U515-P515)^2)/5280</f>
        <v>9.0532245169037147</v>
      </c>
      <c r="W515" s="353">
        <f t="shared" ref="W515:W578" si="17">MAX(H515-2*V515,0)</f>
        <v>90.893550966192578</v>
      </c>
    </row>
    <row r="516" spans="1:23" ht="15" customHeight="1" x14ac:dyDescent="0.25">
      <c r="A516" s="128">
        <v>2496</v>
      </c>
      <c r="B516" s="129" t="s">
        <v>315</v>
      </c>
      <c r="C516" s="128" t="s">
        <v>68</v>
      </c>
      <c r="D516" s="129" t="s">
        <v>156</v>
      </c>
      <c r="E516" s="129" t="s">
        <v>165</v>
      </c>
      <c r="F516" s="129">
        <v>92026</v>
      </c>
      <c r="G516" s="129">
        <v>91914</v>
      </c>
      <c r="H516" s="130">
        <v>127</v>
      </c>
      <c r="I516" s="129" t="s">
        <v>401</v>
      </c>
      <c r="J516" s="130">
        <v>7</v>
      </c>
      <c r="K516" s="131"/>
      <c r="L516" s="131" t="s">
        <v>68</v>
      </c>
      <c r="M516" s="131" t="s">
        <v>325</v>
      </c>
      <c r="N516" s="131" t="s">
        <v>326</v>
      </c>
      <c r="O516" s="56">
        <f>VLOOKUP($F516,'ZipCode Coordinates'!$A:$E,4,FALSE)</f>
        <v>2022480</v>
      </c>
      <c r="P516" s="56">
        <f>VLOOKUP($F516,'ZipCode Coordinates'!$A:$E,5,FALSE)</f>
        <v>6297420</v>
      </c>
      <c r="Q516" s="56">
        <f>VLOOKUP($G516,'ZipCode Coordinates'!$A:$E,4,FALSE)</f>
        <v>1823440</v>
      </c>
      <c r="R516" s="56">
        <f>VLOOKUP($G516,'ZipCode Coordinates'!$A:$E,5,FALSE)</f>
        <v>6346410</v>
      </c>
      <c r="S516" s="352" t="str">
        <f>IFERROR(VLOOKUP($M516,'External Gateways'!$C$6:$F$10,2,FALSE),"")</f>
        <v/>
      </c>
      <c r="T516" s="56">
        <f>IFERROR(VLOOKUP($M516,'External Gateways'!$C$6:$F$10,3,FALSE),O516)</f>
        <v>2022480</v>
      </c>
      <c r="U516" s="56">
        <f>IFERROR(VLOOKUP($M516,'External Gateways'!$C$6:$F$10,4,FALSE),P516)</f>
        <v>6297420</v>
      </c>
      <c r="V516" s="353">
        <f t="shared" si="16"/>
        <v>0</v>
      </c>
      <c r="W516" s="353">
        <f t="shared" si="17"/>
        <v>127</v>
      </c>
    </row>
    <row r="517" spans="1:23" ht="15" customHeight="1" x14ac:dyDescent="0.25">
      <c r="A517" s="128">
        <v>2499</v>
      </c>
      <c r="B517" s="129" t="s">
        <v>451</v>
      </c>
      <c r="C517" s="128" t="s">
        <v>3</v>
      </c>
      <c r="D517" s="129" t="s">
        <v>170</v>
      </c>
      <c r="E517" s="129" t="s">
        <v>162</v>
      </c>
      <c r="F517" s="129">
        <v>92563</v>
      </c>
      <c r="G517" s="129">
        <v>92136</v>
      </c>
      <c r="H517" s="130">
        <v>160</v>
      </c>
      <c r="I517" s="129" t="s">
        <v>488</v>
      </c>
      <c r="J517" s="130">
        <v>7</v>
      </c>
      <c r="K517" s="131">
        <v>1</v>
      </c>
      <c r="L517" s="131" t="s">
        <v>3</v>
      </c>
      <c r="M517" s="131" t="s">
        <v>402</v>
      </c>
      <c r="N517" s="131" t="s">
        <v>323</v>
      </c>
      <c r="O517" s="56">
        <f>VLOOKUP($F517,'ZipCode Coordinates'!$A:$E,4,FALSE)</f>
        <v>2156450</v>
      </c>
      <c r="P517" s="56">
        <f>VLOOKUP($F517,'ZipCode Coordinates'!$A:$E,5,FALSE)</f>
        <v>6288710</v>
      </c>
      <c r="Q517" s="56">
        <f>VLOOKUP($G517,'ZipCode Coordinates'!$A:$E,4,FALSE)</f>
        <v>1828370</v>
      </c>
      <c r="R517" s="56">
        <f>VLOOKUP($G517,'ZipCode Coordinates'!$A:$E,5,FALSE)</f>
        <v>6293940</v>
      </c>
      <c r="S517" s="352" t="str">
        <f>IFERROR(VLOOKUP($M517,'External Gateways'!$C$6:$F$10,2,FALSE),"")</f>
        <v>I-15</v>
      </c>
      <c r="T517" s="56">
        <f>IFERROR(VLOOKUP($M517,'External Gateways'!$C$6:$F$10,3,FALSE),O517)</f>
        <v>2102195</v>
      </c>
      <c r="U517" s="56">
        <f>IFERROR(VLOOKUP($M517,'External Gateways'!$C$6:$F$10,4,FALSE),P517)</f>
        <v>6289147</v>
      </c>
      <c r="V517" s="353">
        <f t="shared" si="16"/>
        <v>10.275901494735123</v>
      </c>
      <c r="W517" s="353">
        <f t="shared" si="17"/>
        <v>139.44819701052975</v>
      </c>
    </row>
    <row r="518" spans="1:23" ht="15" customHeight="1" x14ac:dyDescent="0.25">
      <c r="A518" s="128">
        <v>2500</v>
      </c>
      <c r="B518" s="129" t="s">
        <v>223</v>
      </c>
      <c r="C518" s="128" t="s">
        <v>68</v>
      </c>
      <c r="D518" s="129" t="s">
        <v>156</v>
      </c>
      <c r="E518" s="129" t="s">
        <v>162</v>
      </c>
      <c r="F518" s="129">
        <v>92026</v>
      </c>
      <c r="G518" s="129">
        <v>92154</v>
      </c>
      <c r="H518" s="130">
        <v>110</v>
      </c>
      <c r="I518" s="129" t="s">
        <v>416</v>
      </c>
      <c r="J518" s="130">
        <v>7</v>
      </c>
      <c r="K518" s="131"/>
      <c r="L518" s="131" t="s">
        <v>68</v>
      </c>
      <c r="M518" s="131" t="s">
        <v>325</v>
      </c>
      <c r="N518" s="131" t="s">
        <v>328</v>
      </c>
      <c r="O518" s="56">
        <f>VLOOKUP($F518,'ZipCode Coordinates'!$A:$E,4,FALSE)</f>
        <v>2022480</v>
      </c>
      <c r="P518" s="56">
        <f>VLOOKUP($F518,'ZipCode Coordinates'!$A:$E,5,FALSE)</f>
        <v>6297420</v>
      </c>
      <c r="Q518" s="56">
        <f>VLOOKUP($G518,'ZipCode Coordinates'!$A:$E,4,FALSE)</f>
        <v>1787080</v>
      </c>
      <c r="R518" s="56">
        <f>VLOOKUP($G518,'ZipCode Coordinates'!$A:$E,5,FALSE)</f>
        <v>6330680</v>
      </c>
      <c r="S518" s="352" t="str">
        <f>IFERROR(VLOOKUP($M518,'External Gateways'!$C$6:$F$10,2,FALSE),"")</f>
        <v/>
      </c>
      <c r="T518" s="56">
        <f>IFERROR(VLOOKUP($M518,'External Gateways'!$C$6:$F$10,3,FALSE),O518)</f>
        <v>2022480</v>
      </c>
      <c r="U518" s="56">
        <f>IFERROR(VLOOKUP($M518,'External Gateways'!$C$6:$F$10,4,FALSE),P518)</f>
        <v>6297420</v>
      </c>
      <c r="V518" s="353">
        <f t="shared" si="16"/>
        <v>0</v>
      </c>
      <c r="W518" s="353">
        <f t="shared" si="17"/>
        <v>110</v>
      </c>
    </row>
    <row r="519" spans="1:23" ht="15" customHeight="1" x14ac:dyDescent="0.25">
      <c r="A519" s="128">
        <v>2502</v>
      </c>
      <c r="B519" s="129" t="s">
        <v>247</v>
      </c>
      <c r="C519" s="128" t="s">
        <v>198</v>
      </c>
      <c r="D519" s="129" t="s">
        <v>162</v>
      </c>
      <c r="E519" s="129" t="s">
        <v>162</v>
      </c>
      <c r="F519" s="129">
        <v>91902</v>
      </c>
      <c r="G519" s="129">
        <v>92121</v>
      </c>
      <c r="H519" s="130">
        <v>103</v>
      </c>
      <c r="I519" s="129" t="s">
        <v>409</v>
      </c>
      <c r="J519" s="130">
        <v>8</v>
      </c>
      <c r="K519" s="131"/>
      <c r="L519" s="131" t="s">
        <v>5</v>
      </c>
      <c r="M519" s="131" t="s">
        <v>328</v>
      </c>
      <c r="N519" s="131" t="s">
        <v>327</v>
      </c>
      <c r="O519" s="56">
        <f>VLOOKUP($F519,'ZipCode Coordinates'!$A:$E,4,FALSE)</f>
        <v>1825850</v>
      </c>
      <c r="P519" s="56">
        <f>VLOOKUP($F519,'ZipCode Coordinates'!$A:$E,5,FALSE)</f>
        <v>6329330</v>
      </c>
      <c r="Q519" s="56">
        <f>VLOOKUP($G519,'ZipCode Coordinates'!$A:$E,4,FALSE)</f>
        <v>1907910</v>
      </c>
      <c r="R519" s="56">
        <f>VLOOKUP($G519,'ZipCode Coordinates'!$A:$E,5,FALSE)</f>
        <v>6269540</v>
      </c>
      <c r="S519" s="352" t="str">
        <f>IFERROR(VLOOKUP($M519,'External Gateways'!$C$6:$F$10,2,FALSE),"")</f>
        <v/>
      </c>
      <c r="T519" s="56">
        <f>IFERROR(VLOOKUP($M519,'External Gateways'!$C$6:$F$10,3,FALSE),O519)</f>
        <v>1825850</v>
      </c>
      <c r="U519" s="56">
        <f>IFERROR(VLOOKUP($M519,'External Gateways'!$C$6:$F$10,4,FALSE),P519)</f>
        <v>6329330</v>
      </c>
      <c r="V519" s="353">
        <f t="shared" si="16"/>
        <v>0</v>
      </c>
      <c r="W519" s="353">
        <f t="shared" si="17"/>
        <v>103</v>
      </c>
    </row>
    <row r="520" spans="1:23" ht="15" customHeight="1" x14ac:dyDescent="0.25">
      <c r="A520" s="128">
        <v>2503</v>
      </c>
      <c r="B520" s="129" t="s">
        <v>253</v>
      </c>
      <c r="C520" s="128" t="s">
        <v>3</v>
      </c>
      <c r="D520" s="129" t="s">
        <v>154</v>
      </c>
      <c r="E520" s="129" t="s">
        <v>162</v>
      </c>
      <c r="F520" s="129">
        <v>92592</v>
      </c>
      <c r="G520" s="129">
        <v>92145</v>
      </c>
      <c r="H520" s="130">
        <v>135</v>
      </c>
      <c r="I520" s="129" t="s">
        <v>488</v>
      </c>
      <c r="J520" s="130">
        <v>7</v>
      </c>
      <c r="K520" s="131"/>
      <c r="L520" s="131" t="s">
        <v>3</v>
      </c>
      <c r="M520" s="131" t="s">
        <v>402</v>
      </c>
      <c r="N520" s="131" t="s">
        <v>327</v>
      </c>
      <c r="O520" s="56">
        <f>VLOOKUP($F520,'ZipCode Coordinates'!$A:$E,4,FALSE)</f>
        <v>2128740</v>
      </c>
      <c r="P520" s="56">
        <f>VLOOKUP($F520,'ZipCode Coordinates'!$A:$E,5,FALSE)</f>
        <v>6328900</v>
      </c>
      <c r="Q520" s="56">
        <f>VLOOKUP($G520,'ZipCode Coordinates'!$A:$E,4,FALSE)</f>
        <v>1896720</v>
      </c>
      <c r="R520" s="56">
        <f>VLOOKUP($G520,'ZipCode Coordinates'!$A:$E,5,FALSE)</f>
        <v>6297440</v>
      </c>
      <c r="S520" s="352" t="str">
        <f>IFERROR(VLOOKUP($M520,'External Gateways'!$C$6:$F$10,2,FALSE),"")</f>
        <v>I-15</v>
      </c>
      <c r="T520" s="56">
        <f>IFERROR(VLOOKUP($M520,'External Gateways'!$C$6:$F$10,3,FALSE),O520)</f>
        <v>2102195</v>
      </c>
      <c r="U520" s="56">
        <f>IFERROR(VLOOKUP($M520,'External Gateways'!$C$6:$F$10,4,FALSE),P520)</f>
        <v>6289147</v>
      </c>
      <c r="V520" s="353">
        <f t="shared" si="16"/>
        <v>9.0532245169037147</v>
      </c>
      <c r="W520" s="353">
        <f t="shared" si="17"/>
        <v>116.89355096619258</v>
      </c>
    </row>
    <row r="521" spans="1:23" ht="15" customHeight="1" x14ac:dyDescent="0.25">
      <c r="A521" s="128">
        <v>2504</v>
      </c>
      <c r="B521" s="129" t="s">
        <v>249</v>
      </c>
      <c r="C521" s="128" t="s">
        <v>166</v>
      </c>
      <c r="D521" s="129" t="s">
        <v>250</v>
      </c>
      <c r="E521" s="129" t="s">
        <v>197</v>
      </c>
      <c r="F521" s="129">
        <v>92692</v>
      </c>
      <c r="G521" s="129">
        <v>92056</v>
      </c>
      <c r="H521" s="130">
        <v>110</v>
      </c>
      <c r="I521" s="129" t="s">
        <v>416</v>
      </c>
      <c r="J521" s="130">
        <v>7</v>
      </c>
      <c r="K521" s="131"/>
      <c r="L521" s="131" t="s">
        <v>5</v>
      </c>
      <c r="M521" s="131" t="s">
        <v>439</v>
      </c>
      <c r="N521" s="131" t="s">
        <v>324</v>
      </c>
      <c r="O521" s="56">
        <f>VLOOKUP($F521,'ZipCode Coordinates'!$A:$E,4,FALSE)</f>
        <v>2168250</v>
      </c>
      <c r="P521" s="56">
        <f>VLOOKUP($F521,'ZipCode Coordinates'!$A:$E,5,FALSE)</f>
        <v>6137470</v>
      </c>
      <c r="Q521" s="56">
        <f>VLOOKUP($G521,'ZipCode Coordinates'!$A:$E,4,FALSE)</f>
        <v>2018560</v>
      </c>
      <c r="R521" s="56">
        <f>VLOOKUP($G521,'ZipCode Coordinates'!$A:$E,5,FALSE)</f>
        <v>6243750</v>
      </c>
      <c r="S521" s="352" t="str">
        <f>IFERROR(VLOOKUP($M521,'External Gateways'!$C$6:$F$10,2,FALSE),"")</f>
        <v>I-5</v>
      </c>
      <c r="T521" s="56">
        <f>IFERROR(VLOOKUP($M521,'External Gateways'!$C$6:$F$10,3,FALSE),O521)</f>
        <v>2090594</v>
      </c>
      <c r="U521" s="56">
        <f>IFERROR(VLOOKUP($M521,'External Gateways'!$C$6:$F$10,4,FALSE),P521)</f>
        <v>6151524</v>
      </c>
      <c r="V521" s="353">
        <f t="shared" si="16"/>
        <v>14.946493147151344</v>
      </c>
      <c r="W521" s="353">
        <f t="shared" si="17"/>
        <v>80.107013705697312</v>
      </c>
    </row>
    <row r="522" spans="1:23" ht="15" customHeight="1" x14ac:dyDescent="0.25">
      <c r="A522" s="128">
        <v>2505</v>
      </c>
      <c r="B522" s="129" t="s">
        <v>249</v>
      </c>
      <c r="C522" s="128" t="s">
        <v>166</v>
      </c>
      <c r="D522" s="129" t="s">
        <v>250</v>
      </c>
      <c r="E522" s="129" t="s">
        <v>197</v>
      </c>
      <c r="F522" s="129">
        <v>92692</v>
      </c>
      <c r="G522" s="129">
        <v>92056</v>
      </c>
      <c r="H522" s="130">
        <v>109</v>
      </c>
      <c r="I522" s="129" t="s">
        <v>408</v>
      </c>
      <c r="J522" s="130">
        <v>7</v>
      </c>
      <c r="K522" s="131"/>
      <c r="L522" s="131" t="s">
        <v>5</v>
      </c>
      <c r="M522" s="131" t="s">
        <v>439</v>
      </c>
      <c r="N522" s="131" t="s">
        <v>324</v>
      </c>
      <c r="O522" s="56">
        <f>VLOOKUP($F522,'ZipCode Coordinates'!$A:$E,4,FALSE)</f>
        <v>2168250</v>
      </c>
      <c r="P522" s="56">
        <f>VLOOKUP($F522,'ZipCode Coordinates'!$A:$E,5,FALSE)</f>
        <v>6137470</v>
      </c>
      <c r="Q522" s="56">
        <f>VLOOKUP($G522,'ZipCode Coordinates'!$A:$E,4,FALSE)</f>
        <v>2018560</v>
      </c>
      <c r="R522" s="56">
        <f>VLOOKUP($G522,'ZipCode Coordinates'!$A:$E,5,FALSE)</f>
        <v>6243750</v>
      </c>
      <c r="S522" s="352" t="str">
        <f>IFERROR(VLOOKUP($M522,'External Gateways'!$C$6:$F$10,2,FALSE),"")</f>
        <v>I-5</v>
      </c>
      <c r="T522" s="56">
        <f>IFERROR(VLOOKUP($M522,'External Gateways'!$C$6:$F$10,3,FALSE),O522)</f>
        <v>2090594</v>
      </c>
      <c r="U522" s="56">
        <f>IFERROR(VLOOKUP($M522,'External Gateways'!$C$6:$F$10,4,FALSE),P522)</f>
        <v>6151524</v>
      </c>
      <c r="V522" s="353">
        <f t="shared" si="16"/>
        <v>14.946493147151344</v>
      </c>
      <c r="W522" s="353">
        <f t="shared" si="17"/>
        <v>79.107013705697312</v>
      </c>
    </row>
    <row r="523" spans="1:23" ht="15" customHeight="1" x14ac:dyDescent="0.25">
      <c r="A523" s="128">
        <v>2506</v>
      </c>
      <c r="B523" s="129" t="s">
        <v>249</v>
      </c>
      <c r="C523" s="128" t="s">
        <v>166</v>
      </c>
      <c r="D523" s="129" t="s">
        <v>250</v>
      </c>
      <c r="E523" s="129" t="s">
        <v>197</v>
      </c>
      <c r="F523" s="129">
        <v>92692</v>
      </c>
      <c r="G523" s="129">
        <v>92056</v>
      </c>
      <c r="H523" s="130">
        <v>109</v>
      </c>
      <c r="I523" s="129" t="s">
        <v>501</v>
      </c>
      <c r="J523" s="130">
        <v>8</v>
      </c>
      <c r="K523" s="131"/>
      <c r="L523" s="131" t="s">
        <v>5</v>
      </c>
      <c r="M523" s="131" t="s">
        <v>439</v>
      </c>
      <c r="N523" s="131" t="s">
        <v>324</v>
      </c>
      <c r="O523" s="56">
        <f>VLOOKUP($F523,'ZipCode Coordinates'!$A:$E,4,FALSE)</f>
        <v>2168250</v>
      </c>
      <c r="P523" s="56">
        <f>VLOOKUP($F523,'ZipCode Coordinates'!$A:$E,5,FALSE)</f>
        <v>6137470</v>
      </c>
      <c r="Q523" s="56">
        <f>VLOOKUP($G523,'ZipCode Coordinates'!$A:$E,4,FALSE)</f>
        <v>2018560</v>
      </c>
      <c r="R523" s="56">
        <f>VLOOKUP($G523,'ZipCode Coordinates'!$A:$E,5,FALSE)</f>
        <v>6243750</v>
      </c>
      <c r="S523" s="352" t="str">
        <f>IFERROR(VLOOKUP($M523,'External Gateways'!$C$6:$F$10,2,FALSE),"")</f>
        <v>I-5</v>
      </c>
      <c r="T523" s="56">
        <f>IFERROR(VLOOKUP($M523,'External Gateways'!$C$6:$F$10,3,FALSE),O523)</f>
        <v>2090594</v>
      </c>
      <c r="U523" s="56">
        <f>IFERROR(VLOOKUP($M523,'External Gateways'!$C$6:$F$10,4,FALSE),P523)</f>
        <v>6151524</v>
      </c>
      <c r="V523" s="353">
        <f t="shared" si="16"/>
        <v>14.946493147151344</v>
      </c>
      <c r="W523" s="353">
        <f t="shared" si="17"/>
        <v>79.107013705697312</v>
      </c>
    </row>
    <row r="524" spans="1:23" ht="15" customHeight="1" x14ac:dyDescent="0.25">
      <c r="A524" s="128">
        <v>2507</v>
      </c>
      <c r="B524" s="129" t="s">
        <v>249</v>
      </c>
      <c r="C524" s="128" t="s">
        <v>166</v>
      </c>
      <c r="D524" s="129" t="s">
        <v>167</v>
      </c>
      <c r="E524" s="129" t="s">
        <v>197</v>
      </c>
      <c r="F524" s="129">
        <v>92530</v>
      </c>
      <c r="G524" s="129">
        <v>92056</v>
      </c>
      <c r="H524" s="130">
        <v>110</v>
      </c>
      <c r="I524" s="129" t="s">
        <v>408</v>
      </c>
      <c r="J524" s="130">
        <v>7</v>
      </c>
      <c r="K524" s="131"/>
      <c r="L524" s="131" t="s">
        <v>5</v>
      </c>
      <c r="M524" s="131" t="s">
        <v>402</v>
      </c>
      <c r="N524" s="131" t="s">
        <v>324</v>
      </c>
      <c r="O524" s="56">
        <f>VLOOKUP($F524,'ZipCode Coordinates'!$A:$E,4,FALSE)</f>
        <v>2166440</v>
      </c>
      <c r="P524" s="56">
        <f>VLOOKUP($F524,'ZipCode Coordinates'!$A:$E,5,FALSE)</f>
        <v>6212730</v>
      </c>
      <c r="Q524" s="56">
        <f>VLOOKUP($G524,'ZipCode Coordinates'!$A:$E,4,FALSE)</f>
        <v>2018560</v>
      </c>
      <c r="R524" s="56">
        <f>VLOOKUP($G524,'ZipCode Coordinates'!$A:$E,5,FALSE)</f>
        <v>6243750</v>
      </c>
      <c r="S524" s="352" t="str">
        <f>IFERROR(VLOOKUP($M524,'External Gateways'!$C$6:$F$10,2,FALSE),"")</f>
        <v>I-15</v>
      </c>
      <c r="T524" s="56">
        <f>IFERROR(VLOOKUP($M524,'External Gateways'!$C$6:$F$10,3,FALSE),O524)</f>
        <v>2102195</v>
      </c>
      <c r="U524" s="56">
        <f>IFERROR(VLOOKUP($M524,'External Gateways'!$C$6:$F$10,4,FALSE),P524)</f>
        <v>6289147</v>
      </c>
      <c r="V524" s="353">
        <f t="shared" si="16"/>
        <v>18.908097166137583</v>
      </c>
      <c r="W524" s="353">
        <f t="shared" si="17"/>
        <v>72.18380566772484</v>
      </c>
    </row>
    <row r="525" spans="1:23" ht="15" customHeight="1" x14ac:dyDescent="0.25">
      <c r="A525" s="128">
        <v>2508</v>
      </c>
      <c r="B525" s="129" t="s">
        <v>249</v>
      </c>
      <c r="C525" s="128" t="s">
        <v>166</v>
      </c>
      <c r="D525" s="129" t="s">
        <v>250</v>
      </c>
      <c r="E525" s="129" t="s">
        <v>197</v>
      </c>
      <c r="F525" s="129">
        <v>92705</v>
      </c>
      <c r="G525" s="129">
        <v>92056</v>
      </c>
      <c r="H525" s="130">
        <v>110</v>
      </c>
      <c r="I525" s="129" t="s">
        <v>475</v>
      </c>
      <c r="J525" s="130">
        <v>10</v>
      </c>
      <c r="K525" s="131"/>
      <c r="L525" s="131" t="s">
        <v>5</v>
      </c>
      <c r="M525" s="131" t="s">
        <v>439</v>
      </c>
      <c r="N525" s="131" t="s">
        <v>324</v>
      </c>
      <c r="O525" s="56">
        <f>VLOOKUP($F525,'ZipCode Coordinates'!$A:$E,4,FALSE)</f>
        <v>2222620</v>
      </c>
      <c r="P525" s="56">
        <f>VLOOKUP($F525,'ZipCode Coordinates'!$A:$E,5,FALSE)</f>
        <v>6086280</v>
      </c>
      <c r="Q525" s="56">
        <f>VLOOKUP($G525,'ZipCode Coordinates'!$A:$E,4,FALSE)</f>
        <v>2018560</v>
      </c>
      <c r="R525" s="56">
        <f>VLOOKUP($G525,'ZipCode Coordinates'!$A:$E,5,FALSE)</f>
        <v>6243750</v>
      </c>
      <c r="S525" s="352" t="str">
        <f>IFERROR(VLOOKUP($M525,'External Gateways'!$C$6:$F$10,2,FALSE),"")</f>
        <v>I-5</v>
      </c>
      <c r="T525" s="56">
        <f>IFERROR(VLOOKUP($M525,'External Gateways'!$C$6:$F$10,3,FALSE),O525)</f>
        <v>2090594</v>
      </c>
      <c r="U525" s="56">
        <f>IFERROR(VLOOKUP($M525,'External Gateways'!$C$6:$F$10,4,FALSE),P525)</f>
        <v>6151524</v>
      </c>
      <c r="V525" s="353">
        <f t="shared" si="16"/>
        <v>27.891525450356564</v>
      </c>
      <c r="W525" s="353">
        <f t="shared" si="17"/>
        <v>54.216949099286872</v>
      </c>
    </row>
    <row r="526" spans="1:23" ht="15" customHeight="1" x14ac:dyDescent="0.25">
      <c r="A526" s="335">
        <v>2509</v>
      </c>
      <c r="B526" s="336" t="s">
        <v>249</v>
      </c>
      <c r="C526" s="56" t="s">
        <v>166</v>
      </c>
      <c r="D526" s="336" t="s">
        <v>251</v>
      </c>
      <c r="E526" s="336" t="s">
        <v>197</v>
      </c>
      <c r="F526" s="336">
        <v>92868</v>
      </c>
      <c r="G526" s="336">
        <v>92056</v>
      </c>
      <c r="H526" s="336">
        <v>135</v>
      </c>
      <c r="I526" s="336" t="s">
        <v>408</v>
      </c>
      <c r="J526" s="336">
        <v>7</v>
      </c>
      <c r="K526" s="336"/>
      <c r="L526" s="336" t="s">
        <v>5</v>
      </c>
      <c r="M526" s="337" t="s">
        <v>439</v>
      </c>
      <c r="N526" s="337" t="s">
        <v>324</v>
      </c>
      <c r="O526" s="56">
        <f>VLOOKUP($F526,'ZipCode Coordinates'!$A:$E,4,FALSE)</f>
        <v>2234110</v>
      </c>
      <c r="P526" s="56">
        <f>VLOOKUP($F526,'ZipCode Coordinates'!$A:$E,5,FALSE)</f>
        <v>6067510</v>
      </c>
      <c r="Q526" s="56">
        <f>VLOOKUP($G526,'ZipCode Coordinates'!$A:$E,4,FALSE)</f>
        <v>2018560</v>
      </c>
      <c r="R526" s="56">
        <f>VLOOKUP($G526,'ZipCode Coordinates'!$A:$E,5,FALSE)</f>
        <v>6243750</v>
      </c>
      <c r="S526" s="352" t="str">
        <f>IFERROR(VLOOKUP($M526,'External Gateways'!$C$6:$F$10,2,FALSE),"")</f>
        <v>I-5</v>
      </c>
      <c r="T526" s="56">
        <f>IFERROR(VLOOKUP($M526,'External Gateways'!$C$6:$F$10,3,FALSE),O526)</f>
        <v>2090594</v>
      </c>
      <c r="U526" s="56">
        <f>IFERROR(VLOOKUP($M526,'External Gateways'!$C$6:$F$10,4,FALSE),P526)</f>
        <v>6151524</v>
      </c>
      <c r="V526" s="353">
        <f t="shared" si="16"/>
        <v>31.495929937783643</v>
      </c>
      <c r="W526" s="353">
        <f t="shared" si="17"/>
        <v>72.008140124432714</v>
      </c>
    </row>
    <row r="527" spans="1:23" ht="15" customHeight="1" x14ac:dyDescent="0.25">
      <c r="A527" s="128">
        <v>2511</v>
      </c>
      <c r="B527" s="129" t="s">
        <v>253</v>
      </c>
      <c r="C527" s="128" t="s">
        <v>3</v>
      </c>
      <c r="D527" s="129" t="s">
        <v>173</v>
      </c>
      <c r="E527" s="129" t="s">
        <v>162</v>
      </c>
      <c r="F527" s="129">
        <v>92555</v>
      </c>
      <c r="G527" s="129">
        <v>92145</v>
      </c>
      <c r="H527" s="130">
        <v>159</v>
      </c>
      <c r="I527" s="129" t="s">
        <v>455</v>
      </c>
      <c r="J527" s="130">
        <v>7</v>
      </c>
      <c r="K527" s="131"/>
      <c r="L527" s="131" t="s">
        <v>3</v>
      </c>
      <c r="M527" s="131" t="s">
        <v>402</v>
      </c>
      <c r="N527" s="131" t="s">
        <v>327</v>
      </c>
      <c r="O527" s="56">
        <f>VLOOKUP($F527,'ZipCode Coordinates'!$A:$E,4,FALSE)</f>
        <v>2273870</v>
      </c>
      <c r="P527" s="56">
        <f>VLOOKUP($F527,'ZipCode Coordinates'!$A:$E,5,FALSE)</f>
        <v>6301480</v>
      </c>
      <c r="Q527" s="56">
        <f>VLOOKUP($G527,'ZipCode Coordinates'!$A:$E,4,FALSE)</f>
        <v>1896720</v>
      </c>
      <c r="R527" s="56">
        <f>VLOOKUP($G527,'ZipCode Coordinates'!$A:$E,5,FALSE)</f>
        <v>6297440</v>
      </c>
      <c r="S527" s="352" t="str">
        <f>IFERROR(VLOOKUP($M527,'External Gateways'!$C$6:$F$10,2,FALSE),"")</f>
        <v>I-15</v>
      </c>
      <c r="T527" s="56">
        <f>IFERROR(VLOOKUP($M527,'External Gateways'!$C$6:$F$10,3,FALSE),O527)</f>
        <v>2102195</v>
      </c>
      <c r="U527" s="56">
        <f>IFERROR(VLOOKUP($M527,'External Gateways'!$C$6:$F$10,4,FALSE),P527)</f>
        <v>6289147</v>
      </c>
      <c r="V527" s="353">
        <f t="shared" si="16"/>
        <v>32.59799744814292</v>
      </c>
      <c r="W527" s="353">
        <f t="shared" si="17"/>
        <v>93.804005103714161</v>
      </c>
    </row>
    <row r="528" spans="1:23" ht="15" customHeight="1" x14ac:dyDescent="0.25">
      <c r="A528" s="128">
        <v>2513</v>
      </c>
      <c r="B528" s="129" t="s">
        <v>315</v>
      </c>
      <c r="C528" s="128" t="s">
        <v>68</v>
      </c>
      <c r="D528" s="129" t="s">
        <v>234</v>
      </c>
      <c r="E528" s="129" t="s">
        <v>405</v>
      </c>
      <c r="F528" s="129">
        <v>92251</v>
      </c>
      <c r="G528" s="129">
        <v>91905</v>
      </c>
      <c r="H528" s="130">
        <v>160</v>
      </c>
      <c r="I528" s="129" t="s">
        <v>416</v>
      </c>
      <c r="J528" s="130">
        <v>7</v>
      </c>
      <c r="K528" s="131"/>
      <c r="L528" s="131" t="s">
        <v>68</v>
      </c>
      <c r="M528" s="131" t="s">
        <v>431</v>
      </c>
      <c r="N528" s="131" t="s">
        <v>329</v>
      </c>
      <c r="O528" s="56">
        <f>VLOOKUP($F528,'ZipCode Coordinates'!$A:$E,4,FALSE)</f>
        <v>1897340</v>
      </c>
      <c r="P528" s="56">
        <f>VLOOKUP($F528,'ZipCode Coordinates'!$A:$E,5,FALSE)</f>
        <v>6754590</v>
      </c>
      <c r="Q528" s="56">
        <f>VLOOKUP($G528,'ZipCode Coordinates'!$A:$E,4,FALSE)</f>
        <v>1844120</v>
      </c>
      <c r="R528" s="56">
        <f>VLOOKUP($G528,'ZipCode Coordinates'!$A:$E,5,FALSE)</f>
        <v>6545720</v>
      </c>
      <c r="S528" s="352" t="str">
        <f>IFERROR(VLOOKUP($M528,'External Gateways'!$C$6:$F$10,2,FALSE),"")</f>
        <v>I-8</v>
      </c>
      <c r="T528" s="56">
        <f>IFERROR(VLOOKUP($M528,'External Gateways'!$C$6:$F$10,3,FALSE),O528)</f>
        <v>1814524</v>
      </c>
      <c r="U528" s="56">
        <f>IFERROR(VLOOKUP($M528,'External Gateways'!$C$6:$F$10,4,FALSE),P528)</f>
        <v>6606089</v>
      </c>
      <c r="V528" s="353">
        <f t="shared" si="16"/>
        <v>32.203117091946467</v>
      </c>
      <c r="W528" s="353">
        <f t="shared" si="17"/>
        <v>95.593765816107066</v>
      </c>
    </row>
    <row r="529" spans="1:23" ht="15" customHeight="1" x14ac:dyDescent="0.25">
      <c r="A529" s="128">
        <v>2521</v>
      </c>
      <c r="B529" s="129" t="s">
        <v>171</v>
      </c>
      <c r="C529" s="128" t="s">
        <v>166</v>
      </c>
      <c r="D529" s="129" t="s">
        <v>175</v>
      </c>
      <c r="E529" s="129" t="s">
        <v>162</v>
      </c>
      <c r="F529" s="129">
        <v>92231</v>
      </c>
      <c r="G529" s="129">
        <v>92113</v>
      </c>
      <c r="H529" s="130">
        <v>260</v>
      </c>
      <c r="I529" s="129" t="s">
        <v>453</v>
      </c>
      <c r="J529" s="130">
        <v>8</v>
      </c>
      <c r="K529" s="131"/>
      <c r="L529" s="131" t="s">
        <v>5</v>
      </c>
      <c r="M529" s="131" t="s">
        <v>431</v>
      </c>
      <c r="N529" s="131" t="s">
        <v>323</v>
      </c>
      <c r="O529" s="56">
        <f>VLOOKUP($F529,'ZipCode Coordinates'!$A:$E,4,FALSE)</f>
        <v>1829680</v>
      </c>
      <c r="P529" s="56">
        <f>VLOOKUP($F529,'ZipCode Coordinates'!$A:$E,5,FALSE)</f>
        <v>6778130</v>
      </c>
      <c r="Q529" s="56">
        <f>VLOOKUP($G529,'ZipCode Coordinates'!$A:$E,4,FALSE)</f>
        <v>1834470</v>
      </c>
      <c r="R529" s="56">
        <f>VLOOKUP($G529,'ZipCode Coordinates'!$A:$E,5,FALSE)</f>
        <v>6294590</v>
      </c>
      <c r="S529" s="352" t="str">
        <f>IFERROR(VLOOKUP($M529,'External Gateways'!$C$6:$F$10,2,FALSE),"")</f>
        <v>I-8</v>
      </c>
      <c r="T529" s="56">
        <f>IFERROR(VLOOKUP($M529,'External Gateways'!$C$6:$F$10,3,FALSE),O529)</f>
        <v>1814524</v>
      </c>
      <c r="U529" s="56">
        <f>IFERROR(VLOOKUP($M529,'External Gateways'!$C$6:$F$10,4,FALSE),P529)</f>
        <v>6606089</v>
      </c>
      <c r="V529" s="353">
        <f t="shared" si="16"/>
        <v>32.709715110593962</v>
      </c>
      <c r="W529" s="353">
        <f t="shared" si="17"/>
        <v>194.58056977881208</v>
      </c>
    </row>
    <row r="530" spans="1:23" ht="15" customHeight="1" x14ac:dyDescent="0.25">
      <c r="A530" s="128">
        <v>2529</v>
      </c>
      <c r="B530" s="129" t="s">
        <v>253</v>
      </c>
      <c r="C530" s="128" t="s">
        <v>3</v>
      </c>
      <c r="D530" s="129" t="s">
        <v>165</v>
      </c>
      <c r="E530" s="129" t="s">
        <v>162</v>
      </c>
      <c r="F530" s="129">
        <v>91910</v>
      </c>
      <c r="G530" s="129">
        <v>92145</v>
      </c>
      <c r="H530" s="130">
        <v>64</v>
      </c>
      <c r="I530" s="129" t="s">
        <v>401</v>
      </c>
      <c r="J530" s="130">
        <v>7</v>
      </c>
      <c r="K530" s="131"/>
      <c r="L530" s="131" t="s">
        <v>3</v>
      </c>
      <c r="M530" s="131" t="s">
        <v>328</v>
      </c>
      <c r="N530" s="131" t="s">
        <v>327</v>
      </c>
      <c r="O530" s="56">
        <f>VLOOKUP($F530,'ZipCode Coordinates'!$A:$E,4,FALSE)</f>
        <v>1812850</v>
      </c>
      <c r="P530" s="56">
        <f>VLOOKUP($F530,'ZipCode Coordinates'!$A:$E,5,FALSE)</f>
        <v>6313650</v>
      </c>
      <c r="Q530" s="56">
        <f>VLOOKUP($G530,'ZipCode Coordinates'!$A:$E,4,FALSE)</f>
        <v>1896720</v>
      </c>
      <c r="R530" s="56">
        <f>VLOOKUP($G530,'ZipCode Coordinates'!$A:$E,5,FALSE)</f>
        <v>6297440</v>
      </c>
      <c r="S530" s="352" t="str">
        <f>IFERROR(VLOOKUP($M530,'External Gateways'!$C$6:$F$10,2,FALSE),"")</f>
        <v/>
      </c>
      <c r="T530" s="56">
        <f>IFERROR(VLOOKUP($M530,'External Gateways'!$C$6:$F$10,3,FALSE),O530)</f>
        <v>1812850</v>
      </c>
      <c r="U530" s="56">
        <f>IFERROR(VLOOKUP($M530,'External Gateways'!$C$6:$F$10,4,FALSE),P530)</f>
        <v>6313650</v>
      </c>
      <c r="V530" s="353">
        <f t="shared" si="16"/>
        <v>0</v>
      </c>
      <c r="W530" s="353">
        <f t="shared" si="17"/>
        <v>64</v>
      </c>
    </row>
    <row r="531" spans="1:23" ht="15" customHeight="1" x14ac:dyDescent="0.25">
      <c r="A531" s="128">
        <v>2532</v>
      </c>
      <c r="B531" s="129" t="s">
        <v>243</v>
      </c>
      <c r="C531" s="128" t="s">
        <v>198</v>
      </c>
      <c r="D531" s="129" t="s">
        <v>162</v>
      </c>
      <c r="E531" s="129" t="s">
        <v>162</v>
      </c>
      <c r="F531" s="129">
        <v>92114</v>
      </c>
      <c r="G531" s="129">
        <v>92128</v>
      </c>
      <c r="H531" s="130">
        <v>64</v>
      </c>
      <c r="I531" s="129" t="s">
        <v>401</v>
      </c>
      <c r="J531" s="130">
        <v>7</v>
      </c>
      <c r="K531" s="131"/>
      <c r="L531" s="131" t="s">
        <v>5</v>
      </c>
      <c r="M531" s="131" t="s">
        <v>323</v>
      </c>
      <c r="N531" s="131" t="s">
        <v>327</v>
      </c>
      <c r="O531" s="56">
        <f>VLOOKUP($F531,'ZipCode Coordinates'!$A:$E,4,FALSE)</f>
        <v>1838250</v>
      </c>
      <c r="P531" s="56">
        <f>VLOOKUP($F531,'ZipCode Coordinates'!$A:$E,5,FALSE)</f>
        <v>6314020</v>
      </c>
      <c r="Q531" s="56">
        <f>VLOOKUP($G531,'ZipCode Coordinates'!$A:$E,4,FALSE)</f>
        <v>1943580</v>
      </c>
      <c r="R531" s="56">
        <f>VLOOKUP($G531,'ZipCode Coordinates'!$A:$E,5,FALSE)</f>
        <v>6309440</v>
      </c>
      <c r="S531" s="352" t="str">
        <f>IFERROR(VLOOKUP($M531,'External Gateways'!$C$6:$F$10,2,FALSE),"")</f>
        <v/>
      </c>
      <c r="T531" s="56">
        <f>IFERROR(VLOOKUP($M531,'External Gateways'!$C$6:$F$10,3,FALSE),O531)</f>
        <v>1838250</v>
      </c>
      <c r="U531" s="56">
        <f>IFERROR(VLOOKUP($M531,'External Gateways'!$C$6:$F$10,4,FALSE),P531)</f>
        <v>6314020</v>
      </c>
      <c r="V531" s="353">
        <f t="shared" si="16"/>
        <v>0</v>
      </c>
      <c r="W531" s="353">
        <f t="shared" si="17"/>
        <v>64</v>
      </c>
    </row>
    <row r="532" spans="1:23" ht="15" customHeight="1" x14ac:dyDescent="0.25">
      <c r="A532" s="128">
        <v>2533</v>
      </c>
      <c r="B532" s="129" t="s">
        <v>451</v>
      </c>
      <c r="C532" s="128" t="s">
        <v>3</v>
      </c>
      <c r="D532" s="129" t="s">
        <v>161</v>
      </c>
      <c r="E532" s="129" t="s">
        <v>162</v>
      </c>
      <c r="F532" s="129">
        <v>92596</v>
      </c>
      <c r="G532" s="129">
        <v>92136</v>
      </c>
      <c r="H532" s="130">
        <v>185</v>
      </c>
      <c r="I532" s="129" t="s">
        <v>455</v>
      </c>
      <c r="J532" s="130">
        <v>7</v>
      </c>
      <c r="K532" s="131"/>
      <c r="L532" s="131" t="s">
        <v>3</v>
      </c>
      <c r="M532" s="131" t="s">
        <v>402</v>
      </c>
      <c r="N532" s="131" t="s">
        <v>323</v>
      </c>
      <c r="O532" s="56">
        <f>VLOOKUP($F532,'ZipCode Coordinates'!$A:$E,4,FALSE)</f>
        <v>2177700</v>
      </c>
      <c r="P532" s="56">
        <f>VLOOKUP($F532,'ZipCode Coordinates'!$A:$E,5,FALSE)</f>
        <v>6311340</v>
      </c>
      <c r="Q532" s="56">
        <f>VLOOKUP($G532,'ZipCode Coordinates'!$A:$E,4,FALSE)</f>
        <v>1828370</v>
      </c>
      <c r="R532" s="56">
        <f>VLOOKUP($G532,'ZipCode Coordinates'!$A:$E,5,FALSE)</f>
        <v>6293940</v>
      </c>
      <c r="S532" s="352" t="str">
        <f>IFERROR(VLOOKUP($M532,'External Gateways'!$C$6:$F$10,2,FALSE),"")</f>
        <v>I-15</v>
      </c>
      <c r="T532" s="56">
        <f>IFERROR(VLOOKUP($M532,'External Gateways'!$C$6:$F$10,3,FALSE),O532)</f>
        <v>2102195</v>
      </c>
      <c r="U532" s="56">
        <f>IFERROR(VLOOKUP($M532,'External Gateways'!$C$6:$F$10,4,FALSE),P532)</f>
        <v>6289147</v>
      </c>
      <c r="V532" s="353">
        <f t="shared" si="16"/>
        <v>14.905115649451727</v>
      </c>
      <c r="W532" s="353">
        <f t="shared" si="17"/>
        <v>155.18976870109654</v>
      </c>
    </row>
    <row r="533" spans="1:23" ht="15" customHeight="1" x14ac:dyDescent="0.25">
      <c r="A533" s="128">
        <v>2534</v>
      </c>
      <c r="B533" s="129" t="s">
        <v>311</v>
      </c>
      <c r="C533" s="128" t="s">
        <v>411</v>
      </c>
      <c r="D533" s="129" t="s">
        <v>174</v>
      </c>
      <c r="E533" s="129" t="s">
        <v>413</v>
      </c>
      <c r="F533" s="129">
        <v>92173</v>
      </c>
      <c r="G533" s="129">
        <v>92093</v>
      </c>
      <c r="H533" s="130">
        <v>58</v>
      </c>
      <c r="I533" s="129" t="s">
        <v>418</v>
      </c>
      <c r="J533" s="130">
        <v>9</v>
      </c>
      <c r="K533" s="131"/>
      <c r="L533" s="131" t="s">
        <v>5</v>
      </c>
      <c r="M533" s="131" t="s">
        <v>328</v>
      </c>
      <c r="N533" s="131" t="s">
        <v>327</v>
      </c>
      <c r="O533" s="56">
        <f>VLOOKUP($F533,'ZipCode Coordinates'!$A:$E,4,FALSE)</f>
        <v>1782600</v>
      </c>
      <c r="P533" s="56">
        <f>VLOOKUP($F533,'ZipCode Coordinates'!$A:$E,5,FALSE)</f>
        <v>6315070</v>
      </c>
      <c r="Q533" s="56">
        <f>VLOOKUP($G533,'ZipCode Coordinates'!$A:$E,4,FALSE)</f>
        <v>1901870</v>
      </c>
      <c r="R533" s="56">
        <f>VLOOKUP($G533,'ZipCode Coordinates'!$A:$E,5,FALSE)</f>
        <v>6259600</v>
      </c>
      <c r="S533" s="352" t="str">
        <f>IFERROR(VLOOKUP($M533,'External Gateways'!$C$6:$F$10,2,FALSE),"")</f>
        <v/>
      </c>
      <c r="T533" s="56">
        <f>IFERROR(VLOOKUP($M533,'External Gateways'!$C$6:$F$10,3,FALSE),O533)</f>
        <v>1782600</v>
      </c>
      <c r="U533" s="56">
        <f>IFERROR(VLOOKUP($M533,'External Gateways'!$C$6:$F$10,4,FALSE),P533)</f>
        <v>6315070</v>
      </c>
      <c r="V533" s="353">
        <f t="shared" si="16"/>
        <v>0</v>
      </c>
      <c r="W533" s="353">
        <f t="shared" si="17"/>
        <v>58</v>
      </c>
    </row>
    <row r="534" spans="1:23" ht="15" customHeight="1" x14ac:dyDescent="0.25">
      <c r="A534" s="128">
        <v>2536</v>
      </c>
      <c r="B534" s="129" t="s">
        <v>266</v>
      </c>
      <c r="C534" s="128" t="s">
        <v>3</v>
      </c>
      <c r="D534" s="129" t="s">
        <v>162</v>
      </c>
      <c r="E534" s="129" t="s">
        <v>176</v>
      </c>
      <c r="F534" s="129">
        <v>92108</v>
      </c>
      <c r="G534" s="129">
        <v>92243</v>
      </c>
      <c r="H534" s="130">
        <v>214</v>
      </c>
      <c r="I534" s="129" t="s">
        <v>416</v>
      </c>
      <c r="J534" s="130">
        <v>7</v>
      </c>
      <c r="K534" s="131"/>
      <c r="L534" s="131" t="s">
        <v>3</v>
      </c>
      <c r="M534" s="131" t="s">
        <v>327</v>
      </c>
      <c r="N534" s="131" t="s">
        <v>431</v>
      </c>
      <c r="O534" s="56">
        <f>VLOOKUP($F534,'ZipCode Coordinates'!$A:$E,4,FALSE)</f>
        <v>1862470</v>
      </c>
      <c r="P534" s="56">
        <f>VLOOKUP($F534,'ZipCode Coordinates'!$A:$E,5,FALSE)</f>
        <v>6286860</v>
      </c>
      <c r="Q534" s="56">
        <f>VLOOKUP($G534,'ZipCode Coordinates'!$A:$E,4,FALSE)</f>
        <v>1861900</v>
      </c>
      <c r="R534" s="56">
        <f>VLOOKUP($G534,'ZipCode Coordinates'!$A:$E,5,FALSE)</f>
        <v>6761000</v>
      </c>
      <c r="S534" s="352" t="str">
        <f>IFERROR(VLOOKUP($M534,'External Gateways'!$C$6:$F$10,2,FALSE),"")</f>
        <v/>
      </c>
      <c r="T534" s="56">
        <f>IFERROR(VLOOKUP($M534,'External Gateways'!$C$6:$F$10,3,FALSE),O534)</f>
        <v>1862470</v>
      </c>
      <c r="U534" s="56">
        <f>IFERROR(VLOOKUP($M534,'External Gateways'!$C$6:$F$10,4,FALSE),P534)</f>
        <v>6286860</v>
      </c>
      <c r="V534" s="353">
        <f t="shared" si="16"/>
        <v>0</v>
      </c>
      <c r="W534" s="353">
        <f t="shared" si="17"/>
        <v>214</v>
      </c>
    </row>
    <row r="535" spans="1:23" ht="15" customHeight="1" x14ac:dyDescent="0.25">
      <c r="A535" s="128">
        <v>2537</v>
      </c>
      <c r="B535" s="129" t="s">
        <v>258</v>
      </c>
      <c r="C535" s="128" t="s">
        <v>3</v>
      </c>
      <c r="D535" s="129" t="s">
        <v>158</v>
      </c>
      <c r="E535" s="129" t="s">
        <v>162</v>
      </c>
      <c r="F535" s="129">
        <v>92563</v>
      </c>
      <c r="G535" s="129">
        <v>92135</v>
      </c>
      <c r="H535" s="130">
        <v>159</v>
      </c>
      <c r="I535" s="129" t="s">
        <v>487</v>
      </c>
      <c r="J535" s="130">
        <v>9</v>
      </c>
      <c r="K535" s="131"/>
      <c r="L535" s="131" t="s">
        <v>3</v>
      </c>
      <c r="M535" s="131" t="s">
        <v>402</v>
      </c>
      <c r="N535" s="131" t="s">
        <v>323</v>
      </c>
      <c r="O535" s="56">
        <f>VLOOKUP($F535,'ZipCode Coordinates'!$A:$E,4,FALSE)</f>
        <v>2156450</v>
      </c>
      <c r="P535" s="56">
        <f>VLOOKUP($F535,'ZipCode Coordinates'!$A:$E,5,FALSE)</f>
        <v>6288710</v>
      </c>
      <c r="Q535" s="56">
        <f>VLOOKUP($G535,'ZipCode Coordinates'!$A:$E,4,FALSE)</f>
        <v>1835720</v>
      </c>
      <c r="R535" s="56">
        <f>VLOOKUP($G535,'ZipCode Coordinates'!$A:$E,5,FALSE)</f>
        <v>6266670</v>
      </c>
      <c r="S535" s="352" t="str">
        <f>IFERROR(VLOOKUP($M535,'External Gateways'!$C$6:$F$10,2,FALSE),"")</f>
        <v>I-15</v>
      </c>
      <c r="T535" s="56">
        <f>IFERROR(VLOOKUP($M535,'External Gateways'!$C$6:$F$10,3,FALSE),O535)</f>
        <v>2102195</v>
      </c>
      <c r="U535" s="56">
        <f>IFERROR(VLOOKUP($M535,'External Gateways'!$C$6:$F$10,4,FALSE),P535)</f>
        <v>6289147</v>
      </c>
      <c r="V535" s="353">
        <f t="shared" si="16"/>
        <v>10.275901494735123</v>
      </c>
      <c r="W535" s="353">
        <f t="shared" si="17"/>
        <v>138.44819701052975</v>
      </c>
    </row>
    <row r="536" spans="1:23" ht="15" customHeight="1" x14ac:dyDescent="0.25">
      <c r="A536" s="128">
        <v>2541</v>
      </c>
      <c r="B536" s="129" t="s">
        <v>82</v>
      </c>
      <c r="C536" s="128" t="s">
        <v>3</v>
      </c>
      <c r="D536" s="129" t="s">
        <v>170</v>
      </c>
      <c r="E536" s="129" t="s">
        <v>82</v>
      </c>
      <c r="F536" s="129">
        <v>92585</v>
      </c>
      <c r="G536" s="129">
        <v>92055</v>
      </c>
      <c r="H536" s="130">
        <v>106</v>
      </c>
      <c r="I536" s="129" t="s">
        <v>434</v>
      </c>
      <c r="J536" s="130">
        <v>7</v>
      </c>
      <c r="K536" s="131"/>
      <c r="L536" s="131" t="s">
        <v>3</v>
      </c>
      <c r="M536" s="131" t="s">
        <v>402</v>
      </c>
      <c r="N536" s="131" t="s">
        <v>324</v>
      </c>
      <c r="O536" s="56">
        <f>VLOOKUP($F536,'ZipCode Coordinates'!$A:$E,4,FALSE)</f>
        <v>2214990</v>
      </c>
      <c r="P536" s="56">
        <f>VLOOKUP($F536,'ZipCode Coordinates'!$A:$E,5,FALSE)</f>
        <v>6281980</v>
      </c>
      <c r="Q536" s="56">
        <f>VLOOKUP($G536,'ZipCode Coordinates'!$A:$E,4,FALSE)</f>
        <v>2082470</v>
      </c>
      <c r="R536" s="56">
        <f>VLOOKUP($G536,'ZipCode Coordinates'!$A:$E,5,FALSE)</f>
        <v>6206470</v>
      </c>
      <c r="S536" s="352" t="str">
        <f>IFERROR(VLOOKUP($M536,'External Gateways'!$C$6:$F$10,2,FALSE),"")</f>
        <v>I-15</v>
      </c>
      <c r="T536" s="56">
        <f>IFERROR(VLOOKUP($M536,'External Gateways'!$C$6:$F$10,3,FALSE),O536)</f>
        <v>2102195</v>
      </c>
      <c r="U536" s="56">
        <f>IFERROR(VLOOKUP($M536,'External Gateways'!$C$6:$F$10,4,FALSE),P536)</f>
        <v>6289147</v>
      </c>
      <c r="V536" s="353">
        <f t="shared" si="16"/>
        <v>21.405770153912158</v>
      </c>
      <c r="W536" s="353">
        <f t="shared" si="17"/>
        <v>63.188459692175684</v>
      </c>
    </row>
    <row r="537" spans="1:23" ht="15" customHeight="1" x14ac:dyDescent="0.25">
      <c r="A537" s="128">
        <v>2542</v>
      </c>
      <c r="B537" s="129" t="s">
        <v>238</v>
      </c>
      <c r="C537" s="128" t="s">
        <v>198</v>
      </c>
      <c r="D537" s="129" t="s">
        <v>188</v>
      </c>
      <c r="E537" s="129" t="s">
        <v>162</v>
      </c>
      <c r="F537" s="129">
        <v>92024</v>
      </c>
      <c r="G537" s="129">
        <v>92122</v>
      </c>
      <c r="H537" s="130">
        <v>67</v>
      </c>
      <c r="I537" s="129" t="s">
        <v>401</v>
      </c>
      <c r="J537" s="130">
        <v>7</v>
      </c>
      <c r="K537" s="131">
        <v>2</v>
      </c>
      <c r="L537" s="131" t="s">
        <v>5</v>
      </c>
      <c r="M537" s="131" t="s">
        <v>324</v>
      </c>
      <c r="N537" s="131" t="s">
        <v>327</v>
      </c>
      <c r="O537" s="56">
        <f>VLOOKUP($F537,'ZipCode Coordinates'!$A:$E,4,FALSE)</f>
        <v>1966410</v>
      </c>
      <c r="P537" s="56">
        <f>VLOOKUP($F537,'ZipCode Coordinates'!$A:$E,5,FALSE)</f>
        <v>6253590</v>
      </c>
      <c r="Q537" s="56">
        <f>VLOOKUP($G537,'ZipCode Coordinates'!$A:$E,4,FALSE)</f>
        <v>1893170</v>
      </c>
      <c r="R537" s="56">
        <f>VLOOKUP($G537,'ZipCode Coordinates'!$A:$E,5,FALSE)</f>
        <v>6267940</v>
      </c>
      <c r="S537" s="352" t="str">
        <f>IFERROR(VLOOKUP($M537,'External Gateways'!$C$6:$F$10,2,FALSE),"")</f>
        <v/>
      </c>
      <c r="T537" s="56">
        <f>IFERROR(VLOOKUP($M537,'External Gateways'!$C$6:$F$10,3,FALSE),O537)</f>
        <v>1966410</v>
      </c>
      <c r="U537" s="56">
        <f>IFERROR(VLOOKUP($M537,'External Gateways'!$C$6:$F$10,4,FALSE),P537)</f>
        <v>6253590</v>
      </c>
      <c r="V537" s="353">
        <f t="shared" si="16"/>
        <v>0</v>
      </c>
      <c r="W537" s="353">
        <f t="shared" si="17"/>
        <v>67</v>
      </c>
    </row>
    <row r="538" spans="1:23" ht="15" customHeight="1" x14ac:dyDescent="0.25">
      <c r="A538" s="128">
        <v>2543</v>
      </c>
      <c r="B538" s="129" t="s">
        <v>171</v>
      </c>
      <c r="C538" s="128" t="s">
        <v>166</v>
      </c>
      <c r="D538" s="129" t="s">
        <v>176</v>
      </c>
      <c r="E538" s="129" t="s">
        <v>162</v>
      </c>
      <c r="F538" s="129">
        <v>92243</v>
      </c>
      <c r="G538" s="129">
        <v>92113</v>
      </c>
      <c r="H538" s="130">
        <v>210</v>
      </c>
      <c r="I538" s="129" t="s">
        <v>421</v>
      </c>
      <c r="J538" s="130">
        <v>7</v>
      </c>
      <c r="K538" s="131"/>
      <c r="L538" s="131" t="s">
        <v>5</v>
      </c>
      <c r="M538" s="131" t="s">
        <v>431</v>
      </c>
      <c r="N538" s="131" t="s">
        <v>323</v>
      </c>
      <c r="O538" s="56">
        <f>VLOOKUP($F538,'ZipCode Coordinates'!$A:$E,4,FALSE)</f>
        <v>1861900</v>
      </c>
      <c r="P538" s="56">
        <f>VLOOKUP($F538,'ZipCode Coordinates'!$A:$E,5,FALSE)</f>
        <v>6761000</v>
      </c>
      <c r="Q538" s="56">
        <f>VLOOKUP($G538,'ZipCode Coordinates'!$A:$E,4,FALSE)</f>
        <v>1834470</v>
      </c>
      <c r="R538" s="56">
        <f>VLOOKUP($G538,'ZipCode Coordinates'!$A:$E,5,FALSE)</f>
        <v>6294590</v>
      </c>
      <c r="S538" s="352" t="str">
        <f>IFERROR(VLOOKUP($M538,'External Gateways'!$C$6:$F$10,2,FALSE),"")</f>
        <v>I-8</v>
      </c>
      <c r="T538" s="56">
        <f>IFERROR(VLOOKUP($M538,'External Gateways'!$C$6:$F$10,3,FALSE),O538)</f>
        <v>1814524</v>
      </c>
      <c r="U538" s="56">
        <f>IFERROR(VLOOKUP($M538,'External Gateways'!$C$6:$F$10,4,FALSE),P538)</f>
        <v>6606089</v>
      </c>
      <c r="V538" s="353">
        <f t="shared" si="16"/>
        <v>30.680592531285384</v>
      </c>
      <c r="W538" s="353">
        <f t="shared" si="17"/>
        <v>148.63881493742923</v>
      </c>
    </row>
    <row r="539" spans="1:23" ht="15" customHeight="1" x14ac:dyDescent="0.25">
      <c r="A539" s="128">
        <v>2544</v>
      </c>
      <c r="B539" s="129" t="s">
        <v>315</v>
      </c>
      <c r="C539" s="128" t="s">
        <v>68</v>
      </c>
      <c r="D539" s="129" t="s">
        <v>205</v>
      </c>
      <c r="E539" s="129" t="s">
        <v>201</v>
      </c>
      <c r="F539" s="129">
        <v>91942</v>
      </c>
      <c r="G539" s="129">
        <v>91962</v>
      </c>
      <c r="H539" s="130">
        <v>160</v>
      </c>
      <c r="I539" s="129" t="s">
        <v>408</v>
      </c>
      <c r="J539" s="130">
        <v>7</v>
      </c>
      <c r="K539" s="131"/>
      <c r="L539" s="131" t="s">
        <v>68</v>
      </c>
      <c r="M539" s="131" t="s">
        <v>326</v>
      </c>
      <c r="N539" s="131" t="s">
        <v>329</v>
      </c>
      <c r="O539" s="56">
        <f>VLOOKUP($F539,'ZipCode Coordinates'!$A:$E,4,FALSE)</f>
        <v>1863610</v>
      </c>
      <c r="P539" s="56">
        <f>VLOOKUP($F539,'ZipCode Coordinates'!$A:$E,5,FALSE)</f>
        <v>6324360</v>
      </c>
      <c r="Q539" s="56">
        <f>VLOOKUP($G539,'ZipCode Coordinates'!$A:$E,4,FALSE)</f>
        <v>1874980</v>
      </c>
      <c r="R539" s="56">
        <f>VLOOKUP($G539,'ZipCode Coordinates'!$A:$E,5,FALSE)</f>
        <v>6499110</v>
      </c>
      <c r="S539" s="352" t="str">
        <f>IFERROR(VLOOKUP($M539,'External Gateways'!$C$6:$F$10,2,FALSE),"")</f>
        <v/>
      </c>
      <c r="T539" s="56">
        <f>IFERROR(VLOOKUP($M539,'External Gateways'!$C$6:$F$10,3,FALSE),O539)</f>
        <v>1863610</v>
      </c>
      <c r="U539" s="56">
        <f>IFERROR(VLOOKUP($M539,'External Gateways'!$C$6:$F$10,4,FALSE),P539)</f>
        <v>6324360</v>
      </c>
      <c r="V539" s="353">
        <f t="shared" si="16"/>
        <v>0</v>
      </c>
      <c r="W539" s="353">
        <f t="shared" si="17"/>
        <v>160</v>
      </c>
    </row>
    <row r="540" spans="1:23" ht="15" customHeight="1" x14ac:dyDescent="0.25">
      <c r="A540" s="128">
        <v>2547</v>
      </c>
      <c r="B540" s="129" t="s">
        <v>451</v>
      </c>
      <c r="C540" s="128" t="s">
        <v>3</v>
      </c>
      <c r="D540" s="129" t="s">
        <v>161</v>
      </c>
      <c r="E540" s="129" t="s">
        <v>162</v>
      </c>
      <c r="F540" s="129">
        <v>92591</v>
      </c>
      <c r="G540" s="129">
        <v>92136</v>
      </c>
      <c r="H540" s="130">
        <v>135</v>
      </c>
      <c r="I540" s="129" t="s">
        <v>416</v>
      </c>
      <c r="J540" s="130">
        <v>7</v>
      </c>
      <c r="K540" s="131"/>
      <c r="L540" s="131" t="s">
        <v>3</v>
      </c>
      <c r="M540" s="131" t="s">
        <v>402</v>
      </c>
      <c r="N540" s="131" t="s">
        <v>323</v>
      </c>
      <c r="O540" s="56">
        <f>VLOOKUP($F540,'ZipCode Coordinates'!$A:$E,4,FALSE)</f>
        <v>2138420</v>
      </c>
      <c r="P540" s="56">
        <f>VLOOKUP($F540,'ZipCode Coordinates'!$A:$E,5,FALSE)</f>
        <v>6299220</v>
      </c>
      <c r="Q540" s="56">
        <f>VLOOKUP($G540,'ZipCode Coordinates'!$A:$E,4,FALSE)</f>
        <v>1828370</v>
      </c>
      <c r="R540" s="56">
        <f>VLOOKUP($G540,'ZipCode Coordinates'!$A:$E,5,FALSE)</f>
        <v>6293940</v>
      </c>
      <c r="S540" s="352" t="str">
        <f>IFERROR(VLOOKUP($M540,'External Gateways'!$C$6:$F$10,2,FALSE),"")</f>
        <v>I-15</v>
      </c>
      <c r="T540" s="56">
        <f>IFERROR(VLOOKUP($M540,'External Gateways'!$C$6:$F$10,3,FALSE),O540)</f>
        <v>2102195</v>
      </c>
      <c r="U540" s="56">
        <f>IFERROR(VLOOKUP($M540,'External Gateways'!$C$6:$F$10,4,FALSE),P540)</f>
        <v>6289147</v>
      </c>
      <c r="V540" s="353">
        <f t="shared" si="16"/>
        <v>7.1211011888925713</v>
      </c>
      <c r="W540" s="353">
        <f t="shared" si="17"/>
        <v>120.75779762221485</v>
      </c>
    </row>
    <row r="541" spans="1:23" ht="15" customHeight="1" x14ac:dyDescent="0.25">
      <c r="A541" s="128">
        <v>2550</v>
      </c>
      <c r="B541" s="129" t="s">
        <v>315</v>
      </c>
      <c r="C541" s="128" t="s">
        <v>68</v>
      </c>
      <c r="D541" s="129" t="s">
        <v>158</v>
      </c>
      <c r="E541" s="129" t="s">
        <v>220</v>
      </c>
      <c r="F541" s="129">
        <v>92563</v>
      </c>
      <c r="G541" s="129">
        <v>92071</v>
      </c>
      <c r="H541" s="130">
        <v>191</v>
      </c>
      <c r="I541" s="129" t="s">
        <v>408</v>
      </c>
      <c r="J541" s="130">
        <v>7</v>
      </c>
      <c r="K541" s="131"/>
      <c r="L541" s="131" t="s">
        <v>68</v>
      </c>
      <c r="M541" s="131" t="s">
        <v>402</v>
      </c>
      <c r="N541" s="131" t="s">
        <v>326</v>
      </c>
      <c r="O541" s="56">
        <f>VLOOKUP($F541,'ZipCode Coordinates'!$A:$E,4,FALSE)</f>
        <v>2156450</v>
      </c>
      <c r="P541" s="56">
        <f>VLOOKUP($F541,'ZipCode Coordinates'!$A:$E,5,FALSE)</f>
        <v>6288710</v>
      </c>
      <c r="Q541" s="56">
        <f>VLOOKUP($G541,'ZipCode Coordinates'!$A:$E,4,FALSE)</f>
        <v>1895600</v>
      </c>
      <c r="R541" s="56">
        <f>VLOOKUP($G541,'ZipCode Coordinates'!$A:$E,5,FALSE)</f>
        <v>6327040</v>
      </c>
      <c r="S541" s="352" t="str">
        <f>IFERROR(VLOOKUP($M541,'External Gateways'!$C$6:$F$10,2,FALSE),"")</f>
        <v>I-15</v>
      </c>
      <c r="T541" s="56">
        <f>IFERROR(VLOOKUP($M541,'External Gateways'!$C$6:$F$10,3,FALSE),O541)</f>
        <v>2102195</v>
      </c>
      <c r="U541" s="56">
        <f>IFERROR(VLOOKUP($M541,'External Gateways'!$C$6:$F$10,4,FALSE),P541)</f>
        <v>6289147</v>
      </c>
      <c r="V541" s="353">
        <f t="shared" si="16"/>
        <v>10.275901494735123</v>
      </c>
      <c r="W541" s="353">
        <f t="shared" si="17"/>
        <v>170.44819701052975</v>
      </c>
    </row>
    <row r="542" spans="1:23" ht="15" customHeight="1" x14ac:dyDescent="0.25">
      <c r="A542" s="128">
        <v>2551</v>
      </c>
      <c r="B542" s="129" t="s">
        <v>171</v>
      </c>
      <c r="C542" s="128" t="s">
        <v>166</v>
      </c>
      <c r="D542" s="129" t="s">
        <v>177</v>
      </c>
      <c r="E542" s="129" t="s">
        <v>162</v>
      </c>
      <c r="F542" s="129">
        <v>91932</v>
      </c>
      <c r="G542" s="129">
        <v>92113</v>
      </c>
      <c r="H542" s="130">
        <v>71</v>
      </c>
      <c r="I542" s="129" t="s">
        <v>416</v>
      </c>
      <c r="J542" s="130">
        <v>7</v>
      </c>
      <c r="K542" s="131"/>
      <c r="L542" s="131" t="s">
        <v>5</v>
      </c>
      <c r="M542" s="131" t="s">
        <v>328</v>
      </c>
      <c r="N542" s="131" t="s">
        <v>323</v>
      </c>
      <c r="O542" s="56">
        <f>VLOOKUP($F542,'ZipCode Coordinates'!$A:$E,4,FALSE)</f>
        <v>1790360</v>
      </c>
      <c r="P542" s="56">
        <f>VLOOKUP($F542,'ZipCode Coordinates'!$A:$E,5,FALSE)</f>
        <v>6293930</v>
      </c>
      <c r="Q542" s="56">
        <f>VLOOKUP($G542,'ZipCode Coordinates'!$A:$E,4,FALSE)</f>
        <v>1834470</v>
      </c>
      <c r="R542" s="56">
        <f>VLOOKUP($G542,'ZipCode Coordinates'!$A:$E,5,FALSE)</f>
        <v>6294590</v>
      </c>
      <c r="S542" s="352" t="str">
        <f>IFERROR(VLOOKUP($M542,'External Gateways'!$C$6:$F$10,2,FALSE),"")</f>
        <v/>
      </c>
      <c r="T542" s="56">
        <f>IFERROR(VLOOKUP($M542,'External Gateways'!$C$6:$F$10,3,FALSE),O542)</f>
        <v>1790360</v>
      </c>
      <c r="U542" s="56">
        <f>IFERROR(VLOOKUP($M542,'External Gateways'!$C$6:$F$10,4,FALSE),P542)</f>
        <v>6293930</v>
      </c>
      <c r="V542" s="353">
        <f t="shared" si="16"/>
        <v>0</v>
      </c>
      <c r="W542" s="353">
        <f t="shared" si="17"/>
        <v>71</v>
      </c>
    </row>
    <row r="543" spans="1:23" ht="15" customHeight="1" x14ac:dyDescent="0.25">
      <c r="A543" s="128">
        <v>2553</v>
      </c>
      <c r="B543" s="129" t="s">
        <v>267</v>
      </c>
      <c r="C543" s="128" t="s">
        <v>3</v>
      </c>
      <c r="D543" s="129" t="s">
        <v>165</v>
      </c>
      <c r="E543" s="129" t="s">
        <v>162</v>
      </c>
      <c r="F543" s="129">
        <v>91915</v>
      </c>
      <c r="G543" s="129">
        <v>92134</v>
      </c>
      <c r="H543" s="130">
        <v>46</v>
      </c>
      <c r="I543" s="129" t="s">
        <v>401</v>
      </c>
      <c r="J543" s="130">
        <v>7</v>
      </c>
      <c r="K543" s="131"/>
      <c r="L543" s="131" t="s">
        <v>3</v>
      </c>
      <c r="M543" s="131" t="s">
        <v>326</v>
      </c>
      <c r="N543" s="131" t="s">
        <v>323</v>
      </c>
      <c r="O543" s="56">
        <f>VLOOKUP($F543,'ZipCode Coordinates'!$A:$E,4,FALSE)</f>
        <v>1804550</v>
      </c>
      <c r="P543" s="56">
        <f>VLOOKUP($F543,'ZipCode Coordinates'!$A:$E,5,FALSE)</f>
        <v>6342300</v>
      </c>
      <c r="Q543" s="56">
        <f>VLOOKUP($G543,'ZipCode Coordinates'!$A:$E,4,FALSE)</f>
        <v>1845130</v>
      </c>
      <c r="R543" s="56">
        <f>VLOOKUP($G543,'ZipCode Coordinates'!$A:$E,5,FALSE)</f>
        <v>6286040</v>
      </c>
      <c r="S543" s="352" t="str">
        <f>IFERROR(VLOOKUP($M543,'External Gateways'!$C$6:$F$10,2,FALSE),"")</f>
        <v/>
      </c>
      <c r="T543" s="56">
        <f>IFERROR(VLOOKUP($M543,'External Gateways'!$C$6:$F$10,3,FALSE),O543)</f>
        <v>1804550</v>
      </c>
      <c r="U543" s="56">
        <f>IFERROR(VLOOKUP($M543,'External Gateways'!$C$6:$F$10,4,FALSE),P543)</f>
        <v>6342300</v>
      </c>
      <c r="V543" s="353">
        <f t="shared" si="16"/>
        <v>0</v>
      </c>
      <c r="W543" s="353">
        <f t="shared" si="17"/>
        <v>46</v>
      </c>
    </row>
    <row r="544" spans="1:23" ht="15" customHeight="1" x14ac:dyDescent="0.25">
      <c r="A544" s="128">
        <v>2554</v>
      </c>
      <c r="B544" s="129" t="s">
        <v>451</v>
      </c>
      <c r="C544" s="128" t="s">
        <v>3</v>
      </c>
      <c r="D544" s="129" t="s">
        <v>154</v>
      </c>
      <c r="E544" s="129" t="s">
        <v>162</v>
      </c>
      <c r="F544" s="129">
        <v>92591</v>
      </c>
      <c r="G544" s="129">
        <v>92136</v>
      </c>
      <c r="H544" s="130">
        <v>134</v>
      </c>
      <c r="I544" s="129" t="s">
        <v>407</v>
      </c>
      <c r="J544" s="130">
        <v>8</v>
      </c>
      <c r="K544" s="131"/>
      <c r="L544" s="131" t="s">
        <v>3</v>
      </c>
      <c r="M544" s="131" t="s">
        <v>402</v>
      </c>
      <c r="N544" s="131" t="s">
        <v>323</v>
      </c>
      <c r="O544" s="56">
        <f>VLOOKUP($F544,'ZipCode Coordinates'!$A:$E,4,FALSE)</f>
        <v>2138420</v>
      </c>
      <c r="P544" s="56">
        <f>VLOOKUP($F544,'ZipCode Coordinates'!$A:$E,5,FALSE)</f>
        <v>6299220</v>
      </c>
      <c r="Q544" s="56">
        <f>VLOOKUP($G544,'ZipCode Coordinates'!$A:$E,4,FALSE)</f>
        <v>1828370</v>
      </c>
      <c r="R544" s="56">
        <f>VLOOKUP($G544,'ZipCode Coordinates'!$A:$E,5,FALSE)</f>
        <v>6293940</v>
      </c>
      <c r="S544" s="352" t="str">
        <f>IFERROR(VLOOKUP($M544,'External Gateways'!$C$6:$F$10,2,FALSE),"")</f>
        <v>I-15</v>
      </c>
      <c r="T544" s="56">
        <f>IFERROR(VLOOKUP($M544,'External Gateways'!$C$6:$F$10,3,FALSE),O544)</f>
        <v>2102195</v>
      </c>
      <c r="U544" s="56">
        <f>IFERROR(VLOOKUP($M544,'External Gateways'!$C$6:$F$10,4,FALSE),P544)</f>
        <v>6289147</v>
      </c>
      <c r="V544" s="353">
        <f t="shared" si="16"/>
        <v>7.1211011888925713</v>
      </c>
      <c r="W544" s="353">
        <f t="shared" si="17"/>
        <v>119.75779762221485</v>
      </c>
    </row>
    <row r="545" spans="1:23" ht="15" customHeight="1" x14ac:dyDescent="0.25">
      <c r="A545" s="128">
        <v>2555</v>
      </c>
      <c r="B545" s="129" t="s">
        <v>451</v>
      </c>
      <c r="C545" s="128" t="s">
        <v>3</v>
      </c>
      <c r="D545" s="129" t="s">
        <v>154</v>
      </c>
      <c r="E545" s="129" t="s">
        <v>162</v>
      </c>
      <c r="F545" s="129">
        <v>92591</v>
      </c>
      <c r="G545" s="129">
        <v>92136</v>
      </c>
      <c r="H545" s="130">
        <v>135</v>
      </c>
      <c r="I545" s="129" t="s">
        <v>416</v>
      </c>
      <c r="J545" s="130">
        <v>7</v>
      </c>
      <c r="K545" s="131"/>
      <c r="L545" s="131" t="s">
        <v>3</v>
      </c>
      <c r="M545" s="131" t="s">
        <v>402</v>
      </c>
      <c r="N545" s="131" t="s">
        <v>323</v>
      </c>
      <c r="O545" s="56">
        <f>VLOOKUP($F545,'ZipCode Coordinates'!$A:$E,4,FALSE)</f>
        <v>2138420</v>
      </c>
      <c r="P545" s="56">
        <f>VLOOKUP($F545,'ZipCode Coordinates'!$A:$E,5,FALSE)</f>
        <v>6299220</v>
      </c>
      <c r="Q545" s="56">
        <f>VLOOKUP($G545,'ZipCode Coordinates'!$A:$E,4,FALSE)</f>
        <v>1828370</v>
      </c>
      <c r="R545" s="56">
        <f>VLOOKUP($G545,'ZipCode Coordinates'!$A:$E,5,FALSE)</f>
        <v>6293940</v>
      </c>
      <c r="S545" s="352" t="str">
        <f>IFERROR(VLOOKUP($M545,'External Gateways'!$C$6:$F$10,2,FALSE),"")</f>
        <v>I-15</v>
      </c>
      <c r="T545" s="56">
        <f>IFERROR(VLOOKUP($M545,'External Gateways'!$C$6:$F$10,3,FALSE),O545)</f>
        <v>2102195</v>
      </c>
      <c r="U545" s="56">
        <f>IFERROR(VLOOKUP($M545,'External Gateways'!$C$6:$F$10,4,FALSE),P545)</f>
        <v>6289147</v>
      </c>
      <c r="V545" s="353">
        <f t="shared" si="16"/>
        <v>7.1211011888925713</v>
      </c>
      <c r="W545" s="353">
        <f t="shared" si="17"/>
        <v>120.75779762221485</v>
      </c>
    </row>
    <row r="546" spans="1:23" ht="15" customHeight="1" x14ac:dyDescent="0.25">
      <c r="A546" s="128">
        <v>2558</v>
      </c>
      <c r="B546" s="129" t="s">
        <v>171</v>
      </c>
      <c r="C546" s="128" t="s">
        <v>166</v>
      </c>
      <c r="D546" s="129" t="s">
        <v>177</v>
      </c>
      <c r="E546" s="129" t="s">
        <v>162</v>
      </c>
      <c r="F546" s="129">
        <v>91932</v>
      </c>
      <c r="G546" s="129">
        <v>92113</v>
      </c>
      <c r="H546" s="130">
        <v>64</v>
      </c>
      <c r="I546" s="129" t="s">
        <v>432</v>
      </c>
      <c r="J546" s="130">
        <v>7</v>
      </c>
      <c r="K546" s="131"/>
      <c r="L546" s="131" t="s">
        <v>5</v>
      </c>
      <c r="M546" s="131" t="s">
        <v>328</v>
      </c>
      <c r="N546" s="131" t="s">
        <v>323</v>
      </c>
      <c r="O546" s="56">
        <f>VLOOKUP($F546,'ZipCode Coordinates'!$A:$E,4,FALSE)</f>
        <v>1790360</v>
      </c>
      <c r="P546" s="56">
        <f>VLOOKUP($F546,'ZipCode Coordinates'!$A:$E,5,FALSE)</f>
        <v>6293930</v>
      </c>
      <c r="Q546" s="56">
        <f>VLOOKUP($G546,'ZipCode Coordinates'!$A:$E,4,FALSE)</f>
        <v>1834470</v>
      </c>
      <c r="R546" s="56">
        <f>VLOOKUP($G546,'ZipCode Coordinates'!$A:$E,5,FALSE)</f>
        <v>6294590</v>
      </c>
      <c r="S546" s="352" t="str">
        <f>IFERROR(VLOOKUP($M546,'External Gateways'!$C$6:$F$10,2,FALSE),"")</f>
        <v/>
      </c>
      <c r="T546" s="56">
        <f>IFERROR(VLOOKUP($M546,'External Gateways'!$C$6:$F$10,3,FALSE),O546)</f>
        <v>1790360</v>
      </c>
      <c r="U546" s="56">
        <f>IFERROR(VLOOKUP($M546,'External Gateways'!$C$6:$F$10,4,FALSE),P546)</f>
        <v>6293930</v>
      </c>
      <c r="V546" s="353">
        <f t="shared" si="16"/>
        <v>0</v>
      </c>
      <c r="W546" s="353">
        <f t="shared" si="17"/>
        <v>64</v>
      </c>
    </row>
    <row r="547" spans="1:23" ht="15" customHeight="1" x14ac:dyDescent="0.25">
      <c r="A547" s="128">
        <v>2564</v>
      </c>
      <c r="B547" s="129" t="s">
        <v>253</v>
      </c>
      <c r="C547" s="128" t="s">
        <v>3</v>
      </c>
      <c r="D547" s="129" t="s">
        <v>158</v>
      </c>
      <c r="E547" s="129" t="s">
        <v>162</v>
      </c>
      <c r="F547" s="129">
        <v>92591</v>
      </c>
      <c r="G547" s="129">
        <v>92145</v>
      </c>
      <c r="H547" s="130">
        <v>109</v>
      </c>
      <c r="I547" s="129" t="s">
        <v>408</v>
      </c>
      <c r="J547" s="130">
        <v>7</v>
      </c>
      <c r="K547" s="131"/>
      <c r="L547" s="131" t="s">
        <v>3</v>
      </c>
      <c r="M547" s="131" t="s">
        <v>402</v>
      </c>
      <c r="N547" s="131" t="s">
        <v>327</v>
      </c>
      <c r="O547" s="56">
        <f>VLOOKUP($F547,'ZipCode Coordinates'!$A:$E,4,FALSE)</f>
        <v>2138420</v>
      </c>
      <c r="P547" s="56">
        <f>VLOOKUP($F547,'ZipCode Coordinates'!$A:$E,5,FALSE)</f>
        <v>6299220</v>
      </c>
      <c r="Q547" s="56">
        <f>VLOOKUP($G547,'ZipCode Coordinates'!$A:$E,4,FALSE)</f>
        <v>1896720</v>
      </c>
      <c r="R547" s="56">
        <f>VLOOKUP($G547,'ZipCode Coordinates'!$A:$E,5,FALSE)</f>
        <v>6297440</v>
      </c>
      <c r="S547" s="352" t="str">
        <f>IFERROR(VLOOKUP($M547,'External Gateways'!$C$6:$F$10,2,FALSE),"")</f>
        <v>I-15</v>
      </c>
      <c r="T547" s="56">
        <f>IFERROR(VLOOKUP($M547,'External Gateways'!$C$6:$F$10,3,FALSE),O547)</f>
        <v>2102195</v>
      </c>
      <c r="U547" s="56">
        <f>IFERROR(VLOOKUP($M547,'External Gateways'!$C$6:$F$10,4,FALSE),P547)</f>
        <v>6289147</v>
      </c>
      <c r="V547" s="353">
        <f t="shared" si="16"/>
        <v>7.1211011888925713</v>
      </c>
      <c r="W547" s="353">
        <f t="shared" si="17"/>
        <v>94.757797622214852</v>
      </c>
    </row>
    <row r="548" spans="1:23" ht="15" customHeight="1" x14ac:dyDescent="0.25">
      <c r="A548" s="128">
        <v>2565</v>
      </c>
      <c r="B548" s="129" t="s">
        <v>315</v>
      </c>
      <c r="C548" s="128" t="s">
        <v>68</v>
      </c>
      <c r="D548" s="129" t="s">
        <v>154</v>
      </c>
      <c r="E548" s="129" t="s">
        <v>220</v>
      </c>
      <c r="F548" s="129">
        <v>92591</v>
      </c>
      <c r="G548" s="129">
        <v>92071</v>
      </c>
      <c r="H548" s="130">
        <v>185</v>
      </c>
      <c r="I548" s="129" t="s">
        <v>416</v>
      </c>
      <c r="J548" s="130">
        <v>7</v>
      </c>
      <c r="K548" s="131"/>
      <c r="L548" s="131" t="s">
        <v>68</v>
      </c>
      <c r="M548" s="131" t="s">
        <v>402</v>
      </c>
      <c r="N548" s="131" t="s">
        <v>326</v>
      </c>
      <c r="O548" s="56">
        <f>VLOOKUP($F548,'ZipCode Coordinates'!$A:$E,4,FALSE)</f>
        <v>2138420</v>
      </c>
      <c r="P548" s="56">
        <f>VLOOKUP($F548,'ZipCode Coordinates'!$A:$E,5,FALSE)</f>
        <v>6299220</v>
      </c>
      <c r="Q548" s="56">
        <f>VLOOKUP($G548,'ZipCode Coordinates'!$A:$E,4,FALSE)</f>
        <v>1895600</v>
      </c>
      <c r="R548" s="56">
        <f>VLOOKUP($G548,'ZipCode Coordinates'!$A:$E,5,FALSE)</f>
        <v>6327040</v>
      </c>
      <c r="S548" s="352" t="str">
        <f>IFERROR(VLOOKUP($M548,'External Gateways'!$C$6:$F$10,2,FALSE),"")</f>
        <v>I-15</v>
      </c>
      <c r="T548" s="56">
        <f>IFERROR(VLOOKUP($M548,'External Gateways'!$C$6:$F$10,3,FALSE),O548)</f>
        <v>2102195</v>
      </c>
      <c r="U548" s="56">
        <f>IFERROR(VLOOKUP($M548,'External Gateways'!$C$6:$F$10,4,FALSE),P548)</f>
        <v>6289147</v>
      </c>
      <c r="V548" s="353">
        <f t="shared" si="16"/>
        <v>7.1211011888925713</v>
      </c>
      <c r="W548" s="353">
        <f t="shared" si="17"/>
        <v>170.75779762221487</v>
      </c>
    </row>
    <row r="549" spans="1:23" ht="15" customHeight="1" x14ac:dyDescent="0.25">
      <c r="A549" s="128">
        <v>2568</v>
      </c>
      <c r="B549" s="129" t="s">
        <v>315</v>
      </c>
      <c r="C549" s="128" t="s">
        <v>68</v>
      </c>
      <c r="D549" s="129" t="s">
        <v>220</v>
      </c>
      <c r="E549" s="129" t="s">
        <v>405</v>
      </c>
      <c r="F549" s="129">
        <v>92071</v>
      </c>
      <c r="G549" s="129">
        <v>91905</v>
      </c>
      <c r="H549" s="130">
        <v>100</v>
      </c>
      <c r="I549" s="129" t="s">
        <v>407</v>
      </c>
      <c r="J549" s="130">
        <v>8</v>
      </c>
      <c r="K549" s="131"/>
      <c r="L549" s="131" t="s">
        <v>68</v>
      </c>
      <c r="M549" s="131" t="s">
        <v>326</v>
      </c>
      <c r="N549" s="131" t="s">
        <v>329</v>
      </c>
      <c r="O549" s="56">
        <f>VLOOKUP($F549,'ZipCode Coordinates'!$A:$E,4,FALSE)</f>
        <v>1895600</v>
      </c>
      <c r="P549" s="56">
        <f>VLOOKUP($F549,'ZipCode Coordinates'!$A:$E,5,FALSE)</f>
        <v>6327040</v>
      </c>
      <c r="Q549" s="56">
        <f>VLOOKUP($G549,'ZipCode Coordinates'!$A:$E,4,FALSE)</f>
        <v>1844120</v>
      </c>
      <c r="R549" s="56">
        <f>VLOOKUP($G549,'ZipCode Coordinates'!$A:$E,5,FALSE)</f>
        <v>6545720</v>
      </c>
      <c r="S549" s="352" t="str">
        <f>IFERROR(VLOOKUP($M549,'External Gateways'!$C$6:$F$10,2,FALSE),"")</f>
        <v/>
      </c>
      <c r="T549" s="56">
        <f>IFERROR(VLOOKUP($M549,'External Gateways'!$C$6:$F$10,3,FALSE),O549)</f>
        <v>1895600</v>
      </c>
      <c r="U549" s="56">
        <f>IFERROR(VLOOKUP($M549,'External Gateways'!$C$6:$F$10,4,FALSE),P549)</f>
        <v>6327040</v>
      </c>
      <c r="V549" s="353">
        <f t="shared" si="16"/>
        <v>0</v>
      </c>
      <c r="W549" s="353">
        <f t="shared" si="17"/>
        <v>100</v>
      </c>
    </row>
    <row r="550" spans="1:23" ht="15" customHeight="1" x14ac:dyDescent="0.25">
      <c r="A550" s="128">
        <v>2569</v>
      </c>
      <c r="B550" s="129" t="s">
        <v>252</v>
      </c>
      <c r="C550" s="128" t="s">
        <v>3</v>
      </c>
      <c r="D550" s="129" t="s">
        <v>206</v>
      </c>
      <c r="E550" s="129" t="s">
        <v>252</v>
      </c>
      <c r="F550" s="129">
        <v>92064</v>
      </c>
      <c r="G550" s="129">
        <v>92518</v>
      </c>
      <c r="H550" s="130">
        <v>159</v>
      </c>
      <c r="I550" s="129" t="s">
        <v>408</v>
      </c>
      <c r="J550" s="130">
        <v>7</v>
      </c>
      <c r="K550" s="131"/>
      <c r="L550" s="131" t="s">
        <v>3</v>
      </c>
      <c r="M550" s="131" t="s">
        <v>327</v>
      </c>
      <c r="N550" s="131" t="s">
        <v>402</v>
      </c>
      <c r="O550" s="56">
        <f>VLOOKUP($F550,'ZipCode Coordinates'!$A:$E,4,FALSE)</f>
        <v>1939040</v>
      </c>
      <c r="P550" s="56">
        <f>VLOOKUP($F550,'ZipCode Coordinates'!$A:$E,5,FALSE)</f>
        <v>6325350</v>
      </c>
      <c r="Q550" s="56">
        <f>VLOOKUP($G550,'ZipCode Coordinates'!$A:$E,4,FALSE)</f>
        <v>2267200</v>
      </c>
      <c r="R550" s="56">
        <f>VLOOKUP($G550,'ZipCode Coordinates'!$A:$E,5,FALSE)</f>
        <v>6251130</v>
      </c>
      <c r="S550" s="352" t="str">
        <f>IFERROR(VLOOKUP($M550,'External Gateways'!$C$6:$F$10,2,FALSE),"")</f>
        <v/>
      </c>
      <c r="T550" s="56">
        <f>IFERROR(VLOOKUP($M550,'External Gateways'!$C$6:$F$10,3,FALSE),O550)</f>
        <v>1939040</v>
      </c>
      <c r="U550" s="56">
        <f>IFERROR(VLOOKUP($M550,'External Gateways'!$C$6:$F$10,4,FALSE),P550)</f>
        <v>6325350</v>
      </c>
      <c r="V550" s="353">
        <f t="shared" si="16"/>
        <v>0</v>
      </c>
      <c r="W550" s="353">
        <f t="shared" si="17"/>
        <v>159</v>
      </c>
    </row>
    <row r="551" spans="1:23" ht="15" customHeight="1" x14ac:dyDescent="0.25">
      <c r="A551" s="128">
        <v>2572</v>
      </c>
      <c r="B551" s="129" t="s">
        <v>204</v>
      </c>
      <c r="C551" s="128" t="s">
        <v>415</v>
      </c>
      <c r="D551" s="129" t="s">
        <v>190</v>
      </c>
      <c r="E551" s="129" t="s">
        <v>162</v>
      </c>
      <c r="F551" s="129">
        <v>92082</v>
      </c>
      <c r="G551" s="129">
        <v>92117</v>
      </c>
      <c r="H551" s="130">
        <v>95</v>
      </c>
      <c r="I551" s="129" t="s">
        <v>416</v>
      </c>
      <c r="J551" s="130">
        <v>7</v>
      </c>
      <c r="K551" s="131"/>
      <c r="L551" s="131" t="s">
        <v>5</v>
      </c>
      <c r="M551" s="131" t="s">
        <v>325</v>
      </c>
      <c r="N551" s="131" t="s">
        <v>327</v>
      </c>
      <c r="O551" s="56">
        <f>VLOOKUP($F551,'ZipCode Coordinates'!$A:$E,4,FALSE)</f>
        <v>2036530</v>
      </c>
      <c r="P551" s="56">
        <f>VLOOKUP($F551,'ZipCode Coordinates'!$A:$E,5,FALSE)</f>
        <v>6333920</v>
      </c>
      <c r="Q551" s="56">
        <f>VLOOKUP($G551,'ZipCode Coordinates'!$A:$E,4,FALSE)</f>
        <v>1881200</v>
      </c>
      <c r="R551" s="56">
        <f>VLOOKUP($G551,'ZipCode Coordinates'!$A:$E,5,FALSE)</f>
        <v>6269850</v>
      </c>
      <c r="S551" s="352" t="str">
        <f>IFERROR(VLOOKUP($M551,'External Gateways'!$C$6:$F$10,2,FALSE),"")</f>
        <v/>
      </c>
      <c r="T551" s="56">
        <f>IFERROR(VLOOKUP($M551,'External Gateways'!$C$6:$F$10,3,FALSE),O551)</f>
        <v>2036530</v>
      </c>
      <c r="U551" s="56">
        <f>IFERROR(VLOOKUP($M551,'External Gateways'!$C$6:$F$10,4,FALSE),P551)</f>
        <v>6333920</v>
      </c>
      <c r="V551" s="353">
        <f t="shared" si="16"/>
        <v>0</v>
      </c>
      <c r="W551" s="353">
        <f t="shared" si="17"/>
        <v>95</v>
      </c>
    </row>
    <row r="552" spans="1:23" ht="15" customHeight="1" x14ac:dyDescent="0.25">
      <c r="A552" s="128">
        <v>2573</v>
      </c>
      <c r="B552" s="129" t="s">
        <v>451</v>
      </c>
      <c r="C552" s="128" t="s">
        <v>3</v>
      </c>
      <c r="D552" s="129" t="s">
        <v>158</v>
      </c>
      <c r="E552" s="129" t="s">
        <v>162</v>
      </c>
      <c r="F552" s="129">
        <v>92563</v>
      </c>
      <c r="G552" s="129">
        <v>92136</v>
      </c>
      <c r="H552" s="130">
        <v>160</v>
      </c>
      <c r="I552" s="129" t="s">
        <v>401</v>
      </c>
      <c r="J552" s="130">
        <v>7</v>
      </c>
      <c r="K552" s="131"/>
      <c r="L552" s="131" t="s">
        <v>3</v>
      </c>
      <c r="M552" s="131" t="s">
        <v>402</v>
      </c>
      <c r="N552" s="131" t="s">
        <v>323</v>
      </c>
      <c r="O552" s="56">
        <f>VLOOKUP($F552,'ZipCode Coordinates'!$A:$E,4,FALSE)</f>
        <v>2156450</v>
      </c>
      <c r="P552" s="56">
        <f>VLOOKUP($F552,'ZipCode Coordinates'!$A:$E,5,FALSE)</f>
        <v>6288710</v>
      </c>
      <c r="Q552" s="56">
        <f>VLOOKUP($G552,'ZipCode Coordinates'!$A:$E,4,FALSE)</f>
        <v>1828370</v>
      </c>
      <c r="R552" s="56">
        <f>VLOOKUP($G552,'ZipCode Coordinates'!$A:$E,5,FALSE)</f>
        <v>6293940</v>
      </c>
      <c r="S552" s="352" t="str">
        <f>IFERROR(VLOOKUP($M552,'External Gateways'!$C$6:$F$10,2,FALSE),"")</f>
        <v>I-15</v>
      </c>
      <c r="T552" s="56">
        <f>IFERROR(VLOOKUP($M552,'External Gateways'!$C$6:$F$10,3,FALSE),O552)</f>
        <v>2102195</v>
      </c>
      <c r="U552" s="56">
        <f>IFERROR(VLOOKUP($M552,'External Gateways'!$C$6:$F$10,4,FALSE),P552)</f>
        <v>6289147</v>
      </c>
      <c r="V552" s="353">
        <f t="shared" si="16"/>
        <v>10.275901494735123</v>
      </c>
      <c r="W552" s="353">
        <f t="shared" si="17"/>
        <v>139.44819701052975</v>
      </c>
    </row>
    <row r="553" spans="1:23" ht="15" customHeight="1" x14ac:dyDescent="0.25">
      <c r="A553" s="128">
        <v>2574</v>
      </c>
      <c r="B553" s="129" t="s">
        <v>291</v>
      </c>
      <c r="C553" s="128" t="s">
        <v>163</v>
      </c>
      <c r="D553" s="129" t="s">
        <v>194</v>
      </c>
      <c r="E553" s="129" t="s">
        <v>162</v>
      </c>
      <c r="F553" s="129">
        <v>91977</v>
      </c>
      <c r="G553" s="129">
        <v>92127</v>
      </c>
      <c r="H553" s="130">
        <v>80</v>
      </c>
      <c r="I553" s="129" t="s">
        <v>401</v>
      </c>
      <c r="J553" s="130">
        <v>7</v>
      </c>
      <c r="K553" s="131"/>
      <c r="L553" s="131" t="s">
        <v>5</v>
      </c>
      <c r="M553" s="131" t="s">
        <v>326</v>
      </c>
      <c r="N553" s="131" t="s">
        <v>327</v>
      </c>
      <c r="O553" s="56">
        <f>VLOOKUP($F553,'ZipCode Coordinates'!$A:$E,4,FALSE)</f>
        <v>1843860</v>
      </c>
      <c r="P553" s="56">
        <f>VLOOKUP($F553,'ZipCode Coordinates'!$A:$E,5,FALSE)</f>
        <v>6332240</v>
      </c>
      <c r="Q553" s="56">
        <f>VLOOKUP($G553,'ZipCode Coordinates'!$A:$E,4,FALSE)</f>
        <v>1951970</v>
      </c>
      <c r="R553" s="56">
        <f>VLOOKUP($G553,'ZipCode Coordinates'!$A:$E,5,FALSE)</f>
        <v>6293830</v>
      </c>
      <c r="S553" s="352" t="str">
        <f>IFERROR(VLOOKUP($M553,'External Gateways'!$C$6:$F$10,2,FALSE),"")</f>
        <v/>
      </c>
      <c r="T553" s="56">
        <f>IFERROR(VLOOKUP($M553,'External Gateways'!$C$6:$F$10,3,FALSE),O553)</f>
        <v>1843860</v>
      </c>
      <c r="U553" s="56">
        <f>IFERROR(VLOOKUP($M553,'External Gateways'!$C$6:$F$10,4,FALSE),P553)</f>
        <v>6332240</v>
      </c>
      <c r="V553" s="353">
        <f t="shared" si="16"/>
        <v>0</v>
      </c>
      <c r="W553" s="353">
        <f t="shared" si="17"/>
        <v>80</v>
      </c>
    </row>
    <row r="554" spans="1:23" ht="15" customHeight="1" x14ac:dyDescent="0.25">
      <c r="A554" s="128">
        <v>2576</v>
      </c>
      <c r="B554" s="129" t="s">
        <v>238</v>
      </c>
      <c r="C554" s="128" t="s">
        <v>198</v>
      </c>
      <c r="D554" s="129" t="s">
        <v>165</v>
      </c>
      <c r="E554" s="129" t="s">
        <v>162</v>
      </c>
      <c r="F554" s="129">
        <v>91910</v>
      </c>
      <c r="G554" s="129">
        <v>92122</v>
      </c>
      <c r="H554" s="130">
        <v>48</v>
      </c>
      <c r="I554" s="129" t="s">
        <v>419</v>
      </c>
      <c r="J554" s="130">
        <v>7</v>
      </c>
      <c r="K554" s="131"/>
      <c r="L554" s="131" t="s">
        <v>5</v>
      </c>
      <c r="M554" s="131" t="s">
        <v>328</v>
      </c>
      <c r="N554" s="131" t="s">
        <v>327</v>
      </c>
      <c r="O554" s="56">
        <f>VLOOKUP($F554,'ZipCode Coordinates'!$A:$E,4,FALSE)</f>
        <v>1812850</v>
      </c>
      <c r="P554" s="56">
        <f>VLOOKUP($F554,'ZipCode Coordinates'!$A:$E,5,FALSE)</f>
        <v>6313650</v>
      </c>
      <c r="Q554" s="56">
        <f>VLOOKUP($G554,'ZipCode Coordinates'!$A:$E,4,FALSE)</f>
        <v>1893170</v>
      </c>
      <c r="R554" s="56">
        <f>VLOOKUP($G554,'ZipCode Coordinates'!$A:$E,5,FALSE)</f>
        <v>6267940</v>
      </c>
      <c r="S554" s="352" t="str">
        <f>IFERROR(VLOOKUP($M554,'External Gateways'!$C$6:$F$10,2,FALSE),"")</f>
        <v/>
      </c>
      <c r="T554" s="56">
        <f>IFERROR(VLOOKUP($M554,'External Gateways'!$C$6:$F$10,3,FALSE),O554)</f>
        <v>1812850</v>
      </c>
      <c r="U554" s="56">
        <f>IFERROR(VLOOKUP($M554,'External Gateways'!$C$6:$F$10,4,FALSE),P554)</f>
        <v>6313650</v>
      </c>
      <c r="V554" s="353">
        <f t="shared" si="16"/>
        <v>0</v>
      </c>
      <c r="W554" s="353">
        <f t="shared" si="17"/>
        <v>48</v>
      </c>
    </row>
    <row r="555" spans="1:23" ht="15" customHeight="1" x14ac:dyDescent="0.25">
      <c r="A555" s="128">
        <v>2577</v>
      </c>
      <c r="B555" s="129" t="s">
        <v>238</v>
      </c>
      <c r="C555" s="128" t="s">
        <v>198</v>
      </c>
      <c r="D555" s="129" t="s">
        <v>165</v>
      </c>
      <c r="E555" s="129" t="s">
        <v>162</v>
      </c>
      <c r="F555" s="129">
        <v>91915</v>
      </c>
      <c r="G555" s="129">
        <v>92122</v>
      </c>
      <c r="H555" s="130">
        <v>48</v>
      </c>
      <c r="I555" s="129" t="s">
        <v>416</v>
      </c>
      <c r="J555" s="130">
        <v>7</v>
      </c>
      <c r="K555" s="131"/>
      <c r="L555" s="131" t="s">
        <v>5</v>
      </c>
      <c r="M555" s="131" t="s">
        <v>326</v>
      </c>
      <c r="N555" s="131" t="s">
        <v>327</v>
      </c>
      <c r="O555" s="56">
        <f>VLOOKUP($F555,'ZipCode Coordinates'!$A:$E,4,FALSE)</f>
        <v>1804550</v>
      </c>
      <c r="P555" s="56">
        <f>VLOOKUP($F555,'ZipCode Coordinates'!$A:$E,5,FALSE)</f>
        <v>6342300</v>
      </c>
      <c r="Q555" s="56">
        <f>VLOOKUP($G555,'ZipCode Coordinates'!$A:$E,4,FALSE)</f>
        <v>1893170</v>
      </c>
      <c r="R555" s="56">
        <f>VLOOKUP($G555,'ZipCode Coordinates'!$A:$E,5,FALSE)</f>
        <v>6267940</v>
      </c>
      <c r="S555" s="352" t="str">
        <f>IFERROR(VLOOKUP($M555,'External Gateways'!$C$6:$F$10,2,FALSE),"")</f>
        <v/>
      </c>
      <c r="T555" s="56">
        <f>IFERROR(VLOOKUP($M555,'External Gateways'!$C$6:$F$10,3,FALSE),O555)</f>
        <v>1804550</v>
      </c>
      <c r="U555" s="56">
        <f>IFERROR(VLOOKUP($M555,'External Gateways'!$C$6:$F$10,4,FALSE),P555)</f>
        <v>6342300</v>
      </c>
      <c r="V555" s="353">
        <f t="shared" si="16"/>
        <v>0</v>
      </c>
      <c r="W555" s="353">
        <f t="shared" si="17"/>
        <v>48</v>
      </c>
    </row>
    <row r="556" spans="1:23" ht="15" customHeight="1" x14ac:dyDescent="0.25">
      <c r="A556" s="128">
        <v>2581</v>
      </c>
      <c r="B556" s="129" t="s">
        <v>311</v>
      </c>
      <c r="C556" s="128" t="s">
        <v>411</v>
      </c>
      <c r="D556" s="129" t="s">
        <v>281</v>
      </c>
      <c r="E556" s="129" t="s">
        <v>413</v>
      </c>
      <c r="F556" s="129">
        <v>91945</v>
      </c>
      <c r="G556" s="129">
        <v>92093</v>
      </c>
      <c r="H556" s="130">
        <v>65</v>
      </c>
      <c r="I556" s="129" t="s">
        <v>401</v>
      </c>
      <c r="J556" s="130">
        <v>7</v>
      </c>
      <c r="K556" s="131"/>
      <c r="L556" s="131" t="s">
        <v>5</v>
      </c>
      <c r="M556" s="131" t="s">
        <v>326</v>
      </c>
      <c r="N556" s="131" t="s">
        <v>327</v>
      </c>
      <c r="O556" s="56">
        <f>VLOOKUP($F556,'ZipCode Coordinates'!$A:$E,4,FALSE)</f>
        <v>1847470</v>
      </c>
      <c r="P556" s="56">
        <f>VLOOKUP($F556,'ZipCode Coordinates'!$A:$E,5,FALSE)</f>
        <v>6320620</v>
      </c>
      <c r="Q556" s="56">
        <f>VLOOKUP($G556,'ZipCode Coordinates'!$A:$E,4,FALSE)</f>
        <v>1901870</v>
      </c>
      <c r="R556" s="56">
        <f>VLOOKUP($G556,'ZipCode Coordinates'!$A:$E,5,FALSE)</f>
        <v>6259600</v>
      </c>
      <c r="S556" s="352" t="str">
        <f>IFERROR(VLOOKUP($M556,'External Gateways'!$C$6:$F$10,2,FALSE),"")</f>
        <v/>
      </c>
      <c r="T556" s="56">
        <f>IFERROR(VLOOKUP($M556,'External Gateways'!$C$6:$F$10,3,FALSE),O556)</f>
        <v>1847470</v>
      </c>
      <c r="U556" s="56">
        <f>IFERROR(VLOOKUP($M556,'External Gateways'!$C$6:$F$10,4,FALSE),P556)</f>
        <v>6320620</v>
      </c>
      <c r="V556" s="353">
        <f t="shared" si="16"/>
        <v>0</v>
      </c>
      <c r="W556" s="353">
        <f t="shared" si="17"/>
        <v>65</v>
      </c>
    </row>
    <row r="557" spans="1:23" ht="15" customHeight="1" x14ac:dyDescent="0.25">
      <c r="A557" s="128">
        <v>2584</v>
      </c>
      <c r="B557" s="129" t="s">
        <v>258</v>
      </c>
      <c r="C557" s="128" t="s">
        <v>3</v>
      </c>
      <c r="D557" s="129" t="s">
        <v>154</v>
      </c>
      <c r="E557" s="129" t="s">
        <v>162</v>
      </c>
      <c r="F557" s="129">
        <v>92592</v>
      </c>
      <c r="G557" s="129">
        <v>92135</v>
      </c>
      <c r="H557" s="130">
        <v>138</v>
      </c>
      <c r="I557" s="129" t="s">
        <v>422</v>
      </c>
      <c r="J557" s="130">
        <v>8</v>
      </c>
      <c r="K557" s="131"/>
      <c r="L557" s="131" t="s">
        <v>3</v>
      </c>
      <c r="M557" s="131" t="s">
        <v>402</v>
      </c>
      <c r="N557" s="131" t="s">
        <v>323</v>
      </c>
      <c r="O557" s="56">
        <f>VLOOKUP($F557,'ZipCode Coordinates'!$A:$E,4,FALSE)</f>
        <v>2128740</v>
      </c>
      <c r="P557" s="56">
        <f>VLOOKUP($F557,'ZipCode Coordinates'!$A:$E,5,FALSE)</f>
        <v>6328900</v>
      </c>
      <c r="Q557" s="56">
        <f>VLOOKUP($G557,'ZipCode Coordinates'!$A:$E,4,FALSE)</f>
        <v>1835720</v>
      </c>
      <c r="R557" s="56">
        <f>VLOOKUP($G557,'ZipCode Coordinates'!$A:$E,5,FALSE)</f>
        <v>6266670</v>
      </c>
      <c r="S557" s="352" t="str">
        <f>IFERROR(VLOOKUP($M557,'External Gateways'!$C$6:$F$10,2,FALSE),"")</f>
        <v>I-15</v>
      </c>
      <c r="T557" s="56">
        <f>IFERROR(VLOOKUP($M557,'External Gateways'!$C$6:$F$10,3,FALSE),O557)</f>
        <v>2102195</v>
      </c>
      <c r="U557" s="56">
        <f>IFERROR(VLOOKUP($M557,'External Gateways'!$C$6:$F$10,4,FALSE),P557)</f>
        <v>6289147</v>
      </c>
      <c r="V557" s="353">
        <f t="shared" si="16"/>
        <v>9.0532245169037147</v>
      </c>
      <c r="W557" s="353">
        <f t="shared" si="17"/>
        <v>119.89355096619258</v>
      </c>
    </row>
    <row r="558" spans="1:23" ht="15" customHeight="1" x14ac:dyDescent="0.25">
      <c r="A558" s="128">
        <v>2585</v>
      </c>
      <c r="B558" s="129" t="s">
        <v>320</v>
      </c>
      <c r="C558" s="128" t="s">
        <v>166</v>
      </c>
      <c r="D558" s="129" t="s">
        <v>170</v>
      </c>
      <c r="E558" s="129" t="s">
        <v>162</v>
      </c>
      <c r="F558" s="129">
        <v>92584</v>
      </c>
      <c r="G558" s="129">
        <v>92130</v>
      </c>
      <c r="H558" s="130">
        <v>135</v>
      </c>
      <c r="I558" s="129" t="s">
        <v>422</v>
      </c>
      <c r="J558" s="130">
        <v>8</v>
      </c>
      <c r="K558" s="131"/>
      <c r="L558" s="131" t="s">
        <v>5</v>
      </c>
      <c r="M558" s="131" t="s">
        <v>402</v>
      </c>
      <c r="N558" s="131" t="s">
        <v>327</v>
      </c>
      <c r="O558" s="56">
        <f>VLOOKUP($F558,'ZipCode Coordinates'!$A:$E,4,FALSE)</f>
        <v>2185160</v>
      </c>
      <c r="P558" s="56">
        <f>VLOOKUP($F558,'ZipCode Coordinates'!$A:$E,5,FALSE)</f>
        <v>6280270</v>
      </c>
      <c r="Q558" s="56">
        <f>VLOOKUP($G558,'ZipCode Coordinates'!$A:$E,4,FALSE)</f>
        <v>1926420</v>
      </c>
      <c r="R558" s="56">
        <f>VLOOKUP($G558,'ZipCode Coordinates'!$A:$E,5,FALSE)</f>
        <v>6268630</v>
      </c>
      <c r="S558" s="352" t="str">
        <f>IFERROR(VLOOKUP($M558,'External Gateways'!$C$6:$F$10,2,FALSE),"")</f>
        <v>I-15</v>
      </c>
      <c r="T558" s="56">
        <f>IFERROR(VLOOKUP($M558,'External Gateways'!$C$6:$F$10,3,FALSE),O558)</f>
        <v>2102195</v>
      </c>
      <c r="U558" s="56">
        <f>IFERROR(VLOOKUP($M558,'External Gateways'!$C$6:$F$10,4,FALSE),P558)</f>
        <v>6289147</v>
      </c>
      <c r="V558" s="353">
        <f t="shared" si="16"/>
        <v>15.802756507931361</v>
      </c>
      <c r="W558" s="353">
        <f t="shared" si="17"/>
        <v>103.39448698413727</v>
      </c>
    </row>
    <row r="559" spans="1:23" ht="15" customHeight="1" x14ac:dyDescent="0.25">
      <c r="A559" s="128">
        <v>2587</v>
      </c>
      <c r="B559" s="129" t="s">
        <v>82</v>
      </c>
      <c r="C559" s="128" t="s">
        <v>3</v>
      </c>
      <c r="D559" s="129" t="s">
        <v>165</v>
      </c>
      <c r="E559" s="129" t="s">
        <v>82</v>
      </c>
      <c r="F559" s="129">
        <v>92124</v>
      </c>
      <c r="G559" s="129">
        <v>92055</v>
      </c>
      <c r="H559" s="130">
        <v>160</v>
      </c>
      <c r="I559" s="129" t="s">
        <v>419</v>
      </c>
      <c r="J559" s="130">
        <v>7</v>
      </c>
      <c r="K559" s="131"/>
      <c r="L559" s="131" t="s">
        <v>3</v>
      </c>
      <c r="M559" s="131" t="s">
        <v>327</v>
      </c>
      <c r="N559" s="131" t="s">
        <v>324</v>
      </c>
      <c r="O559" s="56">
        <f>VLOOKUP($F559,'ZipCode Coordinates'!$A:$E,4,FALSE)</f>
        <v>1880570</v>
      </c>
      <c r="P559" s="56">
        <f>VLOOKUP($F559,'ZipCode Coordinates'!$A:$E,5,FALSE)</f>
        <v>6302260</v>
      </c>
      <c r="Q559" s="56">
        <f>VLOOKUP($G559,'ZipCode Coordinates'!$A:$E,4,FALSE)</f>
        <v>2082470</v>
      </c>
      <c r="R559" s="56">
        <f>VLOOKUP($G559,'ZipCode Coordinates'!$A:$E,5,FALSE)</f>
        <v>6206470</v>
      </c>
      <c r="S559" s="352" t="str">
        <f>IFERROR(VLOOKUP($M559,'External Gateways'!$C$6:$F$10,2,FALSE),"")</f>
        <v/>
      </c>
      <c r="T559" s="56">
        <f>IFERROR(VLOOKUP($M559,'External Gateways'!$C$6:$F$10,3,FALSE),O559)</f>
        <v>1880570</v>
      </c>
      <c r="U559" s="56">
        <f>IFERROR(VLOOKUP($M559,'External Gateways'!$C$6:$F$10,4,FALSE),P559)</f>
        <v>6302260</v>
      </c>
      <c r="V559" s="353">
        <f t="shared" si="16"/>
        <v>0</v>
      </c>
      <c r="W559" s="353">
        <f t="shared" si="17"/>
        <v>160</v>
      </c>
    </row>
    <row r="560" spans="1:23" ht="15" customHeight="1" x14ac:dyDescent="0.25">
      <c r="A560" s="128">
        <v>2589</v>
      </c>
      <c r="B560" s="129" t="s">
        <v>244</v>
      </c>
      <c r="C560" s="128" t="s">
        <v>245</v>
      </c>
      <c r="D560" s="129" t="s">
        <v>169</v>
      </c>
      <c r="E560" s="129" t="s">
        <v>156</v>
      </c>
      <c r="F560" s="129">
        <v>92508</v>
      </c>
      <c r="G560" s="129">
        <v>92029</v>
      </c>
      <c r="H560" s="130">
        <v>196</v>
      </c>
      <c r="I560" s="129" t="s">
        <v>401</v>
      </c>
      <c r="J560" s="130">
        <v>7</v>
      </c>
      <c r="K560" s="131"/>
      <c r="L560" s="131" t="s">
        <v>5</v>
      </c>
      <c r="M560" s="131" t="s">
        <v>402</v>
      </c>
      <c r="N560" s="131" t="s">
        <v>325</v>
      </c>
      <c r="O560" s="56">
        <f>VLOOKUP($F560,'ZipCode Coordinates'!$A:$E,4,FALSE)</f>
        <v>2270220</v>
      </c>
      <c r="P560" s="56">
        <f>VLOOKUP($F560,'ZipCode Coordinates'!$A:$E,5,FALSE)</f>
        <v>6235610</v>
      </c>
      <c r="Q560" s="56">
        <f>VLOOKUP($G560,'ZipCode Coordinates'!$A:$E,4,FALSE)</f>
        <v>1974260</v>
      </c>
      <c r="R560" s="56">
        <f>VLOOKUP($G560,'ZipCode Coordinates'!$A:$E,5,FALSE)</f>
        <v>6291680</v>
      </c>
      <c r="S560" s="352" t="str">
        <f>IFERROR(VLOOKUP($M560,'External Gateways'!$C$6:$F$10,2,FALSE),"")</f>
        <v>I-15</v>
      </c>
      <c r="T560" s="56">
        <f>IFERROR(VLOOKUP($M560,'External Gateways'!$C$6:$F$10,3,FALSE),O560)</f>
        <v>2102195</v>
      </c>
      <c r="U560" s="56">
        <f>IFERROR(VLOOKUP($M560,'External Gateways'!$C$6:$F$10,4,FALSE),P560)</f>
        <v>6289147</v>
      </c>
      <c r="V560" s="353">
        <f t="shared" si="16"/>
        <v>33.399239143238312</v>
      </c>
      <c r="W560" s="353">
        <f t="shared" si="17"/>
        <v>129.20152171352339</v>
      </c>
    </row>
    <row r="561" spans="1:23" ht="15" customHeight="1" x14ac:dyDescent="0.25">
      <c r="A561" s="128">
        <v>2590</v>
      </c>
      <c r="B561" s="129" t="s">
        <v>218</v>
      </c>
      <c r="C561" s="128" t="s">
        <v>68</v>
      </c>
      <c r="D561" s="129" t="s">
        <v>165</v>
      </c>
      <c r="E561" s="129" t="s">
        <v>162</v>
      </c>
      <c r="F561" s="129">
        <v>91913</v>
      </c>
      <c r="G561" s="129">
        <v>92161</v>
      </c>
      <c r="H561" s="130">
        <v>92</v>
      </c>
      <c r="I561" s="129" t="s">
        <v>401</v>
      </c>
      <c r="J561" s="130">
        <v>7</v>
      </c>
      <c r="K561" s="131"/>
      <c r="L561" s="131" t="s">
        <v>68</v>
      </c>
      <c r="M561" s="131" t="s">
        <v>328</v>
      </c>
      <c r="N561" s="131" t="s">
        <v>327</v>
      </c>
      <c r="O561" s="56">
        <f>VLOOKUP($F561,'ZipCode Coordinates'!$A:$E,4,FALSE)</f>
        <v>1810320</v>
      </c>
      <c r="P561" s="56">
        <f>VLOOKUP($F561,'ZipCode Coordinates'!$A:$E,5,FALSE)</f>
        <v>6334990</v>
      </c>
      <c r="Q561" s="56">
        <f>VLOOKUP($G561,'ZipCode Coordinates'!$A:$E,4,FALSE)</f>
        <v>1899477</v>
      </c>
      <c r="R561" s="56">
        <f>VLOOKUP($G561,'ZipCode Coordinates'!$A:$E,5,FALSE)</f>
        <v>6258957</v>
      </c>
      <c r="S561" s="352" t="str">
        <f>IFERROR(VLOOKUP($M561,'External Gateways'!$C$6:$F$10,2,FALSE),"")</f>
        <v/>
      </c>
      <c r="T561" s="56">
        <f>IFERROR(VLOOKUP($M561,'External Gateways'!$C$6:$F$10,3,FALSE),O561)</f>
        <v>1810320</v>
      </c>
      <c r="U561" s="56">
        <f>IFERROR(VLOOKUP($M561,'External Gateways'!$C$6:$F$10,4,FALSE),P561)</f>
        <v>6334990</v>
      </c>
      <c r="V561" s="353">
        <f t="shared" si="16"/>
        <v>0</v>
      </c>
      <c r="W561" s="353">
        <f t="shared" si="17"/>
        <v>92</v>
      </c>
    </row>
    <row r="562" spans="1:23" ht="15" customHeight="1" x14ac:dyDescent="0.25">
      <c r="A562" s="128">
        <v>2591</v>
      </c>
      <c r="B562" s="129" t="s">
        <v>218</v>
      </c>
      <c r="C562" s="128" t="s">
        <v>68</v>
      </c>
      <c r="D562" s="129" t="s">
        <v>165</v>
      </c>
      <c r="E562" s="129" t="s">
        <v>162</v>
      </c>
      <c r="F562" s="129">
        <v>91915</v>
      </c>
      <c r="G562" s="129">
        <v>92161</v>
      </c>
      <c r="H562" s="130">
        <v>84</v>
      </c>
      <c r="I562" s="129" t="s">
        <v>408</v>
      </c>
      <c r="J562" s="130">
        <v>7</v>
      </c>
      <c r="K562" s="131"/>
      <c r="L562" s="131" t="s">
        <v>68</v>
      </c>
      <c r="M562" s="131" t="s">
        <v>326</v>
      </c>
      <c r="N562" s="131" t="s">
        <v>327</v>
      </c>
      <c r="O562" s="56">
        <f>VLOOKUP($F562,'ZipCode Coordinates'!$A:$E,4,FALSE)</f>
        <v>1804550</v>
      </c>
      <c r="P562" s="56">
        <f>VLOOKUP($F562,'ZipCode Coordinates'!$A:$E,5,FALSE)</f>
        <v>6342300</v>
      </c>
      <c r="Q562" s="56">
        <f>VLOOKUP($G562,'ZipCode Coordinates'!$A:$E,4,FALSE)</f>
        <v>1899477</v>
      </c>
      <c r="R562" s="56">
        <f>VLOOKUP($G562,'ZipCode Coordinates'!$A:$E,5,FALSE)</f>
        <v>6258957</v>
      </c>
      <c r="S562" s="352" t="str">
        <f>IFERROR(VLOOKUP($M562,'External Gateways'!$C$6:$F$10,2,FALSE),"")</f>
        <v/>
      </c>
      <c r="T562" s="56">
        <f>IFERROR(VLOOKUP($M562,'External Gateways'!$C$6:$F$10,3,FALSE),O562)</f>
        <v>1804550</v>
      </c>
      <c r="U562" s="56">
        <f>IFERROR(VLOOKUP($M562,'External Gateways'!$C$6:$F$10,4,FALSE),P562)</f>
        <v>6342300</v>
      </c>
      <c r="V562" s="353">
        <f t="shared" si="16"/>
        <v>0</v>
      </c>
      <c r="W562" s="353">
        <f t="shared" si="17"/>
        <v>84</v>
      </c>
    </row>
    <row r="563" spans="1:23" ht="15" customHeight="1" x14ac:dyDescent="0.25">
      <c r="A563" s="128">
        <v>2592</v>
      </c>
      <c r="B563" s="129" t="s">
        <v>171</v>
      </c>
      <c r="C563" s="128" t="s">
        <v>166</v>
      </c>
      <c r="D563" s="129" t="s">
        <v>174</v>
      </c>
      <c r="E563" s="129" t="s">
        <v>162</v>
      </c>
      <c r="F563" s="129">
        <v>92173</v>
      </c>
      <c r="G563" s="129">
        <v>92113</v>
      </c>
      <c r="H563" s="130">
        <v>46</v>
      </c>
      <c r="I563" s="129" t="s">
        <v>412</v>
      </c>
      <c r="J563" s="130">
        <v>10</v>
      </c>
      <c r="K563" s="131"/>
      <c r="L563" s="131" t="s">
        <v>5</v>
      </c>
      <c r="M563" s="131" t="s">
        <v>328</v>
      </c>
      <c r="N563" s="131" t="s">
        <v>323</v>
      </c>
      <c r="O563" s="56">
        <f>VLOOKUP($F563,'ZipCode Coordinates'!$A:$E,4,FALSE)</f>
        <v>1782600</v>
      </c>
      <c r="P563" s="56">
        <f>VLOOKUP($F563,'ZipCode Coordinates'!$A:$E,5,FALSE)</f>
        <v>6315070</v>
      </c>
      <c r="Q563" s="56">
        <f>VLOOKUP($G563,'ZipCode Coordinates'!$A:$E,4,FALSE)</f>
        <v>1834470</v>
      </c>
      <c r="R563" s="56">
        <f>VLOOKUP($G563,'ZipCode Coordinates'!$A:$E,5,FALSE)</f>
        <v>6294590</v>
      </c>
      <c r="S563" s="352" t="str">
        <f>IFERROR(VLOOKUP($M563,'External Gateways'!$C$6:$F$10,2,FALSE),"")</f>
        <v/>
      </c>
      <c r="T563" s="56">
        <f>IFERROR(VLOOKUP($M563,'External Gateways'!$C$6:$F$10,3,FALSE),O563)</f>
        <v>1782600</v>
      </c>
      <c r="U563" s="56">
        <f>IFERROR(VLOOKUP($M563,'External Gateways'!$C$6:$F$10,4,FALSE),P563)</f>
        <v>6315070</v>
      </c>
      <c r="V563" s="353">
        <f t="shared" si="16"/>
        <v>0</v>
      </c>
      <c r="W563" s="353">
        <f t="shared" si="17"/>
        <v>46</v>
      </c>
    </row>
    <row r="564" spans="1:23" ht="15" customHeight="1" x14ac:dyDescent="0.25">
      <c r="A564" s="128">
        <v>2593</v>
      </c>
      <c r="B564" s="129" t="s">
        <v>469</v>
      </c>
      <c r="C564" s="128" t="s">
        <v>68</v>
      </c>
      <c r="D564" s="129" t="s">
        <v>170</v>
      </c>
      <c r="E564" s="129" t="s">
        <v>162</v>
      </c>
      <c r="F564" s="129">
        <v>92562</v>
      </c>
      <c r="G564" s="129">
        <v>92108</v>
      </c>
      <c r="H564" s="130">
        <v>135</v>
      </c>
      <c r="I564" s="129" t="s">
        <v>407</v>
      </c>
      <c r="J564" s="130">
        <v>8</v>
      </c>
      <c r="K564" s="131"/>
      <c r="L564" s="131" t="s">
        <v>68</v>
      </c>
      <c r="M564" s="131" t="s">
        <v>402</v>
      </c>
      <c r="N564" s="131" t="s">
        <v>327</v>
      </c>
      <c r="O564" s="56">
        <f>VLOOKUP($F564,'ZipCode Coordinates'!$A:$E,4,FALSE)</f>
        <v>2144470</v>
      </c>
      <c r="P564" s="56">
        <f>VLOOKUP($F564,'ZipCode Coordinates'!$A:$E,5,FALSE)</f>
        <v>6251450</v>
      </c>
      <c r="Q564" s="56">
        <f>VLOOKUP($G564,'ZipCode Coordinates'!$A:$E,4,FALSE)</f>
        <v>1862470</v>
      </c>
      <c r="R564" s="56">
        <f>VLOOKUP($G564,'ZipCode Coordinates'!$A:$E,5,FALSE)</f>
        <v>6286860</v>
      </c>
      <c r="S564" s="352" t="str">
        <f>IFERROR(VLOOKUP($M564,'External Gateways'!$C$6:$F$10,2,FALSE),"")</f>
        <v>I-15</v>
      </c>
      <c r="T564" s="56">
        <f>IFERROR(VLOOKUP($M564,'External Gateways'!$C$6:$F$10,3,FALSE),O564)</f>
        <v>2102195</v>
      </c>
      <c r="U564" s="56">
        <f>IFERROR(VLOOKUP($M564,'External Gateways'!$C$6:$F$10,4,FALSE),P564)</f>
        <v>6289147</v>
      </c>
      <c r="V564" s="353">
        <f t="shared" si="16"/>
        <v>10.727523233277124</v>
      </c>
      <c r="W564" s="353">
        <f t="shared" si="17"/>
        <v>113.54495353344575</v>
      </c>
    </row>
    <row r="565" spans="1:23" ht="15" customHeight="1" x14ac:dyDescent="0.25">
      <c r="A565" s="128">
        <v>2595</v>
      </c>
      <c r="B565" s="129" t="s">
        <v>268</v>
      </c>
      <c r="C565" s="128" t="s">
        <v>3</v>
      </c>
      <c r="D565" s="129" t="s">
        <v>165</v>
      </c>
      <c r="E565" s="129" t="s">
        <v>162</v>
      </c>
      <c r="F565" s="129">
        <v>91915</v>
      </c>
      <c r="G565" s="129">
        <v>92132</v>
      </c>
      <c r="H565" s="130">
        <v>92</v>
      </c>
      <c r="I565" s="129" t="s">
        <v>401</v>
      </c>
      <c r="J565" s="130">
        <v>7</v>
      </c>
      <c r="K565" s="131"/>
      <c r="L565" s="131" t="s">
        <v>3</v>
      </c>
      <c r="M565" s="131" t="s">
        <v>326</v>
      </c>
      <c r="N565" s="131" t="s">
        <v>323</v>
      </c>
      <c r="O565" s="56">
        <f>VLOOKUP($F565,'ZipCode Coordinates'!$A:$E,4,FALSE)</f>
        <v>1804550</v>
      </c>
      <c r="P565" s="56">
        <f>VLOOKUP($F565,'ZipCode Coordinates'!$A:$E,5,FALSE)</f>
        <v>6342300</v>
      </c>
      <c r="Q565" s="56">
        <f>VLOOKUP($G565,'ZipCode Coordinates'!$A:$E,4,FALSE)</f>
        <v>1842732</v>
      </c>
      <c r="R565" s="56">
        <f>VLOOKUP($G565,'ZipCode Coordinates'!$A:$E,5,FALSE)</f>
        <v>6278505</v>
      </c>
      <c r="S565" s="352" t="str">
        <f>IFERROR(VLOOKUP($M565,'External Gateways'!$C$6:$F$10,2,FALSE),"")</f>
        <v/>
      </c>
      <c r="T565" s="56">
        <f>IFERROR(VLOOKUP($M565,'External Gateways'!$C$6:$F$10,3,FALSE),O565)</f>
        <v>1804550</v>
      </c>
      <c r="U565" s="56">
        <f>IFERROR(VLOOKUP($M565,'External Gateways'!$C$6:$F$10,4,FALSE),P565)</f>
        <v>6342300</v>
      </c>
      <c r="V565" s="353">
        <f t="shared" si="16"/>
        <v>0</v>
      </c>
      <c r="W565" s="353">
        <f t="shared" si="17"/>
        <v>92</v>
      </c>
    </row>
    <row r="566" spans="1:23" ht="15" customHeight="1" x14ac:dyDescent="0.25">
      <c r="A566" s="128">
        <v>2598</v>
      </c>
      <c r="B566" s="129" t="s">
        <v>433</v>
      </c>
      <c r="C566" s="128" t="s">
        <v>3</v>
      </c>
      <c r="D566" s="129" t="s">
        <v>170</v>
      </c>
      <c r="E566" s="129" t="s">
        <v>162</v>
      </c>
      <c r="F566" s="129">
        <v>92584</v>
      </c>
      <c r="G566" s="129">
        <v>92106</v>
      </c>
      <c r="H566" s="130">
        <v>159</v>
      </c>
      <c r="I566" s="129" t="s">
        <v>407</v>
      </c>
      <c r="J566" s="130">
        <v>8</v>
      </c>
      <c r="K566" s="131"/>
      <c r="L566" s="131" t="s">
        <v>3</v>
      </c>
      <c r="M566" s="131" t="s">
        <v>402</v>
      </c>
      <c r="N566" s="131" t="s">
        <v>323</v>
      </c>
      <c r="O566" s="56">
        <f>VLOOKUP($F566,'ZipCode Coordinates'!$A:$E,4,FALSE)</f>
        <v>2185160</v>
      </c>
      <c r="P566" s="56">
        <f>VLOOKUP($F566,'ZipCode Coordinates'!$A:$E,5,FALSE)</f>
        <v>6280270</v>
      </c>
      <c r="Q566" s="56">
        <f>VLOOKUP($G566,'ZipCode Coordinates'!$A:$E,4,FALSE)</f>
        <v>1842660</v>
      </c>
      <c r="R566" s="56">
        <f>VLOOKUP($G566,'ZipCode Coordinates'!$A:$E,5,FALSE)</f>
        <v>6259060</v>
      </c>
      <c r="S566" s="352" t="str">
        <f>IFERROR(VLOOKUP($M566,'External Gateways'!$C$6:$F$10,2,FALSE),"")</f>
        <v>I-15</v>
      </c>
      <c r="T566" s="56">
        <f>IFERROR(VLOOKUP($M566,'External Gateways'!$C$6:$F$10,3,FALSE),O566)</f>
        <v>2102195</v>
      </c>
      <c r="U566" s="56">
        <f>IFERROR(VLOOKUP($M566,'External Gateways'!$C$6:$F$10,4,FALSE),P566)</f>
        <v>6289147</v>
      </c>
      <c r="V566" s="353">
        <f t="shared" si="16"/>
        <v>15.802756507931361</v>
      </c>
      <c r="W566" s="353">
        <f t="shared" si="17"/>
        <v>127.39448698413727</v>
      </c>
    </row>
    <row r="567" spans="1:23" ht="15" customHeight="1" x14ac:dyDescent="0.25">
      <c r="A567" s="128">
        <v>2599</v>
      </c>
      <c r="B567" s="129" t="s">
        <v>258</v>
      </c>
      <c r="C567" s="128" t="s">
        <v>3</v>
      </c>
      <c r="D567" s="129" t="s">
        <v>154</v>
      </c>
      <c r="E567" s="129" t="s">
        <v>162</v>
      </c>
      <c r="F567" s="129">
        <v>92591</v>
      </c>
      <c r="G567" s="129">
        <v>92135</v>
      </c>
      <c r="H567" s="130">
        <v>160</v>
      </c>
      <c r="I567" s="129" t="s">
        <v>408</v>
      </c>
      <c r="J567" s="130">
        <v>7</v>
      </c>
      <c r="K567" s="131"/>
      <c r="L567" s="131" t="s">
        <v>3</v>
      </c>
      <c r="M567" s="131" t="s">
        <v>402</v>
      </c>
      <c r="N567" s="131" t="s">
        <v>323</v>
      </c>
      <c r="O567" s="56">
        <f>VLOOKUP($F567,'ZipCode Coordinates'!$A:$E,4,FALSE)</f>
        <v>2138420</v>
      </c>
      <c r="P567" s="56">
        <f>VLOOKUP($F567,'ZipCode Coordinates'!$A:$E,5,FALSE)</f>
        <v>6299220</v>
      </c>
      <c r="Q567" s="56">
        <f>VLOOKUP($G567,'ZipCode Coordinates'!$A:$E,4,FALSE)</f>
        <v>1835720</v>
      </c>
      <c r="R567" s="56">
        <f>VLOOKUP($G567,'ZipCode Coordinates'!$A:$E,5,FALSE)</f>
        <v>6266670</v>
      </c>
      <c r="S567" s="352" t="str">
        <f>IFERROR(VLOOKUP($M567,'External Gateways'!$C$6:$F$10,2,FALSE),"")</f>
        <v>I-15</v>
      </c>
      <c r="T567" s="56">
        <f>IFERROR(VLOOKUP($M567,'External Gateways'!$C$6:$F$10,3,FALSE),O567)</f>
        <v>2102195</v>
      </c>
      <c r="U567" s="56">
        <f>IFERROR(VLOOKUP($M567,'External Gateways'!$C$6:$F$10,4,FALSE),P567)</f>
        <v>6289147</v>
      </c>
      <c r="V567" s="353">
        <f t="shared" si="16"/>
        <v>7.1211011888925713</v>
      </c>
      <c r="W567" s="353">
        <f t="shared" si="17"/>
        <v>145.75779762221487</v>
      </c>
    </row>
    <row r="568" spans="1:23" ht="15" customHeight="1" x14ac:dyDescent="0.25">
      <c r="A568" s="128">
        <v>2601</v>
      </c>
      <c r="B568" s="129" t="s">
        <v>279</v>
      </c>
      <c r="C568" s="128" t="s">
        <v>404</v>
      </c>
      <c r="D568" s="129" t="s">
        <v>162</v>
      </c>
      <c r="E568" s="129" t="s">
        <v>162</v>
      </c>
      <c r="F568" s="129">
        <v>92128</v>
      </c>
      <c r="G568" s="129">
        <v>92179</v>
      </c>
      <c r="H568" s="130">
        <v>110</v>
      </c>
      <c r="I568" s="129" t="s">
        <v>401</v>
      </c>
      <c r="J568" s="130">
        <v>7</v>
      </c>
      <c r="K568" s="131"/>
      <c r="L568" s="131" t="s">
        <v>5</v>
      </c>
      <c r="M568" s="131" t="s">
        <v>327</v>
      </c>
      <c r="N568" s="131" t="s">
        <v>328</v>
      </c>
      <c r="O568" s="56">
        <f>VLOOKUP($F568,'ZipCode Coordinates'!$A:$E,4,FALSE)</f>
        <v>1943580</v>
      </c>
      <c r="P568" s="56">
        <f>VLOOKUP($F568,'ZipCode Coordinates'!$A:$E,5,FALSE)</f>
        <v>6309440</v>
      </c>
      <c r="Q568" s="56">
        <f>VLOOKUP($G568,'ZipCode Coordinates'!$A:$E,4,FALSE)</f>
        <v>1789485</v>
      </c>
      <c r="R568" s="56">
        <f>VLOOKUP($G568,'ZipCode Coordinates'!$A:$E,5,FALSE)</f>
        <v>6349974</v>
      </c>
      <c r="S568" s="352" t="str">
        <f>IFERROR(VLOOKUP($M568,'External Gateways'!$C$6:$F$10,2,FALSE),"")</f>
        <v/>
      </c>
      <c r="T568" s="56">
        <f>IFERROR(VLOOKUP($M568,'External Gateways'!$C$6:$F$10,3,FALSE),O568)</f>
        <v>1943580</v>
      </c>
      <c r="U568" s="56">
        <f>IFERROR(VLOOKUP($M568,'External Gateways'!$C$6:$F$10,4,FALSE),P568)</f>
        <v>6309440</v>
      </c>
      <c r="V568" s="353">
        <f t="shared" si="16"/>
        <v>0</v>
      </c>
      <c r="W568" s="353">
        <f t="shared" si="17"/>
        <v>110</v>
      </c>
    </row>
    <row r="569" spans="1:23" ht="15" customHeight="1" x14ac:dyDescent="0.25">
      <c r="A569" s="128">
        <v>2602</v>
      </c>
      <c r="B569" s="129" t="s">
        <v>82</v>
      </c>
      <c r="C569" s="128" t="s">
        <v>3</v>
      </c>
      <c r="D569" s="129" t="s">
        <v>158</v>
      </c>
      <c r="E569" s="129" t="s">
        <v>82</v>
      </c>
      <c r="F569" s="129">
        <v>92563</v>
      </c>
      <c r="G569" s="129">
        <v>92055</v>
      </c>
      <c r="H569" s="130">
        <v>84</v>
      </c>
      <c r="I569" s="129" t="s">
        <v>408</v>
      </c>
      <c r="J569" s="130">
        <v>7</v>
      </c>
      <c r="K569" s="131"/>
      <c r="L569" s="131" t="s">
        <v>3</v>
      </c>
      <c r="M569" s="131" t="s">
        <v>402</v>
      </c>
      <c r="N569" s="131" t="s">
        <v>324</v>
      </c>
      <c r="O569" s="56">
        <f>VLOOKUP($F569,'ZipCode Coordinates'!$A:$E,4,FALSE)</f>
        <v>2156450</v>
      </c>
      <c r="P569" s="56">
        <f>VLOOKUP($F569,'ZipCode Coordinates'!$A:$E,5,FALSE)</f>
        <v>6288710</v>
      </c>
      <c r="Q569" s="56">
        <f>VLOOKUP($G569,'ZipCode Coordinates'!$A:$E,4,FALSE)</f>
        <v>2082470</v>
      </c>
      <c r="R569" s="56">
        <f>VLOOKUP($G569,'ZipCode Coordinates'!$A:$E,5,FALSE)</f>
        <v>6206470</v>
      </c>
      <c r="S569" s="352" t="str">
        <f>IFERROR(VLOOKUP($M569,'External Gateways'!$C$6:$F$10,2,FALSE),"")</f>
        <v>I-15</v>
      </c>
      <c r="T569" s="56">
        <f>IFERROR(VLOOKUP($M569,'External Gateways'!$C$6:$F$10,3,FALSE),O569)</f>
        <v>2102195</v>
      </c>
      <c r="U569" s="56">
        <f>IFERROR(VLOOKUP($M569,'External Gateways'!$C$6:$F$10,4,FALSE),P569)</f>
        <v>6289147</v>
      </c>
      <c r="V569" s="353">
        <f t="shared" si="16"/>
        <v>10.275901494735123</v>
      </c>
      <c r="W569" s="353">
        <f t="shared" si="17"/>
        <v>63.448197010529753</v>
      </c>
    </row>
    <row r="570" spans="1:23" ht="15" customHeight="1" x14ac:dyDescent="0.25">
      <c r="A570" s="128">
        <v>2603</v>
      </c>
      <c r="B570" s="129" t="s">
        <v>238</v>
      </c>
      <c r="C570" s="128" t="s">
        <v>198</v>
      </c>
      <c r="D570" s="129" t="s">
        <v>188</v>
      </c>
      <c r="E570" s="129" t="s">
        <v>162</v>
      </c>
      <c r="F570" s="129">
        <v>92078</v>
      </c>
      <c r="G570" s="129">
        <v>92122</v>
      </c>
      <c r="H570" s="130">
        <v>60</v>
      </c>
      <c r="I570" s="129" t="s">
        <v>401</v>
      </c>
      <c r="J570" s="130">
        <v>7</v>
      </c>
      <c r="K570" s="131"/>
      <c r="L570" s="131" t="s">
        <v>5</v>
      </c>
      <c r="M570" s="131" t="s">
        <v>325</v>
      </c>
      <c r="N570" s="131" t="s">
        <v>327</v>
      </c>
      <c r="O570" s="56">
        <f>VLOOKUP($F570,'ZipCode Coordinates'!$A:$E,4,FALSE)</f>
        <v>1988050</v>
      </c>
      <c r="P570" s="56">
        <f>VLOOKUP($F570,'ZipCode Coordinates'!$A:$E,5,FALSE)</f>
        <v>6275270</v>
      </c>
      <c r="Q570" s="56">
        <f>VLOOKUP($G570,'ZipCode Coordinates'!$A:$E,4,FALSE)</f>
        <v>1893170</v>
      </c>
      <c r="R570" s="56">
        <f>VLOOKUP($G570,'ZipCode Coordinates'!$A:$E,5,FALSE)</f>
        <v>6267940</v>
      </c>
      <c r="S570" s="352" t="str">
        <f>IFERROR(VLOOKUP($M570,'External Gateways'!$C$6:$F$10,2,FALSE),"")</f>
        <v/>
      </c>
      <c r="T570" s="56">
        <f>IFERROR(VLOOKUP($M570,'External Gateways'!$C$6:$F$10,3,FALSE),O570)</f>
        <v>1988050</v>
      </c>
      <c r="U570" s="56">
        <f>IFERROR(VLOOKUP($M570,'External Gateways'!$C$6:$F$10,4,FALSE),P570)</f>
        <v>6275270</v>
      </c>
      <c r="V570" s="353">
        <f t="shared" si="16"/>
        <v>0</v>
      </c>
      <c r="W570" s="353">
        <f t="shared" si="17"/>
        <v>60</v>
      </c>
    </row>
    <row r="571" spans="1:23" ht="15" customHeight="1" x14ac:dyDescent="0.25">
      <c r="A571" s="128">
        <v>2605</v>
      </c>
      <c r="B571" s="129" t="s">
        <v>82</v>
      </c>
      <c r="C571" s="128" t="s">
        <v>3</v>
      </c>
      <c r="D571" s="129" t="s">
        <v>196</v>
      </c>
      <c r="E571" s="129" t="s">
        <v>82</v>
      </c>
      <c r="F571" s="129">
        <v>92021</v>
      </c>
      <c r="G571" s="129">
        <v>92055</v>
      </c>
      <c r="H571" s="130">
        <v>110</v>
      </c>
      <c r="I571" s="129" t="s">
        <v>416</v>
      </c>
      <c r="J571" s="130">
        <v>7</v>
      </c>
      <c r="K571" s="131"/>
      <c r="L571" s="131" t="s">
        <v>3</v>
      </c>
      <c r="M571" s="131" t="s">
        <v>326</v>
      </c>
      <c r="N571" s="131" t="s">
        <v>324</v>
      </c>
      <c r="O571" s="56">
        <f>VLOOKUP($F571,'ZipCode Coordinates'!$A:$E,4,FALSE)</f>
        <v>1885700</v>
      </c>
      <c r="P571" s="56">
        <f>VLOOKUP($F571,'ZipCode Coordinates'!$A:$E,5,FALSE)</f>
        <v>6371420</v>
      </c>
      <c r="Q571" s="56">
        <f>VLOOKUP($G571,'ZipCode Coordinates'!$A:$E,4,FALSE)</f>
        <v>2082470</v>
      </c>
      <c r="R571" s="56">
        <f>VLOOKUP($G571,'ZipCode Coordinates'!$A:$E,5,FALSE)</f>
        <v>6206470</v>
      </c>
      <c r="S571" s="352" t="str">
        <f>IFERROR(VLOOKUP($M571,'External Gateways'!$C$6:$F$10,2,FALSE),"")</f>
        <v/>
      </c>
      <c r="T571" s="56">
        <f>IFERROR(VLOOKUP($M571,'External Gateways'!$C$6:$F$10,3,FALSE),O571)</f>
        <v>1885700</v>
      </c>
      <c r="U571" s="56">
        <f>IFERROR(VLOOKUP($M571,'External Gateways'!$C$6:$F$10,4,FALSE),P571)</f>
        <v>6371420</v>
      </c>
      <c r="V571" s="353">
        <f t="shared" si="16"/>
        <v>0</v>
      </c>
      <c r="W571" s="353">
        <f t="shared" si="17"/>
        <v>110</v>
      </c>
    </row>
    <row r="572" spans="1:23" ht="15" customHeight="1" x14ac:dyDescent="0.25">
      <c r="A572" s="128">
        <v>2607</v>
      </c>
      <c r="B572" s="129" t="s">
        <v>235</v>
      </c>
      <c r="C572" s="128" t="s">
        <v>452</v>
      </c>
      <c r="D572" s="129" t="s">
        <v>210</v>
      </c>
      <c r="E572" s="129" t="s">
        <v>155</v>
      </c>
      <c r="F572" s="129">
        <v>92083</v>
      </c>
      <c r="G572" s="129">
        <v>92008</v>
      </c>
      <c r="H572" s="130">
        <v>60</v>
      </c>
      <c r="I572" s="129" t="s">
        <v>464</v>
      </c>
      <c r="J572" s="130">
        <v>14</v>
      </c>
      <c r="K572" s="131"/>
      <c r="L572" s="131" t="s">
        <v>5</v>
      </c>
      <c r="M572" s="131" t="s">
        <v>325</v>
      </c>
      <c r="N572" s="131" t="s">
        <v>324</v>
      </c>
      <c r="O572" s="56">
        <f>VLOOKUP($F572,'ZipCode Coordinates'!$A:$E,4,FALSE)</f>
        <v>2017120</v>
      </c>
      <c r="P572" s="56">
        <f>VLOOKUP($F572,'ZipCode Coordinates'!$A:$E,5,FALSE)</f>
        <v>6256330</v>
      </c>
      <c r="Q572" s="56">
        <f>VLOOKUP($G572,'ZipCode Coordinates'!$A:$E,4,FALSE)</f>
        <v>1998660</v>
      </c>
      <c r="R572" s="56">
        <f>VLOOKUP($G572,'ZipCode Coordinates'!$A:$E,5,FALSE)</f>
        <v>6234650</v>
      </c>
      <c r="S572" s="352" t="str">
        <f>IFERROR(VLOOKUP($M572,'External Gateways'!$C$6:$F$10,2,FALSE),"")</f>
        <v/>
      </c>
      <c r="T572" s="56">
        <f>IFERROR(VLOOKUP($M572,'External Gateways'!$C$6:$F$10,3,FALSE),O572)</f>
        <v>2017120</v>
      </c>
      <c r="U572" s="56">
        <f>IFERROR(VLOOKUP($M572,'External Gateways'!$C$6:$F$10,4,FALSE),P572)</f>
        <v>6256330</v>
      </c>
      <c r="V572" s="353">
        <f t="shared" si="16"/>
        <v>0</v>
      </c>
      <c r="W572" s="353">
        <f t="shared" si="17"/>
        <v>60</v>
      </c>
    </row>
    <row r="573" spans="1:23" ht="15" customHeight="1" x14ac:dyDescent="0.25">
      <c r="A573" s="128">
        <v>2608</v>
      </c>
      <c r="B573" s="129" t="s">
        <v>309</v>
      </c>
      <c r="C573" s="128" t="s">
        <v>198</v>
      </c>
      <c r="D573" s="129" t="s">
        <v>170</v>
      </c>
      <c r="E573" s="129" t="s">
        <v>155</v>
      </c>
      <c r="F573" s="129">
        <v>92592</v>
      </c>
      <c r="G573" s="129">
        <v>92008</v>
      </c>
      <c r="H573" s="130">
        <v>109</v>
      </c>
      <c r="I573" s="129" t="s">
        <v>408</v>
      </c>
      <c r="J573" s="130">
        <v>7</v>
      </c>
      <c r="K573" s="131"/>
      <c r="L573" s="131" t="s">
        <v>5</v>
      </c>
      <c r="M573" s="131" t="s">
        <v>402</v>
      </c>
      <c r="N573" s="131" t="s">
        <v>324</v>
      </c>
      <c r="O573" s="56">
        <f>VLOOKUP($F573,'ZipCode Coordinates'!$A:$E,4,FALSE)</f>
        <v>2128740</v>
      </c>
      <c r="P573" s="56">
        <f>VLOOKUP($F573,'ZipCode Coordinates'!$A:$E,5,FALSE)</f>
        <v>6328900</v>
      </c>
      <c r="Q573" s="56">
        <f>VLOOKUP($G573,'ZipCode Coordinates'!$A:$E,4,FALSE)</f>
        <v>1998660</v>
      </c>
      <c r="R573" s="56">
        <f>VLOOKUP($G573,'ZipCode Coordinates'!$A:$E,5,FALSE)</f>
        <v>6234650</v>
      </c>
      <c r="S573" s="352" t="str">
        <f>IFERROR(VLOOKUP($M573,'External Gateways'!$C$6:$F$10,2,FALSE),"")</f>
        <v>I-15</v>
      </c>
      <c r="T573" s="56">
        <f>IFERROR(VLOOKUP($M573,'External Gateways'!$C$6:$F$10,3,FALSE),O573)</f>
        <v>2102195</v>
      </c>
      <c r="U573" s="56">
        <f>IFERROR(VLOOKUP($M573,'External Gateways'!$C$6:$F$10,4,FALSE),P573)</f>
        <v>6289147</v>
      </c>
      <c r="V573" s="353">
        <f t="shared" si="16"/>
        <v>9.0532245169037147</v>
      </c>
      <c r="W573" s="353">
        <f t="shared" si="17"/>
        <v>90.893550966192578</v>
      </c>
    </row>
    <row r="574" spans="1:23" ht="15" customHeight="1" x14ac:dyDescent="0.25">
      <c r="A574" s="128">
        <v>2610</v>
      </c>
      <c r="B574" s="129" t="s">
        <v>288</v>
      </c>
      <c r="C574" s="128" t="s">
        <v>163</v>
      </c>
      <c r="D574" s="129" t="s">
        <v>203</v>
      </c>
      <c r="E574" s="129" t="s">
        <v>162</v>
      </c>
      <c r="F574" s="129">
        <v>91950</v>
      </c>
      <c r="G574" s="129">
        <v>92127</v>
      </c>
      <c r="H574" s="130">
        <v>71</v>
      </c>
      <c r="I574" s="129" t="s">
        <v>401</v>
      </c>
      <c r="J574" s="130">
        <v>7</v>
      </c>
      <c r="K574" s="131"/>
      <c r="L574" s="131" t="s">
        <v>5</v>
      </c>
      <c r="M574" s="131" t="s">
        <v>323</v>
      </c>
      <c r="N574" s="131" t="s">
        <v>327</v>
      </c>
      <c r="O574" s="56">
        <f>VLOOKUP($F574,'ZipCode Coordinates'!$A:$E,4,FALSE)</f>
        <v>1823970</v>
      </c>
      <c r="P574" s="56">
        <f>VLOOKUP($F574,'ZipCode Coordinates'!$A:$E,5,FALSE)</f>
        <v>6302610</v>
      </c>
      <c r="Q574" s="56">
        <f>VLOOKUP($G574,'ZipCode Coordinates'!$A:$E,4,FALSE)</f>
        <v>1951970</v>
      </c>
      <c r="R574" s="56">
        <f>VLOOKUP($G574,'ZipCode Coordinates'!$A:$E,5,FALSE)</f>
        <v>6293830</v>
      </c>
      <c r="S574" s="352" t="str">
        <f>IFERROR(VLOOKUP($M574,'External Gateways'!$C$6:$F$10,2,FALSE),"")</f>
        <v/>
      </c>
      <c r="T574" s="56">
        <f>IFERROR(VLOOKUP($M574,'External Gateways'!$C$6:$F$10,3,FALSE),O574)</f>
        <v>1823970</v>
      </c>
      <c r="U574" s="56">
        <f>IFERROR(VLOOKUP($M574,'External Gateways'!$C$6:$F$10,4,FALSE),P574)</f>
        <v>6302610</v>
      </c>
      <c r="V574" s="353">
        <f t="shared" si="16"/>
        <v>0</v>
      </c>
      <c r="W574" s="353">
        <f t="shared" si="17"/>
        <v>71</v>
      </c>
    </row>
    <row r="575" spans="1:23" ht="15" customHeight="1" x14ac:dyDescent="0.25">
      <c r="A575" s="128">
        <v>2611</v>
      </c>
      <c r="B575" s="129" t="s">
        <v>315</v>
      </c>
      <c r="C575" s="128" t="s">
        <v>68</v>
      </c>
      <c r="D575" s="129" t="s">
        <v>154</v>
      </c>
      <c r="E575" s="129" t="s">
        <v>174</v>
      </c>
      <c r="F575" s="129">
        <v>92592</v>
      </c>
      <c r="G575" s="129">
        <v>92173</v>
      </c>
      <c r="H575" s="130">
        <v>205</v>
      </c>
      <c r="I575" s="129" t="s">
        <v>422</v>
      </c>
      <c r="J575" s="130">
        <v>8</v>
      </c>
      <c r="K575" s="131"/>
      <c r="L575" s="131" t="s">
        <v>68</v>
      </c>
      <c r="M575" s="131" t="s">
        <v>402</v>
      </c>
      <c r="N575" s="131" t="s">
        <v>328</v>
      </c>
      <c r="O575" s="56">
        <f>VLOOKUP($F575,'ZipCode Coordinates'!$A:$E,4,FALSE)</f>
        <v>2128740</v>
      </c>
      <c r="P575" s="56">
        <f>VLOOKUP($F575,'ZipCode Coordinates'!$A:$E,5,FALSE)</f>
        <v>6328900</v>
      </c>
      <c r="Q575" s="56">
        <f>VLOOKUP($G575,'ZipCode Coordinates'!$A:$E,4,FALSE)</f>
        <v>1782600</v>
      </c>
      <c r="R575" s="56">
        <f>VLOOKUP($G575,'ZipCode Coordinates'!$A:$E,5,FALSE)</f>
        <v>6315070</v>
      </c>
      <c r="S575" s="352" t="str">
        <f>IFERROR(VLOOKUP($M575,'External Gateways'!$C$6:$F$10,2,FALSE),"")</f>
        <v>I-15</v>
      </c>
      <c r="T575" s="56">
        <f>IFERROR(VLOOKUP($M575,'External Gateways'!$C$6:$F$10,3,FALSE),O575)</f>
        <v>2102195</v>
      </c>
      <c r="U575" s="56">
        <f>IFERROR(VLOOKUP($M575,'External Gateways'!$C$6:$F$10,4,FALSE),P575)</f>
        <v>6289147</v>
      </c>
      <c r="V575" s="353">
        <f t="shared" si="16"/>
        <v>9.0532245169037147</v>
      </c>
      <c r="W575" s="353">
        <f t="shared" si="17"/>
        <v>186.89355096619258</v>
      </c>
    </row>
    <row r="576" spans="1:23" ht="15" customHeight="1" x14ac:dyDescent="0.25">
      <c r="A576" s="128">
        <v>2613</v>
      </c>
      <c r="B576" s="129" t="s">
        <v>238</v>
      </c>
      <c r="C576" s="128" t="s">
        <v>198</v>
      </c>
      <c r="D576" s="129" t="s">
        <v>205</v>
      </c>
      <c r="E576" s="129" t="s">
        <v>162</v>
      </c>
      <c r="F576" s="129">
        <v>91942</v>
      </c>
      <c r="G576" s="129">
        <v>92122</v>
      </c>
      <c r="H576" s="130">
        <v>60</v>
      </c>
      <c r="I576" s="129" t="s">
        <v>408</v>
      </c>
      <c r="J576" s="130">
        <v>7</v>
      </c>
      <c r="K576" s="131"/>
      <c r="L576" s="131" t="s">
        <v>5</v>
      </c>
      <c r="M576" s="131" t="s">
        <v>326</v>
      </c>
      <c r="N576" s="131" t="s">
        <v>327</v>
      </c>
      <c r="O576" s="56">
        <f>VLOOKUP($F576,'ZipCode Coordinates'!$A:$E,4,FALSE)</f>
        <v>1863610</v>
      </c>
      <c r="P576" s="56">
        <f>VLOOKUP($F576,'ZipCode Coordinates'!$A:$E,5,FALSE)</f>
        <v>6324360</v>
      </c>
      <c r="Q576" s="56">
        <f>VLOOKUP($G576,'ZipCode Coordinates'!$A:$E,4,FALSE)</f>
        <v>1893170</v>
      </c>
      <c r="R576" s="56">
        <f>VLOOKUP($G576,'ZipCode Coordinates'!$A:$E,5,FALSE)</f>
        <v>6267940</v>
      </c>
      <c r="S576" s="352" t="str">
        <f>IFERROR(VLOOKUP($M576,'External Gateways'!$C$6:$F$10,2,FALSE),"")</f>
        <v/>
      </c>
      <c r="T576" s="56">
        <f>IFERROR(VLOOKUP($M576,'External Gateways'!$C$6:$F$10,3,FALSE),O576)</f>
        <v>1863610</v>
      </c>
      <c r="U576" s="56">
        <f>IFERROR(VLOOKUP($M576,'External Gateways'!$C$6:$F$10,4,FALSE),P576)</f>
        <v>6324360</v>
      </c>
      <c r="V576" s="353">
        <f t="shared" si="16"/>
        <v>0</v>
      </c>
      <c r="W576" s="353">
        <f t="shared" si="17"/>
        <v>60</v>
      </c>
    </row>
    <row r="577" spans="1:23" ht="15" customHeight="1" x14ac:dyDescent="0.25">
      <c r="A577" s="128">
        <v>2614</v>
      </c>
      <c r="B577" s="129" t="s">
        <v>218</v>
      </c>
      <c r="C577" s="128" t="s">
        <v>68</v>
      </c>
      <c r="D577" s="129" t="s">
        <v>203</v>
      </c>
      <c r="E577" s="129" t="s">
        <v>162</v>
      </c>
      <c r="F577" s="129">
        <v>91950</v>
      </c>
      <c r="G577" s="129">
        <v>92161</v>
      </c>
      <c r="H577" s="130">
        <v>109</v>
      </c>
      <c r="I577" s="129" t="s">
        <v>421</v>
      </c>
      <c r="J577" s="130">
        <v>7</v>
      </c>
      <c r="K577" s="131">
        <v>1</v>
      </c>
      <c r="L577" s="131" t="s">
        <v>68</v>
      </c>
      <c r="M577" s="131" t="s">
        <v>323</v>
      </c>
      <c r="N577" s="131" t="s">
        <v>327</v>
      </c>
      <c r="O577" s="56">
        <f>VLOOKUP($F577,'ZipCode Coordinates'!$A:$E,4,FALSE)</f>
        <v>1823970</v>
      </c>
      <c r="P577" s="56">
        <f>VLOOKUP($F577,'ZipCode Coordinates'!$A:$E,5,FALSE)</f>
        <v>6302610</v>
      </c>
      <c r="Q577" s="56">
        <f>VLOOKUP($G577,'ZipCode Coordinates'!$A:$E,4,FALSE)</f>
        <v>1899477</v>
      </c>
      <c r="R577" s="56">
        <f>VLOOKUP($G577,'ZipCode Coordinates'!$A:$E,5,FALSE)</f>
        <v>6258957</v>
      </c>
      <c r="S577" s="352" t="str">
        <f>IFERROR(VLOOKUP($M577,'External Gateways'!$C$6:$F$10,2,FALSE),"")</f>
        <v/>
      </c>
      <c r="T577" s="56">
        <f>IFERROR(VLOOKUP($M577,'External Gateways'!$C$6:$F$10,3,FALSE),O577)</f>
        <v>1823970</v>
      </c>
      <c r="U577" s="56">
        <f>IFERROR(VLOOKUP($M577,'External Gateways'!$C$6:$F$10,4,FALSE),P577)</f>
        <v>6302610</v>
      </c>
      <c r="V577" s="353">
        <f t="shared" si="16"/>
        <v>0</v>
      </c>
      <c r="W577" s="353">
        <f t="shared" si="17"/>
        <v>109</v>
      </c>
    </row>
    <row r="578" spans="1:23" ht="15" customHeight="1" x14ac:dyDescent="0.25">
      <c r="A578" s="128">
        <v>2616</v>
      </c>
      <c r="B578" s="129" t="s">
        <v>218</v>
      </c>
      <c r="C578" s="128" t="s">
        <v>68</v>
      </c>
      <c r="D578" s="129" t="s">
        <v>165</v>
      </c>
      <c r="E578" s="129" t="s">
        <v>162</v>
      </c>
      <c r="F578" s="129">
        <v>91911</v>
      </c>
      <c r="G578" s="129">
        <v>92161</v>
      </c>
      <c r="H578" s="130">
        <v>60</v>
      </c>
      <c r="I578" s="129" t="s">
        <v>421</v>
      </c>
      <c r="J578" s="130">
        <v>7</v>
      </c>
      <c r="K578" s="131"/>
      <c r="L578" s="131" t="s">
        <v>68</v>
      </c>
      <c r="M578" s="131" t="s">
        <v>328</v>
      </c>
      <c r="N578" s="131" t="s">
        <v>327</v>
      </c>
      <c r="O578" s="56">
        <f>VLOOKUP($F578,'ZipCode Coordinates'!$A:$E,4,FALSE)</f>
        <v>1801570</v>
      </c>
      <c r="P578" s="56">
        <f>VLOOKUP($F578,'ZipCode Coordinates'!$A:$E,5,FALSE)</f>
        <v>6315270</v>
      </c>
      <c r="Q578" s="56">
        <f>VLOOKUP($G578,'ZipCode Coordinates'!$A:$E,4,FALSE)</f>
        <v>1899477</v>
      </c>
      <c r="R578" s="56">
        <f>VLOOKUP($G578,'ZipCode Coordinates'!$A:$E,5,FALSE)</f>
        <v>6258957</v>
      </c>
      <c r="S578" s="352" t="str">
        <f>IFERROR(VLOOKUP($M578,'External Gateways'!$C$6:$F$10,2,FALSE),"")</f>
        <v/>
      </c>
      <c r="T578" s="56">
        <f>IFERROR(VLOOKUP($M578,'External Gateways'!$C$6:$F$10,3,FALSE),O578)</f>
        <v>1801570</v>
      </c>
      <c r="U578" s="56">
        <f>IFERROR(VLOOKUP($M578,'External Gateways'!$C$6:$F$10,4,FALSE),P578)</f>
        <v>6315270</v>
      </c>
      <c r="V578" s="353">
        <f t="shared" si="16"/>
        <v>0</v>
      </c>
      <c r="W578" s="353">
        <f t="shared" si="17"/>
        <v>60</v>
      </c>
    </row>
    <row r="579" spans="1:23" ht="15" customHeight="1" x14ac:dyDescent="0.25">
      <c r="A579" s="128">
        <v>2617</v>
      </c>
      <c r="B579" s="129" t="s">
        <v>171</v>
      </c>
      <c r="C579" s="128" t="s">
        <v>166</v>
      </c>
      <c r="D579" s="129" t="s">
        <v>162</v>
      </c>
      <c r="E579" s="129" t="s">
        <v>162</v>
      </c>
      <c r="F579" s="129">
        <v>92128</v>
      </c>
      <c r="G579" s="129">
        <v>92113</v>
      </c>
      <c r="H579" s="130">
        <v>69</v>
      </c>
      <c r="I579" s="129" t="s">
        <v>421</v>
      </c>
      <c r="J579" s="130">
        <v>7</v>
      </c>
      <c r="K579" s="131"/>
      <c r="L579" s="131" t="s">
        <v>5</v>
      </c>
      <c r="M579" s="131" t="s">
        <v>327</v>
      </c>
      <c r="N579" s="131" t="s">
        <v>323</v>
      </c>
      <c r="O579" s="56">
        <f>VLOOKUP($F579,'ZipCode Coordinates'!$A:$E,4,FALSE)</f>
        <v>1943580</v>
      </c>
      <c r="P579" s="56">
        <f>VLOOKUP($F579,'ZipCode Coordinates'!$A:$E,5,FALSE)</f>
        <v>6309440</v>
      </c>
      <c r="Q579" s="56">
        <f>VLOOKUP($G579,'ZipCode Coordinates'!$A:$E,4,FALSE)</f>
        <v>1834470</v>
      </c>
      <c r="R579" s="56">
        <f>VLOOKUP($G579,'ZipCode Coordinates'!$A:$E,5,FALSE)</f>
        <v>6294590</v>
      </c>
      <c r="S579" s="352" t="str">
        <f>IFERROR(VLOOKUP($M579,'External Gateways'!$C$6:$F$10,2,FALSE),"")</f>
        <v/>
      </c>
      <c r="T579" s="56">
        <f>IFERROR(VLOOKUP($M579,'External Gateways'!$C$6:$F$10,3,FALSE),O579)</f>
        <v>1943580</v>
      </c>
      <c r="U579" s="56">
        <f>IFERROR(VLOOKUP($M579,'External Gateways'!$C$6:$F$10,4,FALSE),P579)</f>
        <v>6309440</v>
      </c>
      <c r="V579" s="353">
        <f t="shared" ref="V579:V642" si="18">SQRT((T579-O579)^2+(U579-P579)^2)/5280</f>
        <v>0</v>
      </c>
      <c r="W579" s="353">
        <f t="shared" ref="W579:W642" si="19">MAX(H579-2*V579,0)</f>
        <v>69</v>
      </c>
    </row>
    <row r="580" spans="1:23" ht="15" customHeight="1" x14ac:dyDescent="0.25">
      <c r="A580" s="128">
        <v>2618</v>
      </c>
      <c r="B580" s="129" t="s">
        <v>451</v>
      </c>
      <c r="C580" s="128" t="s">
        <v>3</v>
      </c>
      <c r="D580" s="129" t="s">
        <v>158</v>
      </c>
      <c r="E580" s="129" t="s">
        <v>162</v>
      </c>
      <c r="F580" s="129">
        <v>92591</v>
      </c>
      <c r="G580" s="129">
        <v>92136</v>
      </c>
      <c r="H580" s="130">
        <v>135</v>
      </c>
      <c r="I580" s="129" t="s">
        <v>408</v>
      </c>
      <c r="J580" s="130">
        <v>7</v>
      </c>
      <c r="K580" s="131"/>
      <c r="L580" s="131" t="s">
        <v>3</v>
      </c>
      <c r="M580" s="131" t="s">
        <v>402</v>
      </c>
      <c r="N580" s="131" t="s">
        <v>323</v>
      </c>
      <c r="O580" s="56">
        <f>VLOOKUP($F580,'ZipCode Coordinates'!$A:$E,4,FALSE)</f>
        <v>2138420</v>
      </c>
      <c r="P580" s="56">
        <f>VLOOKUP($F580,'ZipCode Coordinates'!$A:$E,5,FALSE)</f>
        <v>6299220</v>
      </c>
      <c r="Q580" s="56">
        <f>VLOOKUP($G580,'ZipCode Coordinates'!$A:$E,4,FALSE)</f>
        <v>1828370</v>
      </c>
      <c r="R580" s="56">
        <f>VLOOKUP($G580,'ZipCode Coordinates'!$A:$E,5,FALSE)</f>
        <v>6293940</v>
      </c>
      <c r="S580" s="352" t="str">
        <f>IFERROR(VLOOKUP($M580,'External Gateways'!$C$6:$F$10,2,FALSE),"")</f>
        <v>I-15</v>
      </c>
      <c r="T580" s="56">
        <f>IFERROR(VLOOKUP($M580,'External Gateways'!$C$6:$F$10,3,FALSE),O580)</f>
        <v>2102195</v>
      </c>
      <c r="U580" s="56">
        <f>IFERROR(VLOOKUP($M580,'External Gateways'!$C$6:$F$10,4,FALSE),P580)</f>
        <v>6289147</v>
      </c>
      <c r="V580" s="353">
        <f t="shared" si="18"/>
        <v>7.1211011888925713</v>
      </c>
      <c r="W580" s="353">
        <f t="shared" si="19"/>
        <v>120.75779762221485</v>
      </c>
    </row>
    <row r="581" spans="1:23" ht="15" customHeight="1" x14ac:dyDescent="0.25">
      <c r="A581" s="128">
        <v>2619</v>
      </c>
      <c r="B581" s="129" t="s">
        <v>171</v>
      </c>
      <c r="C581" s="128" t="s">
        <v>166</v>
      </c>
      <c r="D581" s="129" t="s">
        <v>167</v>
      </c>
      <c r="E581" s="129" t="s">
        <v>162</v>
      </c>
      <c r="F581" s="129">
        <v>92530</v>
      </c>
      <c r="G581" s="129">
        <v>92127</v>
      </c>
      <c r="H581" s="130">
        <v>171</v>
      </c>
      <c r="I581" s="129" t="s">
        <v>416</v>
      </c>
      <c r="J581" s="130">
        <v>7</v>
      </c>
      <c r="K581" s="131"/>
      <c r="L581" s="131" t="s">
        <v>5</v>
      </c>
      <c r="M581" s="131" t="s">
        <v>402</v>
      </c>
      <c r="N581" s="131" t="s">
        <v>327</v>
      </c>
      <c r="O581" s="56">
        <f>VLOOKUP($F581,'ZipCode Coordinates'!$A:$E,4,FALSE)</f>
        <v>2166440</v>
      </c>
      <c r="P581" s="56">
        <f>VLOOKUP($F581,'ZipCode Coordinates'!$A:$E,5,FALSE)</f>
        <v>6212730</v>
      </c>
      <c r="Q581" s="56">
        <f>VLOOKUP($G581,'ZipCode Coordinates'!$A:$E,4,FALSE)</f>
        <v>1951970</v>
      </c>
      <c r="R581" s="56">
        <f>VLOOKUP($G581,'ZipCode Coordinates'!$A:$E,5,FALSE)</f>
        <v>6293830</v>
      </c>
      <c r="S581" s="352" t="str">
        <f>IFERROR(VLOOKUP($M581,'External Gateways'!$C$6:$F$10,2,FALSE),"")</f>
        <v>I-15</v>
      </c>
      <c r="T581" s="56">
        <f>IFERROR(VLOOKUP($M581,'External Gateways'!$C$6:$F$10,3,FALSE),O581)</f>
        <v>2102195</v>
      </c>
      <c r="U581" s="56">
        <f>IFERROR(VLOOKUP($M581,'External Gateways'!$C$6:$F$10,4,FALSE),P581)</f>
        <v>6289147</v>
      </c>
      <c r="V581" s="353">
        <f t="shared" si="18"/>
        <v>18.908097166137583</v>
      </c>
      <c r="W581" s="353">
        <f t="shared" si="19"/>
        <v>133.18380566772484</v>
      </c>
    </row>
    <row r="582" spans="1:23" ht="15" customHeight="1" x14ac:dyDescent="0.25">
      <c r="A582" s="128">
        <v>2620</v>
      </c>
      <c r="B582" s="129" t="s">
        <v>315</v>
      </c>
      <c r="C582" s="128" t="s">
        <v>68</v>
      </c>
      <c r="D582" s="129" t="s">
        <v>196</v>
      </c>
      <c r="E582" s="129" t="s">
        <v>201</v>
      </c>
      <c r="F582" s="129">
        <v>92020</v>
      </c>
      <c r="G582" s="129">
        <v>91962</v>
      </c>
      <c r="H582" s="130">
        <v>135</v>
      </c>
      <c r="I582" s="129" t="s">
        <v>407</v>
      </c>
      <c r="J582" s="130">
        <v>8</v>
      </c>
      <c r="K582" s="131"/>
      <c r="L582" s="131" t="s">
        <v>68</v>
      </c>
      <c r="M582" s="131" t="s">
        <v>326</v>
      </c>
      <c r="N582" s="131" t="s">
        <v>329</v>
      </c>
      <c r="O582" s="56">
        <f>VLOOKUP($F582,'ZipCode Coordinates'!$A:$E,4,FALSE)</f>
        <v>1870340</v>
      </c>
      <c r="P582" s="56">
        <f>VLOOKUP($F582,'ZipCode Coordinates'!$A:$E,5,FALSE)</f>
        <v>6340260</v>
      </c>
      <c r="Q582" s="56">
        <f>VLOOKUP($G582,'ZipCode Coordinates'!$A:$E,4,FALSE)</f>
        <v>1874980</v>
      </c>
      <c r="R582" s="56">
        <f>VLOOKUP($G582,'ZipCode Coordinates'!$A:$E,5,FALSE)</f>
        <v>6499110</v>
      </c>
      <c r="S582" s="352" t="str">
        <f>IFERROR(VLOOKUP($M582,'External Gateways'!$C$6:$F$10,2,FALSE),"")</f>
        <v/>
      </c>
      <c r="T582" s="56">
        <f>IFERROR(VLOOKUP($M582,'External Gateways'!$C$6:$F$10,3,FALSE),O582)</f>
        <v>1870340</v>
      </c>
      <c r="U582" s="56">
        <f>IFERROR(VLOOKUP($M582,'External Gateways'!$C$6:$F$10,4,FALSE),P582)</f>
        <v>6340260</v>
      </c>
      <c r="V582" s="353">
        <f t="shared" si="18"/>
        <v>0</v>
      </c>
      <c r="W582" s="353">
        <f t="shared" si="19"/>
        <v>135</v>
      </c>
    </row>
    <row r="583" spans="1:23" ht="15" customHeight="1" x14ac:dyDescent="0.25">
      <c r="A583" s="128">
        <v>2621</v>
      </c>
      <c r="B583" s="129" t="s">
        <v>315</v>
      </c>
      <c r="C583" s="128" t="s">
        <v>68</v>
      </c>
      <c r="D583" s="129" t="s">
        <v>161</v>
      </c>
      <c r="E583" s="129" t="s">
        <v>196</v>
      </c>
      <c r="F583" s="129">
        <v>92592</v>
      </c>
      <c r="G583" s="129">
        <v>92020</v>
      </c>
      <c r="H583" s="130">
        <v>185</v>
      </c>
      <c r="I583" s="129" t="s">
        <v>419</v>
      </c>
      <c r="J583" s="130">
        <v>7</v>
      </c>
      <c r="K583" s="131"/>
      <c r="L583" s="131" t="s">
        <v>68</v>
      </c>
      <c r="M583" s="131" t="s">
        <v>402</v>
      </c>
      <c r="N583" s="131" t="s">
        <v>326</v>
      </c>
      <c r="O583" s="56">
        <f>VLOOKUP($F583,'ZipCode Coordinates'!$A:$E,4,FALSE)</f>
        <v>2128740</v>
      </c>
      <c r="P583" s="56">
        <f>VLOOKUP($F583,'ZipCode Coordinates'!$A:$E,5,FALSE)</f>
        <v>6328900</v>
      </c>
      <c r="Q583" s="56">
        <f>VLOOKUP($G583,'ZipCode Coordinates'!$A:$E,4,FALSE)</f>
        <v>1870340</v>
      </c>
      <c r="R583" s="56">
        <f>VLOOKUP($G583,'ZipCode Coordinates'!$A:$E,5,FALSE)</f>
        <v>6340260</v>
      </c>
      <c r="S583" s="352" t="str">
        <f>IFERROR(VLOOKUP($M583,'External Gateways'!$C$6:$F$10,2,FALSE),"")</f>
        <v>I-15</v>
      </c>
      <c r="T583" s="56">
        <f>IFERROR(VLOOKUP($M583,'External Gateways'!$C$6:$F$10,3,FALSE),O583)</f>
        <v>2102195</v>
      </c>
      <c r="U583" s="56">
        <f>IFERROR(VLOOKUP($M583,'External Gateways'!$C$6:$F$10,4,FALSE),P583)</f>
        <v>6289147</v>
      </c>
      <c r="V583" s="353">
        <f t="shared" si="18"/>
        <v>9.0532245169037147</v>
      </c>
      <c r="W583" s="353">
        <f t="shared" si="19"/>
        <v>166.89355096619258</v>
      </c>
    </row>
    <row r="584" spans="1:23" ht="15" customHeight="1" x14ac:dyDescent="0.25">
      <c r="A584" s="128">
        <v>2622</v>
      </c>
      <c r="B584" s="129" t="s">
        <v>433</v>
      </c>
      <c r="C584" s="128" t="s">
        <v>3</v>
      </c>
      <c r="D584" s="129" t="s">
        <v>154</v>
      </c>
      <c r="E584" s="129" t="s">
        <v>162</v>
      </c>
      <c r="F584" s="129">
        <v>92591</v>
      </c>
      <c r="G584" s="129">
        <v>92106</v>
      </c>
      <c r="H584" s="130">
        <v>160</v>
      </c>
      <c r="I584" s="129" t="s">
        <v>401</v>
      </c>
      <c r="J584" s="130">
        <v>7</v>
      </c>
      <c r="K584" s="131"/>
      <c r="L584" s="131" t="s">
        <v>3</v>
      </c>
      <c r="M584" s="131" t="s">
        <v>402</v>
      </c>
      <c r="N584" s="131" t="s">
        <v>323</v>
      </c>
      <c r="O584" s="56">
        <f>VLOOKUP($F584,'ZipCode Coordinates'!$A:$E,4,FALSE)</f>
        <v>2138420</v>
      </c>
      <c r="P584" s="56">
        <f>VLOOKUP($F584,'ZipCode Coordinates'!$A:$E,5,FALSE)</f>
        <v>6299220</v>
      </c>
      <c r="Q584" s="56">
        <f>VLOOKUP($G584,'ZipCode Coordinates'!$A:$E,4,FALSE)</f>
        <v>1842660</v>
      </c>
      <c r="R584" s="56">
        <f>VLOOKUP($G584,'ZipCode Coordinates'!$A:$E,5,FALSE)</f>
        <v>6259060</v>
      </c>
      <c r="S584" s="352" t="str">
        <f>IFERROR(VLOOKUP($M584,'External Gateways'!$C$6:$F$10,2,FALSE),"")</f>
        <v>I-15</v>
      </c>
      <c r="T584" s="56">
        <f>IFERROR(VLOOKUP($M584,'External Gateways'!$C$6:$F$10,3,FALSE),O584)</f>
        <v>2102195</v>
      </c>
      <c r="U584" s="56">
        <f>IFERROR(VLOOKUP($M584,'External Gateways'!$C$6:$F$10,4,FALSE),P584)</f>
        <v>6289147</v>
      </c>
      <c r="V584" s="353">
        <f t="shared" si="18"/>
        <v>7.1211011888925713</v>
      </c>
      <c r="W584" s="353">
        <f t="shared" si="19"/>
        <v>145.75779762221487</v>
      </c>
    </row>
    <row r="585" spans="1:23" ht="15" customHeight="1" x14ac:dyDescent="0.25">
      <c r="A585" s="128">
        <v>2623</v>
      </c>
      <c r="B585" s="129" t="s">
        <v>507</v>
      </c>
      <c r="C585" s="128" t="s">
        <v>68</v>
      </c>
      <c r="D585" s="129" t="s">
        <v>158</v>
      </c>
      <c r="E585" s="129" t="s">
        <v>162</v>
      </c>
      <c r="F585" s="129">
        <v>92591</v>
      </c>
      <c r="G585" s="129">
        <v>92101</v>
      </c>
      <c r="H585" s="130">
        <v>210</v>
      </c>
      <c r="I585" s="129" t="s">
        <v>508</v>
      </c>
      <c r="J585" s="130">
        <v>7</v>
      </c>
      <c r="K585" s="131"/>
      <c r="L585" s="131" t="s">
        <v>68</v>
      </c>
      <c r="M585" s="131" t="s">
        <v>402</v>
      </c>
      <c r="N585" s="131" t="s">
        <v>323</v>
      </c>
      <c r="O585" s="56">
        <f>VLOOKUP($F585,'ZipCode Coordinates'!$A:$E,4,FALSE)</f>
        <v>2138420</v>
      </c>
      <c r="P585" s="56">
        <f>VLOOKUP($F585,'ZipCode Coordinates'!$A:$E,5,FALSE)</f>
        <v>6299220</v>
      </c>
      <c r="Q585" s="56">
        <f>VLOOKUP($G585,'ZipCode Coordinates'!$A:$E,4,FALSE)</f>
        <v>1844080</v>
      </c>
      <c r="R585" s="56">
        <f>VLOOKUP($G585,'ZipCode Coordinates'!$A:$E,5,FALSE)</f>
        <v>6278770</v>
      </c>
      <c r="S585" s="352" t="str">
        <f>IFERROR(VLOOKUP($M585,'External Gateways'!$C$6:$F$10,2,FALSE),"")</f>
        <v>I-15</v>
      </c>
      <c r="T585" s="56">
        <f>IFERROR(VLOOKUP($M585,'External Gateways'!$C$6:$F$10,3,FALSE),O585)</f>
        <v>2102195</v>
      </c>
      <c r="U585" s="56">
        <f>IFERROR(VLOOKUP($M585,'External Gateways'!$C$6:$F$10,4,FALSE),P585)</f>
        <v>6289147</v>
      </c>
      <c r="V585" s="353">
        <f t="shared" si="18"/>
        <v>7.1211011888925713</v>
      </c>
      <c r="W585" s="353">
        <f t="shared" si="19"/>
        <v>195.75779762221487</v>
      </c>
    </row>
    <row r="586" spans="1:23" ht="15" customHeight="1" x14ac:dyDescent="0.25">
      <c r="A586" s="128">
        <v>2624</v>
      </c>
      <c r="B586" s="129" t="s">
        <v>218</v>
      </c>
      <c r="C586" s="128" t="s">
        <v>68</v>
      </c>
      <c r="D586" s="129" t="s">
        <v>154</v>
      </c>
      <c r="E586" s="129" t="s">
        <v>162</v>
      </c>
      <c r="F586" s="129">
        <v>92592</v>
      </c>
      <c r="G586" s="129">
        <v>92161</v>
      </c>
      <c r="H586" s="130">
        <v>135</v>
      </c>
      <c r="I586" s="129" t="s">
        <v>420</v>
      </c>
      <c r="J586" s="130">
        <v>7</v>
      </c>
      <c r="K586" s="131"/>
      <c r="L586" s="131" t="s">
        <v>68</v>
      </c>
      <c r="M586" s="131" t="s">
        <v>402</v>
      </c>
      <c r="N586" s="131" t="s">
        <v>327</v>
      </c>
      <c r="O586" s="56">
        <f>VLOOKUP($F586,'ZipCode Coordinates'!$A:$E,4,FALSE)</f>
        <v>2128740</v>
      </c>
      <c r="P586" s="56">
        <f>VLOOKUP($F586,'ZipCode Coordinates'!$A:$E,5,FALSE)</f>
        <v>6328900</v>
      </c>
      <c r="Q586" s="56">
        <f>VLOOKUP($G586,'ZipCode Coordinates'!$A:$E,4,FALSE)</f>
        <v>1899477</v>
      </c>
      <c r="R586" s="56">
        <f>VLOOKUP($G586,'ZipCode Coordinates'!$A:$E,5,FALSE)</f>
        <v>6258957</v>
      </c>
      <c r="S586" s="352" t="str">
        <f>IFERROR(VLOOKUP($M586,'External Gateways'!$C$6:$F$10,2,FALSE),"")</f>
        <v>I-15</v>
      </c>
      <c r="T586" s="56">
        <f>IFERROR(VLOOKUP($M586,'External Gateways'!$C$6:$F$10,3,FALSE),O586)</f>
        <v>2102195</v>
      </c>
      <c r="U586" s="56">
        <f>IFERROR(VLOOKUP($M586,'External Gateways'!$C$6:$F$10,4,FALSE),P586)</f>
        <v>6289147</v>
      </c>
      <c r="V586" s="353">
        <f t="shared" si="18"/>
        <v>9.0532245169037147</v>
      </c>
      <c r="W586" s="353">
        <f t="shared" si="19"/>
        <v>116.89355096619258</v>
      </c>
    </row>
    <row r="587" spans="1:23" ht="15" customHeight="1" x14ac:dyDescent="0.25">
      <c r="A587" s="128">
        <v>2625</v>
      </c>
      <c r="B587" s="129" t="s">
        <v>236</v>
      </c>
      <c r="C587" s="128" t="s">
        <v>166</v>
      </c>
      <c r="D587" s="129" t="s">
        <v>203</v>
      </c>
      <c r="E587" s="129" t="s">
        <v>155</v>
      </c>
      <c r="F587" s="129">
        <v>91950</v>
      </c>
      <c r="G587" s="129">
        <v>92010</v>
      </c>
      <c r="H587" s="130">
        <v>60</v>
      </c>
      <c r="I587" s="129" t="s">
        <v>406</v>
      </c>
      <c r="J587" s="130">
        <v>7</v>
      </c>
      <c r="K587" s="131"/>
      <c r="L587" s="131" t="s">
        <v>5</v>
      </c>
      <c r="M587" s="131" t="s">
        <v>323</v>
      </c>
      <c r="N587" s="131" t="s">
        <v>324</v>
      </c>
      <c r="O587" s="56">
        <f>VLOOKUP($F587,'ZipCode Coordinates'!$A:$E,4,FALSE)</f>
        <v>1823970</v>
      </c>
      <c r="P587" s="56">
        <f>VLOOKUP($F587,'ZipCode Coordinates'!$A:$E,5,FALSE)</f>
        <v>6302610</v>
      </c>
      <c r="Q587" s="56">
        <f>VLOOKUP($G587,'ZipCode Coordinates'!$A:$E,4,FALSE)</f>
        <v>2002190</v>
      </c>
      <c r="R587" s="56">
        <f>VLOOKUP($G587,'ZipCode Coordinates'!$A:$E,5,FALSE)</f>
        <v>6245090</v>
      </c>
      <c r="S587" s="352" t="str">
        <f>IFERROR(VLOOKUP($M587,'External Gateways'!$C$6:$F$10,2,FALSE),"")</f>
        <v/>
      </c>
      <c r="T587" s="56">
        <f>IFERROR(VLOOKUP($M587,'External Gateways'!$C$6:$F$10,3,FALSE),O587)</f>
        <v>1823970</v>
      </c>
      <c r="U587" s="56">
        <f>IFERROR(VLOOKUP($M587,'External Gateways'!$C$6:$F$10,4,FALSE),P587)</f>
        <v>6302610</v>
      </c>
      <c r="V587" s="353">
        <f t="shared" si="18"/>
        <v>0</v>
      </c>
      <c r="W587" s="353">
        <f t="shared" si="19"/>
        <v>60</v>
      </c>
    </row>
    <row r="588" spans="1:23" ht="15" customHeight="1" x14ac:dyDescent="0.25">
      <c r="A588" s="128">
        <v>2626</v>
      </c>
      <c r="B588" s="129" t="s">
        <v>221</v>
      </c>
      <c r="C588" s="128" t="s">
        <v>163</v>
      </c>
      <c r="D588" s="129" t="s">
        <v>196</v>
      </c>
      <c r="E588" s="129" t="s">
        <v>162</v>
      </c>
      <c r="F588" s="129">
        <v>92021</v>
      </c>
      <c r="G588" s="129">
        <v>92101</v>
      </c>
      <c r="H588" s="130">
        <v>110</v>
      </c>
      <c r="I588" s="129" t="s">
        <v>446</v>
      </c>
      <c r="J588" s="130">
        <v>10</v>
      </c>
      <c r="K588" s="131"/>
      <c r="L588" s="131" t="s">
        <v>5</v>
      </c>
      <c r="M588" s="131" t="s">
        <v>326</v>
      </c>
      <c r="N588" s="131" t="s">
        <v>323</v>
      </c>
      <c r="O588" s="56">
        <f>VLOOKUP($F588,'ZipCode Coordinates'!$A:$E,4,FALSE)</f>
        <v>1885700</v>
      </c>
      <c r="P588" s="56">
        <f>VLOOKUP($F588,'ZipCode Coordinates'!$A:$E,5,FALSE)</f>
        <v>6371420</v>
      </c>
      <c r="Q588" s="56">
        <f>VLOOKUP($G588,'ZipCode Coordinates'!$A:$E,4,FALSE)</f>
        <v>1844080</v>
      </c>
      <c r="R588" s="56">
        <f>VLOOKUP($G588,'ZipCode Coordinates'!$A:$E,5,FALSE)</f>
        <v>6278770</v>
      </c>
      <c r="S588" s="352" t="str">
        <f>IFERROR(VLOOKUP($M588,'External Gateways'!$C$6:$F$10,2,FALSE),"")</f>
        <v/>
      </c>
      <c r="T588" s="56">
        <f>IFERROR(VLOOKUP($M588,'External Gateways'!$C$6:$F$10,3,FALSE),O588)</f>
        <v>1885700</v>
      </c>
      <c r="U588" s="56">
        <f>IFERROR(VLOOKUP($M588,'External Gateways'!$C$6:$F$10,4,FALSE),P588)</f>
        <v>6371420</v>
      </c>
      <c r="V588" s="353">
        <f t="shared" si="18"/>
        <v>0</v>
      </c>
      <c r="W588" s="353">
        <f t="shared" si="19"/>
        <v>110</v>
      </c>
    </row>
    <row r="589" spans="1:23" ht="15" customHeight="1" x14ac:dyDescent="0.25">
      <c r="A589" s="128">
        <v>2627</v>
      </c>
      <c r="B589" s="129" t="s">
        <v>253</v>
      </c>
      <c r="C589" s="128" t="s">
        <v>3</v>
      </c>
      <c r="D589" s="129" t="s">
        <v>170</v>
      </c>
      <c r="E589" s="129" t="s">
        <v>162</v>
      </c>
      <c r="F589" s="129">
        <v>92584</v>
      </c>
      <c r="G589" s="129">
        <v>92145</v>
      </c>
      <c r="H589" s="130">
        <v>110</v>
      </c>
      <c r="I589" s="129" t="s">
        <v>408</v>
      </c>
      <c r="J589" s="130">
        <v>7</v>
      </c>
      <c r="K589" s="131"/>
      <c r="L589" s="131" t="s">
        <v>3</v>
      </c>
      <c r="M589" s="131" t="s">
        <v>402</v>
      </c>
      <c r="N589" s="131" t="s">
        <v>327</v>
      </c>
      <c r="O589" s="56">
        <f>VLOOKUP($F589,'ZipCode Coordinates'!$A:$E,4,FALSE)</f>
        <v>2185160</v>
      </c>
      <c r="P589" s="56">
        <f>VLOOKUP($F589,'ZipCode Coordinates'!$A:$E,5,FALSE)</f>
        <v>6280270</v>
      </c>
      <c r="Q589" s="56">
        <f>VLOOKUP($G589,'ZipCode Coordinates'!$A:$E,4,FALSE)</f>
        <v>1896720</v>
      </c>
      <c r="R589" s="56">
        <f>VLOOKUP($G589,'ZipCode Coordinates'!$A:$E,5,FALSE)</f>
        <v>6297440</v>
      </c>
      <c r="S589" s="352" t="str">
        <f>IFERROR(VLOOKUP($M589,'External Gateways'!$C$6:$F$10,2,FALSE),"")</f>
        <v>I-15</v>
      </c>
      <c r="T589" s="56">
        <f>IFERROR(VLOOKUP($M589,'External Gateways'!$C$6:$F$10,3,FALSE),O589)</f>
        <v>2102195</v>
      </c>
      <c r="U589" s="56">
        <f>IFERROR(VLOOKUP($M589,'External Gateways'!$C$6:$F$10,4,FALSE),P589)</f>
        <v>6289147</v>
      </c>
      <c r="V589" s="353">
        <f t="shared" si="18"/>
        <v>15.802756507931361</v>
      </c>
      <c r="W589" s="353">
        <f t="shared" si="19"/>
        <v>78.394486984137274</v>
      </c>
    </row>
    <row r="590" spans="1:23" ht="15" customHeight="1" x14ac:dyDescent="0.25">
      <c r="A590" s="128">
        <v>2628</v>
      </c>
      <c r="B590" s="129" t="s">
        <v>236</v>
      </c>
      <c r="C590" s="128" t="s">
        <v>166</v>
      </c>
      <c r="D590" s="129" t="s">
        <v>162</v>
      </c>
      <c r="E590" s="129" t="s">
        <v>155</v>
      </c>
      <c r="F590" s="129">
        <v>92114</v>
      </c>
      <c r="G590" s="129">
        <v>92010</v>
      </c>
      <c r="H590" s="130">
        <v>60</v>
      </c>
      <c r="I590" s="129" t="s">
        <v>401</v>
      </c>
      <c r="J590" s="130">
        <v>7</v>
      </c>
      <c r="K590" s="131"/>
      <c r="L590" s="131" t="s">
        <v>5</v>
      </c>
      <c r="M590" s="131" t="s">
        <v>323</v>
      </c>
      <c r="N590" s="131" t="s">
        <v>324</v>
      </c>
      <c r="O590" s="56">
        <f>VLOOKUP($F590,'ZipCode Coordinates'!$A:$E,4,FALSE)</f>
        <v>1838250</v>
      </c>
      <c r="P590" s="56">
        <f>VLOOKUP($F590,'ZipCode Coordinates'!$A:$E,5,FALSE)</f>
        <v>6314020</v>
      </c>
      <c r="Q590" s="56">
        <f>VLOOKUP($G590,'ZipCode Coordinates'!$A:$E,4,FALSE)</f>
        <v>2002190</v>
      </c>
      <c r="R590" s="56">
        <f>VLOOKUP($G590,'ZipCode Coordinates'!$A:$E,5,FALSE)</f>
        <v>6245090</v>
      </c>
      <c r="S590" s="352" t="str">
        <f>IFERROR(VLOOKUP($M590,'External Gateways'!$C$6:$F$10,2,FALSE),"")</f>
        <v/>
      </c>
      <c r="T590" s="56">
        <f>IFERROR(VLOOKUP($M590,'External Gateways'!$C$6:$F$10,3,FALSE),O590)</f>
        <v>1838250</v>
      </c>
      <c r="U590" s="56">
        <f>IFERROR(VLOOKUP($M590,'External Gateways'!$C$6:$F$10,4,FALSE),P590)</f>
        <v>6314020</v>
      </c>
      <c r="V590" s="353">
        <f t="shared" si="18"/>
        <v>0</v>
      </c>
      <c r="W590" s="353">
        <f t="shared" si="19"/>
        <v>60</v>
      </c>
    </row>
    <row r="591" spans="1:23" ht="15" customHeight="1" x14ac:dyDescent="0.25">
      <c r="A591" s="128">
        <v>2630</v>
      </c>
      <c r="B591" s="129" t="s">
        <v>82</v>
      </c>
      <c r="C591" s="128" t="s">
        <v>3</v>
      </c>
      <c r="D591" s="129" t="s">
        <v>154</v>
      </c>
      <c r="E591" s="129" t="s">
        <v>82</v>
      </c>
      <c r="F591" s="129">
        <v>92592</v>
      </c>
      <c r="G591" s="129">
        <v>92055</v>
      </c>
      <c r="H591" s="130">
        <v>110</v>
      </c>
      <c r="I591" s="129" t="s">
        <v>423</v>
      </c>
      <c r="J591" s="130">
        <v>8</v>
      </c>
      <c r="K591" s="131"/>
      <c r="L591" s="131" t="s">
        <v>3</v>
      </c>
      <c r="M591" s="131" t="s">
        <v>402</v>
      </c>
      <c r="N591" s="131" t="s">
        <v>324</v>
      </c>
      <c r="O591" s="56">
        <f>VLOOKUP($F591,'ZipCode Coordinates'!$A:$E,4,FALSE)</f>
        <v>2128740</v>
      </c>
      <c r="P591" s="56">
        <f>VLOOKUP($F591,'ZipCode Coordinates'!$A:$E,5,FALSE)</f>
        <v>6328900</v>
      </c>
      <c r="Q591" s="56">
        <f>VLOOKUP($G591,'ZipCode Coordinates'!$A:$E,4,FALSE)</f>
        <v>2082470</v>
      </c>
      <c r="R591" s="56">
        <f>VLOOKUP($G591,'ZipCode Coordinates'!$A:$E,5,FALSE)</f>
        <v>6206470</v>
      </c>
      <c r="S591" s="352" t="str">
        <f>IFERROR(VLOOKUP($M591,'External Gateways'!$C$6:$F$10,2,FALSE),"")</f>
        <v>I-15</v>
      </c>
      <c r="T591" s="56">
        <f>IFERROR(VLOOKUP($M591,'External Gateways'!$C$6:$F$10,3,FALSE),O591)</f>
        <v>2102195</v>
      </c>
      <c r="U591" s="56">
        <f>IFERROR(VLOOKUP($M591,'External Gateways'!$C$6:$F$10,4,FALSE),P591)</f>
        <v>6289147</v>
      </c>
      <c r="V591" s="353">
        <f t="shared" si="18"/>
        <v>9.0532245169037147</v>
      </c>
      <c r="W591" s="353">
        <f t="shared" si="19"/>
        <v>91.893550966192578</v>
      </c>
    </row>
    <row r="592" spans="1:23" ht="15" customHeight="1" x14ac:dyDescent="0.25">
      <c r="A592" s="128">
        <v>2632</v>
      </c>
      <c r="B592" s="129" t="s">
        <v>236</v>
      </c>
      <c r="C592" s="128" t="s">
        <v>166</v>
      </c>
      <c r="D592" s="129" t="s">
        <v>162</v>
      </c>
      <c r="E592" s="129" t="s">
        <v>155</v>
      </c>
      <c r="F592" s="129">
        <v>92126</v>
      </c>
      <c r="G592" s="129">
        <v>92010</v>
      </c>
      <c r="H592" s="130">
        <v>60</v>
      </c>
      <c r="I592" s="129" t="s">
        <v>401</v>
      </c>
      <c r="J592" s="130">
        <v>7</v>
      </c>
      <c r="K592" s="131"/>
      <c r="L592" s="131" t="s">
        <v>5</v>
      </c>
      <c r="M592" s="131" t="s">
        <v>327</v>
      </c>
      <c r="N592" s="131" t="s">
        <v>324</v>
      </c>
      <c r="O592" s="56">
        <f>VLOOKUP($F592,'ZipCode Coordinates'!$A:$E,4,FALSE)</f>
        <v>1913050</v>
      </c>
      <c r="P592" s="56">
        <f>VLOOKUP($F592,'ZipCode Coordinates'!$A:$E,5,FALSE)</f>
        <v>6287520</v>
      </c>
      <c r="Q592" s="56">
        <f>VLOOKUP($G592,'ZipCode Coordinates'!$A:$E,4,FALSE)</f>
        <v>2002190</v>
      </c>
      <c r="R592" s="56">
        <f>VLOOKUP($G592,'ZipCode Coordinates'!$A:$E,5,FALSE)</f>
        <v>6245090</v>
      </c>
      <c r="S592" s="352" t="str">
        <f>IFERROR(VLOOKUP($M592,'External Gateways'!$C$6:$F$10,2,FALSE),"")</f>
        <v/>
      </c>
      <c r="T592" s="56">
        <f>IFERROR(VLOOKUP($M592,'External Gateways'!$C$6:$F$10,3,FALSE),O592)</f>
        <v>1913050</v>
      </c>
      <c r="U592" s="56">
        <f>IFERROR(VLOOKUP($M592,'External Gateways'!$C$6:$F$10,4,FALSE),P592)</f>
        <v>6287520</v>
      </c>
      <c r="V592" s="353">
        <f t="shared" si="18"/>
        <v>0</v>
      </c>
      <c r="W592" s="353">
        <f t="shared" si="19"/>
        <v>60</v>
      </c>
    </row>
    <row r="593" spans="1:23" ht="15" customHeight="1" x14ac:dyDescent="0.25">
      <c r="A593" s="128">
        <v>2635</v>
      </c>
      <c r="B593" s="129" t="s">
        <v>309</v>
      </c>
      <c r="C593" s="128" t="s">
        <v>198</v>
      </c>
      <c r="D593" s="129" t="s">
        <v>203</v>
      </c>
      <c r="E593" s="129" t="s">
        <v>155</v>
      </c>
      <c r="F593" s="129">
        <v>91950</v>
      </c>
      <c r="G593" s="129">
        <v>92008</v>
      </c>
      <c r="H593" s="130">
        <v>85</v>
      </c>
      <c r="I593" s="129" t="s">
        <v>407</v>
      </c>
      <c r="J593" s="130">
        <v>8</v>
      </c>
      <c r="K593" s="131"/>
      <c r="L593" s="131" t="s">
        <v>5</v>
      </c>
      <c r="M593" s="131" t="s">
        <v>323</v>
      </c>
      <c r="N593" s="131" t="s">
        <v>324</v>
      </c>
      <c r="O593" s="56">
        <f>VLOOKUP($F593,'ZipCode Coordinates'!$A:$E,4,FALSE)</f>
        <v>1823970</v>
      </c>
      <c r="P593" s="56">
        <f>VLOOKUP($F593,'ZipCode Coordinates'!$A:$E,5,FALSE)</f>
        <v>6302610</v>
      </c>
      <c r="Q593" s="56">
        <f>VLOOKUP($G593,'ZipCode Coordinates'!$A:$E,4,FALSE)</f>
        <v>1998660</v>
      </c>
      <c r="R593" s="56">
        <f>VLOOKUP($G593,'ZipCode Coordinates'!$A:$E,5,FALSE)</f>
        <v>6234650</v>
      </c>
      <c r="S593" s="352" t="str">
        <f>IFERROR(VLOOKUP($M593,'External Gateways'!$C$6:$F$10,2,FALSE),"")</f>
        <v/>
      </c>
      <c r="T593" s="56">
        <f>IFERROR(VLOOKUP($M593,'External Gateways'!$C$6:$F$10,3,FALSE),O593)</f>
        <v>1823970</v>
      </c>
      <c r="U593" s="56">
        <f>IFERROR(VLOOKUP($M593,'External Gateways'!$C$6:$F$10,4,FALSE),P593)</f>
        <v>6302610</v>
      </c>
      <c r="V593" s="353">
        <f t="shared" si="18"/>
        <v>0</v>
      </c>
      <c r="W593" s="353">
        <f t="shared" si="19"/>
        <v>85</v>
      </c>
    </row>
    <row r="594" spans="1:23" ht="15" customHeight="1" x14ac:dyDescent="0.25">
      <c r="A594" s="128">
        <v>2636</v>
      </c>
      <c r="B594" s="129" t="s">
        <v>311</v>
      </c>
      <c r="C594" s="128" t="s">
        <v>411</v>
      </c>
      <c r="D594" s="129" t="s">
        <v>165</v>
      </c>
      <c r="E594" s="129" t="s">
        <v>162</v>
      </c>
      <c r="F594" s="129">
        <v>91911</v>
      </c>
      <c r="G594" s="129">
        <v>92093</v>
      </c>
      <c r="H594" s="130">
        <v>60</v>
      </c>
      <c r="I594" s="129" t="s">
        <v>401</v>
      </c>
      <c r="J594" s="130">
        <v>7</v>
      </c>
      <c r="K594" s="131"/>
      <c r="L594" s="131" t="s">
        <v>5</v>
      </c>
      <c r="M594" s="131" t="s">
        <v>328</v>
      </c>
      <c r="N594" s="131" t="s">
        <v>327</v>
      </c>
      <c r="O594" s="56">
        <f>VLOOKUP($F594,'ZipCode Coordinates'!$A:$E,4,FALSE)</f>
        <v>1801570</v>
      </c>
      <c r="P594" s="56">
        <f>VLOOKUP($F594,'ZipCode Coordinates'!$A:$E,5,FALSE)</f>
        <v>6315270</v>
      </c>
      <c r="Q594" s="56">
        <f>VLOOKUP($G594,'ZipCode Coordinates'!$A:$E,4,FALSE)</f>
        <v>1901870</v>
      </c>
      <c r="R594" s="56">
        <f>VLOOKUP($G594,'ZipCode Coordinates'!$A:$E,5,FALSE)</f>
        <v>6259600</v>
      </c>
      <c r="S594" s="352" t="str">
        <f>IFERROR(VLOOKUP($M594,'External Gateways'!$C$6:$F$10,2,FALSE),"")</f>
        <v/>
      </c>
      <c r="T594" s="56">
        <f>IFERROR(VLOOKUP($M594,'External Gateways'!$C$6:$F$10,3,FALSE),O594)</f>
        <v>1801570</v>
      </c>
      <c r="U594" s="56">
        <f>IFERROR(VLOOKUP($M594,'External Gateways'!$C$6:$F$10,4,FALSE),P594)</f>
        <v>6315270</v>
      </c>
      <c r="V594" s="353">
        <f t="shared" si="18"/>
        <v>0</v>
      </c>
      <c r="W594" s="353">
        <f t="shared" si="19"/>
        <v>60</v>
      </c>
    </row>
    <row r="595" spans="1:23" ht="15" customHeight="1" x14ac:dyDescent="0.25">
      <c r="A595" s="128">
        <v>2637</v>
      </c>
      <c r="B595" s="129" t="s">
        <v>451</v>
      </c>
      <c r="C595" s="128" t="s">
        <v>3</v>
      </c>
      <c r="D595" s="129" t="s">
        <v>161</v>
      </c>
      <c r="E595" s="129" t="s">
        <v>162</v>
      </c>
      <c r="F595" s="129">
        <v>92592</v>
      </c>
      <c r="G595" s="129">
        <v>92136</v>
      </c>
      <c r="H595" s="130">
        <v>135</v>
      </c>
      <c r="I595" s="129" t="s">
        <v>420</v>
      </c>
      <c r="J595" s="130">
        <v>7</v>
      </c>
      <c r="K595" s="131"/>
      <c r="L595" s="131" t="s">
        <v>3</v>
      </c>
      <c r="M595" s="131" t="s">
        <v>402</v>
      </c>
      <c r="N595" s="131" t="s">
        <v>323</v>
      </c>
      <c r="O595" s="56">
        <f>VLOOKUP($F595,'ZipCode Coordinates'!$A:$E,4,FALSE)</f>
        <v>2128740</v>
      </c>
      <c r="P595" s="56">
        <f>VLOOKUP($F595,'ZipCode Coordinates'!$A:$E,5,FALSE)</f>
        <v>6328900</v>
      </c>
      <c r="Q595" s="56">
        <f>VLOOKUP($G595,'ZipCode Coordinates'!$A:$E,4,FALSE)</f>
        <v>1828370</v>
      </c>
      <c r="R595" s="56">
        <f>VLOOKUP($G595,'ZipCode Coordinates'!$A:$E,5,FALSE)</f>
        <v>6293940</v>
      </c>
      <c r="S595" s="352" t="str">
        <f>IFERROR(VLOOKUP($M595,'External Gateways'!$C$6:$F$10,2,FALSE),"")</f>
        <v>I-15</v>
      </c>
      <c r="T595" s="56">
        <f>IFERROR(VLOOKUP($M595,'External Gateways'!$C$6:$F$10,3,FALSE),O595)</f>
        <v>2102195</v>
      </c>
      <c r="U595" s="56">
        <f>IFERROR(VLOOKUP($M595,'External Gateways'!$C$6:$F$10,4,FALSE),P595)</f>
        <v>6289147</v>
      </c>
      <c r="V595" s="353">
        <f t="shared" si="18"/>
        <v>9.0532245169037147</v>
      </c>
      <c r="W595" s="353">
        <f t="shared" si="19"/>
        <v>116.89355096619258</v>
      </c>
    </row>
    <row r="596" spans="1:23" ht="15" customHeight="1" x14ac:dyDescent="0.25">
      <c r="A596" s="128">
        <v>2638</v>
      </c>
      <c r="B596" s="129" t="s">
        <v>266</v>
      </c>
      <c r="C596" s="128" t="s">
        <v>3</v>
      </c>
      <c r="D596" s="129" t="s">
        <v>162</v>
      </c>
      <c r="E596" s="129" t="s">
        <v>176</v>
      </c>
      <c r="F596" s="129">
        <v>92154</v>
      </c>
      <c r="G596" s="129">
        <v>92243</v>
      </c>
      <c r="H596" s="130">
        <v>214</v>
      </c>
      <c r="I596" s="129" t="s">
        <v>401</v>
      </c>
      <c r="J596" s="130">
        <v>7</v>
      </c>
      <c r="K596" s="131"/>
      <c r="L596" s="131" t="s">
        <v>3</v>
      </c>
      <c r="M596" s="131" t="s">
        <v>328</v>
      </c>
      <c r="N596" s="131" t="s">
        <v>431</v>
      </c>
      <c r="O596" s="56">
        <f>VLOOKUP($F596,'ZipCode Coordinates'!$A:$E,4,FALSE)</f>
        <v>1787080</v>
      </c>
      <c r="P596" s="56">
        <f>VLOOKUP($F596,'ZipCode Coordinates'!$A:$E,5,FALSE)</f>
        <v>6330680</v>
      </c>
      <c r="Q596" s="56">
        <f>VLOOKUP($G596,'ZipCode Coordinates'!$A:$E,4,FALSE)</f>
        <v>1861900</v>
      </c>
      <c r="R596" s="56">
        <f>VLOOKUP($G596,'ZipCode Coordinates'!$A:$E,5,FALSE)</f>
        <v>6761000</v>
      </c>
      <c r="S596" s="352" t="str">
        <f>IFERROR(VLOOKUP($M596,'External Gateways'!$C$6:$F$10,2,FALSE),"")</f>
        <v/>
      </c>
      <c r="T596" s="56">
        <f>IFERROR(VLOOKUP($M596,'External Gateways'!$C$6:$F$10,3,FALSE),O596)</f>
        <v>1787080</v>
      </c>
      <c r="U596" s="56">
        <f>IFERROR(VLOOKUP($M596,'External Gateways'!$C$6:$F$10,4,FALSE),P596)</f>
        <v>6330680</v>
      </c>
      <c r="V596" s="353">
        <f t="shared" si="18"/>
        <v>0</v>
      </c>
      <c r="W596" s="353">
        <f t="shared" si="19"/>
        <v>214</v>
      </c>
    </row>
    <row r="597" spans="1:23" ht="15" customHeight="1" x14ac:dyDescent="0.25">
      <c r="A597" s="128">
        <v>2639</v>
      </c>
      <c r="B597" s="129" t="s">
        <v>253</v>
      </c>
      <c r="C597" s="128" t="s">
        <v>3</v>
      </c>
      <c r="D597" s="129" t="s">
        <v>170</v>
      </c>
      <c r="E597" s="129" t="s">
        <v>162</v>
      </c>
      <c r="F597" s="129">
        <v>92585</v>
      </c>
      <c r="G597" s="129">
        <v>92145</v>
      </c>
      <c r="H597" s="130">
        <v>110</v>
      </c>
      <c r="I597" s="129" t="s">
        <v>401</v>
      </c>
      <c r="J597" s="130">
        <v>7</v>
      </c>
      <c r="K597" s="131"/>
      <c r="L597" s="131" t="s">
        <v>3</v>
      </c>
      <c r="M597" s="131" t="s">
        <v>402</v>
      </c>
      <c r="N597" s="131" t="s">
        <v>327</v>
      </c>
      <c r="O597" s="56">
        <f>VLOOKUP($F597,'ZipCode Coordinates'!$A:$E,4,FALSE)</f>
        <v>2214990</v>
      </c>
      <c r="P597" s="56">
        <f>VLOOKUP($F597,'ZipCode Coordinates'!$A:$E,5,FALSE)</f>
        <v>6281980</v>
      </c>
      <c r="Q597" s="56">
        <f>VLOOKUP($G597,'ZipCode Coordinates'!$A:$E,4,FALSE)</f>
        <v>1896720</v>
      </c>
      <c r="R597" s="56">
        <f>VLOOKUP($G597,'ZipCode Coordinates'!$A:$E,5,FALSE)</f>
        <v>6297440</v>
      </c>
      <c r="S597" s="352" t="str">
        <f>IFERROR(VLOOKUP($M597,'External Gateways'!$C$6:$F$10,2,FALSE),"")</f>
        <v>I-15</v>
      </c>
      <c r="T597" s="56">
        <f>IFERROR(VLOOKUP($M597,'External Gateways'!$C$6:$F$10,3,FALSE),O597)</f>
        <v>2102195</v>
      </c>
      <c r="U597" s="56">
        <f>IFERROR(VLOOKUP($M597,'External Gateways'!$C$6:$F$10,4,FALSE),P597)</f>
        <v>6289147</v>
      </c>
      <c r="V597" s="353">
        <f t="shared" si="18"/>
        <v>21.405770153912158</v>
      </c>
      <c r="W597" s="353">
        <f t="shared" si="19"/>
        <v>67.188459692175684</v>
      </c>
    </row>
    <row r="598" spans="1:23" ht="15" customHeight="1" x14ac:dyDescent="0.25">
      <c r="A598" s="128">
        <v>2640</v>
      </c>
      <c r="B598" s="129" t="s">
        <v>288</v>
      </c>
      <c r="C598" s="128" t="s">
        <v>163</v>
      </c>
      <c r="D598" s="129" t="s">
        <v>165</v>
      </c>
      <c r="E598" s="129" t="s">
        <v>162</v>
      </c>
      <c r="F598" s="129">
        <v>91910</v>
      </c>
      <c r="G598" s="129">
        <v>92127</v>
      </c>
      <c r="H598" s="130">
        <v>83</v>
      </c>
      <c r="I598" s="129" t="s">
        <v>401</v>
      </c>
      <c r="J598" s="130">
        <v>7</v>
      </c>
      <c r="K598" s="131"/>
      <c r="L598" s="131" t="s">
        <v>5</v>
      </c>
      <c r="M598" s="131" t="s">
        <v>328</v>
      </c>
      <c r="N598" s="131" t="s">
        <v>327</v>
      </c>
      <c r="O598" s="56">
        <f>VLOOKUP($F598,'ZipCode Coordinates'!$A:$E,4,FALSE)</f>
        <v>1812850</v>
      </c>
      <c r="P598" s="56">
        <f>VLOOKUP($F598,'ZipCode Coordinates'!$A:$E,5,FALSE)</f>
        <v>6313650</v>
      </c>
      <c r="Q598" s="56">
        <f>VLOOKUP($G598,'ZipCode Coordinates'!$A:$E,4,FALSE)</f>
        <v>1951970</v>
      </c>
      <c r="R598" s="56">
        <f>VLOOKUP($G598,'ZipCode Coordinates'!$A:$E,5,FALSE)</f>
        <v>6293830</v>
      </c>
      <c r="S598" s="352" t="str">
        <f>IFERROR(VLOOKUP($M598,'External Gateways'!$C$6:$F$10,2,FALSE),"")</f>
        <v/>
      </c>
      <c r="T598" s="56">
        <f>IFERROR(VLOOKUP($M598,'External Gateways'!$C$6:$F$10,3,FALSE),O598)</f>
        <v>1812850</v>
      </c>
      <c r="U598" s="56">
        <f>IFERROR(VLOOKUP($M598,'External Gateways'!$C$6:$F$10,4,FALSE),P598)</f>
        <v>6313650</v>
      </c>
      <c r="V598" s="353">
        <f t="shared" si="18"/>
        <v>0</v>
      </c>
      <c r="W598" s="353">
        <f t="shared" si="19"/>
        <v>83</v>
      </c>
    </row>
    <row r="599" spans="1:23" ht="15" customHeight="1" x14ac:dyDescent="0.25">
      <c r="A599" s="128">
        <v>2642</v>
      </c>
      <c r="B599" s="129" t="s">
        <v>202</v>
      </c>
      <c r="C599" s="128" t="s">
        <v>198</v>
      </c>
      <c r="D599" s="129" t="s">
        <v>203</v>
      </c>
      <c r="E599" s="129" t="s">
        <v>162</v>
      </c>
      <c r="F599" s="129">
        <v>91950</v>
      </c>
      <c r="G599" s="129">
        <v>92123</v>
      </c>
      <c r="H599" s="130">
        <v>60</v>
      </c>
      <c r="I599" s="129" t="s">
        <v>401</v>
      </c>
      <c r="J599" s="130">
        <v>7</v>
      </c>
      <c r="K599" s="131"/>
      <c r="L599" s="131" t="s">
        <v>5</v>
      </c>
      <c r="M599" s="131" t="s">
        <v>323</v>
      </c>
      <c r="N599" s="131" t="s">
        <v>327</v>
      </c>
      <c r="O599" s="56">
        <f>VLOOKUP($F599,'ZipCode Coordinates'!$A:$E,4,FALSE)</f>
        <v>1823970</v>
      </c>
      <c r="P599" s="56">
        <f>VLOOKUP($F599,'ZipCode Coordinates'!$A:$E,5,FALSE)</f>
        <v>6302610</v>
      </c>
      <c r="Q599" s="56">
        <f>VLOOKUP($G599,'ZipCode Coordinates'!$A:$E,4,FALSE)</f>
        <v>1874700</v>
      </c>
      <c r="R599" s="56">
        <f>VLOOKUP($G599,'ZipCode Coordinates'!$A:$E,5,FALSE)</f>
        <v>6289760</v>
      </c>
      <c r="S599" s="352" t="str">
        <f>IFERROR(VLOOKUP($M599,'External Gateways'!$C$6:$F$10,2,FALSE),"")</f>
        <v/>
      </c>
      <c r="T599" s="56">
        <f>IFERROR(VLOOKUP($M599,'External Gateways'!$C$6:$F$10,3,FALSE),O599)</f>
        <v>1823970</v>
      </c>
      <c r="U599" s="56">
        <f>IFERROR(VLOOKUP($M599,'External Gateways'!$C$6:$F$10,4,FALSE),P599)</f>
        <v>6302610</v>
      </c>
      <c r="V599" s="353">
        <f t="shared" si="18"/>
        <v>0</v>
      </c>
      <c r="W599" s="353">
        <f t="shared" si="19"/>
        <v>60</v>
      </c>
    </row>
    <row r="600" spans="1:23" ht="15" customHeight="1" x14ac:dyDescent="0.25">
      <c r="A600" s="128">
        <v>2643</v>
      </c>
      <c r="B600" s="129" t="s">
        <v>309</v>
      </c>
      <c r="C600" s="128" t="s">
        <v>198</v>
      </c>
      <c r="D600" s="129" t="s">
        <v>162</v>
      </c>
      <c r="E600" s="129" t="s">
        <v>155</v>
      </c>
      <c r="F600" s="129">
        <v>92126</v>
      </c>
      <c r="G600" s="129">
        <v>92008</v>
      </c>
      <c r="H600" s="130">
        <v>85</v>
      </c>
      <c r="I600" s="129" t="s">
        <v>401</v>
      </c>
      <c r="J600" s="130">
        <v>7</v>
      </c>
      <c r="K600" s="131"/>
      <c r="L600" s="131" t="s">
        <v>5</v>
      </c>
      <c r="M600" s="131" t="s">
        <v>327</v>
      </c>
      <c r="N600" s="131" t="s">
        <v>324</v>
      </c>
      <c r="O600" s="56">
        <f>VLOOKUP($F600,'ZipCode Coordinates'!$A:$E,4,FALSE)</f>
        <v>1913050</v>
      </c>
      <c r="P600" s="56">
        <f>VLOOKUP($F600,'ZipCode Coordinates'!$A:$E,5,FALSE)</f>
        <v>6287520</v>
      </c>
      <c r="Q600" s="56">
        <f>VLOOKUP($G600,'ZipCode Coordinates'!$A:$E,4,FALSE)</f>
        <v>1998660</v>
      </c>
      <c r="R600" s="56">
        <f>VLOOKUP($G600,'ZipCode Coordinates'!$A:$E,5,FALSE)</f>
        <v>6234650</v>
      </c>
      <c r="S600" s="352" t="str">
        <f>IFERROR(VLOOKUP($M600,'External Gateways'!$C$6:$F$10,2,FALSE),"")</f>
        <v/>
      </c>
      <c r="T600" s="56">
        <f>IFERROR(VLOOKUP($M600,'External Gateways'!$C$6:$F$10,3,FALSE),O600)</f>
        <v>1913050</v>
      </c>
      <c r="U600" s="56">
        <f>IFERROR(VLOOKUP($M600,'External Gateways'!$C$6:$F$10,4,FALSE),P600)</f>
        <v>6287520</v>
      </c>
      <c r="V600" s="353">
        <f t="shared" si="18"/>
        <v>0</v>
      </c>
      <c r="W600" s="353">
        <f t="shared" si="19"/>
        <v>85</v>
      </c>
    </row>
    <row r="601" spans="1:23" ht="15" customHeight="1" x14ac:dyDescent="0.25">
      <c r="A601" s="128">
        <v>2644</v>
      </c>
      <c r="B601" s="129" t="s">
        <v>235</v>
      </c>
      <c r="C601" s="128" t="s">
        <v>452</v>
      </c>
      <c r="D601" s="129" t="s">
        <v>156</v>
      </c>
      <c r="E601" s="129" t="s">
        <v>155</v>
      </c>
      <c r="F601" s="129">
        <v>92027</v>
      </c>
      <c r="G601" s="129">
        <v>92008</v>
      </c>
      <c r="H601" s="130">
        <v>60</v>
      </c>
      <c r="I601" s="129" t="s">
        <v>401</v>
      </c>
      <c r="J601" s="130">
        <v>7</v>
      </c>
      <c r="K601" s="131"/>
      <c r="L601" s="131" t="s">
        <v>5</v>
      </c>
      <c r="M601" s="131" t="s">
        <v>325</v>
      </c>
      <c r="N601" s="131" t="s">
        <v>324</v>
      </c>
      <c r="O601" s="56">
        <f>VLOOKUP($F601,'ZipCode Coordinates'!$A:$E,4,FALSE)</f>
        <v>1994010</v>
      </c>
      <c r="P601" s="56">
        <f>VLOOKUP($F601,'ZipCode Coordinates'!$A:$E,5,FALSE)</f>
        <v>6337210</v>
      </c>
      <c r="Q601" s="56">
        <f>VLOOKUP($G601,'ZipCode Coordinates'!$A:$E,4,FALSE)</f>
        <v>1998660</v>
      </c>
      <c r="R601" s="56">
        <f>VLOOKUP($G601,'ZipCode Coordinates'!$A:$E,5,FALSE)</f>
        <v>6234650</v>
      </c>
      <c r="S601" s="352" t="str">
        <f>IFERROR(VLOOKUP($M601,'External Gateways'!$C$6:$F$10,2,FALSE),"")</f>
        <v/>
      </c>
      <c r="T601" s="56">
        <f>IFERROR(VLOOKUP($M601,'External Gateways'!$C$6:$F$10,3,FALSE),O601)</f>
        <v>1994010</v>
      </c>
      <c r="U601" s="56">
        <f>IFERROR(VLOOKUP($M601,'External Gateways'!$C$6:$F$10,4,FALSE),P601)</f>
        <v>6337210</v>
      </c>
      <c r="V601" s="353">
        <f t="shared" si="18"/>
        <v>0</v>
      </c>
      <c r="W601" s="353">
        <f t="shared" si="19"/>
        <v>60</v>
      </c>
    </row>
    <row r="602" spans="1:23" ht="15" customHeight="1" x14ac:dyDescent="0.25">
      <c r="A602" s="128">
        <v>2645</v>
      </c>
      <c r="B602" s="129" t="s">
        <v>164</v>
      </c>
      <c r="C602" s="128" t="s">
        <v>163</v>
      </c>
      <c r="D602" s="129" t="s">
        <v>165</v>
      </c>
      <c r="E602" s="129" t="s">
        <v>162</v>
      </c>
      <c r="F602" s="129">
        <v>91911</v>
      </c>
      <c r="G602" s="129">
        <v>92121</v>
      </c>
      <c r="H602" s="130">
        <v>52</v>
      </c>
      <c r="I602" s="129" t="s">
        <v>401</v>
      </c>
      <c r="J602" s="130">
        <v>7</v>
      </c>
      <c r="K602" s="131"/>
      <c r="L602" s="131" t="s">
        <v>5</v>
      </c>
      <c r="M602" s="131" t="s">
        <v>328</v>
      </c>
      <c r="N602" s="131" t="s">
        <v>327</v>
      </c>
      <c r="O602" s="56">
        <f>VLOOKUP($F602,'ZipCode Coordinates'!$A:$E,4,FALSE)</f>
        <v>1801570</v>
      </c>
      <c r="P602" s="56">
        <f>VLOOKUP($F602,'ZipCode Coordinates'!$A:$E,5,FALSE)</f>
        <v>6315270</v>
      </c>
      <c r="Q602" s="56">
        <f>VLOOKUP($G602,'ZipCode Coordinates'!$A:$E,4,FALSE)</f>
        <v>1907910</v>
      </c>
      <c r="R602" s="56">
        <f>VLOOKUP($G602,'ZipCode Coordinates'!$A:$E,5,FALSE)</f>
        <v>6269540</v>
      </c>
      <c r="S602" s="352" t="str">
        <f>IFERROR(VLOOKUP($M602,'External Gateways'!$C$6:$F$10,2,FALSE),"")</f>
        <v/>
      </c>
      <c r="T602" s="56">
        <f>IFERROR(VLOOKUP($M602,'External Gateways'!$C$6:$F$10,3,FALSE),O602)</f>
        <v>1801570</v>
      </c>
      <c r="U602" s="56">
        <f>IFERROR(VLOOKUP($M602,'External Gateways'!$C$6:$F$10,4,FALSE),P602)</f>
        <v>6315270</v>
      </c>
      <c r="V602" s="353">
        <f t="shared" si="18"/>
        <v>0</v>
      </c>
      <c r="W602" s="353">
        <f t="shared" si="19"/>
        <v>52</v>
      </c>
    </row>
    <row r="603" spans="1:23" ht="15" customHeight="1" x14ac:dyDescent="0.25">
      <c r="A603" s="128">
        <v>2647</v>
      </c>
      <c r="B603" s="129" t="s">
        <v>236</v>
      </c>
      <c r="C603" s="128" t="s">
        <v>166</v>
      </c>
      <c r="D603" s="129" t="s">
        <v>154</v>
      </c>
      <c r="E603" s="129" t="s">
        <v>155</v>
      </c>
      <c r="F603" s="129">
        <v>92591</v>
      </c>
      <c r="G603" s="129">
        <v>92010</v>
      </c>
      <c r="H603" s="130">
        <v>110</v>
      </c>
      <c r="I603" s="129" t="s">
        <v>455</v>
      </c>
      <c r="J603" s="130">
        <v>7</v>
      </c>
      <c r="K603" s="131"/>
      <c r="L603" s="131" t="s">
        <v>5</v>
      </c>
      <c r="M603" s="131" t="s">
        <v>402</v>
      </c>
      <c r="N603" s="131" t="s">
        <v>324</v>
      </c>
      <c r="O603" s="56">
        <f>VLOOKUP($F603,'ZipCode Coordinates'!$A:$E,4,FALSE)</f>
        <v>2138420</v>
      </c>
      <c r="P603" s="56">
        <f>VLOOKUP($F603,'ZipCode Coordinates'!$A:$E,5,FALSE)</f>
        <v>6299220</v>
      </c>
      <c r="Q603" s="56">
        <f>VLOOKUP($G603,'ZipCode Coordinates'!$A:$E,4,FALSE)</f>
        <v>2002190</v>
      </c>
      <c r="R603" s="56">
        <f>VLOOKUP($G603,'ZipCode Coordinates'!$A:$E,5,FALSE)</f>
        <v>6245090</v>
      </c>
      <c r="S603" s="352" t="str">
        <f>IFERROR(VLOOKUP($M603,'External Gateways'!$C$6:$F$10,2,FALSE),"")</f>
        <v>I-15</v>
      </c>
      <c r="T603" s="56">
        <f>IFERROR(VLOOKUP($M603,'External Gateways'!$C$6:$F$10,3,FALSE),O603)</f>
        <v>2102195</v>
      </c>
      <c r="U603" s="56">
        <f>IFERROR(VLOOKUP($M603,'External Gateways'!$C$6:$F$10,4,FALSE),P603)</f>
        <v>6289147</v>
      </c>
      <c r="V603" s="353">
        <f t="shared" si="18"/>
        <v>7.1211011888925713</v>
      </c>
      <c r="W603" s="353">
        <f t="shared" si="19"/>
        <v>95.757797622214852</v>
      </c>
    </row>
    <row r="604" spans="1:23" ht="15" customHeight="1" x14ac:dyDescent="0.25">
      <c r="A604" s="128">
        <v>2648</v>
      </c>
      <c r="B604" s="129" t="s">
        <v>82</v>
      </c>
      <c r="C604" s="128" t="s">
        <v>3</v>
      </c>
      <c r="D604" s="129" t="s">
        <v>191</v>
      </c>
      <c r="E604" s="129" t="s">
        <v>82</v>
      </c>
      <c r="F604" s="129">
        <v>92570</v>
      </c>
      <c r="G604" s="129">
        <v>92055</v>
      </c>
      <c r="H604" s="130">
        <v>110</v>
      </c>
      <c r="I604" s="129" t="s">
        <v>409</v>
      </c>
      <c r="J604" s="130">
        <v>8</v>
      </c>
      <c r="K604" s="131"/>
      <c r="L604" s="131" t="s">
        <v>3</v>
      </c>
      <c r="M604" s="131" t="s">
        <v>402</v>
      </c>
      <c r="N604" s="131" t="s">
        <v>324</v>
      </c>
      <c r="O604" s="56">
        <f>VLOOKUP($F604,'ZipCode Coordinates'!$A:$E,4,FALSE)</f>
        <v>2230700</v>
      </c>
      <c r="P604" s="56">
        <f>VLOOKUP($F604,'ZipCode Coordinates'!$A:$E,5,FALSE)</f>
        <v>6236220</v>
      </c>
      <c r="Q604" s="56">
        <f>VLOOKUP($G604,'ZipCode Coordinates'!$A:$E,4,FALSE)</f>
        <v>2082470</v>
      </c>
      <c r="R604" s="56">
        <f>VLOOKUP($G604,'ZipCode Coordinates'!$A:$E,5,FALSE)</f>
        <v>6206470</v>
      </c>
      <c r="S604" s="352" t="str">
        <f>IFERROR(VLOOKUP($M604,'External Gateways'!$C$6:$F$10,2,FALSE),"")</f>
        <v>I-15</v>
      </c>
      <c r="T604" s="56">
        <f>IFERROR(VLOOKUP($M604,'External Gateways'!$C$6:$F$10,3,FALSE),O604)</f>
        <v>2102195</v>
      </c>
      <c r="U604" s="56">
        <f>IFERROR(VLOOKUP($M604,'External Gateways'!$C$6:$F$10,4,FALSE),P604)</f>
        <v>6289147</v>
      </c>
      <c r="V604" s="353">
        <f t="shared" si="18"/>
        <v>26.321534947209251</v>
      </c>
      <c r="W604" s="353">
        <f t="shared" si="19"/>
        <v>57.356930105581498</v>
      </c>
    </row>
    <row r="605" spans="1:23" ht="15" customHeight="1" x14ac:dyDescent="0.25">
      <c r="A605" s="128">
        <v>2649</v>
      </c>
      <c r="B605" s="129" t="s">
        <v>307</v>
      </c>
      <c r="C605" s="128" t="s">
        <v>3</v>
      </c>
      <c r="D605" s="129" t="s">
        <v>165</v>
      </c>
      <c r="E605" s="129" t="s">
        <v>162</v>
      </c>
      <c r="F605" s="129">
        <v>91914</v>
      </c>
      <c r="G605" s="129">
        <v>92152</v>
      </c>
      <c r="H605" s="130">
        <v>110</v>
      </c>
      <c r="I605" s="129" t="s">
        <v>406</v>
      </c>
      <c r="J605" s="130">
        <v>7</v>
      </c>
      <c r="K605" s="131"/>
      <c r="L605" s="131" t="s">
        <v>3</v>
      </c>
      <c r="M605" s="131" t="s">
        <v>326</v>
      </c>
      <c r="N605" s="131" t="s">
        <v>323</v>
      </c>
      <c r="O605" s="56">
        <f>VLOOKUP($F605,'ZipCode Coordinates'!$A:$E,4,FALSE)</f>
        <v>1823440</v>
      </c>
      <c r="P605" s="56">
        <f>VLOOKUP($F605,'ZipCode Coordinates'!$A:$E,5,FALSE)</f>
        <v>6346410</v>
      </c>
      <c r="Q605" s="56">
        <f>VLOOKUP($G605,'ZipCode Coordinates'!$A:$E,4,FALSE)</f>
        <v>1833340</v>
      </c>
      <c r="R605" s="56">
        <f>VLOOKUP($G605,'ZipCode Coordinates'!$A:$E,5,FALSE)</f>
        <v>6255150</v>
      </c>
      <c r="S605" s="352" t="str">
        <f>IFERROR(VLOOKUP($M605,'External Gateways'!$C$6:$F$10,2,FALSE),"")</f>
        <v/>
      </c>
      <c r="T605" s="56">
        <f>IFERROR(VLOOKUP($M605,'External Gateways'!$C$6:$F$10,3,FALSE),O605)</f>
        <v>1823440</v>
      </c>
      <c r="U605" s="56">
        <f>IFERROR(VLOOKUP($M605,'External Gateways'!$C$6:$F$10,4,FALSE),P605)</f>
        <v>6346410</v>
      </c>
      <c r="V605" s="353">
        <f t="shared" si="18"/>
        <v>0</v>
      </c>
      <c r="W605" s="353">
        <f t="shared" si="19"/>
        <v>110</v>
      </c>
    </row>
    <row r="606" spans="1:23" ht="15" customHeight="1" x14ac:dyDescent="0.25">
      <c r="A606" s="128">
        <v>2650</v>
      </c>
      <c r="B606" s="129" t="s">
        <v>309</v>
      </c>
      <c r="C606" s="128" t="s">
        <v>198</v>
      </c>
      <c r="D606" s="129" t="s">
        <v>161</v>
      </c>
      <c r="E606" s="129" t="s">
        <v>155</v>
      </c>
      <c r="F606" s="129">
        <v>92596</v>
      </c>
      <c r="G606" s="129">
        <v>92008</v>
      </c>
      <c r="H606" s="130">
        <v>110</v>
      </c>
      <c r="I606" s="129" t="s">
        <v>406</v>
      </c>
      <c r="J606" s="130">
        <v>7</v>
      </c>
      <c r="K606" s="131"/>
      <c r="L606" s="131" t="s">
        <v>5</v>
      </c>
      <c r="M606" s="131" t="s">
        <v>402</v>
      </c>
      <c r="N606" s="131" t="s">
        <v>324</v>
      </c>
      <c r="O606" s="56">
        <f>VLOOKUP($F606,'ZipCode Coordinates'!$A:$E,4,FALSE)</f>
        <v>2177700</v>
      </c>
      <c r="P606" s="56">
        <f>VLOOKUP($F606,'ZipCode Coordinates'!$A:$E,5,FALSE)</f>
        <v>6311340</v>
      </c>
      <c r="Q606" s="56">
        <f>VLOOKUP($G606,'ZipCode Coordinates'!$A:$E,4,FALSE)</f>
        <v>1998660</v>
      </c>
      <c r="R606" s="56">
        <f>VLOOKUP($G606,'ZipCode Coordinates'!$A:$E,5,FALSE)</f>
        <v>6234650</v>
      </c>
      <c r="S606" s="352" t="str">
        <f>IFERROR(VLOOKUP($M606,'External Gateways'!$C$6:$F$10,2,FALSE),"")</f>
        <v>I-15</v>
      </c>
      <c r="T606" s="56">
        <f>IFERROR(VLOOKUP($M606,'External Gateways'!$C$6:$F$10,3,FALSE),O606)</f>
        <v>2102195</v>
      </c>
      <c r="U606" s="56">
        <f>IFERROR(VLOOKUP($M606,'External Gateways'!$C$6:$F$10,4,FALSE),P606)</f>
        <v>6289147</v>
      </c>
      <c r="V606" s="353">
        <f t="shared" si="18"/>
        <v>14.905115649451727</v>
      </c>
      <c r="W606" s="353">
        <f t="shared" si="19"/>
        <v>80.18976870109654</v>
      </c>
    </row>
    <row r="607" spans="1:23" ht="15" customHeight="1" x14ac:dyDescent="0.25">
      <c r="A607" s="128">
        <v>2651</v>
      </c>
      <c r="B607" s="129" t="s">
        <v>321</v>
      </c>
      <c r="C607" s="128" t="s">
        <v>166</v>
      </c>
      <c r="D607" s="129" t="s">
        <v>174</v>
      </c>
      <c r="E607" s="129" t="s">
        <v>210</v>
      </c>
      <c r="F607" s="129">
        <v>92173</v>
      </c>
      <c r="G607" s="129">
        <v>92081</v>
      </c>
      <c r="H607" s="130">
        <v>110</v>
      </c>
      <c r="I607" s="129" t="s">
        <v>430</v>
      </c>
      <c r="J607" s="130">
        <v>14</v>
      </c>
      <c r="K607" s="131"/>
      <c r="L607" s="131" t="s">
        <v>5</v>
      </c>
      <c r="M607" s="131" t="s">
        <v>328</v>
      </c>
      <c r="N607" s="131" t="s">
        <v>325</v>
      </c>
      <c r="O607" s="56">
        <f>VLOOKUP($F607,'ZipCode Coordinates'!$A:$E,4,FALSE)</f>
        <v>1782600</v>
      </c>
      <c r="P607" s="56">
        <f>VLOOKUP($F607,'ZipCode Coordinates'!$A:$E,5,FALSE)</f>
        <v>6315070</v>
      </c>
      <c r="Q607" s="56">
        <f>VLOOKUP($G607,'ZipCode Coordinates'!$A:$E,4,FALSE)</f>
        <v>2005090</v>
      </c>
      <c r="R607" s="56">
        <f>VLOOKUP($G607,'ZipCode Coordinates'!$A:$E,5,FALSE)</f>
        <v>6258440</v>
      </c>
      <c r="S607" s="352" t="str">
        <f>IFERROR(VLOOKUP($M607,'External Gateways'!$C$6:$F$10,2,FALSE),"")</f>
        <v/>
      </c>
      <c r="T607" s="56">
        <f>IFERROR(VLOOKUP($M607,'External Gateways'!$C$6:$F$10,3,FALSE),O607)</f>
        <v>1782600</v>
      </c>
      <c r="U607" s="56">
        <f>IFERROR(VLOOKUP($M607,'External Gateways'!$C$6:$F$10,4,FALSE),P607)</f>
        <v>6315070</v>
      </c>
      <c r="V607" s="353">
        <f t="shared" si="18"/>
        <v>0</v>
      </c>
      <c r="W607" s="353">
        <f t="shared" si="19"/>
        <v>110</v>
      </c>
    </row>
    <row r="608" spans="1:23" ht="15" customHeight="1" x14ac:dyDescent="0.25">
      <c r="A608" s="128">
        <v>2652</v>
      </c>
      <c r="B608" s="129" t="s">
        <v>258</v>
      </c>
      <c r="C608" s="128" t="s">
        <v>3</v>
      </c>
      <c r="D608" s="129" t="s">
        <v>158</v>
      </c>
      <c r="E608" s="129" t="s">
        <v>162</v>
      </c>
      <c r="F608" s="129">
        <v>92563</v>
      </c>
      <c r="G608" s="129">
        <v>92135</v>
      </c>
      <c r="H608" s="130">
        <v>185</v>
      </c>
      <c r="I608" s="129" t="s">
        <v>488</v>
      </c>
      <c r="J608" s="130">
        <v>7</v>
      </c>
      <c r="K608" s="131"/>
      <c r="L608" s="131" t="s">
        <v>3</v>
      </c>
      <c r="M608" s="131" t="s">
        <v>402</v>
      </c>
      <c r="N608" s="131" t="s">
        <v>323</v>
      </c>
      <c r="O608" s="56">
        <f>VLOOKUP($F608,'ZipCode Coordinates'!$A:$E,4,FALSE)</f>
        <v>2156450</v>
      </c>
      <c r="P608" s="56">
        <f>VLOOKUP($F608,'ZipCode Coordinates'!$A:$E,5,FALSE)</f>
        <v>6288710</v>
      </c>
      <c r="Q608" s="56">
        <f>VLOOKUP($G608,'ZipCode Coordinates'!$A:$E,4,FALSE)</f>
        <v>1835720</v>
      </c>
      <c r="R608" s="56">
        <f>VLOOKUP($G608,'ZipCode Coordinates'!$A:$E,5,FALSE)</f>
        <v>6266670</v>
      </c>
      <c r="S608" s="352" t="str">
        <f>IFERROR(VLOOKUP($M608,'External Gateways'!$C$6:$F$10,2,FALSE),"")</f>
        <v>I-15</v>
      </c>
      <c r="T608" s="56">
        <f>IFERROR(VLOOKUP($M608,'External Gateways'!$C$6:$F$10,3,FALSE),O608)</f>
        <v>2102195</v>
      </c>
      <c r="U608" s="56">
        <f>IFERROR(VLOOKUP($M608,'External Gateways'!$C$6:$F$10,4,FALSE),P608)</f>
        <v>6289147</v>
      </c>
      <c r="V608" s="353">
        <f t="shared" si="18"/>
        <v>10.275901494735123</v>
      </c>
      <c r="W608" s="353">
        <f t="shared" si="19"/>
        <v>164.44819701052975</v>
      </c>
    </row>
    <row r="609" spans="1:23" ht="15" customHeight="1" x14ac:dyDescent="0.25">
      <c r="A609" s="128">
        <v>2654</v>
      </c>
      <c r="B609" s="129" t="s">
        <v>171</v>
      </c>
      <c r="C609" s="128" t="s">
        <v>166</v>
      </c>
      <c r="D609" s="129" t="s">
        <v>175</v>
      </c>
      <c r="E609" s="129" t="s">
        <v>162</v>
      </c>
      <c r="F609" s="129">
        <v>92231</v>
      </c>
      <c r="G609" s="129">
        <v>92127</v>
      </c>
      <c r="H609" s="130">
        <v>248</v>
      </c>
      <c r="I609" s="129" t="s">
        <v>401</v>
      </c>
      <c r="J609" s="130">
        <v>7</v>
      </c>
      <c r="K609" s="131"/>
      <c r="L609" s="131" t="s">
        <v>5</v>
      </c>
      <c r="M609" s="131" t="s">
        <v>431</v>
      </c>
      <c r="N609" s="131" t="s">
        <v>327</v>
      </c>
      <c r="O609" s="56">
        <f>VLOOKUP($F609,'ZipCode Coordinates'!$A:$E,4,FALSE)</f>
        <v>1829680</v>
      </c>
      <c r="P609" s="56">
        <f>VLOOKUP($F609,'ZipCode Coordinates'!$A:$E,5,FALSE)</f>
        <v>6778130</v>
      </c>
      <c r="Q609" s="56">
        <f>VLOOKUP($G609,'ZipCode Coordinates'!$A:$E,4,FALSE)</f>
        <v>1951970</v>
      </c>
      <c r="R609" s="56">
        <f>VLOOKUP($G609,'ZipCode Coordinates'!$A:$E,5,FALSE)</f>
        <v>6293830</v>
      </c>
      <c r="S609" s="352" t="str">
        <f>IFERROR(VLOOKUP($M609,'External Gateways'!$C$6:$F$10,2,FALSE),"")</f>
        <v>I-8</v>
      </c>
      <c r="T609" s="56">
        <f>IFERROR(VLOOKUP($M609,'External Gateways'!$C$6:$F$10,3,FALSE),O609)</f>
        <v>1814524</v>
      </c>
      <c r="U609" s="56">
        <f>IFERROR(VLOOKUP($M609,'External Gateways'!$C$6:$F$10,4,FALSE),P609)</f>
        <v>6606089</v>
      </c>
      <c r="V609" s="353">
        <f t="shared" si="18"/>
        <v>32.709715110593962</v>
      </c>
      <c r="W609" s="353">
        <f t="shared" si="19"/>
        <v>182.58056977881208</v>
      </c>
    </row>
    <row r="610" spans="1:23" ht="15" customHeight="1" x14ac:dyDescent="0.25">
      <c r="A610" s="128">
        <v>3192</v>
      </c>
      <c r="B610" s="129" t="s">
        <v>315</v>
      </c>
      <c r="C610" s="128" t="s">
        <v>68</v>
      </c>
      <c r="D610" s="129" t="s">
        <v>316</v>
      </c>
      <c r="E610" s="129" t="s">
        <v>197</v>
      </c>
      <c r="F610" s="129">
        <v>92651</v>
      </c>
      <c r="G610" s="129">
        <v>92058</v>
      </c>
      <c r="H610" s="130">
        <v>160</v>
      </c>
      <c r="I610" s="129" t="s">
        <v>408</v>
      </c>
      <c r="J610" s="130">
        <v>7</v>
      </c>
      <c r="K610" s="131"/>
      <c r="L610" s="131" t="s">
        <v>68</v>
      </c>
      <c r="M610" s="131" t="s">
        <v>439</v>
      </c>
      <c r="N610" s="131" t="s">
        <v>324</v>
      </c>
      <c r="O610" s="56">
        <f>VLOOKUP($F610,'ZipCode Coordinates'!$A:$E,4,FALSE)</f>
        <v>2150350</v>
      </c>
      <c r="P610" s="56">
        <f>VLOOKUP($F610,'ZipCode Coordinates'!$A:$E,5,FALSE)</f>
        <v>6097760</v>
      </c>
      <c r="Q610" s="56">
        <f>VLOOKUP($G610,'ZipCode Coordinates'!$A:$E,4,FALSE)</f>
        <v>2042580</v>
      </c>
      <c r="R610" s="56">
        <f>VLOOKUP($G610,'ZipCode Coordinates'!$A:$E,5,FALSE)</f>
        <v>6223930</v>
      </c>
      <c r="S610" s="352" t="str">
        <f>IFERROR(VLOOKUP($M610,'External Gateways'!$C$6:$F$10,2,FALSE),"")</f>
        <v>I-5</v>
      </c>
      <c r="T610" s="56">
        <f>IFERROR(VLOOKUP($M610,'External Gateways'!$C$6:$F$10,3,FALSE),O610)</f>
        <v>2090594</v>
      </c>
      <c r="U610" s="56">
        <f>IFERROR(VLOOKUP($M610,'External Gateways'!$C$6:$F$10,4,FALSE),P610)</f>
        <v>6151524</v>
      </c>
      <c r="V610" s="353">
        <f t="shared" si="18"/>
        <v>15.223959423940325</v>
      </c>
      <c r="W610" s="353">
        <f t="shared" si="19"/>
        <v>129.55208115211934</v>
      </c>
    </row>
    <row r="611" spans="1:23" ht="15" customHeight="1" x14ac:dyDescent="0.25">
      <c r="A611" s="128">
        <v>3193</v>
      </c>
      <c r="B611" s="129" t="s">
        <v>516</v>
      </c>
      <c r="C611" s="128" t="s">
        <v>198</v>
      </c>
      <c r="D611" s="129" t="s">
        <v>154</v>
      </c>
      <c r="E611" s="129" t="s">
        <v>155</v>
      </c>
      <c r="F611" s="129">
        <v>92592</v>
      </c>
      <c r="G611" s="129">
        <v>92008</v>
      </c>
      <c r="H611" s="130">
        <v>83</v>
      </c>
      <c r="I611" s="129" t="s">
        <v>401</v>
      </c>
      <c r="J611" s="130">
        <v>7</v>
      </c>
      <c r="K611" s="131"/>
      <c r="L611" s="131" t="s">
        <v>5</v>
      </c>
      <c r="M611" s="131" t="s">
        <v>402</v>
      </c>
      <c r="N611" s="131" t="s">
        <v>324</v>
      </c>
      <c r="O611" s="56">
        <f>VLOOKUP($F611,'ZipCode Coordinates'!$A:$E,4,FALSE)</f>
        <v>2128740</v>
      </c>
      <c r="P611" s="56">
        <f>VLOOKUP($F611,'ZipCode Coordinates'!$A:$E,5,FALSE)</f>
        <v>6328900</v>
      </c>
      <c r="Q611" s="56">
        <f>VLOOKUP($G611,'ZipCode Coordinates'!$A:$E,4,FALSE)</f>
        <v>1998660</v>
      </c>
      <c r="R611" s="56">
        <f>VLOOKUP($G611,'ZipCode Coordinates'!$A:$E,5,FALSE)</f>
        <v>6234650</v>
      </c>
      <c r="S611" s="352" t="str">
        <f>IFERROR(VLOOKUP($M611,'External Gateways'!$C$6:$F$10,2,FALSE),"")</f>
        <v>I-15</v>
      </c>
      <c r="T611" s="56">
        <f>IFERROR(VLOOKUP($M611,'External Gateways'!$C$6:$F$10,3,FALSE),O611)</f>
        <v>2102195</v>
      </c>
      <c r="U611" s="56">
        <f>IFERROR(VLOOKUP($M611,'External Gateways'!$C$6:$F$10,4,FALSE),P611)</f>
        <v>6289147</v>
      </c>
      <c r="V611" s="353">
        <f t="shared" si="18"/>
        <v>9.0532245169037147</v>
      </c>
      <c r="W611" s="353">
        <f t="shared" si="19"/>
        <v>64.893550966192578</v>
      </c>
    </row>
    <row r="612" spans="1:23" ht="15" customHeight="1" x14ac:dyDescent="0.25">
      <c r="A612" s="128">
        <v>3195</v>
      </c>
      <c r="B612" s="129" t="s">
        <v>218</v>
      </c>
      <c r="C612" s="128" t="s">
        <v>68</v>
      </c>
      <c r="D612" s="129" t="s">
        <v>281</v>
      </c>
      <c r="E612" s="129" t="s">
        <v>162</v>
      </c>
      <c r="F612" s="129">
        <v>91945</v>
      </c>
      <c r="G612" s="129">
        <v>92161</v>
      </c>
      <c r="H612" s="130">
        <v>85</v>
      </c>
      <c r="I612" s="129" t="s">
        <v>408</v>
      </c>
      <c r="J612" s="130">
        <v>7</v>
      </c>
      <c r="K612" s="131"/>
      <c r="L612" s="131" t="s">
        <v>68</v>
      </c>
      <c r="M612" s="131" t="s">
        <v>326</v>
      </c>
      <c r="N612" s="131" t="s">
        <v>327</v>
      </c>
      <c r="O612" s="56">
        <f>VLOOKUP($F612,'ZipCode Coordinates'!$A:$E,4,FALSE)</f>
        <v>1847470</v>
      </c>
      <c r="P612" s="56">
        <f>VLOOKUP($F612,'ZipCode Coordinates'!$A:$E,5,FALSE)</f>
        <v>6320620</v>
      </c>
      <c r="Q612" s="56">
        <f>VLOOKUP($G612,'ZipCode Coordinates'!$A:$E,4,FALSE)</f>
        <v>1899477</v>
      </c>
      <c r="R612" s="56">
        <f>VLOOKUP($G612,'ZipCode Coordinates'!$A:$E,5,FALSE)</f>
        <v>6258957</v>
      </c>
      <c r="S612" s="352" t="str">
        <f>IFERROR(VLOOKUP($M612,'External Gateways'!$C$6:$F$10,2,FALSE),"")</f>
        <v/>
      </c>
      <c r="T612" s="56">
        <f>IFERROR(VLOOKUP($M612,'External Gateways'!$C$6:$F$10,3,FALSE),O612)</f>
        <v>1847470</v>
      </c>
      <c r="U612" s="56">
        <f>IFERROR(VLOOKUP($M612,'External Gateways'!$C$6:$F$10,4,FALSE),P612)</f>
        <v>6320620</v>
      </c>
      <c r="V612" s="353">
        <f t="shared" si="18"/>
        <v>0</v>
      </c>
      <c r="W612" s="353">
        <f t="shared" si="19"/>
        <v>85</v>
      </c>
    </row>
    <row r="613" spans="1:23" ht="15" customHeight="1" x14ac:dyDescent="0.25">
      <c r="A613" s="128">
        <v>3198</v>
      </c>
      <c r="B613" s="129" t="s">
        <v>218</v>
      </c>
      <c r="C613" s="128" t="s">
        <v>68</v>
      </c>
      <c r="D613" s="129" t="s">
        <v>165</v>
      </c>
      <c r="E613" s="129" t="s">
        <v>162</v>
      </c>
      <c r="F613" s="129">
        <v>91910</v>
      </c>
      <c r="G613" s="129">
        <v>92161</v>
      </c>
      <c r="H613" s="130">
        <v>110</v>
      </c>
      <c r="I613" s="129" t="s">
        <v>408</v>
      </c>
      <c r="J613" s="130">
        <v>7</v>
      </c>
      <c r="K613" s="131"/>
      <c r="L613" s="131" t="s">
        <v>68</v>
      </c>
      <c r="M613" s="131" t="s">
        <v>328</v>
      </c>
      <c r="N613" s="131" t="s">
        <v>327</v>
      </c>
      <c r="O613" s="56">
        <f>VLOOKUP($F613,'ZipCode Coordinates'!$A:$E,4,FALSE)</f>
        <v>1812850</v>
      </c>
      <c r="P613" s="56">
        <f>VLOOKUP($F613,'ZipCode Coordinates'!$A:$E,5,FALSE)</f>
        <v>6313650</v>
      </c>
      <c r="Q613" s="56">
        <f>VLOOKUP($G613,'ZipCode Coordinates'!$A:$E,4,FALSE)</f>
        <v>1899477</v>
      </c>
      <c r="R613" s="56">
        <f>VLOOKUP($G613,'ZipCode Coordinates'!$A:$E,5,FALSE)</f>
        <v>6258957</v>
      </c>
      <c r="S613" s="352" t="str">
        <f>IFERROR(VLOOKUP($M613,'External Gateways'!$C$6:$F$10,2,FALSE),"")</f>
        <v/>
      </c>
      <c r="T613" s="56">
        <f>IFERROR(VLOOKUP($M613,'External Gateways'!$C$6:$F$10,3,FALSE),O613)</f>
        <v>1812850</v>
      </c>
      <c r="U613" s="56">
        <f>IFERROR(VLOOKUP($M613,'External Gateways'!$C$6:$F$10,4,FALSE),P613)</f>
        <v>6313650</v>
      </c>
      <c r="V613" s="353">
        <f t="shared" si="18"/>
        <v>0</v>
      </c>
      <c r="W613" s="353">
        <f t="shared" si="19"/>
        <v>110</v>
      </c>
    </row>
    <row r="614" spans="1:23" ht="15" customHeight="1" x14ac:dyDescent="0.25">
      <c r="A614" s="128">
        <v>3199</v>
      </c>
      <c r="B614" s="129" t="s">
        <v>318</v>
      </c>
      <c r="C614" s="128" t="s">
        <v>68</v>
      </c>
      <c r="D614" s="129" t="s">
        <v>154</v>
      </c>
      <c r="E614" s="129" t="s">
        <v>162</v>
      </c>
      <c r="F614" s="129">
        <v>92591</v>
      </c>
      <c r="G614" s="129">
        <v>92108</v>
      </c>
      <c r="H614" s="130">
        <v>114</v>
      </c>
      <c r="I614" s="129" t="s">
        <v>434</v>
      </c>
      <c r="J614" s="130">
        <v>7</v>
      </c>
      <c r="K614" s="131"/>
      <c r="L614" s="131" t="s">
        <v>68</v>
      </c>
      <c r="M614" s="131" t="s">
        <v>402</v>
      </c>
      <c r="N614" s="131" t="s">
        <v>327</v>
      </c>
      <c r="O614" s="56">
        <f>VLOOKUP($F614,'ZipCode Coordinates'!$A:$E,4,FALSE)</f>
        <v>2138420</v>
      </c>
      <c r="P614" s="56">
        <f>VLOOKUP($F614,'ZipCode Coordinates'!$A:$E,5,FALSE)</f>
        <v>6299220</v>
      </c>
      <c r="Q614" s="56">
        <f>VLOOKUP($G614,'ZipCode Coordinates'!$A:$E,4,FALSE)</f>
        <v>1862470</v>
      </c>
      <c r="R614" s="56">
        <f>VLOOKUP($G614,'ZipCode Coordinates'!$A:$E,5,FALSE)</f>
        <v>6286860</v>
      </c>
      <c r="S614" s="352" t="str">
        <f>IFERROR(VLOOKUP($M614,'External Gateways'!$C$6:$F$10,2,FALSE),"")</f>
        <v>I-15</v>
      </c>
      <c r="T614" s="56">
        <f>IFERROR(VLOOKUP($M614,'External Gateways'!$C$6:$F$10,3,FALSE),O614)</f>
        <v>2102195</v>
      </c>
      <c r="U614" s="56">
        <f>IFERROR(VLOOKUP($M614,'External Gateways'!$C$6:$F$10,4,FALSE),P614)</f>
        <v>6289147</v>
      </c>
      <c r="V614" s="353">
        <f t="shared" si="18"/>
        <v>7.1211011888925713</v>
      </c>
      <c r="W614" s="353">
        <f t="shared" si="19"/>
        <v>99.757797622214852</v>
      </c>
    </row>
    <row r="615" spans="1:23" ht="15" customHeight="1" x14ac:dyDescent="0.25">
      <c r="A615" s="128">
        <v>3200</v>
      </c>
      <c r="B615" s="129" t="s">
        <v>82</v>
      </c>
      <c r="C615" s="128" t="s">
        <v>3</v>
      </c>
      <c r="D615" s="129" t="s">
        <v>154</v>
      </c>
      <c r="E615" s="129" t="s">
        <v>197</v>
      </c>
      <c r="F615" s="129">
        <v>92591</v>
      </c>
      <c r="G615" s="129">
        <v>92055</v>
      </c>
      <c r="H615" s="130">
        <v>110</v>
      </c>
      <c r="I615" s="129" t="s">
        <v>434</v>
      </c>
      <c r="J615" s="130">
        <v>7</v>
      </c>
      <c r="K615" s="131"/>
      <c r="L615" s="131" t="s">
        <v>3</v>
      </c>
      <c r="M615" s="131" t="s">
        <v>402</v>
      </c>
      <c r="N615" s="131" t="s">
        <v>324</v>
      </c>
      <c r="O615" s="56">
        <f>VLOOKUP($F615,'ZipCode Coordinates'!$A:$E,4,FALSE)</f>
        <v>2138420</v>
      </c>
      <c r="P615" s="56">
        <f>VLOOKUP($F615,'ZipCode Coordinates'!$A:$E,5,FALSE)</f>
        <v>6299220</v>
      </c>
      <c r="Q615" s="56">
        <f>VLOOKUP($G615,'ZipCode Coordinates'!$A:$E,4,FALSE)</f>
        <v>2082470</v>
      </c>
      <c r="R615" s="56">
        <f>VLOOKUP($G615,'ZipCode Coordinates'!$A:$E,5,FALSE)</f>
        <v>6206470</v>
      </c>
      <c r="S615" s="352" t="str">
        <f>IFERROR(VLOOKUP($M615,'External Gateways'!$C$6:$F$10,2,FALSE),"")</f>
        <v>I-15</v>
      </c>
      <c r="T615" s="56">
        <f>IFERROR(VLOOKUP($M615,'External Gateways'!$C$6:$F$10,3,FALSE),O615)</f>
        <v>2102195</v>
      </c>
      <c r="U615" s="56">
        <f>IFERROR(VLOOKUP($M615,'External Gateways'!$C$6:$F$10,4,FALSE),P615)</f>
        <v>6289147</v>
      </c>
      <c r="V615" s="353">
        <f t="shared" si="18"/>
        <v>7.1211011888925713</v>
      </c>
      <c r="W615" s="353">
        <f t="shared" si="19"/>
        <v>95.757797622214852</v>
      </c>
    </row>
    <row r="616" spans="1:23" ht="15" customHeight="1" x14ac:dyDescent="0.25">
      <c r="A616" s="128">
        <v>3201</v>
      </c>
      <c r="B616" s="129" t="s">
        <v>270</v>
      </c>
      <c r="C616" s="128" t="s">
        <v>3</v>
      </c>
      <c r="D616" s="129" t="s">
        <v>158</v>
      </c>
      <c r="E616" s="129" t="s">
        <v>162</v>
      </c>
      <c r="F616" s="129">
        <v>92562</v>
      </c>
      <c r="G616" s="129">
        <v>92132</v>
      </c>
      <c r="H616" s="130">
        <v>135</v>
      </c>
      <c r="I616" s="129" t="s">
        <v>406</v>
      </c>
      <c r="J616" s="130">
        <v>7</v>
      </c>
      <c r="K616" s="131">
        <v>2</v>
      </c>
      <c r="L616" s="131" t="s">
        <v>3</v>
      </c>
      <c r="M616" s="131" t="s">
        <v>402</v>
      </c>
      <c r="N616" s="131" t="s">
        <v>323</v>
      </c>
      <c r="O616" s="56">
        <f>VLOOKUP($F616,'ZipCode Coordinates'!$A:$E,4,FALSE)</f>
        <v>2144470</v>
      </c>
      <c r="P616" s="56">
        <f>VLOOKUP($F616,'ZipCode Coordinates'!$A:$E,5,FALSE)</f>
        <v>6251450</v>
      </c>
      <c r="Q616" s="56">
        <f>VLOOKUP($G616,'ZipCode Coordinates'!$A:$E,4,FALSE)</f>
        <v>1842732</v>
      </c>
      <c r="R616" s="56">
        <f>VLOOKUP($G616,'ZipCode Coordinates'!$A:$E,5,FALSE)</f>
        <v>6278505</v>
      </c>
      <c r="S616" s="352" t="str">
        <f>IFERROR(VLOOKUP($M616,'External Gateways'!$C$6:$F$10,2,FALSE),"")</f>
        <v>I-15</v>
      </c>
      <c r="T616" s="56">
        <f>IFERROR(VLOOKUP($M616,'External Gateways'!$C$6:$F$10,3,FALSE),O616)</f>
        <v>2102195</v>
      </c>
      <c r="U616" s="56">
        <f>IFERROR(VLOOKUP($M616,'External Gateways'!$C$6:$F$10,4,FALSE),P616)</f>
        <v>6289147</v>
      </c>
      <c r="V616" s="353">
        <f t="shared" si="18"/>
        <v>10.727523233277124</v>
      </c>
      <c r="W616" s="353">
        <f t="shared" si="19"/>
        <v>113.54495353344575</v>
      </c>
    </row>
    <row r="617" spans="1:23" ht="15" customHeight="1" x14ac:dyDescent="0.25">
      <c r="A617" s="128">
        <v>3202</v>
      </c>
      <c r="B617" s="129" t="s">
        <v>309</v>
      </c>
      <c r="C617" s="128" t="s">
        <v>198</v>
      </c>
      <c r="D617" s="129" t="s">
        <v>162</v>
      </c>
      <c r="E617" s="129" t="s">
        <v>155</v>
      </c>
      <c r="F617" s="129">
        <v>92126</v>
      </c>
      <c r="G617" s="129">
        <v>92008</v>
      </c>
      <c r="H617" s="130">
        <v>85</v>
      </c>
      <c r="I617" s="129" t="s">
        <v>408</v>
      </c>
      <c r="J617" s="130">
        <v>7</v>
      </c>
      <c r="K617" s="131"/>
      <c r="L617" s="131" t="s">
        <v>5</v>
      </c>
      <c r="M617" s="131" t="s">
        <v>327</v>
      </c>
      <c r="N617" s="131" t="s">
        <v>324</v>
      </c>
      <c r="O617" s="56">
        <f>VLOOKUP($F617,'ZipCode Coordinates'!$A:$E,4,FALSE)</f>
        <v>1913050</v>
      </c>
      <c r="P617" s="56">
        <f>VLOOKUP($F617,'ZipCode Coordinates'!$A:$E,5,FALSE)</f>
        <v>6287520</v>
      </c>
      <c r="Q617" s="56">
        <f>VLOOKUP($G617,'ZipCode Coordinates'!$A:$E,4,FALSE)</f>
        <v>1998660</v>
      </c>
      <c r="R617" s="56">
        <f>VLOOKUP($G617,'ZipCode Coordinates'!$A:$E,5,FALSE)</f>
        <v>6234650</v>
      </c>
      <c r="S617" s="352" t="str">
        <f>IFERROR(VLOOKUP($M617,'External Gateways'!$C$6:$F$10,2,FALSE),"")</f>
        <v/>
      </c>
      <c r="T617" s="56">
        <f>IFERROR(VLOOKUP($M617,'External Gateways'!$C$6:$F$10,3,FALSE),O617)</f>
        <v>1913050</v>
      </c>
      <c r="U617" s="56">
        <f>IFERROR(VLOOKUP($M617,'External Gateways'!$C$6:$F$10,4,FALSE),P617)</f>
        <v>6287520</v>
      </c>
      <c r="V617" s="353">
        <f t="shared" si="18"/>
        <v>0</v>
      </c>
      <c r="W617" s="353">
        <f t="shared" si="19"/>
        <v>85</v>
      </c>
    </row>
    <row r="618" spans="1:23" ht="15" customHeight="1" x14ac:dyDescent="0.25">
      <c r="A618" s="128">
        <v>3203</v>
      </c>
      <c r="B618" s="129" t="s">
        <v>238</v>
      </c>
      <c r="C618" s="128" t="s">
        <v>198</v>
      </c>
      <c r="D618" s="129" t="s">
        <v>188</v>
      </c>
      <c r="E618" s="129" t="s">
        <v>162</v>
      </c>
      <c r="F618" s="129">
        <v>92078</v>
      </c>
      <c r="G618" s="129">
        <v>92122</v>
      </c>
      <c r="H618" s="130">
        <v>83</v>
      </c>
      <c r="I618" s="129" t="s">
        <v>434</v>
      </c>
      <c r="J618" s="130">
        <v>7</v>
      </c>
      <c r="K618" s="131"/>
      <c r="L618" s="131" t="s">
        <v>5</v>
      </c>
      <c r="M618" s="131" t="s">
        <v>325</v>
      </c>
      <c r="N618" s="131" t="s">
        <v>327</v>
      </c>
      <c r="O618" s="56">
        <f>VLOOKUP($F618,'ZipCode Coordinates'!$A:$E,4,FALSE)</f>
        <v>1988050</v>
      </c>
      <c r="P618" s="56">
        <f>VLOOKUP($F618,'ZipCode Coordinates'!$A:$E,5,FALSE)</f>
        <v>6275270</v>
      </c>
      <c r="Q618" s="56">
        <f>VLOOKUP($G618,'ZipCode Coordinates'!$A:$E,4,FALSE)</f>
        <v>1893170</v>
      </c>
      <c r="R618" s="56">
        <f>VLOOKUP($G618,'ZipCode Coordinates'!$A:$E,5,FALSE)</f>
        <v>6267940</v>
      </c>
      <c r="S618" s="352" t="str">
        <f>IFERROR(VLOOKUP($M618,'External Gateways'!$C$6:$F$10,2,FALSE),"")</f>
        <v/>
      </c>
      <c r="T618" s="56">
        <f>IFERROR(VLOOKUP($M618,'External Gateways'!$C$6:$F$10,3,FALSE),O618)</f>
        <v>1988050</v>
      </c>
      <c r="U618" s="56">
        <f>IFERROR(VLOOKUP($M618,'External Gateways'!$C$6:$F$10,4,FALSE),P618)</f>
        <v>6275270</v>
      </c>
      <c r="V618" s="353">
        <f t="shared" si="18"/>
        <v>0</v>
      </c>
      <c r="W618" s="353">
        <f t="shared" si="19"/>
        <v>83</v>
      </c>
    </row>
    <row r="619" spans="1:23" ht="15" customHeight="1" x14ac:dyDescent="0.25">
      <c r="A619" s="128">
        <v>3205</v>
      </c>
      <c r="B619" s="129" t="s">
        <v>218</v>
      </c>
      <c r="C619" s="128" t="s">
        <v>68</v>
      </c>
      <c r="D619" s="129" t="s">
        <v>281</v>
      </c>
      <c r="E619" s="129" t="s">
        <v>162</v>
      </c>
      <c r="F619" s="129">
        <v>91945</v>
      </c>
      <c r="G619" s="129">
        <v>92161</v>
      </c>
      <c r="H619" s="130">
        <v>85</v>
      </c>
      <c r="I619" s="129" t="s">
        <v>434</v>
      </c>
      <c r="J619" s="130">
        <v>7</v>
      </c>
      <c r="K619" s="131"/>
      <c r="L619" s="131" t="s">
        <v>68</v>
      </c>
      <c r="M619" s="131" t="s">
        <v>326</v>
      </c>
      <c r="N619" s="131" t="s">
        <v>327</v>
      </c>
      <c r="O619" s="56">
        <f>VLOOKUP($F619,'ZipCode Coordinates'!$A:$E,4,FALSE)</f>
        <v>1847470</v>
      </c>
      <c r="P619" s="56">
        <f>VLOOKUP($F619,'ZipCode Coordinates'!$A:$E,5,FALSE)</f>
        <v>6320620</v>
      </c>
      <c r="Q619" s="56">
        <f>VLOOKUP($G619,'ZipCode Coordinates'!$A:$E,4,FALSE)</f>
        <v>1899477</v>
      </c>
      <c r="R619" s="56">
        <f>VLOOKUP($G619,'ZipCode Coordinates'!$A:$E,5,FALSE)</f>
        <v>6258957</v>
      </c>
      <c r="S619" s="352" t="str">
        <f>IFERROR(VLOOKUP($M619,'External Gateways'!$C$6:$F$10,2,FALSE),"")</f>
        <v/>
      </c>
      <c r="T619" s="56">
        <f>IFERROR(VLOOKUP($M619,'External Gateways'!$C$6:$F$10,3,FALSE),O619)</f>
        <v>1847470</v>
      </c>
      <c r="U619" s="56">
        <f>IFERROR(VLOOKUP($M619,'External Gateways'!$C$6:$F$10,4,FALSE),P619)</f>
        <v>6320620</v>
      </c>
      <c r="V619" s="353">
        <f t="shared" si="18"/>
        <v>0</v>
      </c>
      <c r="W619" s="353">
        <f t="shared" si="19"/>
        <v>85</v>
      </c>
    </row>
    <row r="620" spans="1:23" ht="15" customHeight="1" x14ac:dyDescent="0.25">
      <c r="A620" s="128">
        <v>3206</v>
      </c>
      <c r="B620" s="129" t="s">
        <v>267</v>
      </c>
      <c r="C620" s="128" t="s">
        <v>3</v>
      </c>
      <c r="D620" s="129" t="s">
        <v>154</v>
      </c>
      <c r="E620" s="129" t="s">
        <v>162</v>
      </c>
      <c r="F620" s="129">
        <v>92591</v>
      </c>
      <c r="G620" s="129">
        <v>92134</v>
      </c>
      <c r="H620" s="130">
        <v>160</v>
      </c>
      <c r="I620" s="129" t="s">
        <v>434</v>
      </c>
      <c r="J620" s="130">
        <v>7</v>
      </c>
      <c r="K620" s="131"/>
      <c r="L620" s="131" t="s">
        <v>3</v>
      </c>
      <c r="M620" s="131" t="s">
        <v>402</v>
      </c>
      <c r="N620" s="131" t="s">
        <v>323</v>
      </c>
      <c r="O620" s="56">
        <f>VLOOKUP($F620,'ZipCode Coordinates'!$A:$E,4,FALSE)</f>
        <v>2138420</v>
      </c>
      <c r="P620" s="56">
        <f>VLOOKUP($F620,'ZipCode Coordinates'!$A:$E,5,FALSE)</f>
        <v>6299220</v>
      </c>
      <c r="Q620" s="56">
        <f>VLOOKUP($G620,'ZipCode Coordinates'!$A:$E,4,FALSE)</f>
        <v>1845130</v>
      </c>
      <c r="R620" s="56">
        <f>VLOOKUP($G620,'ZipCode Coordinates'!$A:$E,5,FALSE)</f>
        <v>6286040</v>
      </c>
      <c r="S620" s="352" t="str">
        <f>IFERROR(VLOOKUP($M620,'External Gateways'!$C$6:$F$10,2,FALSE),"")</f>
        <v>I-15</v>
      </c>
      <c r="T620" s="56">
        <f>IFERROR(VLOOKUP($M620,'External Gateways'!$C$6:$F$10,3,FALSE),O620)</f>
        <v>2102195</v>
      </c>
      <c r="U620" s="56">
        <f>IFERROR(VLOOKUP($M620,'External Gateways'!$C$6:$F$10,4,FALSE),P620)</f>
        <v>6289147</v>
      </c>
      <c r="V620" s="353">
        <f t="shared" si="18"/>
        <v>7.1211011888925713</v>
      </c>
      <c r="W620" s="353">
        <f t="shared" si="19"/>
        <v>145.75779762221487</v>
      </c>
    </row>
    <row r="621" spans="1:23" ht="15" customHeight="1" x14ac:dyDescent="0.25">
      <c r="A621" s="128">
        <v>3207</v>
      </c>
      <c r="B621" s="129" t="s">
        <v>309</v>
      </c>
      <c r="C621" s="128" t="s">
        <v>198</v>
      </c>
      <c r="D621" s="129" t="s">
        <v>161</v>
      </c>
      <c r="E621" s="129" t="s">
        <v>155</v>
      </c>
      <c r="F621" s="129">
        <v>92596</v>
      </c>
      <c r="G621" s="129">
        <v>92008</v>
      </c>
      <c r="H621" s="130">
        <v>100</v>
      </c>
      <c r="I621" s="129" t="s">
        <v>460</v>
      </c>
      <c r="J621" s="130">
        <v>7</v>
      </c>
      <c r="K621" s="131"/>
      <c r="L621" s="131" t="s">
        <v>5</v>
      </c>
      <c r="M621" s="131" t="s">
        <v>402</v>
      </c>
      <c r="N621" s="131" t="s">
        <v>324</v>
      </c>
      <c r="O621" s="56">
        <f>VLOOKUP($F621,'ZipCode Coordinates'!$A:$E,4,FALSE)</f>
        <v>2177700</v>
      </c>
      <c r="P621" s="56">
        <f>VLOOKUP($F621,'ZipCode Coordinates'!$A:$E,5,FALSE)</f>
        <v>6311340</v>
      </c>
      <c r="Q621" s="56">
        <f>VLOOKUP($G621,'ZipCode Coordinates'!$A:$E,4,FALSE)</f>
        <v>1998660</v>
      </c>
      <c r="R621" s="56">
        <f>VLOOKUP($G621,'ZipCode Coordinates'!$A:$E,5,FALSE)</f>
        <v>6234650</v>
      </c>
      <c r="S621" s="352" t="str">
        <f>IFERROR(VLOOKUP($M621,'External Gateways'!$C$6:$F$10,2,FALSE),"")</f>
        <v>I-15</v>
      </c>
      <c r="T621" s="56">
        <f>IFERROR(VLOOKUP($M621,'External Gateways'!$C$6:$F$10,3,FALSE),O621)</f>
        <v>2102195</v>
      </c>
      <c r="U621" s="56">
        <f>IFERROR(VLOOKUP($M621,'External Gateways'!$C$6:$F$10,4,FALSE),P621)</f>
        <v>6289147</v>
      </c>
      <c r="V621" s="353">
        <f t="shared" si="18"/>
        <v>14.905115649451727</v>
      </c>
      <c r="W621" s="353">
        <f t="shared" si="19"/>
        <v>70.18976870109654</v>
      </c>
    </row>
    <row r="622" spans="1:23" ht="15" customHeight="1" x14ac:dyDescent="0.25">
      <c r="A622" s="128">
        <v>3325</v>
      </c>
      <c r="B622" s="129" t="s">
        <v>238</v>
      </c>
      <c r="C622" s="128" t="s">
        <v>198</v>
      </c>
      <c r="D622" s="129" t="s">
        <v>156</v>
      </c>
      <c r="E622" s="129" t="s">
        <v>162</v>
      </c>
      <c r="F622" s="129">
        <v>92025</v>
      </c>
      <c r="G622" s="129">
        <v>92122</v>
      </c>
      <c r="H622" s="130">
        <v>60</v>
      </c>
      <c r="I622" s="129" t="s">
        <v>406</v>
      </c>
      <c r="J622" s="130">
        <v>7</v>
      </c>
      <c r="K622" s="131"/>
      <c r="L622" s="131" t="s">
        <v>5</v>
      </c>
      <c r="M622" s="131" t="s">
        <v>325</v>
      </c>
      <c r="N622" s="131" t="s">
        <v>327</v>
      </c>
      <c r="O622" s="56">
        <f>VLOOKUP($F622,'ZipCode Coordinates'!$A:$E,4,FALSE)</f>
        <v>1975260</v>
      </c>
      <c r="P622" s="56">
        <f>VLOOKUP($F622,'ZipCode Coordinates'!$A:$E,5,FALSE)</f>
        <v>6323310</v>
      </c>
      <c r="Q622" s="56">
        <f>VLOOKUP($G622,'ZipCode Coordinates'!$A:$E,4,FALSE)</f>
        <v>1893170</v>
      </c>
      <c r="R622" s="56">
        <f>VLOOKUP($G622,'ZipCode Coordinates'!$A:$E,5,FALSE)</f>
        <v>6267940</v>
      </c>
      <c r="S622" s="352" t="str">
        <f>IFERROR(VLOOKUP($M622,'External Gateways'!$C$6:$F$10,2,FALSE),"")</f>
        <v/>
      </c>
      <c r="T622" s="56">
        <f>IFERROR(VLOOKUP($M622,'External Gateways'!$C$6:$F$10,3,FALSE),O622)</f>
        <v>1975260</v>
      </c>
      <c r="U622" s="56">
        <f>IFERROR(VLOOKUP($M622,'External Gateways'!$C$6:$F$10,4,FALSE),P622)</f>
        <v>6323310</v>
      </c>
      <c r="V622" s="353">
        <f t="shared" si="18"/>
        <v>0</v>
      </c>
      <c r="W622" s="353">
        <f t="shared" si="19"/>
        <v>60</v>
      </c>
    </row>
    <row r="623" spans="1:23" ht="15" customHeight="1" x14ac:dyDescent="0.25">
      <c r="A623" s="128">
        <v>3331</v>
      </c>
      <c r="B623" s="129" t="s">
        <v>213</v>
      </c>
      <c r="C623" s="128" t="s">
        <v>68</v>
      </c>
      <c r="D623" s="129" t="s">
        <v>161</v>
      </c>
      <c r="E623" s="129" t="s">
        <v>206</v>
      </c>
      <c r="F623" s="129">
        <v>92591</v>
      </c>
      <c r="G623" s="129">
        <v>92064</v>
      </c>
      <c r="H623" s="130">
        <v>135</v>
      </c>
      <c r="I623" s="129" t="s">
        <v>401</v>
      </c>
      <c r="J623" s="130">
        <v>7</v>
      </c>
      <c r="K623" s="131"/>
      <c r="L623" s="131" t="s">
        <v>68</v>
      </c>
      <c r="M623" s="131" t="s">
        <v>402</v>
      </c>
      <c r="N623" s="131" t="s">
        <v>327</v>
      </c>
      <c r="O623" s="56">
        <f>VLOOKUP($F623,'ZipCode Coordinates'!$A:$E,4,FALSE)</f>
        <v>2138420</v>
      </c>
      <c r="P623" s="56">
        <f>VLOOKUP($F623,'ZipCode Coordinates'!$A:$E,5,FALSE)</f>
        <v>6299220</v>
      </c>
      <c r="Q623" s="56">
        <f>VLOOKUP($G623,'ZipCode Coordinates'!$A:$E,4,FALSE)</f>
        <v>1939040</v>
      </c>
      <c r="R623" s="56">
        <f>VLOOKUP($G623,'ZipCode Coordinates'!$A:$E,5,FALSE)</f>
        <v>6325350</v>
      </c>
      <c r="S623" s="352" t="str">
        <f>IFERROR(VLOOKUP($M623,'External Gateways'!$C$6:$F$10,2,FALSE),"")</f>
        <v>I-15</v>
      </c>
      <c r="T623" s="56">
        <f>IFERROR(VLOOKUP($M623,'External Gateways'!$C$6:$F$10,3,FALSE),O623)</f>
        <v>2102195</v>
      </c>
      <c r="U623" s="56">
        <f>IFERROR(VLOOKUP($M623,'External Gateways'!$C$6:$F$10,4,FALSE),P623)</f>
        <v>6289147</v>
      </c>
      <c r="V623" s="353">
        <f t="shared" si="18"/>
        <v>7.1211011888925713</v>
      </c>
      <c r="W623" s="353">
        <f t="shared" si="19"/>
        <v>120.75779762221485</v>
      </c>
    </row>
    <row r="624" spans="1:23" ht="15" customHeight="1" x14ac:dyDescent="0.25">
      <c r="A624" s="128">
        <v>3332</v>
      </c>
      <c r="B624" s="129" t="s">
        <v>315</v>
      </c>
      <c r="C624" s="128" t="s">
        <v>68</v>
      </c>
      <c r="D624" s="129" t="s">
        <v>162</v>
      </c>
      <c r="E624" s="129" t="s">
        <v>201</v>
      </c>
      <c r="F624" s="129">
        <v>91942</v>
      </c>
      <c r="G624" s="129">
        <v>91962</v>
      </c>
      <c r="H624" s="130">
        <v>135</v>
      </c>
      <c r="I624" s="129" t="s">
        <v>408</v>
      </c>
      <c r="J624" s="130">
        <v>7</v>
      </c>
      <c r="K624" s="131"/>
      <c r="L624" s="131" t="s">
        <v>68</v>
      </c>
      <c r="M624" s="131" t="s">
        <v>326</v>
      </c>
      <c r="N624" s="131" t="s">
        <v>329</v>
      </c>
      <c r="O624" s="56">
        <f>VLOOKUP($F624,'ZipCode Coordinates'!$A:$E,4,FALSE)</f>
        <v>1863610</v>
      </c>
      <c r="P624" s="56">
        <f>VLOOKUP($F624,'ZipCode Coordinates'!$A:$E,5,FALSE)</f>
        <v>6324360</v>
      </c>
      <c r="Q624" s="56">
        <f>VLOOKUP($G624,'ZipCode Coordinates'!$A:$E,4,FALSE)</f>
        <v>1874980</v>
      </c>
      <c r="R624" s="56">
        <f>VLOOKUP($G624,'ZipCode Coordinates'!$A:$E,5,FALSE)</f>
        <v>6499110</v>
      </c>
      <c r="S624" s="352" t="str">
        <f>IFERROR(VLOOKUP($M624,'External Gateways'!$C$6:$F$10,2,FALSE),"")</f>
        <v/>
      </c>
      <c r="T624" s="56">
        <f>IFERROR(VLOOKUP($M624,'External Gateways'!$C$6:$F$10,3,FALSE),O624)</f>
        <v>1863610</v>
      </c>
      <c r="U624" s="56">
        <f>IFERROR(VLOOKUP($M624,'External Gateways'!$C$6:$F$10,4,FALSE),P624)</f>
        <v>6324360</v>
      </c>
      <c r="V624" s="353">
        <f t="shared" si="18"/>
        <v>0</v>
      </c>
      <c r="W624" s="353">
        <f t="shared" si="19"/>
        <v>135</v>
      </c>
    </row>
    <row r="625" spans="1:23" ht="15" customHeight="1" x14ac:dyDescent="0.25">
      <c r="A625" s="128">
        <v>3333</v>
      </c>
      <c r="B625" s="129" t="s">
        <v>82</v>
      </c>
      <c r="C625" s="128" t="s">
        <v>3</v>
      </c>
      <c r="D625" s="129" t="s">
        <v>170</v>
      </c>
      <c r="E625" s="129" t="s">
        <v>82</v>
      </c>
      <c r="F625" s="129">
        <v>92591</v>
      </c>
      <c r="G625" s="129">
        <v>92055</v>
      </c>
      <c r="H625" s="130">
        <v>85</v>
      </c>
      <c r="I625" s="129" t="s">
        <v>408</v>
      </c>
      <c r="J625" s="130">
        <v>7</v>
      </c>
      <c r="K625" s="131"/>
      <c r="L625" s="131" t="s">
        <v>3</v>
      </c>
      <c r="M625" s="131" t="s">
        <v>402</v>
      </c>
      <c r="N625" s="131" t="s">
        <v>324</v>
      </c>
      <c r="O625" s="56">
        <f>VLOOKUP($F625,'ZipCode Coordinates'!$A:$E,4,FALSE)</f>
        <v>2138420</v>
      </c>
      <c r="P625" s="56">
        <f>VLOOKUP($F625,'ZipCode Coordinates'!$A:$E,5,FALSE)</f>
        <v>6299220</v>
      </c>
      <c r="Q625" s="56">
        <f>VLOOKUP($G625,'ZipCode Coordinates'!$A:$E,4,FALSE)</f>
        <v>2082470</v>
      </c>
      <c r="R625" s="56">
        <f>VLOOKUP($G625,'ZipCode Coordinates'!$A:$E,5,FALSE)</f>
        <v>6206470</v>
      </c>
      <c r="S625" s="352" t="str">
        <f>IFERROR(VLOOKUP($M625,'External Gateways'!$C$6:$F$10,2,FALSE),"")</f>
        <v>I-15</v>
      </c>
      <c r="T625" s="56">
        <f>IFERROR(VLOOKUP($M625,'External Gateways'!$C$6:$F$10,3,FALSE),O625)</f>
        <v>2102195</v>
      </c>
      <c r="U625" s="56">
        <f>IFERROR(VLOOKUP($M625,'External Gateways'!$C$6:$F$10,4,FALSE),P625)</f>
        <v>6289147</v>
      </c>
      <c r="V625" s="353">
        <f t="shared" si="18"/>
        <v>7.1211011888925713</v>
      </c>
      <c r="W625" s="353">
        <f t="shared" si="19"/>
        <v>70.757797622214852</v>
      </c>
    </row>
    <row r="626" spans="1:23" ht="15" customHeight="1" x14ac:dyDescent="0.25">
      <c r="A626" s="128">
        <v>3338</v>
      </c>
      <c r="B626" s="129" t="s">
        <v>82</v>
      </c>
      <c r="C626" s="128" t="s">
        <v>3</v>
      </c>
      <c r="D626" s="129" t="s">
        <v>161</v>
      </c>
      <c r="E626" s="129" t="s">
        <v>82</v>
      </c>
      <c r="F626" s="129">
        <v>92596</v>
      </c>
      <c r="G626" s="129">
        <v>92055</v>
      </c>
      <c r="H626" s="130">
        <v>85</v>
      </c>
      <c r="I626" s="129" t="s">
        <v>408</v>
      </c>
      <c r="J626" s="130">
        <v>7</v>
      </c>
      <c r="K626" s="131"/>
      <c r="L626" s="131" t="s">
        <v>3</v>
      </c>
      <c r="M626" s="131" t="s">
        <v>402</v>
      </c>
      <c r="N626" s="131" t="s">
        <v>324</v>
      </c>
      <c r="O626" s="56">
        <f>VLOOKUP($F626,'ZipCode Coordinates'!$A:$E,4,FALSE)</f>
        <v>2177700</v>
      </c>
      <c r="P626" s="56">
        <f>VLOOKUP($F626,'ZipCode Coordinates'!$A:$E,5,FALSE)</f>
        <v>6311340</v>
      </c>
      <c r="Q626" s="56">
        <f>VLOOKUP($G626,'ZipCode Coordinates'!$A:$E,4,FALSE)</f>
        <v>2082470</v>
      </c>
      <c r="R626" s="56">
        <f>VLOOKUP($G626,'ZipCode Coordinates'!$A:$E,5,FALSE)</f>
        <v>6206470</v>
      </c>
      <c r="S626" s="352" t="str">
        <f>IFERROR(VLOOKUP($M626,'External Gateways'!$C$6:$F$10,2,FALSE),"")</f>
        <v>I-15</v>
      </c>
      <c r="T626" s="56">
        <f>IFERROR(VLOOKUP($M626,'External Gateways'!$C$6:$F$10,3,FALSE),O626)</f>
        <v>2102195</v>
      </c>
      <c r="U626" s="56">
        <f>IFERROR(VLOOKUP($M626,'External Gateways'!$C$6:$F$10,4,FALSE),P626)</f>
        <v>6289147</v>
      </c>
      <c r="V626" s="353">
        <f t="shared" si="18"/>
        <v>14.905115649451727</v>
      </c>
      <c r="W626" s="353">
        <f t="shared" si="19"/>
        <v>55.189768701096547</v>
      </c>
    </row>
    <row r="627" spans="1:23" ht="15" customHeight="1" x14ac:dyDescent="0.25">
      <c r="A627" s="128">
        <v>3340</v>
      </c>
      <c r="B627" s="129" t="s">
        <v>277</v>
      </c>
      <c r="C627" s="128" t="s">
        <v>198</v>
      </c>
      <c r="D627" s="129" t="s">
        <v>154</v>
      </c>
      <c r="E627" s="129" t="s">
        <v>162</v>
      </c>
      <c r="F627" s="129">
        <v>92592</v>
      </c>
      <c r="G627" s="129">
        <v>92121</v>
      </c>
      <c r="H627" s="130">
        <v>85</v>
      </c>
      <c r="I627" s="129" t="s">
        <v>408</v>
      </c>
      <c r="J627" s="130">
        <v>7</v>
      </c>
      <c r="K627" s="131"/>
      <c r="L627" s="131" t="s">
        <v>5</v>
      </c>
      <c r="M627" s="131" t="s">
        <v>402</v>
      </c>
      <c r="N627" s="131" t="s">
        <v>327</v>
      </c>
      <c r="O627" s="56">
        <f>VLOOKUP($F627,'ZipCode Coordinates'!$A:$E,4,FALSE)</f>
        <v>2128740</v>
      </c>
      <c r="P627" s="56">
        <f>VLOOKUP($F627,'ZipCode Coordinates'!$A:$E,5,FALSE)</f>
        <v>6328900</v>
      </c>
      <c r="Q627" s="56">
        <f>VLOOKUP($G627,'ZipCode Coordinates'!$A:$E,4,FALSE)</f>
        <v>1907910</v>
      </c>
      <c r="R627" s="56">
        <f>VLOOKUP($G627,'ZipCode Coordinates'!$A:$E,5,FALSE)</f>
        <v>6269540</v>
      </c>
      <c r="S627" s="352" t="str">
        <f>IFERROR(VLOOKUP($M627,'External Gateways'!$C$6:$F$10,2,FALSE),"")</f>
        <v>I-15</v>
      </c>
      <c r="T627" s="56">
        <f>IFERROR(VLOOKUP($M627,'External Gateways'!$C$6:$F$10,3,FALSE),O627)</f>
        <v>2102195</v>
      </c>
      <c r="U627" s="56">
        <f>IFERROR(VLOOKUP($M627,'External Gateways'!$C$6:$F$10,4,FALSE),P627)</f>
        <v>6289147</v>
      </c>
      <c r="V627" s="353">
        <f t="shared" si="18"/>
        <v>9.0532245169037147</v>
      </c>
      <c r="W627" s="353">
        <f t="shared" si="19"/>
        <v>66.893550966192578</v>
      </c>
    </row>
    <row r="628" spans="1:23" ht="15" customHeight="1" x14ac:dyDescent="0.25">
      <c r="A628" s="128">
        <v>3344</v>
      </c>
      <c r="B628" s="129" t="s">
        <v>238</v>
      </c>
      <c r="C628" s="128" t="s">
        <v>198</v>
      </c>
      <c r="D628" s="129" t="s">
        <v>162</v>
      </c>
      <c r="E628" s="129" t="s">
        <v>162</v>
      </c>
      <c r="F628" s="129">
        <v>92131</v>
      </c>
      <c r="G628" s="129">
        <v>92122</v>
      </c>
      <c r="H628" s="130">
        <v>60</v>
      </c>
      <c r="I628" s="129" t="s">
        <v>408</v>
      </c>
      <c r="J628" s="130">
        <v>7</v>
      </c>
      <c r="K628" s="131"/>
      <c r="L628" s="131" t="s">
        <v>5</v>
      </c>
      <c r="M628" s="131" t="s">
        <v>327</v>
      </c>
      <c r="N628" s="131" t="s">
        <v>327</v>
      </c>
      <c r="O628" s="56">
        <f>VLOOKUP($F628,'ZipCode Coordinates'!$A:$E,4,FALSE)</f>
        <v>1915270</v>
      </c>
      <c r="P628" s="56">
        <f>VLOOKUP($F628,'ZipCode Coordinates'!$A:$E,5,FALSE)</f>
        <v>6310350</v>
      </c>
      <c r="Q628" s="56">
        <f>VLOOKUP($G628,'ZipCode Coordinates'!$A:$E,4,FALSE)</f>
        <v>1893170</v>
      </c>
      <c r="R628" s="56">
        <f>VLOOKUP($G628,'ZipCode Coordinates'!$A:$E,5,FALSE)</f>
        <v>6267940</v>
      </c>
      <c r="S628" s="352" t="str">
        <f>IFERROR(VLOOKUP($M628,'External Gateways'!$C$6:$F$10,2,FALSE),"")</f>
        <v/>
      </c>
      <c r="T628" s="56">
        <f>IFERROR(VLOOKUP($M628,'External Gateways'!$C$6:$F$10,3,FALSE),O628)</f>
        <v>1915270</v>
      </c>
      <c r="U628" s="56">
        <f>IFERROR(VLOOKUP($M628,'External Gateways'!$C$6:$F$10,4,FALSE),P628)</f>
        <v>6310350</v>
      </c>
      <c r="V628" s="353">
        <f t="shared" si="18"/>
        <v>0</v>
      </c>
      <c r="W628" s="353">
        <f t="shared" si="19"/>
        <v>60</v>
      </c>
    </row>
    <row r="629" spans="1:23" ht="15" customHeight="1" x14ac:dyDescent="0.25">
      <c r="A629" s="128">
        <v>3346</v>
      </c>
      <c r="B629" s="129" t="s">
        <v>493</v>
      </c>
      <c r="C629" s="128" t="s">
        <v>3</v>
      </c>
      <c r="D629" s="129" t="s">
        <v>158</v>
      </c>
      <c r="E629" s="129" t="s">
        <v>203</v>
      </c>
      <c r="F629" s="129">
        <v>92562</v>
      </c>
      <c r="G629" s="129">
        <v>91950</v>
      </c>
      <c r="H629" s="130">
        <v>160</v>
      </c>
      <c r="I629" s="129" t="s">
        <v>408</v>
      </c>
      <c r="J629" s="130">
        <v>7</v>
      </c>
      <c r="K629" s="131"/>
      <c r="L629" s="131" t="s">
        <v>3</v>
      </c>
      <c r="M629" s="131" t="s">
        <v>402</v>
      </c>
      <c r="N629" s="131" t="s">
        <v>323</v>
      </c>
      <c r="O629" s="56">
        <f>VLOOKUP($F629,'ZipCode Coordinates'!$A:$E,4,FALSE)</f>
        <v>2144470</v>
      </c>
      <c r="P629" s="56">
        <f>VLOOKUP($F629,'ZipCode Coordinates'!$A:$E,5,FALSE)</f>
        <v>6251450</v>
      </c>
      <c r="Q629" s="56">
        <f>VLOOKUP($G629,'ZipCode Coordinates'!$A:$E,4,FALSE)</f>
        <v>1823970</v>
      </c>
      <c r="R629" s="56">
        <f>VLOOKUP($G629,'ZipCode Coordinates'!$A:$E,5,FALSE)</f>
        <v>6302610</v>
      </c>
      <c r="S629" s="352" t="str">
        <f>IFERROR(VLOOKUP($M629,'External Gateways'!$C$6:$F$10,2,FALSE),"")</f>
        <v>I-15</v>
      </c>
      <c r="T629" s="56">
        <f>IFERROR(VLOOKUP($M629,'External Gateways'!$C$6:$F$10,3,FALSE),O629)</f>
        <v>2102195</v>
      </c>
      <c r="U629" s="56">
        <f>IFERROR(VLOOKUP($M629,'External Gateways'!$C$6:$F$10,4,FALSE),P629)</f>
        <v>6289147</v>
      </c>
      <c r="V629" s="353">
        <f t="shared" si="18"/>
        <v>10.727523233277124</v>
      </c>
      <c r="W629" s="353">
        <f t="shared" si="19"/>
        <v>138.54495353344575</v>
      </c>
    </row>
    <row r="630" spans="1:23" ht="15" customHeight="1" x14ac:dyDescent="0.25">
      <c r="A630" s="128">
        <v>3347</v>
      </c>
      <c r="B630" s="129" t="s">
        <v>171</v>
      </c>
      <c r="C630" s="128" t="s">
        <v>166</v>
      </c>
      <c r="D630" s="129" t="s">
        <v>205</v>
      </c>
      <c r="E630" s="129" t="s">
        <v>162</v>
      </c>
      <c r="F630" s="129">
        <v>91942</v>
      </c>
      <c r="G630" s="129">
        <v>92113</v>
      </c>
      <c r="H630" s="130">
        <v>60</v>
      </c>
      <c r="I630" s="129" t="s">
        <v>401</v>
      </c>
      <c r="J630" s="130">
        <v>7</v>
      </c>
      <c r="K630" s="131"/>
      <c r="L630" s="131" t="s">
        <v>5</v>
      </c>
      <c r="M630" s="131" t="s">
        <v>326</v>
      </c>
      <c r="N630" s="131" t="s">
        <v>323</v>
      </c>
      <c r="O630" s="56">
        <f>VLOOKUP($F630,'ZipCode Coordinates'!$A:$E,4,FALSE)</f>
        <v>1863610</v>
      </c>
      <c r="P630" s="56">
        <f>VLOOKUP($F630,'ZipCode Coordinates'!$A:$E,5,FALSE)</f>
        <v>6324360</v>
      </c>
      <c r="Q630" s="56">
        <f>VLOOKUP($G630,'ZipCode Coordinates'!$A:$E,4,FALSE)</f>
        <v>1834470</v>
      </c>
      <c r="R630" s="56">
        <f>VLOOKUP($G630,'ZipCode Coordinates'!$A:$E,5,FALSE)</f>
        <v>6294590</v>
      </c>
      <c r="S630" s="352" t="str">
        <f>IFERROR(VLOOKUP($M630,'External Gateways'!$C$6:$F$10,2,FALSE),"")</f>
        <v/>
      </c>
      <c r="T630" s="56">
        <f>IFERROR(VLOOKUP($M630,'External Gateways'!$C$6:$F$10,3,FALSE),O630)</f>
        <v>1863610</v>
      </c>
      <c r="U630" s="56">
        <f>IFERROR(VLOOKUP($M630,'External Gateways'!$C$6:$F$10,4,FALSE),P630)</f>
        <v>6324360</v>
      </c>
      <c r="V630" s="353">
        <f t="shared" si="18"/>
        <v>0</v>
      </c>
      <c r="W630" s="353">
        <f t="shared" si="19"/>
        <v>60</v>
      </c>
    </row>
    <row r="631" spans="1:23" ht="15" customHeight="1" x14ac:dyDescent="0.25">
      <c r="A631" s="128">
        <v>3356</v>
      </c>
      <c r="B631" s="129" t="s">
        <v>315</v>
      </c>
      <c r="C631" s="128" t="s">
        <v>68</v>
      </c>
      <c r="D631" s="129" t="s">
        <v>161</v>
      </c>
      <c r="E631" s="129" t="s">
        <v>162</v>
      </c>
      <c r="F631" s="129">
        <v>92591</v>
      </c>
      <c r="G631" s="129">
        <v>92101</v>
      </c>
      <c r="H631" s="130">
        <v>160</v>
      </c>
      <c r="I631" s="129" t="s">
        <v>401</v>
      </c>
      <c r="J631" s="130">
        <v>7</v>
      </c>
      <c r="K631" s="131"/>
      <c r="L631" s="131" t="s">
        <v>68</v>
      </c>
      <c r="M631" s="131" t="s">
        <v>402</v>
      </c>
      <c r="N631" s="131" t="s">
        <v>323</v>
      </c>
      <c r="O631" s="56">
        <f>VLOOKUP($F631,'ZipCode Coordinates'!$A:$E,4,FALSE)</f>
        <v>2138420</v>
      </c>
      <c r="P631" s="56">
        <f>VLOOKUP($F631,'ZipCode Coordinates'!$A:$E,5,FALSE)</f>
        <v>6299220</v>
      </c>
      <c r="Q631" s="56">
        <f>VLOOKUP($G631,'ZipCode Coordinates'!$A:$E,4,FALSE)</f>
        <v>1844080</v>
      </c>
      <c r="R631" s="56">
        <f>VLOOKUP($G631,'ZipCode Coordinates'!$A:$E,5,FALSE)</f>
        <v>6278770</v>
      </c>
      <c r="S631" s="352" t="str">
        <f>IFERROR(VLOOKUP($M631,'External Gateways'!$C$6:$F$10,2,FALSE),"")</f>
        <v>I-15</v>
      </c>
      <c r="T631" s="56">
        <f>IFERROR(VLOOKUP($M631,'External Gateways'!$C$6:$F$10,3,FALSE),O631)</f>
        <v>2102195</v>
      </c>
      <c r="U631" s="56">
        <f>IFERROR(VLOOKUP($M631,'External Gateways'!$C$6:$F$10,4,FALSE),P631)</f>
        <v>6289147</v>
      </c>
      <c r="V631" s="353">
        <f t="shared" si="18"/>
        <v>7.1211011888925713</v>
      </c>
      <c r="W631" s="353">
        <f t="shared" si="19"/>
        <v>145.75779762221487</v>
      </c>
    </row>
    <row r="632" spans="1:23" ht="15" customHeight="1" x14ac:dyDescent="0.25">
      <c r="A632" s="128">
        <v>3357</v>
      </c>
      <c r="B632" s="129" t="s">
        <v>309</v>
      </c>
      <c r="C632" s="128" t="s">
        <v>198</v>
      </c>
      <c r="D632" s="129" t="s">
        <v>154</v>
      </c>
      <c r="E632" s="129" t="s">
        <v>155</v>
      </c>
      <c r="F632" s="129">
        <v>92591</v>
      </c>
      <c r="G632" s="129">
        <v>92008</v>
      </c>
      <c r="H632" s="130">
        <v>110</v>
      </c>
      <c r="I632" s="129" t="s">
        <v>406</v>
      </c>
      <c r="J632" s="130">
        <v>7</v>
      </c>
      <c r="K632" s="131"/>
      <c r="L632" s="131" t="s">
        <v>5</v>
      </c>
      <c r="M632" s="131" t="s">
        <v>402</v>
      </c>
      <c r="N632" s="131" t="s">
        <v>324</v>
      </c>
      <c r="O632" s="56">
        <f>VLOOKUP($F632,'ZipCode Coordinates'!$A:$E,4,FALSE)</f>
        <v>2138420</v>
      </c>
      <c r="P632" s="56">
        <f>VLOOKUP($F632,'ZipCode Coordinates'!$A:$E,5,FALSE)</f>
        <v>6299220</v>
      </c>
      <c r="Q632" s="56">
        <f>VLOOKUP($G632,'ZipCode Coordinates'!$A:$E,4,FALSE)</f>
        <v>1998660</v>
      </c>
      <c r="R632" s="56">
        <f>VLOOKUP($G632,'ZipCode Coordinates'!$A:$E,5,FALSE)</f>
        <v>6234650</v>
      </c>
      <c r="S632" s="352" t="str">
        <f>IFERROR(VLOOKUP($M632,'External Gateways'!$C$6:$F$10,2,FALSE),"")</f>
        <v>I-15</v>
      </c>
      <c r="T632" s="56">
        <f>IFERROR(VLOOKUP($M632,'External Gateways'!$C$6:$F$10,3,FALSE),O632)</f>
        <v>2102195</v>
      </c>
      <c r="U632" s="56">
        <f>IFERROR(VLOOKUP($M632,'External Gateways'!$C$6:$F$10,4,FALSE),P632)</f>
        <v>6289147</v>
      </c>
      <c r="V632" s="353">
        <f t="shared" si="18"/>
        <v>7.1211011888925713</v>
      </c>
      <c r="W632" s="353">
        <f t="shared" si="19"/>
        <v>95.757797622214852</v>
      </c>
    </row>
    <row r="633" spans="1:23" ht="15" customHeight="1" x14ac:dyDescent="0.25">
      <c r="A633" s="128">
        <v>3358</v>
      </c>
      <c r="B633" s="129" t="s">
        <v>447</v>
      </c>
      <c r="C633" s="128" t="s">
        <v>68</v>
      </c>
      <c r="D633" s="129" t="s">
        <v>172</v>
      </c>
      <c r="E633" s="129" t="s">
        <v>201</v>
      </c>
      <c r="F633" s="129">
        <v>92027</v>
      </c>
      <c r="G633" s="129">
        <v>91962</v>
      </c>
      <c r="H633" s="130">
        <v>160</v>
      </c>
      <c r="I633" s="129" t="s">
        <v>410</v>
      </c>
      <c r="J633" s="130">
        <v>12</v>
      </c>
      <c r="K633" s="131"/>
      <c r="L633" s="131" t="s">
        <v>68</v>
      </c>
      <c r="M633" s="131" t="s">
        <v>325</v>
      </c>
      <c r="N633" s="131" t="s">
        <v>329</v>
      </c>
      <c r="O633" s="56">
        <f>VLOOKUP($F633,'ZipCode Coordinates'!$A:$E,4,FALSE)</f>
        <v>1994010</v>
      </c>
      <c r="P633" s="56">
        <f>VLOOKUP($F633,'ZipCode Coordinates'!$A:$E,5,FALSE)</f>
        <v>6337210</v>
      </c>
      <c r="Q633" s="56">
        <f>VLOOKUP($G633,'ZipCode Coordinates'!$A:$E,4,FALSE)</f>
        <v>1874980</v>
      </c>
      <c r="R633" s="56">
        <f>VLOOKUP($G633,'ZipCode Coordinates'!$A:$E,5,FALSE)</f>
        <v>6499110</v>
      </c>
      <c r="S633" s="352" t="str">
        <f>IFERROR(VLOOKUP($M633,'External Gateways'!$C$6:$F$10,2,FALSE),"")</f>
        <v/>
      </c>
      <c r="T633" s="56">
        <f>IFERROR(VLOOKUP($M633,'External Gateways'!$C$6:$F$10,3,FALSE),O633)</f>
        <v>1994010</v>
      </c>
      <c r="U633" s="56">
        <f>IFERROR(VLOOKUP($M633,'External Gateways'!$C$6:$F$10,4,FALSE),P633)</f>
        <v>6337210</v>
      </c>
      <c r="V633" s="353">
        <f t="shared" si="18"/>
        <v>0</v>
      </c>
      <c r="W633" s="353">
        <f t="shared" si="19"/>
        <v>160</v>
      </c>
    </row>
    <row r="634" spans="1:23" ht="15" customHeight="1" x14ac:dyDescent="0.25">
      <c r="A634" s="128">
        <v>3359</v>
      </c>
      <c r="B634" s="129" t="s">
        <v>263</v>
      </c>
      <c r="C634" s="128" t="s">
        <v>166</v>
      </c>
      <c r="D634" s="129" t="s">
        <v>176</v>
      </c>
      <c r="E634" s="129" t="s">
        <v>162</v>
      </c>
      <c r="F634" s="129">
        <v>92243</v>
      </c>
      <c r="G634" s="129">
        <v>92113</v>
      </c>
      <c r="H634" s="130">
        <v>238</v>
      </c>
      <c r="I634" s="129" t="s">
        <v>475</v>
      </c>
      <c r="J634" s="130">
        <v>10</v>
      </c>
      <c r="K634" s="131"/>
      <c r="L634" s="131" t="s">
        <v>5</v>
      </c>
      <c r="M634" s="131" t="s">
        <v>431</v>
      </c>
      <c r="N634" s="131" t="s">
        <v>323</v>
      </c>
      <c r="O634" s="56">
        <f>VLOOKUP($F634,'ZipCode Coordinates'!$A:$E,4,FALSE)</f>
        <v>1861900</v>
      </c>
      <c r="P634" s="56">
        <f>VLOOKUP($F634,'ZipCode Coordinates'!$A:$E,5,FALSE)</f>
        <v>6761000</v>
      </c>
      <c r="Q634" s="56">
        <f>VLOOKUP($G634,'ZipCode Coordinates'!$A:$E,4,FALSE)</f>
        <v>1834470</v>
      </c>
      <c r="R634" s="56">
        <f>VLOOKUP($G634,'ZipCode Coordinates'!$A:$E,5,FALSE)</f>
        <v>6294590</v>
      </c>
      <c r="S634" s="352" t="str">
        <f>IFERROR(VLOOKUP($M634,'External Gateways'!$C$6:$F$10,2,FALSE),"")</f>
        <v>I-8</v>
      </c>
      <c r="T634" s="56">
        <f>IFERROR(VLOOKUP($M634,'External Gateways'!$C$6:$F$10,3,FALSE),O634)</f>
        <v>1814524</v>
      </c>
      <c r="U634" s="56">
        <f>IFERROR(VLOOKUP($M634,'External Gateways'!$C$6:$F$10,4,FALSE),P634)</f>
        <v>6606089</v>
      </c>
      <c r="V634" s="353">
        <f t="shared" si="18"/>
        <v>30.680592531285384</v>
      </c>
      <c r="W634" s="353">
        <f t="shared" si="19"/>
        <v>176.63881493742923</v>
      </c>
    </row>
    <row r="635" spans="1:23" ht="15" customHeight="1" x14ac:dyDescent="0.25">
      <c r="A635" s="128">
        <v>3360</v>
      </c>
      <c r="B635" s="129" t="s">
        <v>447</v>
      </c>
      <c r="C635" s="128" t="s">
        <v>68</v>
      </c>
      <c r="D635" s="129" t="s">
        <v>162</v>
      </c>
      <c r="E635" s="129" t="s">
        <v>201</v>
      </c>
      <c r="F635" s="129">
        <v>92021</v>
      </c>
      <c r="G635" s="129">
        <v>91962</v>
      </c>
      <c r="H635" s="130">
        <v>135</v>
      </c>
      <c r="I635" s="129" t="s">
        <v>406</v>
      </c>
      <c r="J635" s="130">
        <v>7</v>
      </c>
      <c r="K635" s="131"/>
      <c r="L635" s="131" t="s">
        <v>68</v>
      </c>
      <c r="M635" s="131" t="s">
        <v>326</v>
      </c>
      <c r="N635" s="131" t="s">
        <v>329</v>
      </c>
      <c r="O635" s="56">
        <f>VLOOKUP($F635,'ZipCode Coordinates'!$A:$E,4,FALSE)</f>
        <v>1885700</v>
      </c>
      <c r="P635" s="56">
        <f>VLOOKUP($F635,'ZipCode Coordinates'!$A:$E,5,FALSE)</f>
        <v>6371420</v>
      </c>
      <c r="Q635" s="56">
        <f>VLOOKUP($G635,'ZipCode Coordinates'!$A:$E,4,FALSE)</f>
        <v>1874980</v>
      </c>
      <c r="R635" s="56">
        <f>VLOOKUP($G635,'ZipCode Coordinates'!$A:$E,5,FALSE)</f>
        <v>6499110</v>
      </c>
      <c r="S635" s="352" t="str">
        <f>IFERROR(VLOOKUP($M635,'External Gateways'!$C$6:$F$10,2,FALSE),"")</f>
        <v/>
      </c>
      <c r="T635" s="56">
        <f>IFERROR(VLOOKUP($M635,'External Gateways'!$C$6:$F$10,3,FALSE),O635)</f>
        <v>1885700</v>
      </c>
      <c r="U635" s="56">
        <f>IFERROR(VLOOKUP($M635,'External Gateways'!$C$6:$F$10,4,FALSE),P635)</f>
        <v>6371420</v>
      </c>
      <c r="V635" s="353">
        <f t="shared" si="18"/>
        <v>0</v>
      </c>
      <c r="W635" s="353">
        <f t="shared" si="19"/>
        <v>135</v>
      </c>
    </row>
    <row r="636" spans="1:23" ht="15" customHeight="1" x14ac:dyDescent="0.25">
      <c r="A636" s="128">
        <v>3361</v>
      </c>
      <c r="B636" s="129" t="s">
        <v>82</v>
      </c>
      <c r="C636" s="128" t="s">
        <v>3</v>
      </c>
      <c r="D636" s="129" t="s">
        <v>162</v>
      </c>
      <c r="E636" s="129" t="s">
        <v>82</v>
      </c>
      <c r="F636" s="129">
        <v>92120</v>
      </c>
      <c r="G636" s="129">
        <v>92055</v>
      </c>
      <c r="H636" s="130">
        <v>85</v>
      </c>
      <c r="I636" s="129" t="s">
        <v>406</v>
      </c>
      <c r="J636" s="130">
        <v>7</v>
      </c>
      <c r="K636" s="131"/>
      <c r="L636" s="131" t="s">
        <v>3</v>
      </c>
      <c r="M636" s="131" t="s">
        <v>327</v>
      </c>
      <c r="N636" s="131" t="s">
        <v>324</v>
      </c>
      <c r="O636" s="56">
        <f>VLOOKUP($F636,'ZipCode Coordinates'!$A:$E,4,FALSE)</f>
        <v>1869860</v>
      </c>
      <c r="P636" s="56">
        <f>VLOOKUP($F636,'ZipCode Coordinates'!$A:$E,5,FALSE)</f>
        <v>6308830</v>
      </c>
      <c r="Q636" s="56">
        <f>VLOOKUP($G636,'ZipCode Coordinates'!$A:$E,4,FALSE)</f>
        <v>2082470</v>
      </c>
      <c r="R636" s="56">
        <f>VLOOKUP($G636,'ZipCode Coordinates'!$A:$E,5,FALSE)</f>
        <v>6206470</v>
      </c>
      <c r="S636" s="352" t="str">
        <f>IFERROR(VLOOKUP($M636,'External Gateways'!$C$6:$F$10,2,FALSE),"")</f>
        <v/>
      </c>
      <c r="T636" s="56">
        <f>IFERROR(VLOOKUP($M636,'External Gateways'!$C$6:$F$10,3,FALSE),O636)</f>
        <v>1869860</v>
      </c>
      <c r="U636" s="56">
        <f>IFERROR(VLOOKUP($M636,'External Gateways'!$C$6:$F$10,4,FALSE),P636)</f>
        <v>6308830</v>
      </c>
      <c r="V636" s="353">
        <f t="shared" si="18"/>
        <v>0</v>
      </c>
      <c r="W636" s="353">
        <f t="shared" si="19"/>
        <v>85</v>
      </c>
    </row>
    <row r="637" spans="1:23" ht="15" customHeight="1" x14ac:dyDescent="0.25">
      <c r="A637" s="128">
        <v>3363</v>
      </c>
      <c r="B637" s="129" t="s">
        <v>467</v>
      </c>
      <c r="C637" s="128" t="s">
        <v>3</v>
      </c>
      <c r="D637" s="129" t="s">
        <v>162</v>
      </c>
      <c r="E637" s="129" t="s">
        <v>176</v>
      </c>
      <c r="F637" s="129">
        <v>92126</v>
      </c>
      <c r="G637" s="129">
        <v>92243</v>
      </c>
      <c r="H637" s="130">
        <v>60</v>
      </c>
      <c r="I637" s="129" t="s">
        <v>406</v>
      </c>
      <c r="J637" s="130">
        <v>7</v>
      </c>
      <c r="K637" s="131"/>
      <c r="L637" s="131" t="s">
        <v>3</v>
      </c>
      <c r="M637" s="131" t="s">
        <v>327</v>
      </c>
      <c r="N637" s="131" t="s">
        <v>431</v>
      </c>
      <c r="O637" s="56">
        <f>VLOOKUP($F637,'ZipCode Coordinates'!$A:$E,4,FALSE)</f>
        <v>1913050</v>
      </c>
      <c r="P637" s="56">
        <f>VLOOKUP($F637,'ZipCode Coordinates'!$A:$E,5,FALSE)</f>
        <v>6287520</v>
      </c>
      <c r="Q637" s="56">
        <f>VLOOKUP($G637,'ZipCode Coordinates'!$A:$E,4,FALSE)</f>
        <v>1861900</v>
      </c>
      <c r="R637" s="56">
        <f>VLOOKUP($G637,'ZipCode Coordinates'!$A:$E,5,FALSE)</f>
        <v>6761000</v>
      </c>
      <c r="S637" s="352" t="str">
        <f>IFERROR(VLOOKUP($M637,'External Gateways'!$C$6:$F$10,2,FALSE),"")</f>
        <v/>
      </c>
      <c r="T637" s="56">
        <f>IFERROR(VLOOKUP($M637,'External Gateways'!$C$6:$F$10,3,FALSE),O637)</f>
        <v>1913050</v>
      </c>
      <c r="U637" s="56">
        <f>IFERROR(VLOOKUP($M637,'External Gateways'!$C$6:$F$10,4,FALSE),P637)</f>
        <v>6287520</v>
      </c>
      <c r="V637" s="353">
        <f t="shared" si="18"/>
        <v>0</v>
      </c>
      <c r="W637" s="353">
        <f t="shared" si="19"/>
        <v>60</v>
      </c>
    </row>
    <row r="638" spans="1:23" ht="15" customHeight="1" x14ac:dyDescent="0.25">
      <c r="A638" s="128">
        <v>3364</v>
      </c>
      <c r="B638" s="129" t="s">
        <v>218</v>
      </c>
      <c r="C638" s="128" t="s">
        <v>163</v>
      </c>
      <c r="D638" s="129" t="s">
        <v>162</v>
      </c>
      <c r="E638" s="129" t="s">
        <v>162</v>
      </c>
      <c r="F638" s="129">
        <v>92129</v>
      </c>
      <c r="G638" s="129">
        <v>92161</v>
      </c>
      <c r="H638" s="130">
        <v>60</v>
      </c>
      <c r="I638" s="129" t="s">
        <v>455</v>
      </c>
      <c r="J638" s="130">
        <v>7</v>
      </c>
      <c r="K638" s="131"/>
      <c r="L638" s="131" t="s">
        <v>5</v>
      </c>
      <c r="M638" s="131" t="s">
        <v>327</v>
      </c>
      <c r="N638" s="131" t="s">
        <v>327</v>
      </c>
      <c r="O638" s="56">
        <f>VLOOKUP($F638,'ZipCode Coordinates'!$A:$E,4,FALSE)</f>
        <v>1931860</v>
      </c>
      <c r="P638" s="56">
        <f>VLOOKUP($F638,'ZipCode Coordinates'!$A:$E,5,FALSE)</f>
        <v>6293150</v>
      </c>
      <c r="Q638" s="56">
        <f>VLOOKUP($G638,'ZipCode Coordinates'!$A:$E,4,FALSE)</f>
        <v>1899477</v>
      </c>
      <c r="R638" s="56">
        <f>VLOOKUP($G638,'ZipCode Coordinates'!$A:$E,5,FALSE)</f>
        <v>6258957</v>
      </c>
      <c r="S638" s="352" t="str">
        <f>IFERROR(VLOOKUP($M638,'External Gateways'!$C$6:$F$10,2,FALSE),"")</f>
        <v/>
      </c>
      <c r="T638" s="56">
        <f>IFERROR(VLOOKUP($M638,'External Gateways'!$C$6:$F$10,3,FALSE),O638)</f>
        <v>1931860</v>
      </c>
      <c r="U638" s="56">
        <f>IFERROR(VLOOKUP($M638,'External Gateways'!$C$6:$F$10,4,FALSE),P638)</f>
        <v>6293150</v>
      </c>
      <c r="V638" s="353">
        <f t="shared" si="18"/>
        <v>0</v>
      </c>
      <c r="W638" s="353">
        <f t="shared" si="19"/>
        <v>60</v>
      </c>
    </row>
    <row r="639" spans="1:23" ht="15" customHeight="1" x14ac:dyDescent="0.25">
      <c r="A639" s="128">
        <v>3366</v>
      </c>
      <c r="B639" s="129" t="s">
        <v>238</v>
      </c>
      <c r="C639" s="128" t="s">
        <v>198</v>
      </c>
      <c r="D639" s="129" t="s">
        <v>162</v>
      </c>
      <c r="E639" s="129" t="s">
        <v>162</v>
      </c>
      <c r="F639" s="129">
        <v>92127</v>
      </c>
      <c r="G639" s="129">
        <v>92122</v>
      </c>
      <c r="H639" s="130">
        <v>60</v>
      </c>
      <c r="I639" s="129" t="s">
        <v>406</v>
      </c>
      <c r="J639" s="130">
        <v>7</v>
      </c>
      <c r="K639" s="131"/>
      <c r="L639" s="131" t="s">
        <v>5</v>
      </c>
      <c r="M639" s="131" t="s">
        <v>327</v>
      </c>
      <c r="N639" s="131" t="s">
        <v>327</v>
      </c>
      <c r="O639" s="56">
        <f>VLOOKUP($F639,'ZipCode Coordinates'!$A:$E,4,FALSE)</f>
        <v>1951970</v>
      </c>
      <c r="P639" s="56">
        <f>VLOOKUP($F639,'ZipCode Coordinates'!$A:$E,5,FALSE)</f>
        <v>6293830</v>
      </c>
      <c r="Q639" s="56">
        <f>VLOOKUP($G639,'ZipCode Coordinates'!$A:$E,4,FALSE)</f>
        <v>1893170</v>
      </c>
      <c r="R639" s="56">
        <f>VLOOKUP($G639,'ZipCode Coordinates'!$A:$E,5,FALSE)</f>
        <v>6267940</v>
      </c>
      <c r="S639" s="352" t="str">
        <f>IFERROR(VLOOKUP($M639,'External Gateways'!$C$6:$F$10,2,FALSE),"")</f>
        <v/>
      </c>
      <c r="T639" s="56">
        <f>IFERROR(VLOOKUP($M639,'External Gateways'!$C$6:$F$10,3,FALSE),O639)</f>
        <v>1951970</v>
      </c>
      <c r="U639" s="56">
        <f>IFERROR(VLOOKUP($M639,'External Gateways'!$C$6:$F$10,4,FALSE),P639)</f>
        <v>6293830</v>
      </c>
      <c r="V639" s="353">
        <f t="shared" si="18"/>
        <v>0</v>
      </c>
      <c r="W639" s="353">
        <f t="shared" si="19"/>
        <v>60</v>
      </c>
    </row>
    <row r="640" spans="1:23" ht="15" customHeight="1" x14ac:dyDescent="0.25">
      <c r="A640" s="128">
        <v>3367</v>
      </c>
      <c r="B640" s="129" t="s">
        <v>280</v>
      </c>
      <c r="C640" s="128" t="s">
        <v>404</v>
      </c>
      <c r="D640" s="129" t="s">
        <v>162</v>
      </c>
      <c r="E640" s="129" t="s">
        <v>162</v>
      </c>
      <c r="F640" s="129">
        <v>92108</v>
      </c>
      <c r="G640" s="129">
        <v>92179</v>
      </c>
      <c r="H640" s="130">
        <v>85</v>
      </c>
      <c r="I640" s="129" t="s">
        <v>408</v>
      </c>
      <c r="J640" s="130">
        <v>7</v>
      </c>
      <c r="K640" s="131"/>
      <c r="L640" s="131" t="s">
        <v>5</v>
      </c>
      <c r="M640" s="131" t="s">
        <v>327</v>
      </c>
      <c r="N640" s="131" t="s">
        <v>328</v>
      </c>
      <c r="O640" s="56">
        <f>VLOOKUP($F640,'ZipCode Coordinates'!$A:$E,4,FALSE)</f>
        <v>1862470</v>
      </c>
      <c r="P640" s="56">
        <f>VLOOKUP($F640,'ZipCode Coordinates'!$A:$E,5,FALSE)</f>
        <v>6286860</v>
      </c>
      <c r="Q640" s="56">
        <f>VLOOKUP($G640,'ZipCode Coordinates'!$A:$E,4,FALSE)</f>
        <v>1789485</v>
      </c>
      <c r="R640" s="56">
        <f>VLOOKUP($G640,'ZipCode Coordinates'!$A:$E,5,FALSE)</f>
        <v>6349974</v>
      </c>
      <c r="S640" s="352" t="str">
        <f>IFERROR(VLOOKUP($M640,'External Gateways'!$C$6:$F$10,2,FALSE),"")</f>
        <v/>
      </c>
      <c r="T640" s="56">
        <f>IFERROR(VLOOKUP($M640,'External Gateways'!$C$6:$F$10,3,FALSE),O640)</f>
        <v>1862470</v>
      </c>
      <c r="U640" s="56">
        <f>IFERROR(VLOOKUP($M640,'External Gateways'!$C$6:$F$10,4,FALSE),P640)</f>
        <v>6286860</v>
      </c>
      <c r="V640" s="353">
        <f t="shared" si="18"/>
        <v>0</v>
      </c>
      <c r="W640" s="353">
        <f t="shared" si="19"/>
        <v>85</v>
      </c>
    </row>
    <row r="641" spans="1:23" ht="15" customHeight="1" x14ac:dyDescent="0.25">
      <c r="A641" s="128">
        <v>3368</v>
      </c>
      <c r="B641" s="129" t="s">
        <v>291</v>
      </c>
      <c r="C641" s="128" t="s">
        <v>163</v>
      </c>
      <c r="D641" s="129" t="s">
        <v>165</v>
      </c>
      <c r="E641" s="129" t="s">
        <v>162</v>
      </c>
      <c r="F641" s="129">
        <v>91950</v>
      </c>
      <c r="G641" s="129">
        <v>92127</v>
      </c>
      <c r="H641" s="130">
        <v>60</v>
      </c>
      <c r="I641" s="129" t="s">
        <v>408</v>
      </c>
      <c r="J641" s="130">
        <v>7</v>
      </c>
      <c r="K641" s="131"/>
      <c r="L641" s="131" t="s">
        <v>5</v>
      </c>
      <c r="M641" s="131" t="s">
        <v>323</v>
      </c>
      <c r="N641" s="131" t="s">
        <v>327</v>
      </c>
      <c r="O641" s="56">
        <f>VLOOKUP($F641,'ZipCode Coordinates'!$A:$E,4,FALSE)</f>
        <v>1823970</v>
      </c>
      <c r="P641" s="56">
        <f>VLOOKUP($F641,'ZipCode Coordinates'!$A:$E,5,FALSE)</f>
        <v>6302610</v>
      </c>
      <c r="Q641" s="56">
        <f>VLOOKUP($G641,'ZipCode Coordinates'!$A:$E,4,FALSE)</f>
        <v>1951970</v>
      </c>
      <c r="R641" s="56">
        <f>VLOOKUP($G641,'ZipCode Coordinates'!$A:$E,5,FALSE)</f>
        <v>6293830</v>
      </c>
      <c r="S641" s="352" t="str">
        <f>IFERROR(VLOOKUP($M641,'External Gateways'!$C$6:$F$10,2,FALSE),"")</f>
        <v/>
      </c>
      <c r="T641" s="56">
        <f>IFERROR(VLOOKUP($M641,'External Gateways'!$C$6:$F$10,3,FALSE),O641)</f>
        <v>1823970</v>
      </c>
      <c r="U641" s="56">
        <f>IFERROR(VLOOKUP($M641,'External Gateways'!$C$6:$F$10,4,FALSE),P641)</f>
        <v>6302610</v>
      </c>
      <c r="V641" s="353">
        <f t="shared" si="18"/>
        <v>0</v>
      </c>
      <c r="W641" s="353">
        <f t="shared" si="19"/>
        <v>60</v>
      </c>
    </row>
    <row r="642" spans="1:23" ht="15" customHeight="1" x14ac:dyDescent="0.25">
      <c r="A642" s="128">
        <v>3370</v>
      </c>
      <c r="B642" s="129" t="s">
        <v>236</v>
      </c>
      <c r="C642" s="128" t="s">
        <v>166</v>
      </c>
      <c r="D642" s="129" t="s">
        <v>162</v>
      </c>
      <c r="E642" s="129" t="s">
        <v>155</v>
      </c>
      <c r="F642" s="129">
        <v>92126</v>
      </c>
      <c r="G642" s="129">
        <v>92010</v>
      </c>
      <c r="H642" s="130">
        <v>60</v>
      </c>
      <c r="I642" s="129" t="s">
        <v>455</v>
      </c>
      <c r="J642" s="130">
        <v>7</v>
      </c>
      <c r="K642" s="131"/>
      <c r="L642" s="131" t="s">
        <v>5</v>
      </c>
      <c r="M642" s="131" t="s">
        <v>327</v>
      </c>
      <c r="N642" s="131" t="s">
        <v>324</v>
      </c>
      <c r="O642" s="56">
        <f>VLOOKUP($F642,'ZipCode Coordinates'!$A:$E,4,FALSE)</f>
        <v>1913050</v>
      </c>
      <c r="P642" s="56">
        <f>VLOOKUP($F642,'ZipCode Coordinates'!$A:$E,5,FALSE)</f>
        <v>6287520</v>
      </c>
      <c r="Q642" s="56">
        <f>VLOOKUP($G642,'ZipCode Coordinates'!$A:$E,4,FALSE)</f>
        <v>2002190</v>
      </c>
      <c r="R642" s="56">
        <f>VLOOKUP($G642,'ZipCode Coordinates'!$A:$E,5,FALSE)</f>
        <v>6245090</v>
      </c>
      <c r="S642" s="352" t="str">
        <f>IFERROR(VLOOKUP($M642,'External Gateways'!$C$6:$F$10,2,FALSE),"")</f>
        <v/>
      </c>
      <c r="T642" s="56">
        <f>IFERROR(VLOOKUP($M642,'External Gateways'!$C$6:$F$10,3,FALSE),O642)</f>
        <v>1913050</v>
      </c>
      <c r="U642" s="56">
        <f>IFERROR(VLOOKUP($M642,'External Gateways'!$C$6:$F$10,4,FALSE),P642)</f>
        <v>6287520</v>
      </c>
      <c r="V642" s="353">
        <f t="shared" si="18"/>
        <v>0</v>
      </c>
      <c r="W642" s="353">
        <f t="shared" si="19"/>
        <v>60</v>
      </c>
    </row>
    <row r="643" spans="1:23" ht="15" customHeight="1" x14ac:dyDescent="0.25">
      <c r="A643" s="128">
        <v>3371</v>
      </c>
      <c r="B643" s="129" t="s">
        <v>236</v>
      </c>
      <c r="C643" s="128" t="s">
        <v>166</v>
      </c>
      <c r="D643" s="129" t="s">
        <v>162</v>
      </c>
      <c r="E643" s="129" t="s">
        <v>155</v>
      </c>
      <c r="F643" s="129">
        <v>92126</v>
      </c>
      <c r="G643" s="129">
        <v>92010</v>
      </c>
      <c r="H643" s="130">
        <v>85</v>
      </c>
      <c r="I643" s="129" t="s">
        <v>408</v>
      </c>
      <c r="J643" s="130">
        <v>7</v>
      </c>
      <c r="K643" s="131"/>
      <c r="L643" s="131" t="s">
        <v>5</v>
      </c>
      <c r="M643" s="131" t="s">
        <v>327</v>
      </c>
      <c r="N643" s="131" t="s">
        <v>324</v>
      </c>
      <c r="O643" s="56">
        <f>VLOOKUP($F643,'ZipCode Coordinates'!$A:$E,4,FALSE)</f>
        <v>1913050</v>
      </c>
      <c r="P643" s="56">
        <f>VLOOKUP($F643,'ZipCode Coordinates'!$A:$E,5,FALSE)</f>
        <v>6287520</v>
      </c>
      <c r="Q643" s="56">
        <f>VLOOKUP($G643,'ZipCode Coordinates'!$A:$E,4,FALSE)</f>
        <v>2002190</v>
      </c>
      <c r="R643" s="56">
        <f>VLOOKUP($G643,'ZipCode Coordinates'!$A:$E,5,FALSE)</f>
        <v>6245090</v>
      </c>
      <c r="S643" s="352" t="str">
        <f>IFERROR(VLOOKUP($M643,'External Gateways'!$C$6:$F$10,2,FALSE),"")</f>
        <v/>
      </c>
      <c r="T643" s="56">
        <f>IFERROR(VLOOKUP($M643,'External Gateways'!$C$6:$F$10,3,FALSE),O643)</f>
        <v>1913050</v>
      </c>
      <c r="U643" s="56">
        <f>IFERROR(VLOOKUP($M643,'External Gateways'!$C$6:$F$10,4,FALSE),P643)</f>
        <v>6287520</v>
      </c>
      <c r="V643" s="353">
        <f t="shared" ref="V643:V701" si="20">SQRT((T643-O643)^2+(U643-P643)^2)/5280</f>
        <v>0</v>
      </c>
      <c r="W643" s="353">
        <f t="shared" ref="W643:W701" si="21">MAX(H643-2*V643,0)</f>
        <v>85</v>
      </c>
    </row>
    <row r="644" spans="1:23" ht="15" customHeight="1" x14ac:dyDescent="0.25">
      <c r="A644" s="128">
        <v>3372</v>
      </c>
      <c r="B644" s="129" t="s">
        <v>236</v>
      </c>
      <c r="C644" s="128" t="s">
        <v>166</v>
      </c>
      <c r="D644" s="129" t="s">
        <v>203</v>
      </c>
      <c r="E644" s="129" t="s">
        <v>155</v>
      </c>
      <c r="F644" s="129">
        <v>91950</v>
      </c>
      <c r="G644" s="129">
        <v>92010</v>
      </c>
      <c r="H644" s="130">
        <v>110</v>
      </c>
      <c r="I644" s="129" t="s">
        <v>416</v>
      </c>
      <c r="J644" s="130">
        <v>7</v>
      </c>
      <c r="K644" s="131"/>
      <c r="L644" s="131" t="s">
        <v>5</v>
      </c>
      <c r="M644" s="131" t="s">
        <v>323</v>
      </c>
      <c r="N644" s="131" t="s">
        <v>324</v>
      </c>
      <c r="O644" s="56">
        <f>VLOOKUP($F644,'ZipCode Coordinates'!$A:$E,4,FALSE)</f>
        <v>1823970</v>
      </c>
      <c r="P644" s="56">
        <f>VLOOKUP($F644,'ZipCode Coordinates'!$A:$E,5,FALSE)</f>
        <v>6302610</v>
      </c>
      <c r="Q644" s="56">
        <f>VLOOKUP($G644,'ZipCode Coordinates'!$A:$E,4,FALSE)</f>
        <v>2002190</v>
      </c>
      <c r="R644" s="56">
        <f>VLOOKUP($G644,'ZipCode Coordinates'!$A:$E,5,FALSE)</f>
        <v>6245090</v>
      </c>
      <c r="S644" s="352" t="str">
        <f>IFERROR(VLOOKUP($M644,'External Gateways'!$C$6:$F$10,2,FALSE),"")</f>
        <v/>
      </c>
      <c r="T644" s="56">
        <f>IFERROR(VLOOKUP($M644,'External Gateways'!$C$6:$F$10,3,FALSE),O644)</f>
        <v>1823970</v>
      </c>
      <c r="U644" s="56">
        <f>IFERROR(VLOOKUP($M644,'External Gateways'!$C$6:$F$10,4,FALSE),P644)</f>
        <v>6302610</v>
      </c>
      <c r="V644" s="353">
        <f t="shared" si="20"/>
        <v>0</v>
      </c>
      <c r="W644" s="353">
        <f t="shared" si="21"/>
        <v>110</v>
      </c>
    </row>
    <row r="645" spans="1:23" ht="15" customHeight="1" x14ac:dyDescent="0.25">
      <c r="A645" s="128">
        <v>3373</v>
      </c>
      <c r="B645" s="129" t="s">
        <v>236</v>
      </c>
      <c r="C645" s="128" t="s">
        <v>166</v>
      </c>
      <c r="D645" s="129" t="s">
        <v>162</v>
      </c>
      <c r="E645" s="129" t="s">
        <v>155</v>
      </c>
      <c r="F645" s="129">
        <v>92129</v>
      </c>
      <c r="G645" s="129">
        <v>92010</v>
      </c>
      <c r="H645" s="130">
        <v>60</v>
      </c>
      <c r="I645" s="129" t="s">
        <v>471</v>
      </c>
      <c r="J645" s="130">
        <v>8</v>
      </c>
      <c r="K645" s="131"/>
      <c r="L645" s="131" t="s">
        <v>5</v>
      </c>
      <c r="M645" s="131" t="s">
        <v>327</v>
      </c>
      <c r="N645" s="131" t="s">
        <v>324</v>
      </c>
      <c r="O645" s="56">
        <f>VLOOKUP($F645,'ZipCode Coordinates'!$A:$E,4,FALSE)</f>
        <v>1931860</v>
      </c>
      <c r="P645" s="56">
        <f>VLOOKUP($F645,'ZipCode Coordinates'!$A:$E,5,FALSE)</f>
        <v>6293150</v>
      </c>
      <c r="Q645" s="56">
        <f>VLOOKUP($G645,'ZipCode Coordinates'!$A:$E,4,FALSE)</f>
        <v>2002190</v>
      </c>
      <c r="R645" s="56">
        <f>VLOOKUP($G645,'ZipCode Coordinates'!$A:$E,5,FALSE)</f>
        <v>6245090</v>
      </c>
      <c r="S645" s="352" t="str">
        <f>IFERROR(VLOOKUP($M645,'External Gateways'!$C$6:$F$10,2,FALSE),"")</f>
        <v/>
      </c>
      <c r="T645" s="56">
        <f>IFERROR(VLOOKUP($M645,'External Gateways'!$C$6:$F$10,3,FALSE),O645)</f>
        <v>1931860</v>
      </c>
      <c r="U645" s="56">
        <f>IFERROR(VLOOKUP($M645,'External Gateways'!$C$6:$F$10,4,FALSE),P645)</f>
        <v>6293150</v>
      </c>
      <c r="V645" s="353">
        <f t="shared" si="20"/>
        <v>0</v>
      </c>
      <c r="W645" s="353">
        <f t="shared" si="21"/>
        <v>60</v>
      </c>
    </row>
    <row r="646" spans="1:23" ht="15" customHeight="1" x14ac:dyDescent="0.25">
      <c r="A646" s="128">
        <v>3374</v>
      </c>
      <c r="B646" s="129" t="s">
        <v>236</v>
      </c>
      <c r="C646" s="128" t="s">
        <v>166</v>
      </c>
      <c r="D646" s="129" t="s">
        <v>206</v>
      </c>
      <c r="E646" s="129" t="s">
        <v>155</v>
      </c>
      <c r="F646" s="129">
        <v>92064</v>
      </c>
      <c r="G646" s="129">
        <v>92010</v>
      </c>
      <c r="H646" s="130">
        <v>60</v>
      </c>
      <c r="I646" s="129" t="s">
        <v>407</v>
      </c>
      <c r="J646" s="130">
        <v>8</v>
      </c>
      <c r="K646" s="131"/>
      <c r="L646" s="131" t="s">
        <v>5</v>
      </c>
      <c r="M646" s="131" t="s">
        <v>327</v>
      </c>
      <c r="N646" s="131" t="s">
        <v>324</v>
      </c>
      <c r="O646" s="56">
        <f>VLOOKUP($F646,'ZipCode Coordinates'!$A:$E,4,FALSE)</f>
        <v>1939040</v>
      </c>
      <c r="P646" s="56">
        <f>VLOOKUP($F646,'ZipCode Coordinates'!$A:$E,5,FALSE)</f>
        <v>6325350</v>
      </c>
      <c r="Q646" s="56">
        <f>VLOOKUP($G646,'ZipCode Coordinates'!$A:$E,4,FALSE)</f>
        <v>2002190</v>
      </c>
      <c r="R646" s="56">
        <f>VLOOKUP($G646,'ZipCode Coordinates'!$A:$E,5,FALSE)</f>
        <v>6245090</v>
      </c>
      <c r="S646" s="352" t="str">
        <f>IFERROR(VLOOKUP($M646,'External Gateways'!$C$6:$F$10,2,FALSE),"")</f>
        <v/>
      </c>
      <c r="T646" s="56">
        <f>IFERROR(VLOOKUP($M646,'External Gateways'!$C$6:$F$10,3,FALSE),O646)</f>
        <v>1939040</v>
      </c>
      <c r="U646" s="56">
        <f>IFERROR(VLOOKUP($M646,'External Gateways'!$C$6:$F$10,4,FALSE),P646)</f>
        <v>6325350</v>
      </c>
      <c r="V646" s="353">
        <f t="shared" si="20"/>
        <v>0</v>
      </c>
      <c r="W646" s="353">
        <f t="shared" si="21"/>
        <v>60</v>
      </c>
    </row>
    <row r="647" spans="1:23" ht="15" customHeight="1" x14ac:dyDescent="0.25">
      <c r="A647" s="128">
        <v>3375</v>
      </c>
      <c r="B647" s="129" t="s">
        <v>236</v>
      </c>
      <c r="C647" s="128" t="s">
        <v>166</v>
      </c>
      <c r="D647" s="129" t="s">
        <v>194</v>
      </c>
      <c r="E647" s="129" t="s">
        <v>155</v>
      </c>
      <c r="F647" s="129">
        <v>91977</v>
      </c>
      <c r="G647" s="129">
        <v>92010</v>
      </c>
      <c r="H647" s="130">
        <v>110</v>
      </c>
      <c r="I647" s="129" t="s">
        <v>416</v>
      </c>
      <c r="J647" s="130">
        <v>7</v>
      </c>
      <c r="K647" s="131"/>
      <c r="L647" s="131" t="s">
        <v>5</v>
      </c>
      <c r="M647" s="131" t="s">
        <v>326</v>
      </c>
      <c r="N647" s="131" t="s">
        <v>324</v>
      </c>
      <c r="O647" s="56">
        <f>VLOOKUP($F647,'ZipCode Coordinates'!$A:$E,4,FALSE)</f>
        <v>1843860</v>
      </c>
      <c r="P647" s="56">
        <f>VLOOKUP($F647,'ZipCode Coordinates'!$A:$E,5,FALSE)</f>
        <v>6332240</v>
      </c>
      <c r="Q647" s="56">
        <f>VLOOKUP($G647,'ZipCode Coordinates'!$A:$E,4,FALSE)</f>
        <v>2002190</v>
      </c>
      <c r="R647" s="56">
        <f>VLOOKUP($G647,'ZipCode Coordinates'!$A:$E,5,FALSE)</f>
        <v>6245090</v>
      </c>
      <c r="S647" s="352" t="str">
        <f>IFERROR(VLOOKUP($M647,'External Gateways'!$C$6:$F$10,2,FALSE),"")</f>
        <v/>
      </c>
      <c r="T647" s="56">
        <f>IFERROR(VLOOKUP($M647,'External Gateways'!$C$6:$F$10,3,FALSE),O647)</f>
        <v>1843860</v>
      </c>
      <c r="U647" s="56">
        <f>IFERROR(VLOOKUP($M647,'External Gateways'!$C$6:$F$10,4,FALSE),P647)</f>
        <v>6332240</v>
      </c>
      <c r="V647" s="353">
        <f t="shared" si="20"/>
        <v>0</v>
      </c>
      <c r="W647" s="353">
        <f t="shared" si="21"/>
        <v>110</v>
      </c>
    </row>
    <row r="648" spans="1:23" ht="15" customHeight="1" x14ac:dyDescent="0.25">
      <c r="A648" s="128">
        <v>3376</v>
      </c>
      <c r="B648" s="129" t="s">
        <v>236</v>
      </c>
      <c r="C648" s="128" t="s">
        <v>166</v>
      </c>
      <c r="D648" s="129" t="s">
        <v>162</v>
      </c>
      <c r="E648" s="129" t="s">
        <v>155</v>
      </c>
      <c r="F648" s="129">
        <v>92128</v>
      </c>
      <c r="G648" s="129">
        <v>92010</v>
      </c>
      <c r="H648" s="130">
        <v>60</v>
      </c>
      <c r="I648" s="129" t="s">
        <v>424</v>
      </c>
      <c r="J648" s="130">
        <v>7</v>
      </c>
      <c r="K648" s="131"/>
      <c r="L648" s="131" t="s">
        <v>5</v>
      </c>
      <c r="M648" s="131" t="s">
        <v>327</v>
      </c>
      <c r="N648" s="131" t="s">
        <v>324</v>
      </c>
      <c r="O648" s="56">
        <f>VLOOKUP($F648,'ZipCode Coordinates'!$A:$E,4,FALSE)</f>
        <v>1943580</v>
      </c>
      <c r="P648" s="56">
        <f>VLOOKUP($F648,'ZipCode Coordinates'!$A:$E,5,FALSE)</f>
        <v>6309440</v>
      </c>
      <c r="Q648" s="56">
        <f>VLOOKUP($G648,'ZipCode Coordinates'!$A:$E,4,FALSE)</f>
        <v>2002190</v>
      </c>
      <c r="R648" s="56">
        <f>VLOOKUP($G648,'ZipCode Coordinates'!$A:$E,5,FALSE)</f>
        <v>6245090</v>
      </c>
      <c r="S648" s="352" t="str">
        <f>IFERROR(VLOOKUP($M648,'External Gateways'!$C$6:$F$10,2,FALSE),"")</f>
        <v/>
      </c>
      <c r="T648" s="56">
        <f>IFERROR(VLOOKUP($M648,'External Gateways'!$C$6:$F$10,3,FALSE),O648)</f>
        <v>1943580</v>
      </c>
      <c r="U648" s="56">
        <f>IFERROR(VLOOKUP($M648,'External Gateways'!$C$6:$F$10,4,FALSE),P648)</f>
        <v>6309440</v>
      </c>
      <c r="V648" s="353">
        <f t="shared" si="20"/>
        <v>0</v>
      </c>
      <c r="W648" s="353">
        <f t="shared" si="21"/>
        <v>60</v>
      </c>
    </row>
    <row r="649" spans="1:23" ht="15" customHeight="1" x14ac:dyDescent="0.25">
      <c r="A649" s="128">
        <v>3378</v>
      </c>
      <c r="B649" s="129" t="s">
        <v>258</v>
      </c>
      <c r="C649" s="128" t="s">
        <v>3</v>
      </c>
      <c r="D649" s="129" t="s">
        <v>154</v>
      </c>
      <c r="E649" s="129" t="s">
        <v>162</v>
      </c>
      <c r="F649" s="129">
        <v>92592</v>
      </c>
      <c r="G649" s="129">
        <v>92135</v>
      </c>
      <c r="H649" s="130">
        <v>160</v>
      </c>
      <c r="I649" s="129" t="s">
        <v>416</v>
      </c>
      <c r="J649" s="130">
        <v>7</v>
      </c>
      <c r="K649" s="131"/>
      <c r="L649" s="131" t="s">
        <v>3</v>
      </c>
      <c r="M649" s="131" t="s">
        <v>402</v>
      </c>
      <c r="N649" s="131" t="s">
        <v>323</v>
      </c>
      <c r="O649" s="56">
        <f>VLOOKUP($F649,'ZipCode Coordinates'!$A:$E,4,FALSE)</f>
        <v>2128740</v>
      </c>
      <c r="P649" s="56">
        <f>VLOOKUP($F649,'ZipCode Coordinates'!$A:$E,5,FALSE)</f>
        <v>6328900</v>
      </c>
      <c r="Q649" s="56">
        <f>VLOOKUP($G649,'ZipCode Coordinates'!$A:$E,4,FALSE)</f>
        <v>1835720</v>
      </c>
      <c r="R649" s="56">
        <f>VLOOKUP($G649,'ZipCode Coordinates'!$A:$E,5,FALSE)</f>
        <v>6266670</v>
      </c>
      <c r="S649" s="352" t="str">
        <f>IFERROR(VLOOKUP($M649,'External Gateways'!$C$6:$F$10,2,FALSE),"")</f>
        <v>I-15</v>
      </c>
      <c r="T649" s="56">
        <f>IFERROR(VLOOKUP($M649,'External Gateways'!$C$6:$F$10,3,FALSE),O649)</f>
        <v>2102195</v>
      </c>
      <c r="U649" s="56">
        <f>IFERROR(VLOOKUP($M649,'External Gateways'!$C$6:$F$10,4,FALSE),P649)</f>
        <v>6289147</v>
      </c>
      <c r="V649" s="353">
        <f t="shared" si="20"/>
        <v>9.0532245169037147</v>
      </c>
      <c r="W649" s="353">
        <f t="shared" si="21"/>
        <v>141.89355096619258</v>
      </c>
    </row>
    <row r="650" spans="1:23" ht="15" customHeight="1" x14ac:dyDescent="0.25">
      <c r="A650" s="128">
        <v>3379</v>
      </c>
      <c r="B650" s="129" t="s">
        <v>258</v>
      </c>
      <c r="C650" s="128" t="s">
        <v>3</v>
      </c>
      <c r="D650" s="129" t="s">
        <v>154</v>
      </c>
      <c r="E650" s="129" t="s">
        <v>162</v>
      </c>
      <c r="F650" s="129">
        <v>92592</v>
      </c>
      <c r="G650" s="129">
        <v>92135</v>
      </c>
      <c r="H650" s="130">
        <v>160</v>
      </c>
      <c r="I650" s="129" t="s">
        <v>455</v>
      </c>
      <c r="J650" s="130">
        <v>7</v>
      </c>
      <c r="K650" s="131"/>
      <c r="L650" s="131" t="s">
        <v>3</v>
      </c>
      <c r="M650" s="131" t="s">
        <v>402</v>
      </c>
      <c r="N650" s="131" t="s">
        <v>323</v>
      </c>
      <c r="O650" s="56">
        <f>VLOOKUP($F650,'ZipCode Coordinates'!$A:$E,4,FALSE)</f>
        <v>2128740</v>
      </c>
      <c r="P650" s="56">
        <f>VLOOKUP($F650,'ZipCode Coordinates'!$A:$E,5,FALSE)</f>
        <v>6328900</v>
      </c>
      <c r="Q650" s="56">
        <f>VLOOKUP($G650,'ZipCode Coordinates'!$A:$E,4,FALSE)</f>
        <v>1835720</v>
      </c>
      <c r="R650" s="56">
        <f>VLOOKUP($G650,'ZipCode Coordinates'!$A:$E,5,FALSE)</f>
        <v>6266670</v>
      </c>
      <c r="S650" s="352" t="str">
        <f>IFERROR(VLOOKUP($M650,'External Gateways'!$C$6:$F$10,2,FALSE),"")</f>
        <v>I-15</v>
      </c>
      <c r="T650" s="56">
        <f>IFERROR(VLOOKUP($M650,'External Gateways'!$C$6:$F$10,3,FALSE),O650)</f>
        <v>2102195</v>
      </c>
      <c r="U650" s="56">
        <f>IFERROR(VLOOKUP($M650,'External Gateways'!$C$6:$F$10,4,FALSE),P650)</f>
        <v>6289147</v>
      </c>
      <c r="V650" s="353">
        <f t="shared" si="20"/>
        <v>9.0532245169037147</v>
      </c>
      <c r="W650" s="353">
        <f t="shared" si="21"/>
        <v>141.89355096619258</v>
      </c>
    </row>
    <row r="651" spans="1:23" ht="15" customHeight="1" x14ac:dyDescent="0.25">
      <c r="A651" s="128">
        <v>3487</v>
      </c>
      <c r="B651" s="129" t="s">
        <v>309</v>
      </c>
      <c r="C651" s="128" t="s">
        <v>198</v>
      </c>
      <c r="D651" s="129" t="s">
        <v>162</v>
      </c>
      <c r="E651" s="129" t="s">
        <v>155</v>
      </c>
      <c r="F651" s="129">
        <v>92126</v>
      </c>
      <c r="G651" s="129">
        <v>92008</v>
      </c>
      <c r="H651" s="130">
        <v>85</v>
      </c>
      <c r="I651" s="129" t="s">
        <v>416</v>
      </c>
      <c r="J651" s="130">
        <v>7</v>
      </c>
      <c r="K651" s="131"/>
      <c r="L651" s="131" t="s">
        <v>5</v>
      </c>
      <c r="M651" s="131" t="s">
        <v>327</v>
      </c>
      <c r="N651" s="131" t="s">
        <v>324</v>
      </c>
      <c r="O651" s="56">
        <f>VLOOKUP($F651,'ZipCode Coordinates'!$A:$E,4,FALSE)</f>
        <v>1913050</v>
      </c>
      <c r="P651" s="56">
        <f>VLOOKUP($F651,'ZipCode Coordinates'!$A:$E,5,FALSE)</f>
        <v>6287520</v>
      </c>
      <c r="Q651" s="56">
        <f>VLOOKUP($G651,'ZipCode Coordinates'!$A:$E,4,FALSE)</f>
        <v>1998660</v>
      </c>
      <c r="R651" s="56">
        <f>VLOOKUP($G651,'ZipCode Coordinates'!$A:$E,5,FALSE)</f>
        <v>6234650</v>
      </c>
      <c r="S651" s="352" t="str">
        <f>IFERROR(VLOOKUP($M651,'External Gateways'!$C$6:$F$10,2,FALSE),"")</f>
        <v/>
      </c>
      <c r="T651" s="56">
        <f>IFERROR(VLOOKUP($M651,'External Gateways'!$C$6:$F$10,3,FALSE),O651)</f>
        <v>1913050</v>
      </c>
      <c r="U651" s="56">
        <f>IFERROR(VLOOKUP($M651,'External Gateways'!$C$6:$F$10,4,FALSE),P651)</f>
        <v>6287520</v>
      </c>
      <c r="V651" s="353">
        <f t="shared" si="20"/>
        <v>0</v>
      </c>
      <c r="W651" s="353">
        <f t="shared" si="21"/>
        <v>85</v>
      </c>
    </row>
    <row r="652" spans="1:23" ht="15" customHeight="1" x14ac:dyDescent="0.25">
      <c r="A652" s="128">
        <v>3488</v>
      </c>
      <c r="B652" s="129" t="s">
        <v>311</v>
      </c>
      <c r="C652" s="128" t="s">
        <v>411</v>
      </c>
      <c r="D652" s="129" t="s">
        <v>205</v>
      </c>
      <c r="E652" s="129" t="s">
        <v>413</v>
      </c>
      <c r="F652" s="129">
        <v>91942</v>
      </c>
      <c r="G652" s="129">
        <v>92093</v>
      </c>
      <c r="H652" s="130">
        <v>67</v>
      </c>
      <c r="I652" s="129" t="s">
        <v>418</v>
      </c>
      <c r="J652" s="130">
        <v>9</v>
      </c>
      <c r="K652" s="131"/>
      <c r="L652" s="131" t="s">
        <v>5</v>
      </c>
      <c r="M652" s="131" t="s">
        <v>326</v>
      </c>
      <c r="N652" s="131" t="s">
        <v>327</v>
      </c>
      <c r="O652" s="56">
        <f>VLOOKUP($F652,'ZipCode Coordinates'!$A:$E,4,FALSE)</f>
        <v>1863610</v>
      </c>
      <c r="P652" s="56">
        <f>VLOOKUP($F652,'ZipCode Coordinates'!$A:$E,5,FALSE)</f>
        <v>6324360</v>
      </c>
      <c r="Q652" s="56">
        <f>VLOOKUP($G652,'ZipCode Coordinates'!$A:$E,4,FALSE)</f>
        <v>1901870</v>
      </c>
      <c r="R652" s="56">
        <f>VLOOKUP($G652,'ZipCode Coordinates'!$A:$E,5,FALSE)</f>
        <v>6259600</v>
      </c>
      <c r="S652" s="352" t="str">
        <f>IFERROR(VLOOKUP($M652,'External Gateways'!$C$6:$F$10,2,FALSE),"")</f>
        <v/>
      </c>
      <c r="T652" s="56">
        <f>IFERROR(VLOOKUP($M652,'External Gateways'!$C$6:$F$10,3,FALSE),O652)</f>
        <v>1863610</v>
      </c>
      <c r="U652" s="56">
        <f>IFERROR(VLOOKUP($M652,'External Gateways'!$C$6:$F$10,4,FALSE),P652)</f>
        <v>6324360</v>
      </c>
      <c r="V652" s="353">
        <f t="shared" si="20"/>
        <v>0</v>
      </c>
      <c r="W652" s="353">
        <f t="shared" si="21"/>
        <v>67</v>
      </c>
    </row>
    <row r="653" spans="1:23" ht="15" customHeight="1" x14ac:dyDescent="0.25">
      <c r="A653" s="128">
        <v>3489</v>
      </c>
      <c r="B653" s="129" t="s">
        <v>311</v>
      </c>
      <c r="C653" s="128" t="s">
        <v>411</v>
      </c>
      <c r="D653" s="129" t="s">
        <v>165</v>
      </c>
      <c r="E653" s="129" t="s">
        <v>413</v>
      </c>
      <c r="F653" s="129">
        <v>91915</v>
      </c>
      <c r="G653" s="129">
        <v>92093</v>
      </c>
      <c r="H653" s="130">
        <v>79</v>
      </c>
      <c r="I653" s="129" t="s">
        <v>418</v>
      </c>
      <c r="J653" s="130">
        <v>9</v>
      </c>
      <c r="K653" s="131"/>
      <c r="L653" s="131" t="s">
        <v>5</v>
      </c>
      <c r="M653" s="131" t="s">
        <v>326</v>
      </c>
      <c r="N653" s="131" t="s">
        <v>327</v>
      </c>
      <c r="O653" s="56">
        <f>VLOOKUP($F653,'ZipCode Coordinates'!$A:$E,4,FALSE)</f>
        <v>1804550</v>
      </c>
      <c r="P653" s="56">
        <f>VLOOKUP($F653,'ZipCode Coordinates'!$A:$E,5,FALSE)</f>
        <v>6342300</v>
      </c>
      <c r="Q653" s="56">
        <f>VLOOKUP($G653,'ZipCode Coordinates'!$A:$E,4,FALSE)</f>
        <v>1901870</v>
      </c>
      <c r="R653" s="56">
        <f>VLOOKUP($G653,'ZipCode Coordinates'!$A:$E,5,FALSE)</f>
        <v>6259600</v>
      </c>
      <c r="S653" s="352" t="str">
        <f>IFERROR(VLOOKUP($M653,'External Gateways'!$C$6:$F$10,2,FALSE),"")</f>
        <v/>
      </c>
      <c r="T653" s="56">
        <f>IFERROR(VLOOKUP($M653,'External Gateways'!$C$6:$F$10,3,FALSE),O653)</f>
        <v>1804550</v>
      </c>
      <c r="U653" s="56">
        <f>IFERROR(VLOOKUP($M653,'External Gateways'!$C$6:$F$10,4,FALSE),P653)</f>
        <v>6342300</v>
      </c>
      <c r="V653" s="353">
        <f t="shared" si="20"/>
        <v>0</v>
      </c>
      <c r="W653" s="353">
        <f t="shared" si="21"/>
        <v>79</v>
      </c>
    </row>
    <row r="654" spans="1:23" ht="15" customHeight="1" x14ac:dyDescent="0.25">
      <c r="A654" s="128">
        <v>3490</v>
      </c>
      <c r="B654" s="129" t="s">
        <v>270</v>
      </c>
      <c r="C654" s="128" t="s">
        <v>3</v>
      </c>
      <c r="D654" s="129" t="s">
        <v>216</v>
      </c>
      <c r="E654" s="129" t="s">
        <v>162</v>
      </c>
      <c r="F654" s="129">
        <v>92677</v>
      </c>
      <c r="G654" s="129">
        <v>92132</v>
      </c>
      <c r="H654" s="130">
        <v>160</v>
      </c>
      <c r="I654" s="129" t="s">
        <v>416</v>
      </c>
      <c r="J654" s="130">
        <v>7</v>
      </c>
      <c r="K654" s="131">
        <v>2</v>
      </c>
      <c r="L654" s="131" t="s">
        <v>3</v>
      </c>
      <c r="M654" s="131" t="s">
        <v>439</v>
      </c>
      <c r="N654" s="131" t="s">
        <v>323</v>
      </c>
      <c r="O654" s="56">
        <f>VLOOKUP($F654,'ZipCode Coordinates'!$A:$E,4,FALSE)</f>
        <v>2138740</v>
      </c>
      <c r="P654" s="56">
        <f>VLOOKUP($F654,'ZipCode Coordinates'!$A:$E,5,FALSE)</f>
        <v>6118470</v>
      </c>
      <c r="Q654" s="56">
        <f>VLOOKUP($G654,'ZipCode Coordinates'!$A:$E,4,FALSE)</f>
        <v>1842732</v>
      </c>
      <c r="R654" s="56">
        <f>VLOOKUP($G654,'ZipCode Coordinates'!$A:$E,5,FALSE)</f>
        <v>6278505</v>
      </c>
      <c r="S654" s="352" t="str">
        <f>IFERROR(VLOOKUP($M654,'External Gateways'!$C$6:$F$10,2,FALSE),"")</f>
        <v>I-5</v>
      </c>
      <c r="T654" s="56">
        <f>IFERROR(VLOOKUP($M654,'External Gateways'!$C$6:$F$10,3,FALSE),O654)</f>
        <v>2090594</v>
      </c>
      <c r="U654" s="56">
        <f>IFERROR(VLOOKUP($M654,'External Gateways'!$C$6:$F$10,4,FALSE),P654)</f>
        <v>6151524</v>
      </c>
      <c r="V654" s="353">
        <f t="shared" si="20"/>
        <v>11.060677783598919</v>
      </c>
      <c r="W654" s="353">
        <f t="shared" si="21"/>
        <v>137.87864443280216</v>
      </c>
    </row>
    <row r="655" spans="1:23" ht="15" customHeight="1" x14ac:dyDescent="0.25">
      <c r="A655" s="128">
        <v>3491</v>
      </c>
      <c r="B655" s="129" t="s">
        <v>506</v>
      </c>
      <c r="C655" s="128" t="s">
        <v>68</v>
      </c>
      <c r="D655" s="129" t="s">
        <v>170</v>
      </c>
      <c r="E655" s="129" t="s">
        <v>162</v>
      </c>
      <c r="F655" s="129">
        <v>92584</v>
      </c>
      <c r="G655" s="129">
        <v>92108</v>
      </c>
      <c r="H655" s="130">
        <v>160</v>
      </c>
      <c r="I655" s="129" t="s">
        <v>408</v>
      </c>
      <c r="J655" s="130">
        <v>7</v>
      </c>
      <c r="K655" s="131"/>
      <c r="L655" s="131" t="s">
        <v>68</v>
      </c>
      <c r="M655" s="131" t="s">
        <v>402</v>
      </c>
      <c r="N655" s="131" t="s">
        <v>327</v>
      </c>
      <c r="O655" s="56">
        <f>VLOOKUP($F655,'ZipCode Coordinates'!$A:$E,4,FALSE)</f>
        <v>2185160</v>
      </c>
      <c r="P655" s="56">
        <f>VLOOKUP($F655,'ZipCode Coordinates'!$A:$E,5,FALSE)</f>
        <v>6280270</v>
      </c>
      <c r="Q655" s="56">
        <f>VLOOKUP($G655,'ZipCode Coordinates'!$A:$E,4,FALSE)</f>
        <v>1862470</v>
      </c>
      <c r="R655" s="56">
        <f>VLOOKUP($G655,'ZipCode Coordinates'!$A:$E,5,FALSE)</f>
        <v>6286860</v>
      </c>
      <c r="S655" s="352" t="str">
        <f>IFERROR(VLOOKUP($M655,'External Gateways'!$C$6:$F$10,2,FALSE),"")</f>
        <v>I-15</v>
      </c>
      <c r="T655" s="56">
        <f>IFERROR(VLOOKUP($M655,'External Gateways'!$C$6:$F$10,3,FALSE),O655)</f>
        <v>2102195</v>
      </c>
      <c r="U655" s="56">
        <f>IFERROR(VLOOKUP($M655,'External Gateways'!$C$6:$F$10,4,FALSE),P655)</f>
        <v>6289147</v>
      </c>
      <c r="V655" s="353">
        <f t="shared" si="20"/>
        <v>15.802756507931361</v>
      </c>
      <c r="W655" s="353">
        <f t="shared" si="21"/>
        <v>128.39448698413727</v>
      </c>
    </row>
    <row r="656" spans="1:23" ht="15" customHeight="1" x14ac:dyDescent="0.25">
      <c r="A656" s="128">
        <v>3492</v>
      </c>
      <c r="B656" s="129" t="s">
        <v>258</v>
      </c>
      <c r="C656" s="128" t="s">
        <v>3</v>
      </c>
      <c r="D656" s="129" t="s">
        <v>162</v>
      </c>
      <c r="E656" s="129" t="s">
        <v>162</v>
      </c>
      <c r="F656" s="129">
        <v>92595</v>
      </c>
      <c r="G656" s="129">
        <v>92135</v>
      </c>
      <c r="H656" s="130">
        <v>160</v>
      </c>
      <c r="I656" s="129" t="s">
        <v>416</v>
      </c>
      <c r="J656" s="130">
        <v>7</v>
      </c>
      <c r="K656" s="131"/>
      <c r="L656" s="131" t="s">
        <v>3</v>
      </c>
      <c r="M656" s="131" t="s">
        <v>402</v>
      </c>
      <c r="N656" s="131" t="s">
        <v>323</v>
      </c>
      <c r="O656" s="56">
        <f>VLOOKUP($F656,'ZipCode Coordinates'!$A:$E,4,FALSE)</f>
        <v>2170100</v>
      </c>
      <c r="P656" s="56">
        <f>VLOOKUP($F656,'ZipCode Coordinates'!$A:$E,5,FALSE)</f>
        <v>6254090</v>
      </c>
      <c r="Q656" s="56">
        <f>VLOOKUP($G656,'ZipCode Coordinates'!$A:$E,4,FALSE)</f>
        <v>1835720</v>
      </c>
      <c r="R656" s="56">
        <f>VLOOKUP($G656,'ZipCode Coordinates'!$A:$E,5,FALSE)</f>
        <v>6266670</v>
      </c>
      <c r="S656" s="352" t="str">
        <f>IFERROR(VLOOKUP($M656,'External Gateways'!$C$6:$F$10,2,FALSE),"")</f>
        <v>I-15</v>
      </c>
      <c r="T656" s="56">
        <f>IFERROR(VLOOKUP($M656,'External Gateways'!$C$6:$F$10,3,FALSE),O656)</f>
        <v>2102195</v>
      </c>
      <c r="U656" s="56">
        <f>IFERROR(VLOOKUP($M656,'External Gateways'!$C$6:$F$10,4,FALSE),P656)</f>
        <v>6289147</v>
      </c>
      <c r="V656" s="353">
        <f t="shared" si="20"/>
        <v>14.473566476992975</v>
      </c>
      <c r="W656" s="353">
        <f t="shared" si="21"/>
        <v>131.05286704601406</v>
      </c>
    </row>
    <row r="657" spans="1:23" ht="15" customHeight="1" x14ac:dyDescent="0.25">
      <c r="A657" s="128">
        <v>3494</v>
      </c>
      <c r="B657" s="129" t="s">
        <v>311</v>
      </c>
      <c r="C657" s="128" t="s">
        <v>411</v>
      </c>
      <c r="D657" s="129" t="s">
        <v>165</v>
      </c>
      <c r="E657" s="129" t="s">
        <v>413</v>
      </c>
      <c r="F657" s="129">
        <v>91911</v>
      </c>
      <c r="G657" s="129">
        <v>92093</v>
      </c>
      <c r="H657" s="130">
        <v>67</v>
      </c>
      <c r="I657" s="129" t="s">
        <v>418</v>
      </c>
      <c r="J657" s="130">
        <v>9</v>
      </c>
      <c r="K657" s="131"/>
      <c r="L657" s="131" t="s">
        <v>5</v>
      </c>
      <c r="M657" s="131" t="s">
        <v>328</v>
      </c>
      <c r="N657" s="131" t="s">
        <v>327</v>
      </c>
      <c r="O657" s="56">
        <f>VLOOKUP($F657,'ZipCode Coordinates'!$A:$E,4,FALSE)</f>
        <v>1801570</v>
      </c>
      <c r="P657" s="56">
        <f>VLOOKUP($F657,'ZipCode Coordinates'!$A:$E,5,FALSE)</f>
        <v>6315270</v>
      </c>
      <c r="Q657" s="56">
        <f>VLOOKUP($G657,'ZipCode Coordinates'!$A:$E,4,FALSE)</f>
        <v>1901870</v>
      </c>
      <c r="R657" s="56">
        <f>VLOOKUP($G657,'ZipCode Coordinates'!$A:$E,5,FALSE)</f>
        <v>6259600</v>
      </c>
      <c r="S657" s="352" t="str">
        <f>IFERROR(VLOOKUP($M657,'External Gateways'!$C$6:$F$10,2,FALSE),"")</f>
        <v/>
      </c>
      <c r="T657" s="56">
        <f>IFERROR(VLOOKUP($M657,'External Gateways'!$C$6:$F$10,3,FALSE),O657)</f>
        <v>1801570</v>
      </c>
      <c r="U657" s="56">
        <f>IFERROR(VLOOKUP($M657,'External Gateways'!$C$6:$F$10,4,FALSE),P657)</f>
        <v>6315270</v>
      </c>
      <c r="V657" s="353">
        <f t="shared" si="20"/>
        <v>0</v>
      </c>
      <c r="W657" s="353">
        <f t="shared" si="21"/>
        <v>67</v>
      </c>
    </row>
    <row r="658" spans="1:23" ht="15" customHeight="1" x14ac:dyDescent="0.25">
      <c r="A658" s="128">
        <v>3495</v>
      </c>
      <c r="B658" s="129" t="s">
        <v>451</v>
      </c>
      <c r="C658" s="128" t="s">
        <v>3</v>
      </c>
      <c r="D658" s="129" t="s">
        <v>154</v>
      </c>
      <c r="E658" s="129" t="s">
        <v>162</v>
      </c>
      <c r="F658" s="129">
        <v>92591</v>
      </c>
      <c r="G658" s="129">
        <v>92136</v>
      </c>
      <c r="H658" s="130">
        <v>160</v>
      </c>
      <c r="I658" s="129" t="s">
        <v>416</v>
      </c>
      <c r="J658" s="130">
        <v>7</v>
      </c>
      <c r="K658" s="131"/>
      <c r="L658" s="131" t="s">
        <v>3</v>
      </c>
      <c r="M658" s="131" t="s">
        <v>402</v>
      </c>
      <c r="N658" s="131" t="s">
        <v>323</v>
      </c>
      <c r="O658" s="56">
        <f>VLOOKUP($F658,'ZipCode Coordinates'!$A:$E,4,FALSE)</f>
        <v>2138420</v>
      </c>
      <c r="P658" s="56">
        <f>VLOOKUP($F658,'ZipCode Coordinates'!$A:$E,5,FALSE)</f>
        <v>6299220</v>
      </c>
      <c r="Q658" s="56">
        <f>VLOOKUP($G658,'ZipCode Coordinates'!$A:$E,4,FALSE)</f>
        <v>1828370</v>
      </c>
      <c r="R658" s="56">
        <f>VLOOKUP($G658,'ZipCode Coordinates'!$A:$E,5,FALSE)</f>
        <v>6293940</v>
      </c>
      <c r="S658" s="352" t="str">
        <f>IFERROR(VLOOKUP($M658,'External Gateways'!$C$6:$F$10,2,FALSE),"")</f>
        <v>I-15</v>
      </c>
      <c r="T658" s="56">
        <f>IFERROR(VLOOKUP($M658,'External Gateways'!$C$6:$F$10,3,FALSE),O658)</f>
        <v>2102195</v>
      </c>
      <c r="U658" s="56">
        <f>IFERROR(VLOOKUP($M658,'External Gateways'!$C$6:$F$10,4,FALSE),P658)</f>
        <v>6289147</v>
      </c>
      <c r="V658" s="353">
        <f t="shared" si="20"/>
        <v>7.1211011888925713</v>
      </c>
      <c r="W658" s="353">
        <f t="shared" si="21"/>
        <v>145.75779762221487</v>
      </c>
    </row>
    <row r="659" spans="1:23" ht="15" customHeight="1" x14ac:dyDescent="0.25">
      <c r="A659" s="128">
        <v>3496</v>
      </c>
      <c r="B659" s="129" t="s">
        <v>218</v>
      </c>
      <c r="C659" s="128" t="s">
        <v>163</v>
      </c>
      <c r="D659" s="129" t="s">
        <v>154</v>
      </c>
      <c r="E659" s="129" t="s">
        <v>413</v>
      </c>
      <c r="F659" s="129">
        <v>92592</v>
      </c>
      <c r="G659" s="129">
        <v>92161</v>
      </c>
      <c r="H659" s="130">
        <v>110</v>
      </c>
      <c r="I659" s="129" t="s">
        <v>406</v>
      </c>
      <c r="J659" s="130">
        <v>7</v>
      </c>
      <c r="K659" s="131"/>
      <c r="L659" s="131" t="s">
        <v>5</v>
      </c>
      <c r="M659" s="131" t="s">
        <v>402</v>
      </c>
      <c r="N659" s="131" t="s">
        <v>327</v>
      </c>
      <c r="O659" s="56">
        <f>VLOOKUP($F659,'ZipCode Coordinates'!$A:$E,4,FALSE)</f>
        <v>2128740</v>
      </c>
      <c r="P659" s="56">
        <f>VLOOKUP($F659,'ZipCode Coordinates'!$A:$E,5,FALSE)</f>
        <v>6328900</v>
      </c>
      <c r="Q659" s="56">
        <f>VLOOKUP($G659,'ZipCode Coordinates'!$A:$E,4,FALSE)</f>
        <v>1899477</v>
      </c>
      <c r="R659" s="56">
        <f>VLOOKUP($G659,'ZipCode Coordinates'!$A:$E,5,FALSE)</f>
        <v>6258957</v>
      </c>
      <c r="S659" s="352" t="str">
        <f>IFERROR(VLOOKUP($M659,'External Gateways'!$C$6:$F$10,2,FALSE),"")</f>
        <v>I-15</v>
      </c>
      <c r="T659" s="56">
        <f>IFERROR(VLOOKUP($M659,'External Gateways'!$C$6:$F$10,3,FALSE),O659)</f>
        <v>2102195</v>
      </c>
      <c r="U659" s="56">
        <f>IFERROR(VLOOKUP($M659,'External Gateways'!$C$6:$F$10,4,FALSE),P659)</f>
        <v>6289147</v>
      </c>
      <c r="V659" s="353">
        <f t="shared" si="20"/>
        <v>9.0532245169037147</v>
      </c>
      <c r="W659" s="353">
        <f t="shared" si="21"/>
        <v>91.893550966192578</v>
      </c>
    </row>
    <row r="660" spans="1:23" ht="15" customHeight="1" x14ac:dyDescent="0.25">
      <c r="A660" s="128">
        <v>3497</v>
      </c>
      <c r="B660" s="129" t="s">
        <v>494</v>
      </c>
      <c r="C660" s="128" t="s">
        <v>3</v>
      </c>
      <c r="D660" s="129" t="s">
        <v>158</v>
      </c>
      <c r="E660" s="129" t="s">
        <v>162</v>
      </c>
      <c r="F660" s="129">
        <v>92562</v>
      </c>
      <c r="G660" s="129">
        <v>92106</v>
      </c>
      <c r="H660" s="130">
        <v>160</v>
      </c>
      <c r="I660" s="129" t="s">
        <v>416</v>
      </c>
      <c r="J660" s="130">
        <v>7</v>
      </c>
      <c r="K660" s="131"/>
      <c r="L660" s="131" t="s">
        <v>3</v>
      </c>
      <c r="M660" s="131" t="s">
        <v>402</v>
      </c>
      <c r="N660" s="131" t="s">
        <v>323</v>
      </c>
      <c r="O660" s="56">
        <f>VLOOKUP($F660,'ZipCode Coordinates'!$A:$E,4,FALSE)</f>
        <v>2144470</v>
      </c>
      <c r="P660" s="56">
        <f>VLOOKUP($F660,'ZipCode Coordinates'!$A:$E,5,FALSE)</f>
        <v>6251450</v>
      </c>
      <c r="Q660" s="56">
        <f>VLOOKUP($G660,'ZipCode Coordinates'!$A:$E,4,FALSE)</f>
        <v>1842660</v>
      </c>
      <c r="R660" s="56">
        <f>VLOOKUP($G660,'ZipCode Coordinates'!$A:$E,5,FALSE)</f>
        <v>6259060</v>
      </c>
      <c r="S660" s="352" t="str">
        <f>IFERROR(VLOOKUP($M660,'External Gateways'!$C$6:$F$10,2,FALSE),"")</f>
        <v>I-15</v>
      </c>
      <c r="T660" s="56">
        <f>IFERROR(VLOOKUP($M660,'External Gateways'!$C$6:$F$10,3,FALSE),O660)</f>
        <v>2102195</v>
      </c>
      <c r="U660" s="56">
        <f>IFERROR(VLOOKUP($M660,'External Gateways'!$C$6:$F$10,4,FALSE),P660)</f>
        <v>6289147</v>
      </c>
      <c r="V660" s="353">
        <f t="shared" si="20"/>
        <v>10.727523233277124</v>
      </c>
      <c r="W660" s="353">
        <f t="shared" si="21"/>
        <v>138.54495353344575</v>
      </c>
    </row>
    <row r="661" spans="1:23" ht="15" customHeight="1" x14ac:dyDescent="0.25">
      <c r="A661" s="128">
        <v>3604</v>
      </c>
      <c r="B661" s="129" t="s">
        <v>319</v>
      </c>
      <c r="C661" s="128" t="s">
        <v>68</v>
      </c>
      <c r="D661" s="129" t="s">
        <v>172</v>
      </c>
      <c r="E661" s="129" t="s">
        <v>162</v>
      </c>
      <c r="F661" s="129">
        <v>92562</v>
      </c>
      <c r="G661" s="129">
        <v>92108</v>
      </c>
      <c r="H661" s="130">
        <v>160</v>
      </c>
      <c r="I661" s="129" t="s">
        <v>416</v>
      </c>
      <c r="J661" s="130">
        <v>7</v>
      </c>
      <c r="K661" s="131"/>
      <c r="L661" s="131" t="s">
        <v>68</v>
      </c>
      <c r="M661" s="131" t="s">
        <v>402</v>
      </c>
      <c r="N661" s="131" t="s">
        <v>327</v>
      </c>
      <c r="O661" s="56">
        <f>VLOOKUP($F661,'ZipCode Coordinates'!$A:$E,4,FALSE)</f>
        <v>2144470</v>
      </c>
      <c r="P661" s="56">
        <f>VLOOKUP($F661,'ZipCode Coordinates'!$A:$E,5,FALSE)</f>
        <v>6251450</v>
      </c>
      <c r="Q661" s="56">
        <f>VLOOKUP($G661,'ZipCode Coordinates'!$A:$E,4,FALSE)</f>
        <v>1862470</v>
      </c>
      <c r="R661" s="56">
        <f>VLOOKUP($G661,'ZipCode Coordinates'!$A:$E,5,FALSE)</f>
        <v>6286860</v>
      </c>
      <c r="S661" s="352" t="str">
        <f>IFERROR(VLOOKUP($M661,'External Gateways'!$C$6:$F$10,2,FALSE),"")</f>
        <v>I-15</v>
      </c>
      <c r="T661" s="56">
        <f>IFERROR(VLOOKUP($M661,'External Gateways'!$C$6:$F$10,3,FALSE),O661)</f>
        <v>2102195</v>
      </c>
      <c r="U661" s="56">
        <f>IFERROR(VLOOKUP($M661,'External Gateways'!$C$6:$F$10,4,FALSE),P661)</f>
        <v>6289147</v>
      </c>
      <c r="V661" s="353">
        <f t="shared" si="20"/>
        <v>10.727523233277124</v>
      </c>
      <c r="W661" s="353">
        <f t="shared" si="21"/>
        <v>138.54495353344575</v>
      </c>
    </row>
    <row r="662" spans="1:23" ht="15" customHeight="1" x14ac:dyDescent="0.25">
      <c r="A662" s="128">
        <v>3605</v>
      </c>
      <c r="B662" s="129" t="s">
        <v>309</v>
      </c>
      <c r="C662" s="128" t="s">
        <v>198</v>
      </c>
      <c r="D662" s="129" t="s">
        <v>158</v>
      </c>
      <c r="E662" s="129" t="s">
        <v>155</v>
      </c>
      <c r="F662" s="129">
        <v>92562</v>
      </c>
      <c r="G662" s="129">
        <v>92008</v>
      </c>
      <c r="H662" s="130">
        <v>110</v>
      </c>
      <c r="I662" s="129" t="s">
        <v>408</v>
      </c>
      <c r="J662" s="130">
        <v>7</v>
      </c>
      <c r="K662" s="131"/>
      <c r="L662" s="131" t="s">
        <v>5</v>
      </c>
      <c r="M662" s="131" t="s">
        <v>402</v>
      </c>
      <c r="N662" s="131" t="s">
        <v>324</v>
      </c>
      <c r="O662" s="56">
        <f>VLOOKUP($F662,'ZipCode Coordinates'!$A:$E,4,FALSE)</f>
        <v>2144470</v>
      </c>
      <c r="P662" s="56">
        <f>VLOOKUP($F662,'ZipCode Coordinates'!$A:$E,5,FALSE)</f>
        <v>6251450</v>
      </c>
      <c r="Q662" s="56">
        <f>VLOOKUP($G662,'ZipCode Coordinates'!$A:$E,4,FALSE)</f>
        <v>1998660</v>
      </c>
      <c r="R662" s="56">
        <f>VLOOKUP($G662,'ZipCode Coordinates'!$A:$E,5,FALSE)</f>
        <v>6234650</v>
      </c>
      <c r="S662" s="352" t="str">
        <f>IFERROR(VLOOKUP($M662,'External Gateways'!$C$6:$F$10,2,FALSE),"")</f>
        <v>I-15</v>
      </c>
      <c r="T662" s="56">
        <f>IFERROR(VLOOKUP($M662,'External Gateways'!$C$6:$F$10,3,FALSE),O662)</f>
        <v>2102195</v>
      </c>
      <c r="U662" s="56">
        <f>IFERROR(VLOOKUP($M662,'External Gateways'!$C$6:$F$10,4,FALSE),P662)</f>
        <v>6289147</v>
      </c>
      <c r="V662" s="353">
        <f t="shared" si="20"/>
        <v>10.727523233277124</v>
      </c>
      <c r="W662" s="353">
        <f t="shared" si="21"/>
        <v>88.544953533445749</v>
      </c>
    </row>
    <row r="663" spans="1:23" ht="15" customHeight="1" x14ac:dyDescent="0.25">
      <c r="A663" s="128">
        <v>3606</v>
      </c>
      <c r="B663" s="129" t="s">
        <v>253</v>
      </c>
      <c r="C663" s="128" t="s">
        <v>3</v>
      </c>
      <c r="D663" s="129" t="s">
        <v>158</v>
      </c>
      <c r="E663" s="129" t="s">
        <v>162</v>
      </c>
      <c r="F663" s="129">
        <v>92562</v>
      </c>
      <c r="G663" s="129">
        <v>92145</v>
      </c>
      <c r="H663" s="130">
        <v>135</v>
      </c>
      <c r="I663" s="129" t="s">
        <v>416</v>
      </c>
      <c r="J663" s="130">
        <v>7</v>
      </c>
      <c r="K663" s="131"/>
      <c r="L663" s="131" t="s">
        <v>3</v>
      </c>
      <c r="M663" s="131" t="s">
        <v>402</v>
      </c>
      <c r="N663" s="131" t="s">
        <v>327</v>
      </c>
      <c r="O663" s="56">
        <f>VLOOKUP($F663,'ZipCode Coordinates'!$A:$E,4,FALSE)</f>
        <v>2144470</v>
      </c>
      <c r="P663" s="56">
        <f>VLOOKUP($F663,'ZipCode Coordinates'!$A:$E,5,FALSE)</f>
        <v>6251450</v>
      </c>
      <c r="Q663" s="56">
        <f>VLOOKUP($G663,'ZipCode Coordinates'!$A:$E,4,FALSE)</f>
        <v>1896720</v>
      </c>
      <c r="R663" s="56">
        <f>VLOOKUP($G663,'ZipCode Coordinates'!$A:$E,5,FALSE)</f>
        <v>6297440</v>
      </c>
      <c r="S663" s="352" t="str">
        <f>IFERROR(VLOOKUP($M663,'External Gateways'!$C$6:$F$10,2,FALSE),"")</f>
        <v>I-15</v>
      </c>
      <c r="T663" s="56">
        <f>IFERROR(VLOOKUP($M663,'External Gateways'!$C$6:$F$10,3,FALSE),O663)</f>
        <v>2102195</v>
      </c>
      <c r="U663" s="56">
        <f>IFERROR(VLOOKUP($M663,'External Gateways'!$C$6:$F$10,4,FALSE),P663)</f>
        <v>6289147</v>
      </c>
      <c r="V663" s="353">
        <f t="shared" si="20"/>
        <v>10.727523233277124</v>
      </c>
      <c r="W663" s="353">
        <f t="shared" si="21"/>
        <v>113.54495353344575</v>
      </c>
    </row>
    <row r="664" spans="1:23" ht="15" customHeight="1" x14ac:dyDescent="0.25">
      <c r="A664" s="128">
        <v>3608</v>
      </c>
      <c r="B664" s="129" t="s">
        <v>256</v>
      </c>
      <c r="C664" s="128" t="s">
        <v>166</v>
      </c>
      <c r="D664" s="129" t="s">
        <v>482</v>
      </c>
      <c r="E664" s="129" t="s">
        <v>162</v>
      </c>
      <c r="F664" s="129">
        <v>92243</v>
      </c>
      <c r="G664" s="129">
        <v>92113</v>
      </c>
      <c r="H664" s="130">
        <v>250</v>
      </c>
      <c r="I664" s="129" t="s">
        <v>446</v>
      </c>
      <c r="J664" s="130">
        <v>10</v>
      </c>
      <c r="K664" s="131"/>
      <c r="L664" s="131" t="s">
        <v>5</v>
      </c>
      <c r="M664" s="131" t="s">
        <v>431</v>
      </c>
      <c r="N664" s="131" t="s">
        <v>323</v>
      </c>
      <c r="O664" s="56">
        <f>VLOOKUP($F664,'ZipCode Coordinates'!$A:$E,4,FALSE)</f>
        <v>1861900</v>
      </c>
      <c r="P664" s="56">
        <f>VLOOKUP($F664,'ZipCode Coordinates'!$A:$E,5,FALSE)</f>
        <v>6761000</v>
      </c>
      <c r="Q664" s="56">
        <f>VLOOKUP($G664,'ZipCode Coordinates'!$A:$E,4,FALSE)</f>
        <v>1834470</v>
      </c>
      <c r="R664" s="56">
        <f>VLOOKUP($G664,'ZipCode Coordinates'!$A:$E,5,FALSE)</f>
        <v>6294590</v>
      </c>
      <c r="S664" s="352" t="str">
        <f>IFERROR(VLOOKUP($M664,'External Gateways'!$C$6:$F$10,2,FALSE),"")</f>
        <v>I-8</v>
      </c>
      <c r="T664" s="56">
        <f>IFERROR(VLOOKUP($M664,'External Gateways'!$C$6:$F$10,3,FALSE),O664)</f>
        <v>1814524</v>
      </c>
      <c r="U664" s="56">
        <f>IFERROR(VLOOKUP($M664,'External Gateways'!$C$6:$F$10,4,FALSE),P664)</f>
        <v>6606089</v>
      </c>
      <c r="V664" s="353">
        <f t="shared" si="20"/>
        <v>30.680592531285384</v>
      </c>
      <c r="W664" s="353">
        <f t="shared" si="21"/>
        <v>188.63881493742923</v>
      </c>
    </row>
    <row r="665" spans="1:23" ht="15" customHeight="1" x14ac:dyDescent="0.25">
      <c r="A665" s="128">
        <v>3609</v>
      </c>
      <c r="B665" s="129" t="s">
        <v>171</v>
      </c>
      <c r="C665" s="128" t="s">
        <v>166</v>
      </c>
      <c r="D665" s="129" t="s">
        <v>177</v>
      </c>
      <c r="E665" s="129" t="s">
        <v>162</v>
      </c>
      <c r="F665" s="129">
        <v>91932</v>
      </c>
      <c r="G665" s="129">
        <v>92113</v>
      </c>
      <c r="H665" s="130">
        <v>75</v>
      </c>
      <c r="I665" s="129" t="s">
        <v>408</v>
      </c>
      <c r="J665" s="130">
        <v>7</v>
      </c>
      <c r="K665" s="131"/>
      <c r="L665" s="131" t="s">
        <v>5</v>
      </c>
      <c r="M665" s="131" t="s">
        <v>328</v>
      </c>
      <c r="N665" s="131" t="s">
        <v>323</v>
      </c>
      <c r="O665" s="56">
        <f>VLOOKUP($F665,'ZipCode Coordinates'!$A:$E,4,FALSE)</f>
        <v>1790360</v>
      </c>
      <c r="P665" s="56">
        <f>VLOOKUP($F665,'ZipCode Coordinates'!$A:$E,5,FALSE)</f>
        <v>6293930</v>
      </c>
      <c r="Q665" s="56">
        <f>VLOOKUP($G665,'ZipCode Coordinates'!$A:$E,4,FALSE)</f>
        <v>1834470</v>
      </c>
      <c r="R665" s="56">
        <f>VLOOKUP($G665,'ZipCode Coordinates'!$A:$E,5,FALSE)</f>
        <v>6294590</v>
      </c>
      <c r="S665" s="352" t="str">
        <f>IFERROR(VLOOKUP($M665,'External Gateways'!$C$6:$F$10,2,FALSE),"")</f>
        <v/>
      </c>
      <c r="T665" s="56">
        <f>IFERROR(VLOOKUP($M665,'External Gateways'!$C$6:$F$10,3,FALSE),O665)</f>
        <v>1790360</v>
      </c>
      <c r="U665" s="56">
        <f>IFERROR(VLOOKUP($M665,'External Gateways'!$C$6:$F$10,4,FALSE),P665)</f>
        <v>6293930</v>
      </c>
      <c r="V665" s="353">
        <f t="shared" si="20"/>
        <v>0</v>
      </c>
      <c r="W665" s="353">
        <f t="shared" si="21"/>
        <v>75</v>
      </c>
    </row>
    <row r="666" spans="1:23" ht="15" customHeight="1" x14ac:dyDescent="0.25">
      <c r="A666" s="128">
        <v>3610</v>
      </c>
      <c r="B666" s="129" t="s">
        <v>474</v>
      </c>
      <c r="C666" s="128" t="s">
        <v>181</v>
      </c>
      <c r="D666" s="129" t="s">
        <v>203</v>
      </c>
      <c r="E666" s="129" t="s">
        <v>155</v>
      </c>
      <c r="F666" s="129">
        <v>92173</v>
      </c>
      <c r="G666" s="129">
        <v>92008</v>
      </c>
      <c r="H666" s="130">
        <v>100</v>
      </c>
      <c r="I666" s="129" t="s">
        <v>475</v>
      </c>
      <c r="J666" s="130">
        <v>10</v>
      </c>
      <c r="K666" s="131"/>
      <c r="L666" s="131" t="s">
        <v>5</v>
      </c>
      <c r="M666" s="131" t="s">
        <v>328</v>
      </c>
      <c r="N666" s="131" t="s">
        <v>324</v>
      </c>
      <c r="O666" s="56">
        <f>VLOOKUP($F666,'ZipCode Coordinates'!$A:$E,4,FALSE)</f>
        <v>1782600</v>
      </c>
      <c r="P666" s="56">
        <f>VLOOKUP($F666,'ZipCode Coordinates'!$A:$E,5,FALSE)</f>
        <v>6315070</v>
      </c>
      <c r="Q666" s="56">
        <f>VLOOKUP($G666,'ZipCode Coordinates'!$A:$E,4,FALSE)</f>
        <v>1998660</v>
      </c>
      <c r="R666" s="56">
        <f>VLOOKUP($G666,'ZipCode Coordinates'!$A:$E,5,FALSE)</f>
        <v>6234650</v>
      </c>
      <c r="S666" s="352" t="str">
        <f>IFERROR(VLOOKUP($M666,'External Gateways'!$C$6:$F$10,2,FALSE),"")</f>
        <v/>
      </c>
      <c r="T666" s="56">
        <f>IFERROR(VLOOKUP($M666,'External Gateways'!$C$6:$F$10,3,FALSE),O666)</f>
        <v>1782600</v>
      </c>
      <c r="U666" s="56">
        <f>IFERROR(VLOOKUP($M666,'External Gateways'!$C$6:$F$10,4,FALSE),P666)</f>
        <v>6315070</v>
      </c>
      <c r="V666" s="353">
        <f t="shared" si="20"/>
        <v>0</v>
      </c>
      <c r="W666" s="353">
        <f t="shared" si="21"/>
        <v>100</v>
      </c>
    </row>
    <row r="667" spans="1:23" ht="15" customHeight="1" x14ac:dyDescent="0.25">
      <c r="A667" s="128">
        <v>3611</v>
      </c>
      <c r="B667" s="129" t="s">
        <v>171</v>
      </c>
      <c r="C667" s="128" t="s">
        <v>166</v>
      </c>
      <c r="D667" s="129" t="s">
        <v>175</v>
      </c>
      <c r="E667" s="129" t="s">
        <v>162</v>
      </c>
      <c r="F667" s="129">
        <v>92231</v>
      </c>
      <c r="G667" s="129">
        <v>92113</v>
      </c>
      <c r="H667" s="130">
        <v>260</v>
      </c>
      <c r="I667" s="129" t="s">
        <v>422</v>
      </c>
      <c r="J667" s="130">
        <v>8</v>
      </c>
      <c r="K667" s="131"/>
      <c r="L667" s="131" t="s">
        <v>5</v>
      </c>
      <c r="M667" s="131" t="s">
        <v>431</v>
      </c>
      <c r="N667" s="131" t="s">
        <v>323</v>
      </c>
      <c r="O667" s="56">
        <f>VLOOKUP($F667,'ZipCode Coordinates'!$A:$E,4,FALSE)</f>
        <v>1829680</v>
      </c>
      <c r="P667" s="56">
        <f>VLOOKUP($F667,'ZipCode Coordinates'!$A:$E,5,FALSE)</f>
        <v>6778130</v>
      </c>
      <c r="Q667" s="56">
        <f>VLOOKUP($G667,'ZipCode Coordinates'!$A:$E,4,FALSE)</f>
        <v>1834470</v>
      </c>
      <c r="R667" s="56">
        <f>VLOOKUP($G667,'ZipCode Coordinates'!$A:$E,5,FALSE)</f>
        <v>6294590</v>
      </c>
      <c r="S667" s="352" t="str">
        <f>IFERROR(VLOOKUP($M667,'External Gateways'!$C$6:$F$10,2,FALSE),"")</f>
        <v>I-8</v>
      </c>
      <c r="T667" s="56">
        <f>IFERROR(VLOOKUP($M667,'External Gateways'!$C$6:$F$10,3,FALSE),O667)</f>
        <v>1814524</v>
      </c>
      <c r="U667" s="56">
        <f>IFERROR(VLOOKUP($M667,'External Gateways'!$C$6:$F$10,4,FALSE),P667)</f>
        <v>6606089</v>
      </c>
      <c r="V667" s="353">
        <f t="shared" si="20"/>
        <v>32.709715110593962</v>
      </c>
      <c r="W667" s="353">
        <f t="shared" si="21"/>
        <v>194.58056977881208</v>
      </c>
    </row>
    <row r="668" spans="1:23" ht="15" customHeight="1" x14ac:dyDescent="0.25">
      <c r="A668" s="128">
        <v>3612</v>
      </c>
      <c r="B668" s="129" t="s">
        <v>474</v>
      </c>
      <c r="C668" s="128" t="s">
        <v>476</v>
      </c>
      <c r="D668" s="129" t="s">
        <v>194</v>
      </c>
      <c r="E668" s="129" t="s">
        <v>155</v>
      </c>
      <c r="F668" s="129">
        <v>92173</v>
      </c>
      <c r="G668" s="129">
        <v>92008</v>
      </c>
      <c r="H668" s="130">
        <v>100</v>
      </c>
      <c r="I668" s="129" t="s">
        <v>465</v>
      </c>
      <c r="J668" s="130">
        <v>15</v>
      </c>
      <c r="K668" s="131"/>
      <c r="L668" s="131" t="s">
        <v>5</v>
      </c>
      <c r="M668" s="131" t="s">
        <v>328</v>
      </c>
      <c r="N668" s="131" t="s">
        <v>324</v>
      </c>
      <c r="O668" s="56">
        <f>VLOOKUP($F668,'ZipCode Coordinates'!$A:$E,4,FALSE)</f>
        <v>1782600</v>
      </c>
      <c r="P668" s="56">
        <f>VLOOKUP($F668,'ZipCode Coordinates'!$A:$E,5,FALSE)</f>
        <v>6315070</v>
      </c>
      <c r="Q668" s="56">
        <f>VLOOKUP($G668,'ZipCode Coordinates'!$A:$E,4,FALSE)</f>
        <v>1998660</v>
      </c>
      <c r="R668" s="56">
        <f>VLOOKUP($G668,'ZipCode Coordinates'!$A:$E,5,FALSE)</f>
        <v>6234650</v>
      </c>
      <c r="S668" s="352" t="str">
        <f>IFERROR(VLOOKUP($M668,'External Gateways'!$C$6:$F$10,2,FALSE),"")</f>
        <v/>
      </c>
      <c r="T668" s="56">
        <f>IFERROR(VLOOKUP($M668,'External Gateways'!$C$6:$F$10,3,FALSE),O668)</f>
        <v>1782600</v>
      </c>
      <c r="U668" s="56">
        <f>IFERROR(VLOOKUP($M668,'External Gateways'!$C$6:$F$10,4,FALSE),P668)</f>
        <v>6315070</v>
      </c>
      <c r="V668" s="353">
        <f t="shared" si="20"/>
        <v>0</v>
      </c>
      <c r="W668" s="353">
        <f t="shared" si="21"/>
        <v>100</v>
      </c>
    </row>
    <row r="669" spans="1:23" ht="15" customHeight="1" x14ac:dyDescent="0.25">
      <c r="A669" s="128">
        <v>3613</v>
      </c>
      <c r="B669" s="129" t="s">
        <v>254</v>
      </c>
      <c r="C669" s="128" t="s">
        <v>3</v>
      </c>
      <c r="D669" s="129" t="s">
        <v>158</v>
      </c>
      <c r="E669" s="129" t="s">
        <v>162</v>
      </c>
      <c r="F669" s="129">
        <v>92563</v>
      </c>
      <c r="G669" s="129">
        <v>92140</v>
      </c>
      <c r="H669" s="130">
        <v>160</v>
      </c>
      <c r="I669" s="129" t="s">
        <v>488</v>
      </c>
      <c r="J669" s="130">
        <v>7</v>
      </c>
      <c r="K669" s="131"/>
      <c r="L669" s="131" t="s">
        <v>3</v>
      </c>
      <c r="M669" s="131" t="s">
        <v>402</v>
      </c>
      <c r="N669" s="131" t="s">
        <v>323</v>
      </c>
      <c r="O669" s="56">
        <f>VLOOKUP($F669,'ZipCode Coordinates'!$A:$E,4,FALSE)</f>
        <v>2156450</v>
      </c>
      <c r="P669" s="56">
        <f>VLOOKUP($F669,'ZipCode Coordinates'!$A:$E,5,FALSE)</f>
        <v>6288710</v>
      </c>
      <c r="Q669" s="56">
        <f>VLOOKUP($G669,'ZipCode Coordinates'!$A:$E,4,FALSE)</f>
        <v>1850480</v>
      </c>
      <c r="R669" s="56">
        <f>VLOOKUP($G669,'ZipCode Coordinates'!$A:$E,5,FALSE)</f>
        <v>6270510</v>
      </c>
      <c r="S669" s="352" t="str">
        <f>IFERROR(VLOOKUP($M669,'External Gateways'!$C$6:$F$10,2,FALSE),"")</f>
        <v>I-15</v>
      </c>
      <c r="T669" s="56">
        <f>IFERROR(VLOOKUP($M669,'External Gateways'!$C$6:$F$10,3,FALSE),O669)</f>
        <v>2102195</v>
      </c>
      <c r="U669" s="56">
        <f>IFERROR(VLOOKUP($M669,'External Gateways'!$C$6:$F$10,4,FALSE),P669)</f>
        <v>6289147</v>
      </c>
      <c r="V669" s="353">
        <f t="shared" si="20"/>
        <v>10.275901494735123</v>
      </c>
      <c r="W669" s="353">
        <f t="shared" si="21"/>
        <v>139.44819701052975</v>
      </c>
    </row>
    <row r="670" spans="1:23" ht="15" customHeight="1" x14ac:dyDescent="0.25">
      <c r="A670" s="128">
        <v>3614</v>
      </c>
      <c r="B670" s="129" t="s">
        <v>451</v>
      </c>
      <c r="C670" s="128" t="s">
        <v>3</v>
      </c>
      <c r="D670" s="129" t="s">
        <v>154</v>
      </c>
      <c r="E670" s="129" t="s">
        <v>162</v>
      </c>
      <c r="F670" s="129">
        <v>92592</v>
      </c>
      <c r="G670" s="129">
        <v>92136</v>
      </c>
      <c r="H670" s="130">
        <v>135</v>
      </c>
      <c r="I670" s="129" t="s">
        <v>416</v>
      </c>
      <c r="J670" s="130">
        <v>7</v>
      </c>
      <c r="K670" s="131"/>
      <c r="L670" s="131" t="s">
        <v>3</v>
      </c>
      <c r="M670" s="131" t="s">
        <v>402</v>
      </c>
      <c r="N670" s="131" t="s">
        <v>323</v>
      </c>
      <c r="O670" s="56">
        <f>VLOOKUP($F670,'ZipCode Coordinates'!$A:$E,4,FALSE)</f>
        <v>2128740</v>
      </c>
      <c r="P670" s="56">
        <f>VLOOKUP($F670,'ZipCode Coordinates'!$A:$E,5,FALSE)</f>
        <v>6328900</v>
      </c>
      <c r="Q670" s="56">
        <f>VLOOKUP($G670,'ZipCode Coordinates'!$A:$E,4,FALSE)</f>
        <v>1828370</v>
      </c>
      <c r="R670" s="56">
        <f>VLOOKUP($G670,'ZipCode Coordinates'!$A:$E,5,FALSE)</f>
        <v>6293940</v>
      </c>
      <c r="S670" s="352" t="str">
        <f>IFERROR(VLOOKUP($M670,'External Gateways'!$C$6:$F$10,2,FALSE),"")</f>
        <v>I-15</v>
      </c>
      <c r="T670" s="56">
        <f>IFERROR(VLOOKUP($M670,'External Gateways'!$C$6:$F$10,3,FALSE),O670)</f>
        <v>2102195</v>
      </c>
      <c r="U670" s="56">
        <f>IFERROR(VLOOKUP($M670,'External Gateways'!$C$6:$F$10,4,FALSE),P670)</f>
        <v>6289147</v>
      </c>
      <c r="V670" s="353">
        <f t="shared" si="20"/>
        <v>9.0532245169037147</v>
      </c>
      <c r="W670" s="353">
        <f t="shared" si="21"/>
        <v>116.89355096619258</v>
      </c>
    </row>
    <row r="671" spans="1:23" ht="15" customHeight="1" x14ac:dyDescent="0.25">
      <c r="A671" s="128">
        <v>3615</v>
      </c>
      <c r="B671" s="129" t="s">
        <v>307</v>
      </c>
      <c r="C671" s="128" t="s">
        <v>3</v>
      </c>
      <c r="D671" s="129" t="s">
        <v>220</v>
      </c>
      <c r="E671" s="129" t="s">
        <v>162</v>
      </c>
      <c r="F671" s="129">
        <v>92071</v>
      </c>
      <c r="G671" s="129">
        <v>92106</v>
      </c>
      <c r="H671" s="130">
        <v>60</v>
      </c>
      <c r="I671" s="129" t="s">
        <v>416</v>
      </c>
      <c r="J671" s="130">
        <v>7</v>
      </c>
      <c r="K671" s="131"/>
      <c r="L671" s="131" t="s">
        <v>3</v>
      </c>
      <c r="M671" s="131" t="s">
        <v>326</v>
      </c>
      <c r="N671" s="131" t="s">
        <v>323</v>
      </c>
      <c r="O671" s="56">
        <f>VLOOKUP($F671,'ZipCode Coordinates'!$A:$E,4,FALSE)</f>
        <v>1895600</v>
      </c>
      <c r="P671" s="56">
        <f>VLOOKUP($F671,'ZipCode Coordinates'!$A:$E,5,FALSE)</f>
        <v>6327040</v>
      </c>
      <c r="Q671" s="56">
        <f>VLOOKUP($G671,'ZipCode Coordinates'!$A:$E,4,FALSE)</f>
        <v>1842660</v>
      </c>
      <c r="R671" s="56">
        <f>VLOOKUP($G671,'ZipCode Coordinates'!$A:$E,5,FALSE)</f>
        <v>6259060</v>
      </c>
      <c r="S671" s="352" t="str">
        <f>IFERROR(VLOOKUP($M671,'External Gateways'!$C$6:$F$10,2,FALSE),"")</f>
        <v/>
      </c>
      <c r="T671" s="56">
        <f>IFERROR(VLOOKUP($M671,'External Gateways'!$C$6:$F$10,3,FALSE),O671)</f>
        <v>1895600</v>
      </c>
      <c r="U671" s="56">
        <f>IFERROR(VLOOKUP($M671,'External Gateways'!$C$6:$F$10,4,FALSE),P671)</f>
        <v>6327040</v>
      </c>
      <c r="V671" s="353">
        <f t="shared" si="20"/>
        <v>0</v>
      </c>
      <c r="W671" s="353">
        <f t="shared" si="21"/>
        <v>60</v>
      </c>
    </row>
    <row r="672" spans="1:23" ht="15" customHeight="1" x14ac:dyDescent="0.25">
      <c r="A672" s="128">
        <v>3616</v>
      </c>
      <c r="B672" s="129" t="s">
        <v>238</v>
      </c>
      <c r="C672" s="128" t="s">
        <v>198</v>
      </c>
      <c r="D672" s="129" t="s">
        <v>162</v>
      </c>
      <c r="E672" s="129" t="s">
        <v>162</v>
      </c>
      <c r="F672" s="129">
        <v>92126</v>
      </c>
      <c r="G672" s="129">
        <v>92122</v>
      </c>
      <c r="H672" s="130">
        <v>60</v>
      </c>
      <c r="I672" s="129" t="s">
        <v>416</v>
      </c>
      <c r="J672" s="130">
        <v>7</v>
      </c>
      <c r="K672" s="131"/>
      <c r="L672" s="131" t="s">
        <v>5</v>
      </c>
      <c r="M672" s="131" t="s">
        <v>327</v>
      </c>
      <c r="N672" s="131" t="s">
        <v>327</v>
      </c>
      <c r="O672" s="56">
        <f>VLOOKUP($F672,'ZipCode Coordinates'!$A:$E,4,FALSE)</f>
        <v>1913050</v>
      </c>
      <c r="P672" s="56">
        <f>VLOOKUP($F672,'ZipCode Coordinates'!$A:$E,5,FALSE)</f>
        <v>6287520</v>
      </c>
      <c r="Q672" s="56">
        <f>VLOOKUP($G672,'ZipCode Coordinates'!$A:$E,4,FALSE)</f>
        <v>1893170</v>
      </c>
      <c r="R672" s="56">
        <f>VLOOKUP($G672,'ZipCode Coordinates'!$A:$E,5,FALSE)</f>
        <v>6267940</v>
      </c>
      <c r="S672" s="352" t="str">
        <f>IFERROR(VLOOKUP($M672,'External Gateways'!$C$6:$F$10,2,FALSE),"")</f>
        <v/>
      </c>
      <c r="T672" s="56">
        <f>IFERROR(VLOOKUP($M672,'External Gateways'!$C$6:$F$10,3,FALSE),O672)</f>
        <v>1913050</v>
      </c>
      <c r="U672" s="56">
        <f>IFERROR(VLOOKUP($M672,'External Gateways'!$C$6:$F$10,4,FALSE),P672)</f>
        <v>6287520</v>
      </c>
      <c r="V672" s="353">
        <f t="shared" si="20"/>
        <v>0</v>
      </c>
      <c r="W672" s="353">
        <f t="shared" si="21"/>
        <v>60</v>
      </c>
    </row>
    <row r="673" spans="1:23" ht="15" customHeight="1" x14ac:dyDescent="0.25">
      <c r="A673" s="128">
        <v>3617</v>
      </c>
      <c r="B673" s="129" t="s">
        <v>82</v>
      </c>
      <c r="C673" s="128" t="s">
        <v>3</v>
      </c>
      <c r="D673" s="129" t="s">
        <v>154</v>
      </c>
      <c r="E673" s="129" t="s">
        <v>82</v>
      </c>
      <c r="F673" s="129">
        <v>92592</v>
      </c>
      <c r="G673" s="129">
        <v>92055</v>
      </c>
      <c r="H673" s="130">
        <v>135</v>
      </c>
      <c r="I673" s="129" t="s">
        <v>408</v>
      </c>
      <c r="J673" s="130">
        <v>7</v>
      </c>
      <c r="K673" s="131"/>
      <c r="L673" s="131" t="s">
        <v>3</v>
      </c>
      <c r="M673" s="131" t="s">
        <v>402</v>
      </c>
      <c r="N673" s="131" t="s">
        <v>324</v>
      </c>
      <c r="O673" s="56">
        <f>VLOOKUP($F673,'ZipCode Coordinates'!$A:$E,4,FALSE)</f>
        <v>2128740</v>
      </c>
      <c r="P673" s="56">
        <f>VLOOKUP($F673,'ZipCode Coordinates'!$A:$E,5,FALSE)</f>
        <v>6328900</v>
      </c>
      <c r="Q673" s="56">
        <f>VLOOKUP($G673,'ZipCode Coordinates'!$A:$E,4,FALSE)</f>
        <v>2082470</v>
      </c>
      <c r="R673" s="56">
        <f>VLOOKUP($G673,'ZipCode Coordinates'!$A:$E,5,FALSE)</f>
        <v>6206470</v>
      </c>
      <c r="S673" s="352" t="str">
        <f>IFERROR(VLOOKUP($M673,'External Gateways'!$C$6:$F$10,2,FALSE),"")</f>
        <v>I-15</v>
      </c>
      <c r="T673" s="56">
        <f>IFERROR(VLOOKUP($M673,'External Gateways'!$C$6:$F$10,3,FALSE),O673)</f>
        <v>2102195</v>
      </c>
      <c r="U673" s="56">
        <f>IFERROR(VLOOKUP($M673,'External Gateways'!$C$6:$F$10,4,FALSE),P673)</f>
        <v>6289147</v>
      </c>
      <c r="V673" s="353">
        <f t="shared" si="20"/>
        <v>9.0532245169037147</v>
      </c>
      <c r="W673" s="353">
        <f t="shared" si="21"/>
        <v>116.89355096619258</v>
      </c>
    </row>
    <row r="674" spans="1:23" ht="15" customHeight="1" x14ac:dyDescent="0.25">
      <c r="A674" s="128">
        <v>3618</v>
      </c>
      <c r="B674" s="129" t="s">
        <v>433</v>
      </c>
      <c r="C674" s="128" t="s">
        <v>3</v>
      </c>
      <c r="D674" s="129" t="s">
        <v>205</v>
      </c>
      <c r="E674" s="129" t="s">
        <v>162</v>
      </c>
      <c r="F674" s="129">
        <v>91942</v>
      </c>
      <c r="G674" s="129">
        <v>92106</v>
      </c>
      <c r="H674" s="130">
        <v>60</v>
      </c>
      <c r="I674" s="129" t="s">
        <v>408</v>
      </c>
      <c r="J674" s="130">
        <v>7</v>
      </c>
      <c r="K674" s="131"/>
      <c r="L674" s="131" t="s">
        <v>3</v>
      </c>
      <c r="M674" s="131" t="s">
        <v>326</v>
      </c>
      <c r="N674" s="131" t="s">
        <v>323</v>
      </c>
      <c r="O674" s="56">
        <f>VLOOKUP($F674,'ZipCode Coordinates'!$A:$E,4,FALSE)</f>
        <v>1863610</v>
      </c>
      <c r="P674" s="56">
        <f>VLOOKUP($F674,'ZipCode Coordinates'!$A:$E,5,FALSE)</f>
        <v>6324360</v>
      </c>
      <c r="Q674" s="56">
        <f>VLOOKUP($G674,'ZipCode Coordinates'!$A:$E,4,FALSE)</f>
        <v>1842660</v>
      </c>
      <c r="R674" s="56">
        <f>VLOOKUP($G674,'ZipCode Coordinates'!$A:$E,5,FALSE)</f>
        <v>6259060</v>
      </c>
      <c r="S674" s="352" t="str">
        <f>IFERROR(VLOOKUP($M674,'External Gateways'!$C$6:$F$10,2,FALSE),"")</f>
        <v/>
      </c>
      <c r="T674" s="56">
        <f>IFERROR(VLOOKUP($M674,'External Gateways'!$C$6:$F$10,3,FALSE),O674)</f>
        <v>1863610</v>
      </c>
      <c r="U674" s="56">
        <f>IFERROR(VLOOKUP($M674,'External Gateways'!$C$6:$F$10,4,FALSE),P674)</f>
        <v>6324360</v>
      </c>
      <c r="V674" s="353">
        <f t="shared" si="20"/>
        <v>0</v>
      </c>
      <c r="W674" s="353">
        <f t="shared" si="21"/>
        <v>60</v>
      </c>
    </row>
    <row r="675" spans="1:23" ht="15" customHeight="1" x14ac:dyDescent="0.25">
      <c r="A675" s="128">
        <v>3619</v>
      </c>
      <c r="B675" s="129" t="s">
        <v>218</v>
      </c>
      <c r="C675" s="128" t="s">
        <v>163</v>
      </c>
      <c r="D675" s="129" t="s">
        <v>162</v>
      </c>
      <c r="E675" s="129" t="s">
        <v>162</v>
      </c>
      <c r="F675" s="129">
        <v>92139</v>
      </c>
      <c r="G675" s="129">
        <v>92161</v>
      </c>
      <c r="H675" s="130">
        <v>60</v>
      </c>
      <c r="I675" s="129" t="s">
        <v>416</v>
      </c>
      <c r="J675" s="130">
        <v>7</v>
      </c>
      <c r="K675" s="131"/>
      <c r="L675" s="131" t="s">
        <v>5</v>
      </c>
      <c r="M675" s="131" t="s">
        <v>323</v>
      </c>
      <c r="N675" s="131" t="s">
        <v>327</v>
      </c>
      <c r="O675" s="56">
        <f>VLOOKUP($F675,'ZipCode Coordinates'!$A:$E,4,FALSE)</f>
        <v>1828110</v>
      </c>
      <c r="P675" s="56">
        <f>VLOOKUP($F675,'ZipCode Coordinates'!$A:$E,5,FALSE)</f>
        <v>6315850</v>
      </c>
      <c r="Q675" s="56">
        <f>VLOOKUP($G675,'ZipCode Coordinates'!$A:$E,4,FALSE)</f>
        <v>1899477</v>
      </c>
      <c r="R675" s="56">
        <f>VLOOKUP($G675,'ZipCode Coordinates'!$A:$E,5,FALSE)</f>
        <v>6258957</v>
      </c>
      <c r="S675" s="352" t="str">
        <f>IFERROR(VLOOKUP($M675,'External Gateways'!$C$6:$F$10,2,FALSE),"")</f>
        <v/>
      </c>
      <c r="T675" s="56">
        <f>IFERROR(VLOOKUP($M675,'External Gateways'!$C$6:$F$10,3,FALSE),O675)</f>
        <v>1828110</v>
      </c>
      <c r="U675" s="56">
        <f>IFERROR(VLOOKUP($M675,'External Gateways'!$C$6:$F$10,4,FALSE),P675)</f>
        <v>6315850</v>
      </c>
      <c r="V675" s="353">
        <f t="shared" si="20"/>
        <v>0</v>
      </c>
      <c r="W675" s="353">
        <f t="shared" si="21"/>
        <v>60</v>
      </c>
    </row>
    <row r="676" spans="1:23" ht="15" customHeight="1" x14ac:dyDescent="0.25">
      <c r="A676" s="128">
        <v>3620</v>
      </c>
      <c r="B676" s="129" t="s">
        <v>238</v>
      </c>
      <c r="C676" s="128" t="s">
        <v>198</v>
      </c>
      <c r="D676" s="129" t="s">
        <v>162</v>
      </c>
      <c r="E676" s="129" t="s">
        <v>162</v>
      </c>
      <c r="F676" s="129">
        <v>92126</v>
      </c>
      <c r="G676" s="129">
        <v>92121</v>
      </c>
      <c r="H676" s="130">
        <v>25</v>
      </c>
      <c r="I676" s="129" t="s">
        <v>406</v>
      </c>
      <c r="J676" s="130">
        <v>7</v>
      </c>
      <c r="K676" s="131"/>
      <c r="L676" s="131" t="s">
        <v>5</v>
      </c>
      <c r="M676" s="131" t="s">
        <v>327</v>
      </c>
      <c r="N676" s="131" t="s">
        <v>327</v>
      </c>
      <c r="O676" s="56">
        <f>VLOOKUP($F676,'ZipCode Coordinates'!$A:$E,4,FALSE)</f>
        <v>1913050</v>
      </c>
      <c r="P676" s="56">
        <f>VLOOKUP($F676,'ZipCode Coordinates'!$A:$E,5,FALSE)</f>
        <v>6287520</v>
      </c>
      <c r="Q676" s="56">
        <f>VLOOKUP($G676,'ZipCode Coordinates'!$A:$E,4,FALSE)</f>
        <v>1907910</v>
      </c>
      <c r="R676" s="56">
        <f>VLOOKUP($G676,'ZipCode Coordinates'!$A:$E,5,FALSE)</f>
        <v>6269540</v>
      </c>
      <c r="S676" s="352" t="str">
        <f>IFERROR(VLOOKUP($M676,'External Gateways'!$C$6:$F$10,2,FALSE),"")</f>
        <v/>
      </c>
      <c r="T676" s="56">
        <f>IFERROR(VLOOKUP($M676,'External Gateways'!$C$6:$F$10,3,FALSE),O676)</f>
        <v>1913050</v>
      </c>
      <c r="U676" s="56">
        <f>IFERROR(VLOOKUP($M676,'External Gateways'!$C$6:$F$10,4,FALSE),P676)</f>
        <v>6287520</v>
      </c>
      <c r="V676" s="353">
        <f t="shared" si="20"/>
        <v>0</v>
      </c>
      <c r="W676" s="353">
        <f t="shared" si="21"/>
        <v>25</v>
      </c>
    </row>
    <row r="677" spans="1:23" ht="15" customHeight="1" x14ac:dyDescent="0.25">
      <c r="A677" s="128">
        <v>3621</v>
      </c>
      <c r="B677" s="129" t="s">
        <v>477</v>
      </c>
      <c r="C677" s="128" t="s">
        <v>181</v>
      </c>
      <c r="D677" s="129" t="s">
        <v>177</v>
      </c>
      <c r="E677" s="129" t="s">
        <v>155</v>
      </c>
      <c r="F677" s="129">
        <v>92173</v>
      </c>
      <c r="G677" s="129">
        <v>92008</v>
      </c>
      <c r="H677" s="130">
        <v>100</v>
      </c>
      <c r="I677" s="129" t="s">
        <v>478</v>
      </c>
      <c r="J677" s="130">
        <v>14</v>
      </c>
      <c r="K677" s="131"/>
      <c r="L677" s="131" t="s">
        <v>5</v>
      </c>
      <c r="M677" s="131" t="s">
        <v>328</v>
      </c>
      <c r="N677" s="131" t="s">
        <v>324</v>
      </c>
      <c r="O677" s="56">
        <f>VLOOKUP($F677,'ZipCode Coordinates'!$A:$E,4,FALSE)</f>
        <v>1782600</v>
      </c>
      <c r="P677" s="56">
        <f>VLOOKUP($F677,'ZipCode Coordinates'!$A:$E,5,FALSE)</f>
        <v>6315070</v>
      </c>
      <c r="Q677" s="56">
        <f>VLOOKUP($G677,'ZipCode Coordinates'!$A:$E,4,FALSE)</f>
        <v>1998660</v>
      </c>
      <c r="R677" s="56">
        <f>VLOOKUP($G677,'ZipCode Coordinates'!$A:$E,5,FALSE)</f>
        <v>6234650</v>
      </c>
      <c r="S677" s="352" t="str">
        <f>IFERROR(VLOOKUP($M677,'External Gateways'!$C$6:$F$10,2,FALSE),"")</f>
        <v/>
      </c>
      <c r="T677" s="56">
        <f>IFERROR(VLOOKUP($M677,'External Gateways'!$C$6:$F$10,3,FALSE),O677)</f>
        <v>1782600</v>
      </c>
      <c r="U677" s="56">
        <f>IFERROR(VLOOKUP($M677,'External Gateways'!$C$6:$F$10,4,FALSE),P677)</f>
        <v>6315070</v>
      </c>
      <c r="V677" s="353">
        <f t="shared" si="20"/>
        <v>0</v>
      </c>
      <c r="W677" s="353">
        <f t="shared" si="21"/>
        <v>100</v>
      </c>
    </row>
    <row r="678" spans="1:23" ht="15" customHeight="1" x14ac:dyDescent="0.25">
      <c r="A678" s="128">
        <v>3622</v>
      </c>
      <c r="B678" s="129" t="s">
        <v>236</v>
      </c>
      <c r="C678" s="128" t="s">
        <v>166</v>
      </c>
      <c r="D678" s="129" t="s">
        <v>205</v>
      </c>
      <c r="E678" s="129" t="s">
        <v>155</v>
      </c>
      <c r="F678" s="129">
        <v>91942</v>
      </c>
      <c r="G678" s="129">
        <v>92010</v>
      </c>
      <c r="H678" s="130">
        <v>110</v>
      </c>
      <c r="I678" s="129" t="s">
        <v>406</v>
      </c>
      <c r="J678" s="130">
        <v>7</v>
      </c>
      <c r="K678" s="131"/>
      <c r="L678" s="131" t="s">
        <v>5</v>
      </c>
      <c r="M678" s="131" t="s">
        <v>326</v>
      </c>
      <c r="N678" s="131" t="s">
        <v>324</v>
      </c>
      <c r="O678" s="56">
        <f>VLOOKUP($F678,'ZipCode Coordinates'!$A:$E,4,FALSE)</f>
        <v>1863610</v>
      </c>
      <c r="P678" s="56">
        <f>VLOOKUP($F678,'ZipCode Coordinates'!$A:$E,5,FALSE)</f>
        <v>6324360</v>
      </c>
      <c r="Q678" s="56">
        <f>VLOOKUP($G678,'ZipCode Coordinates'!$A:$E,4,FALSE)</f>
        <v>2002190</v>
      </c>
      <c r="R678" s="56">
        <f>VLOOKUP($G678,'ZipCode Coordinates'!$A:$E,5,FALSE)</f>
        <v>6245090</v>
      </c>
      <c r="S678" s="352" t="str">
        <f>IFERROR(VLOOKUP($M678,'External Gateways'!$C$6:$F$10,2,FALSE),"")</f>
        <v/>
      </c>
      <c r="T678" s="56">
        <f>IFERROR(VLOOKUP($M678,'External Gateways'!$C$6:$F$10,3,FALSE),O678)</f>
        <v>1863610</v>
      </c>
      <c r="U678" s="56">
        <f>IFERROR(VLOOKUP($M678,'External Gateways'!$C$6:$F$10,4,FALSE),P678)</f>
        <v>6324360</v>
      </c>
      <c r="V678" s="353">
        <f t="shared" si="20"/>
        <v>0</v>
      </c>
      <c r="W678" s="353">
        <f t="shared" si="21"/>
        <v>110</v>
      </c>
    </row>
    <row r="679" spans="1:23" ht="15" customHeight="1" x14ac:dyDescent="0.25">
      <c r="A679" s="128">
        <v>3623</v>
      </c>
      <c r="B679" s="129" t="s">
        <v>218</v>
      </c>
      <c r="C679" s="128" t="s">
        <v>163</v>
      </c>
      <c r="D679" s="129" t="s">
        <v>158</v>
      </c>
      <c r="E679" s="129" t="s">
        <v>162</v>
      </c>
      <c r="F679" s="129">
        <v>92562</v>
      </c>
      <c r="G679" s="129">
        <v>92161</v>
      </c>
      <c r="H679" s="130">
        <v>160</v>
      </c>
      <c r="I679" s="129" t="s">
        <v>406</v>
      </c>
      <c r="J679" s="130">
        <v>7</v>
      </c>
      <c r="K679" s="131"/>
      <c r="L679" s="131" t="s">
        <v>5</v>
      </c>
      <c r="M679" s="131" t="s">
        <v>402</v>
      </c>
      <c r="N679" s="131" t="s">
        <v>327</v>
      </c>
      <c r="O679" s="56">
        <f>VLOOKUP($F679,'ZipCode Coordinates'!$A:$E,4,FALSE)</f>
        <v>2144470</v>
      </c>
      <c r="P679" s="56">
        <f>VLOOKUP($F679,'ZipCode Coordinates'!$A:$E,5,FALSE)</f>
        <v>6251450</v>
      </c>
      <c r="Q679" s="56">
        <f>VLOOKUP($G679,'ZipCode Coordinates'!$A:$E,4,FALSE)</f>
        <v>1899477</v>
      </c>
      <c r="R679" s="56">
        <f>VLOOKUP($G679,'ZipCode Coordinates'!$A:$E,5,FALSE)</f>
        <v>6258957</v>
      </c>
      <c r="S679" s="352" t="str">
        <f>IFERROR(VLOOKUP($M679,'External Gateways'!$C$6:$F$10,2,FALSE),"")</f>
        <v>I-15</v>
      </c>
      <c r="T679" s="56">
        <f>IFERROR(VLOOKUP($M679,'External Gateways'!$C$6:$F$10,3,FALSE),O679)</f>
        <v>2102195</v>
      </c>
      <c r="U679" s="56">
        <f>IFERROR(VLOOKUP($M679,'External Gateways'!$C$6:$F$10,4,FALSE),P679)</f>
        <v>6289147</v>
      </c>
      <c r="V679" s="353">
        <f t="shared" si="20"/>
        <v>10.727523233277124</v>
      </c>
      <c r="W679" s="353">
        <f t="shared" si="21"/>
        <v>138.54495353344575</v>
      </c>
    </row>
    <row r="680" spans="1:23" ht="15" customHeight="1" x14ac:dyDescent="0.25">
      <c r="A680" s="128">
        <v>3624</v>
      </c>
      <c r="B680" s="129" t="s">
        <v>258</v>
      </c>
      <c r="C680" s="128" t="s">
        <v>3</v>
      </c>
      <c r="D680" s="129" t="s">
        <v>154</v>
      </c>
      <c r="E680" s="129" t="s">
        <v>162</v>
      </c>
      <c r="F680" s="129">
        <v>92591</v>
      </c>
      <c r="G680" s="129">
        <v>92135</v>
      </c>
      <c r="H680" s="130">
        <v>160</v>
      </c>
      <c r="I680" s="129" t="s">
        <v>408</v>
      </c>
      <c r="J680" s="130">
        <v>7</v>
      </c>
      <c r="K680" s="131"/>
      <c r="L680" s="131" t="s">
        <v>3</v>
      </c>
      <c r="M680" s="131" t="s">
        <v>402</v>
      </c>
      <c r="N680" s="131" t="s">
        <v>323</v>
      </c>
      <c r="O680" s="56">
        <f>VLOOKUP($F680,'ZipCode Coordinates'!$A:$E,4,FALSE)</f>
        <v>2138420</v>
      </c>
      <c r="P680" s="56">
        <f>VLOOKUP($F680,'ZipCode Coordinates'!$A:$E,5,FALSE)</f>
        <v>6299220</v>
      </c>
      <c r="Q680" s="56">
        <f>VLOOKUP($G680,'ZipCode Coordinates'!$A:$E,4,FALSE)</f>
        <v>1835720</v>
      </c>
      <c r="R680" s="56">
        <f>VLOOKUP($G680,'ZipCode Coordinates'!$A:$E,5,FALSE)</f>
        <v>6266670</v>
      </c>
      <c r="S680" s="352" t="str">
        <f>IFERROR(VLOOKUP($M680,'External Gateways'!$C$6:$F$10,2,FALSE),"")</f>
        <v>I-15</v>
      </c>
      <c r="T680" s="56">
        <f>IFERROR(VLOOKUP($M680,'External Gateways'!$C$6:$F$10,3,FALSE),O680)</f>
        <v>2102195</v>
      </c>
      <c r="U680" s="56">
        <f>IFERROR(VLOOKUP($M680,'External Gateways'!$C$6:$F$10,4,FALSE),P680)</f>
        <v>6289147</v>
      </c>
      <c r="V680" s="353">
        <f t="shared" si="20"/>
        <v>7.1211011888925713</v>
      </c>
      <c r="W680" s="353">
        <f t="shared" si="21"/>
        <v>145.75779762221487</v>
      </c>
    </row>
    <row r="681" spans="1:23" ht="15" customHeight="1" x14ac:dyDescent="0.25">
      <c r="A681" s="128">
        <v>3625</v>
      </c>
      <c r="B681" s="129" t="s">
        <v>309</v>
      </c>
      <c r="C681" s="128" t="s">
        <v>198</v>
      </c>
      <c r="D681" s="129" t="s">
        <v>210</v>
      </c>
      <c r="E681" s="129" t="s">
        <v>155</v>
      </c>
      <c r="F681" s="129">
        <v>92081</v>
      </c>
      <c r="G681" s="129">
        <v>92008</v>
      </c>
      <c r="H681" s="130">
        <v>60</v>
      </c>
      <c r="I681" s="129" t="s">
        <v>406</v>
      </c>
      <c r="J681" s="130">
        <v>7</v>
      </c>
      <c r="K681" s="131"/>
      <c r="L681" s="131" t="s">
        <v>5</v>
      </c>
      <c r="M681" s="131" t="s">
        <v>325</v>
      </c>
      <c r="N681" s="131" t="s">
        <v>324</v>
      </c>
      <c r="O681" s="56">
        <f>VLOOKUP($F681,'ZipCode Coordinates'!$A:$E,4,FALSE)</f>
        <v>2005090</v>
      </c>
      <c r="P681" s="56">
        <f>VLOOKUP($F681,'ZipCode Coordinates'!$A:$E,5,FALSE)</f>
        <v>6258440</v>
      </c>
      <c r="Q681" s="56">
        <f>VLOOKUP($G681,'ZipCode Coordinates'!$A:$E,4,FALSE)</f>
        <v>1998660</v>
      </c>
      <c r="R681" s="56">
        <f>VLOOKUP($G681,'ZipCode Coordinates'!$A:$E,5,FALSE)</f>
        <v>6234650</v>
      </c>
      <c r="S681" s="352" t="str">
        <f>IFERROR(VLOOKUP($M681,'External Gateways'!$C$6:$F$10,2,FALSE),"")</f>
        <v/>
      </c>
      <c r="T681" s="56">
        <f>IFERROR(VLOOKUP($M681,'External Gateways'!$C$6:$F$10,3,FALSE),O681)</f>
        <v>2005090</v>
      </c>
      <c r="U681" s="56">
        <f>IFERROR(VLOOKUP($M681,'External Gateways'!$C$6:$F$10,4,FALSE),P681)</f>
        <v>6258440</v>
      </c>
      <c r="V681" s="353">
        <f t="shared" si="20"/>
        <v>0</v>
      </c>
      <c r="W681" s="353">
        <f t="shared" si="21"/>
        <v>60</v>
      </c>
    </row>
    <row r="682" spans="1:23" ht="15" customHeight="1" x14ac:dyDescent="0.25">
      <c r="A682" s="128">
        <v>3626</v>
      </c>
      <c r="B682" s="129" t="s">
        <v>474</v>
      </c>
      <c r="C682" s="128" t="s">
        <v>181</v>
      </c>
      <c r="D682" s="129" t="s">
        <v>162</v>
      </c>
      <c r="E682" s="129" t="s">
        <v>155</v>
      </c>
      <c r="F682" s="129">
        <v>92173</v>
      </c>
      <c r="G682" s="129">
        <v>92008</v>
      </c>
      <c r="H682" s="130">
        <v>160</v>
      </c>
      <c r="I682" s="129" t="s">
        <v>410</v>
      </c>
      <c r="J682" s="130">
        <v>12</v>
      </c>
      <c r="K682" s="131"/>
      <c r="L682" s="131" t="s">
        <v>5</v>
      </c>
      <c r="M682" s="131" t="s">
        <v>328</v>
      </c>
      <c r="N682" s="131" t="s">
        <v>324</v>
      </c>
      <c r="O682" s="56">
        <f>VLOOKUP($F682,'ZipCode Coordinates'!$A:$E,4,FALSE)</f>
        <v>1782600</v>
      </c>
      <c r="P682" s="56">
        <f>VLOOKUP($F682,'ZipCode Coordinates'!$A:$E,5,FALSE)</f>
        <v>6315070</v>
      </c>
      <c r="Q682" s="56">
        <f>VLOOKUP($G682,'ZipCode Coordinates'!$A:$E,4,FALSE)</f>
        <v>1998660</v>
      </c>
      <c r="R682" s="56">
        <f>VLOOKUP($G682,'ZipCode Coordinates'!$A:$E,5,FALSE)</f>
        <v>6234650</v>
      </c>
      <c r="S682" s="352" t="str">
        <f>IFERROR(VLOOKUP($M682,'External Gateways'!$C$6:$F$10,2,FALSE),"")</f>
        <v/>
      </c>
      <c r="T682" s="56">
        <f>IFERROR(VLOOKUP($M682,'External Gateways'!$C$6:$F$10,3,FALSE),O682)</f>
        <v>1782600</v>
      </c>
      <c r="U682" s="56">
        <f>IFERROR(VLOOKUP($M682,'External Gateways'!$C$6:$F$10,4,FALSE),P682)</f>
        <v>6315070</v>
      </c>
      <c r="V682" s="353">
        <f t="shared" si="20"/>
        <v>0</v>
      </c>
      <c r="W682" s="353">
        <f t="shared" si="21"/>
        <v>160</v>
      </c>
    </row>
    <row r="683" spans="1:23" ht="15" customHeight="1" x14ac:dyDescent="0.25">
      <c r="A683" s="128">
        <v>3627</v>
      </c>
      <c r="B683" s="129" t="s">
        <v>479</v>
      </c>
      <c r="C683" s="128" t="s">
        <v>166</v>
      </c>
      <c r="D683" s="129" t="s">
        <v>154</v>
      </c>
      <c r="E683" s="129" t="s">
        <v>425</v>
      </c>
      <c r="F683" s="129">
        <v>92173</v>
      </c>
      <c r="G683" s="129">
        <v>92113</v>
      </c>
      <c r="H683" s="130">
        <v>60</v>
      </c>
      <c r="I683" s="129" t="s">
        <v>408</v>
      </c>
      <c r="J683" s="130">
        <v>7</v>
      </c>
      <c r="K683" s="131"/>
      <c r="L683" s="131" t="s">
        <v>5</v>
      </c>
      <c r="M683" s="131" t="s">
        <v>328</v>
      </c>
      <c r="N683" s="131" t="s">
        <v>323</v>
      </c>
      <c r="O683" s="56">
        <f>VLOOKUP($F683,'ZipCode Coordinates'!$A:$E,4,FALSE)</f>
        <v>1782600</v>
      </c>
      <c r="P683" s="56">
        <f>VLOOKUP($F683,'ZipCode Coordinates'!$A:$E,5,FALSE)</f>
        <v>6315070</v>
      </c>
      <c r="Q683" s="56">
        <f>VLOOKUP($G683,'ZipCode Coordinates'!$A:$E,4,FALSE)</f>
        <v>1834470</v>
      </c>
      <c r="R683" s="56">
        <f>VLOOKUP($G683,'ZipCode Coordinates'!$A:$E,5,FALSE)</f>
        <v>6294590</v>
      </c>
      <c r="S683" s="352" t="str">
        <f>IFERROR(VLOOKUP($M683,'External Gateways'!$C$6:$F$10,2,FALSE),"")</f>
        <v/>
      </c>
      <c r="T683" s="56">
        <f>IFERROR(VLOOKUP($M683,'External Gateways'!$C$6:$F$10,3,FALSE),O683)</f>
        <v>1782600</v>
      </c>
      <c r="U683" s="56">
        <f>IFERROR(VLOOKUP($M683,'External Gateways'!$C$6:$F$10,4,FALSE),P683)</f>
        <v>6315070</v>
      </c>
      <c r="V683" s="353">
        <f t="shared" si="20"/>
        <v>0</v>
      </c>
      <c r="W683" s="353">
        <f t="shared" si="21"/>
        <v>60</v>
      </c>
    </row>
    <row r="684" spans="1:23" ht="15" customHeight="1" x14ac:dyDescent="0.25">
      <c r="A684" s="128">
        <v>3733</v>
      </c>
      <c r="B684" s="129" t="s">
        <v>520</v>
      </c>
      <c r="C684" s="128" t="s">
        <v>198</v>
      </c>
      <c r="D684" s="129" t="s">
        <v>278</v>
      </c>
      <c r="E684" s="129" t="s">
        <v>162</v>
      </c>
      <c r="F684" s="129">
        <v>92618</v>
      </c>
      <c r="G684" s="129">
        <v>92131</v>
      </c>
      <c r="H684" s="130">
        <v>110</v>
      </c>
      <c r="I684" s="129" t="s">
        <v>488</v>
      </c>
      <c r="J684" s="130">
        <v>7</v>
      </c>
      <c r="K684" s="131"/>
      <c r="L684" s="131" t="s">
        <v>5</v>
      </c>
      <c r="M684" s="131" t="s">
        <v>439</v>
      </c>
      <c r="N684" s="131" t="s">
        <v>327</v>
      </c>
      <c r="O684" s="56">
        <f>VLOOKUP($F684,'ZipCode Coordinates'!$A:$E,4,FALSE)</f>
        <v>2193730</v>
      </c>
      <c r="P684" s="56">
        <f>VLOOKUP($F684,'ZipCode Coordinates'!$A:$E,5,FALSE)</f>
        <v>6112500</v>
      </c>
      <c r="Q684" s="56">
        <f>VLOOKUP($G684,'ZipCode Coordinates'!$A:$E,4,FALSE)</f>
        <v>1915270</v>
      </c>
      <c r="R684" s="56">
        <f>VLOOKUP($G684,'ZipCode Coordinates'!$A:$E,5,FALSE)</f>
        <v>6310350</v>
      </c>
      <c r="S684" s="352" t="str">
        <f>IFERROR(VLOOKUP($M684,'External Gateways'!$C$6:$F$10,2,FALSE),"")</f>
        <v>I-5</v>
      </c>
      <c r="T684" s="56">
        <f>IFERROR(VLOOKUP($M684,'External Gateways'!$C$6:$F$10,3,FALSE),O684)</f>
        <v>2090594</v>
      </c>
      <c r="U684" s="56">
        <f>IFERROR(VLOOKUP($M684,'External Gateways'!$C$6:$F$10,4,FALSE),P684)</f>
        <v>6151524</v>
      </c>
      <c r="V684" s="353">
        <f t="shared" si="20"/>
        <v>20.884842549111873</v>
      </c>
      <c r="W684" s="353">
        <f t="shared" si="21"/>
        <v>68.230314901776254</v>
      </c>
    </row>
    <row r="685" spans="1:23" ht="15" customHeight="1" x14ac:dyDescent="0.25">
      <c r="A685" s="128">
        <v>3734</v>
      </c>
      <c r="B685" s="129" t="s">
        <v>451</v>
      </c>
      <c r="C685" s="128" t="s">
        <v>3</v>
      </c>
      <c r="D685" s="129" t="s">
        <v>158</v>
      </c>
      <c r="E685" s="129" t="s">
        <v>162</v>
      </c>
      <c r="F685" s="129">
        <v>92591</v>
      </c>
      <c r="G685" s="129">
        <v>92136</v>
      </c>
      <c r="H685" s="130">
        <v>160</v>
      </c>
      <c r="I685" s="129" t="s">
        <v>406</v>
      </c>
      <c r="J685" s="130">
        <v>7</v>
      </c>
      <c r="K685" s="131"/>
      <c r="L685" s="131" t="s">
        <v>3</v>
      </c>
      <c r="M685" s="131" t="s">
        <v>402</v>
      </c>
      <c r="N685" s="131" t="s">
        <v>323</v>
      </c>
      <c r="O685" s="56">
        <f>VLOOKUP($F685,'ZipCode Coordinates'!$A:$E,4,FALSE)</f>
        <v>2138420</v>
      </c>
      <c r="P685" s="56">
        <f>VLOOKUP($F685,'ZipCode Coordinates'!$A:$E,5,FALSE)</f>
        <v>6299220</v>
      </c>
      <c r="Q685" s="56">
        <f>VLOOKUP($G685,'ZipCode Coordinates'!$A:$E,4,FALSE)</f>
        <v>1828370</v>
      </c>
      <c r="R685" s="56">
        <f>VLOOKUP($G685,'ZipCode Coordinates'!$A:$E,5,FALSE)</f>
        <v>6293940</v>
      </c>
      <c r="S685" s="352" t="str">
        <f>IFERROR(VLOOKUP($M685,'External Gateways'!$C$6:$F$10,2,FALSE),"")</f>
        <v>I-15</v>
      </c>
      <c r="T685" s="56">
        <f>IFERROR(VLOOKUP($M685,'External Gateways'!$C$6:$F$10,3,FALSE),O685)</f>
        <v>2102195</v>
      </c>
      <c r="U685" s="56">
        <f>IFERROR(VLOOKUP($M685,'External Gateways'!$C$6:$F$10,4,FALSE),P685)</f>
        <v>6289147</v>
      </c>
      <c r="V685" s="353">
        <f t="shared" si="20"/>
        <v>7.1211011888925713</v>
      </c>
      <c r="W685" s="353">
        <f t="shared" si="21"/>
        <v>145.75779762221487</v>
      </c>
    </row>
    <row r="686" spans="1:23" ht="15" customHeight="1" x14ac:dyDescent="0.25">
      <c r="A686" s="128">
        <v>3735</v>
      </c>
      <c r="B686" s="129" t="s">
        <v>82</v>
      </c>
      <c r="C686" s="128" t="s">
        <v>3</v>
      </c>
      <c r="D686" s="129" t="s">
        <v>154</v>
      </c>
      <c r="E686" s="129" t="s">
        <v>509</v>
      </c>
      <c r="F686" s="129">
        <v>92591</v>
      </c>
      <c r="G686" s="129">
        <v>92055</v>
      </c>
      <c r="H686" s="130">
        <v>110</v>
      </c>
      <c r="I686" s="129" t="s">
        <v>416</v>
      </c>
      <c r="J686" s="130">
        <v>7</v>
      </c>
      <c r="K686" s="131"/>
      <c r="L686" s="131" t="s">
        <v>3</v>
      </c>
      <c r="M686" s="131" t="s">
        <v>402</v>
      </c>
      <c r="N686" s="131" t="s">
        <v>324</v>
      </c>
      <c r="O686" s="56">
        <f>VLOOKUP($F686,'ZipCode Coordinates'!$A:$E,4,FALSE)</f>
        <v>2138420</v>
      </c>
      <c r="P686" s="56">
        <f>VLOOKUP($F686,'ZipCode Coordinates'!$A:$E,5,FALSE)</f>
        <v>6299220</v>
      </c>
      <c r="Q686" s="56">
        <f>VLOOKUP($G686,'ZipCode Coordinates'!$A:$E,4,FALSE)</f>
        <v>2082470</v>
      </c>
      <c r="R686" s="56">
        <f>VLOOKUP($G686,'ZipCode Coordinates'!$A:$E,5,FALSE)</f>
        <v>6206470</v>
      </c>
      <c r="S686" s="352" t="str">
        <f>IFERROR(VLOOKUP($M686,'External Gateways'!$C$6:$F$10,2,FALSE),"")</f>
        <v>I-15</v>
      </c>
      <c r="T686" s="56">
        <f>IFERROR(VLOOKUP($M686,'External Gateways'!$C$6:$F$10,3,FALSE),O686)</f>
        <v>2102195</v>
      </c>
      <c r="U686" s="56">
        <f>IFERROR(VLOOKUP($M686,'External Gateways'!$C$6:$F$10,4,FALSE),P686)</f>
        <v>6289147</v>
      </c>
      <c r="V686" s="353">
        <f t="shared" si="20"/>
        <v>7.1211011888925713</v>
      </c>
      <c r="W686" s="353">
        <f t="shared" si="21"/>
        <v>95.757797622214852</v>
      </c>
    </row>
    <row r="687" spans="1:23" ht="15" customHeight="1" x14ac:dyDescent="0.25">
      <c r="A687" s="128">
        <v>3736</v>
      </c>
      <c r="B687" s="129" t="s">
        <v>82</v>
      </c>
      <c r="C687" s="128" t="s">
        <v>3</v>
      </c>
      <c r="D687" s="129" t="s">
        <v>170</v>
      </c>
      <c r="E687" s="129" t="s">
        <v>82</v>
      </c>
      <c r="F687" s="129">
        <v>92563</v>
      </c>
      <c r="G687" s="129">
        <v>92055</v>
      </c>
      <c r="H687" s="130">
        <v>85</v>
      </c>
      <c r="I687" s="129" t="s">
        <v>406</v>
      </c>
      <c r="J687" s="130">
        <v>7</v>
      </c>
      <c r="K687" s="131"/>
      <c r="L687" s="131" t="s">
        <v>3</v>
      </c>
      <c r="M687" s="131" t="s">
        <v>402</v>
      </c>
      <c r="N687" s="131" t="s">
        <v>324</v>
      </c>
      <c r="O687" s="56">
        <f>VLOOKUP($F687,'ZipCode Coordinates'!$A:$E,4,FALSE)</f>
        <v>2156450</v>
      </c>
      <c r="P687" s="56">
        <f>VLOOKUP($F687,'ZipCode Coordinates'!$A:$E,5,FALSE)</f>
        <v>6288710</v>
      </c>
      <c r="Q687" s="56">
        <f>VLOOKUP($G687,'ZipCode Coordinates'!$A:$E,4,FALSE)</f>
        <v>2082470</v>
      </c>
      <c r="R687" s="56">
        <f>VLOOKUP($G687,'ZipCode Coordinates'!$A:$E,5,FALSE)</f>
        <v>6206470</v>
      </c>
      <c r="S687" s="352" t="str">
        <f>IFERROR(VLOOKUP($M687,'External Gateways'!$C$6:$F$10,2,FALSE),"")</f>
        <v>I-15</v>
      </c>
      <c r="T687" s="56">
        <f>IFERROR(VLOOKUP($M687,'External Gateways'!$C$6:$F$10,3,FALSE),O687)</f>
        <v>2102195</v>
      </c>
      <c r="U687" s="56">
        <f>IFERROR(VLOOKUP($M687,'External Gateways'!$C$6:$F$10,4,FALSE),P687)</f>
        <v>6289147</v>
      </c>
      <c r="V687" s="353">
        <f t="shared" si="20"/>
        <v>10.275901494735123</v>
      </c>
      <c r="W687" s="353">
        <f t="shared" si="21"/>
        <v>64.448197010529753</v>
      </c>
    </row>
    <row r="688" spans="1:23" ht="15" customHeight="1" x14ac:dyDescent="0.25">
      <c r="A688" s="128">
        <v>3737</v>
      </c>
      <c r="B688" s="129" t="s">
        <v>253</v>
      </c>
      <c r="C688" s="128" t="s">
        <v>3</v>
      </c>
      <c r="D688" s="129" t="s">
        <v>154</v>
      </c>
      <c r="E688" s="129" t="s">
        <v>162</v>
      </c>
      <c r="F688" s="129">
        <v>92591</v>
      </c>
      <c r="G688" s="129">
        <v>92145</v>
      </c>
      <c r="H688" s="130">
        <v>135</v>
      </c>
      <c r="I688" s="129" t="s">
        <v>406</v>
      </c>
      <c r="J688" s="130">
        <v>7</v>
      </c>
      <c r="K688" s="131"/>
      <c r="L688" s="131" t="s">
        <v>3</v>
      </c>
      <c r="M688" s="131" t="s">
        <v>402</v>
      </c>
      <c r="N688" s="131" t="s">
        <v>327</v>
      </c>
      <c r="O688" s="56">
        <f>VLOOKUP($F688,'ZipCode Coordinates'!$A:$E,4,FALSE)</f>
        <v>2138420</v>
      </c>
      <c r="P688" s="56">
        <f>VLOOKUP($F688,'ZipCode Coordinates'!$A:$E,5,FALSE)</f>
        <v>6299220</v>
      </c>
      <c r="Q688" s="56">
        <f>VLOOKUP($G688,'ZipCode Coordinates'!$A:$E,4,FALSE)</f>
        <v>1896720</v>
      </c>
      <c r="R688" s="56">
        <f>VLOOKUP($G688,'ZipCode Coordinates'!$A:$E,5,FALSE)</f>
        <v>6297440</v>
      </c>
      <c r="S688" s="352" t="str">
        <f>IFERROR(VLOOKUP($M688,'External Gateways'!$C$6:$F$10,2,FALSE),"")</f>
        <v>I-15</v>
      </c>
      <c r="T688" s="56">
        <f>IFERROR(VLOOKUP($M688,'External Gateways'!$C$6:$F$10,3,FALSE),O688)</f>
        <v>2102195</v>
      </c>
      <c r="U688" s="56">
        <f>IFERROR(VLOOKUP($M688,'External Gateways'!$C$6:$F$10,4,FALSE),P688)</f>
        <v>6289147</v>
      </c>
      <c r="V688" s="353">
        <f t="shared" si="20"/>
        <v>7.1211011888925713</v>
      </c>
      <c r="W688" s="353">
        <f t="shared" si="21"/>
        <v>120.75779762221485</v>
      </c>
    </row>
    <row r="689" spans="1:23" ht="15" customHeight="1" x14ac:dyDescent="0.25">
      <c r="A689" s="128">
        <v>3738</v>
      </c>
      <c r="B689" s="129" t="s">
        <v>171</v>
      </c>
      <c r="C689" s="128" t="s">
        <v>166</v>
      </c>
      <c r="D689" s="129" t="s">
        <v>162</v>
      </c>
      <c r="E689" s="129" t="s">
        <v>162</v>
      </c>
      <c r="F689" s="129">
        <v>92154</v>
      </c>
      <c r="G689" s="129">
        <v>92113</v>
      </c>
      <c r="H689" s="130">
        <v>60</v>
      </c>
      <c r="I689" s="129" t="s">
        <v>473</v>
      </c>
      <c r="J689" s="130">
        <v>7</v>
      </c>
      <c r="K689" s="131"/>
      <c r="L689" s="131" t="s">
        <v>5</v>
      </c>
      <c r="M689" s="131" t="s">
        <v>328</v>
      </c>
      <c r="N689" s="131" t="s">
        <v>323</v>
      </c>
      <c r="O689" s="56">
        <f>VLOOKUP($F689,'ZipCode Coordinates'!$A:$E,4,FALSE)</f>
        <v>1787080</v>
      </c>
      <c r="P689" s="56">
        <f>VLOOKUP($F689,'ZipCode Coordinates'!$A:$E,5,FALSE)</f>
        <v>6330680</v>
      </c>
      <c r="Q689" s="56">
        <f>VLOOKUP($G689,'ZipCode Coordinates'!$A:$E,4,FALSE)</f>
        <v>1834470</v>
      </c>
      <c r="R689" s="56">
        <f>VLOOKUP($G689,'ZipCode Coordinates'!$A:$E,5,FALSE)</f>
        <v>6294590</v>
      </c>
      <c r="S689" s="352" t="str">
        <f>IFERROR(VLOOKUP($M689,'External Gateways'!$C$6:$F$10,2,FALSE),"")</f>
        <v/>
      </c>
      <c r="T689" s="56">
        <f>IFERROR(VLOOKUP($M689,'External Gateways'!$C$6:$F$10,3,FALSE),O689)</f>
        <v>1787080</v>
      </c>
      <c r="U689" s="56">
        <f>IFERROR(VLOOKUP($M689,'External Gateways'!$C$6:$F$10,4,FALSE),P689)</f>
        <v>6330680</v>
      </c>
      <c r="V689" s="353">
        <f t="shared" si="20"/>
        <v>0</v>
      </c>
      <c r="W689" s="353">
        <f t="shared" si="21"/>
        <v>60</v>
      </c>
    </row>
    <row r="690" spans="1:23" ht="15" customHeight="1" x14ac:dyDescent="0.25">
      <c r="A690" s="128">
        <v>3739</v>
      </c>
      <c r="B690" s="129" t="s">
        <v>309</v>
      </c>
      <c r="C690" s="128" t="s">
        <v>198</v>
      </c>
      <c r="D690" s="129" t="s">
        <v>154</v>
      </c>
      <c r="E690" s="129" t="s">
        <v>155</v>
      </c>
      <c r="F690" s="129">
        <v>92591</v>
      </c>
      <c r="G690" s="129">
        <v>92008</v>
      </c>
      <c r="H690" s="130">
        <v>86</v>
      </c>
      <c r="I690" s="129" t="s">
        <v>406</v>
      </c>
      <c r="J690" s="130">
        <v>7</v>
      </c>
      <c r="K690" s="131"/>
      <c r="L690" s="131" t="s">
        <v>5</v>
      </c>
      <c r="M690" s="131" t="s">
        <v>402</v>
      </c>
      <c r="N690" s="131" t="s">
        <v>324</v>
      </c>
      <c r="O690" s="56">
        <f>VLOOKUP($F690,'ZipCode Coordinates'!$A:$E,4,FALSE)</f>
        <v>2138420</v>
      </c>
      <c r="P690" s="56">
        <f>VLOOKUP($F690,'ZipCode Coordinates'!$A:$E,5,FALSE)</f>
        <v>6299220</v>
      </c>
      <c r="Q690" s="56">
        <f>VLOOKUP($G690,'ZipCode Coordinates'!$A:$E,4,FALSE)</f>
        <v>1998660</v>
      </c>
      <c r="R690" s="56">
        <f>VLOOKUP($G690,'ZipCode Coordinates'!$A:$E,5,FALSE)</f>
        <v>6234650</v>
      </c>
      <c r="S690" s="352" t="str">
        <f>IFERROR(VLOOKUP($M690,'External Gateways'!$C$6:$F$10,2,FALSE),"")</f>
        <v>I-15</v>
      </c>
      <c r="T690" s="56">
        <f>IFERROR(VLOOKUP($M690,'External Gateways'!$C$6:$F$10,3,FALSE),O690)</f>
        <v>2102195</v>
      </c>
      <c r="U690" s="56">
        <f>IFERROR(VLOOKUP($M690,'External Gateways'!$C$6:$F$10,4,FALSE),P690)</f>
        <v>6289147</v>
      </c>
      <c r="V690" s="353">
        <f t="shared" si="20"/>
        <v>7.1211011888925713</v>
      </c>
      <c r="W690" s="353">
        <f t="shared" si="21"/>
        <v>71.757797622214852</v>
      </c>
    </row>
    <row r="691" spans="1:23" ht="15" customHeight="1" x14ac:dyDescent="0.25">
      <c r="A691" s="128">
        <v>3740</v>
      </c>
      <c r="B691" s="129" t="s">
        <v>258</v>
      </c>
      <c r="C691" s="128" t="s">
        <v>3</v>
      </c>
      <c r="D691" s="129" t="s">
        <v>170</v>
      </c>
      <c r="E691" s="129" t="s">
        <v>510</v>
      </c>
      <c r="F691" s="129">
        <v>92591</v>
      </c>
      <c r="G691" s="129">
        <v>92135</v>
      </c>
      <c r="H691" s="130">
        <v>110</v>
      </c>
      <c r="I691" s="129" t="s">
        <v>422</v>
      </c>
      <c r="J691" s="130">
        <v>8</v>
      </c>
      <c r="K691" s="131"/>
      <c r="L691" s="131" t="s">
        <v>3</v>
      </c>
      <c r="M691" s="131" t="s">
        <v>402</v>
      </c>
      <c r="N691" s="131" t="s">
        <v>323</v>
      </c>
      <c r="O691" s="56">
        <f>VLOOKUP($F691,'ZipCode Coordinates'!$A:$E,4,FALSE)</f>
        <v>2138420</v>
      </c>
      <c r="P691" s="56">
        <f>VLOOKUP($F691,'ZipCode Coordinates'!$A:$E,5,FALSE)</f>
        <v>6299220</v>
      </c>
      <c r="Q691" s="56">
        <f>VLOOKUP($G691,'ZipCode Coordinates'!$A:$E,4,FALSE)</f>
        <v>1835720</v>
      </c>
      <c r="R691" s="56">
        <f>VLOOKUP($G691,'ZipCode Coordinates'!$A:$E,5,FALSE)</f>
        <v>6266670</v>
      </c>
      <c r="S691" s="352" t="str">
        <f>IFERROR(VLOOKUP($M691,'External Gateways'!$C$6:$F$10,2,FALSE),"")</f>
        <v>I-15</v>
      </c>
      <c r="T691" s="56">
        <f>IFERROR(VLOOKUP($M691,'External Gateways'!$C$6:$F$10,3,FALSE),O691)</f>
        <v>2102195</v>
      </c>
      <c r="U691" s="56">
        <f>IFERROR(VLOOKUP($M691,'External Gateways'!$C$6:$F$10,4,FALSE),P691)</f>
        <v>6289147</v>
      </c>
      <c r="V691" s="353">
        <f t="shared" si="20"/>
        <v>7.1211011888925713</v>
      </c>
      <c r="W691" s="353">
        <f t="shared" si="21"/>
        <v>95.757797622214852</v>
      </c>
    </row>
    <row r="692" spans="1:23" ht="15" customHeight="1" x14ac:dyDescent="0.25">
      <c r="A692" s="128">
        <v>3951</v>
      </c>
      <c r="B692" s="129" t="s">
        <v>238</v>
      </c>
      <c r="C692" s="128" t="s">
        <v>198</v>
      </c>
      <c r="D692" s="129" t="s">
        <v>156</v>
      </c>
      <c r="E692" s="129" t="s">
        <v>162</v>
      </c>
      <c r="F692" s="129">
        <v>92029</v>
      </c>
      <c r="G692" s="129">
        <v>92122</v>
      </c>
      <c r="H692" s="130">
        <v>60</v>
      </c>
      <c r="I692" s="129" t="s">
        <v>416</v>
      </c>
      <c r="J692" s="130">
        <v>7</v>
      </c>
      <c r="K692" s="131"/>
      <c r="L692" s="131" t="s">
        <v>5</v>
      </c>
      <c r="M692" s="131" t="s">
        <v>325</v>
      </c>
      <c r="N692" s="131" t="s">
        <v>327</v>
      </c>
      <c r="O692" s="56">
        <f>VLOOKUP($F692,'ZipCode Coordinates'!$A:$E,4,FALSE)</f>
        <v>1974260</v>
      </c>
      <c r="P692" s="56">
        <f>VLOOKUP($F692,'ZipCode Coordinates'!$A:$E,5,FALSE)</f>
        <v>6291680</v>
      </c>
      <c r="Q692" s="56">
        <f>VLOOKUP($G692,'ZipCode Coordinates'!$A:$E,4,FALSE)</f>
        <v>1893170</v>
      </c>
      <c r="R692" s="56">
        <f>VLOOKUP($G692,'ZipCode Coordinates'!$A:$E,5,FALSE)</f>
        <v>6267940</v>
      </c>
      <c r="S692" s="352" t="str">
        <f>IFERROR(VLOOKUP($M692,'External Gateways'!$C$6:$F$10,2,FALSE),"")</f>
        <v/>
      </c>
      <c r="T692" s="56">
        <f>IFERROR(VLOOKUP($M692,'External Gateways'!$C$6:$F$10,3,FALSE),O692)</f>
        <v>1974260</v>
      </c>
      <c r="U692" s="56">
        <f>IFERROR(VLOOKUP($M692,'External Gateways'!$C$6:$F$10,4,FALSE),P692)</f>
        <v>6291680</v>
      </c>
      <c r="V692" s="353">
        <f t="shared" si="20"/>
        <v>0</v>
      </c>
      <c r="W692" s="353">
        <f t="shared" si="21"/>
        <v>60</v>
      </c>
    </row>
    <row r="693" spans="1:23" ht="15" customHeight="1" x14ac:dyDescent="0.25">
      <c r="A693" s="128">
        <v>3952</v>
      </c>
      <c r="B693" s="129" t="s">
        <v>171</v>
      </c>
      <c r="C693" s="128" t="s">
        <v>166</v>
      </c>
      <c r="D693" s="129" t="s">
        <v>233</v>
      </c>
      <c r="E693" s="129" t="s">
        <v>162</v>
      </c>
      <c r="F693" s="129">
        <v>92249</v>
      </c>
      <c r="G693" s="129">
        <v>92113</v>
      </c>
      <c r="H693" s="130">
        <v>232</v>
      </c>
      <c r="I693" s="129" t="s">
        <v>422</v>
      </c>
      <c r="J693" s="130">
        <v>8</v>
      </c>
      <c r="K693" s="131"/>
      <c r="L693" s="131" t="s">
        <v>5</v>
      </c>
      <c r="M693" s="131" t="s">
        <v>431</v>
      </c>
      <c r="N693" s="131" t="s">
        <v>323</v>
      </c>
      <c r="O693" s="56">
        <f>VLOOKUP($F693,'ZipCode Coordinates'!$A:$E,4,FALSE)</f>
        <v>1842600</v>
      </c>
      <c r="P693" s="56">
        <f>VLOOKUP($F693,'ZipCode Coordinates'!$A:$E,5,FALSE)</f>
        <v>6804870</v>
      </c>
      <c r="Q693" s="56">
        <f>VLOOKUP($G693,'ZipCode Coordinates'!$A:$E,4,FALSE)</f>
        <v>1834470</v>
      </c>
      <c r="R693" s="56">
        <f>VLOOKUP($G693,'ZipCode Coordinates'!$A:$E,5,FALSE)</f>
        <v>6294590</v>
      </c>
      <c r="S693" s="352" t="str">
        <f>IFERROR(VLOOKUP($M693,'External Gateways'!$C$6:$F$10,2,FALSE),"")</f>
        <v>I-8</v>
      </c>
      <c r="T693" s="56">
        <f>IFERROR(VLOOKUP($M693,'External Gateways'!$C$6:$F$10,3,FALSE),O693)</f>
        <v>1814524</v>
      </c>
      <c r="U693" s="56">
        <f>IFERROR(VLOOKUP($M693,'External Gateways'!$C$6:$F$10,4,FALSE),P693)</f>
        <v>6606089</v>
      </c>
      <c r="V693" s="353">
        <f t="shared" si="20"/>
        <v>38.021581107499969</v>
      </c>
      <c r="W693" s="353">
        <f t="shared" si="21"/>
        <v>155.95683778500006</v>
      </c>
    </row>
    <row r="694" spans="1:23" ht="15" customHeight="1" x14ac:dyDescent="0.25">
      <c r="A694" s="128">
        <v>3953</v>
      </c>
      <c r="B694" s="129" t="s">
        <v>236</v>
      </c>
      <c r="C694" s="128" t="s">
        <v>166</v>
      </c>
      <c r="D694" s="129" t="s">
        <v>162</v>
      </c>
      <c r="E694" s="129" t="s">
        <v>155</v>
      </c>
      <c r="F694" s="129">
        <v>91950</v>
      </c>
      <c r="G694" s="129">
        <v>92010</v>
      </c>
      <c r="H694" s="130">
        <v>110</v>
      </c>
      <c r="I694" s="129" t="s">
        <v>407</v>
      </c>
      <c r="J694" s="130">
        <v>8</v>
      </c>
      <c r="K694" s="131"/>
      <c r="L694" s="131" t="s">
        <v>5</v>
      </c>
      <c r="M694" s="131" t="s">
        <v>323</v>
      </c>
      <c r="N694" s="131" t="s">
        <v>324</v>
      </c>
      <c r="O694" s="56">
        <f>VLOOKUP($F694,'ZipCode Coordinates'!$A:$E,4,FALSE)</f>
        <v>1823970</v>
      </c>
      <c r="P694" s="56">
        <f>VLOOKUP($F694,'ZipCode Coordinates'!$A:$E,5,FALSE)</f>
        <v>6302610</v>
      </c>
      <c r="Q694" s="56">
        <f>VLOOKUP($G694,'ZipCode Coordinates'!$A:$E,4,FALSE)</f>
        <v>2002190</v>
      </c>
      <c r="R694" s="56">
        <f>VLOOKUP($G694,'ZipCode Coordinates'!$A:$E,5,FALSE)</f>
        <v>6245090</v>
      </c>
      <c r="S694" s="352" t="str">
        <f>IFERROR(VLOOKUP($M694,'External Gateways'!$C$6:$F$10,2,FALSE),"")</f>
        <v/>
      </c>
      <c r="T694" s="56">
        <f>IFERROR(VLOOKUP($M694,'External Gateways'!$C$6:$F$10,3,FALSE),O694)</f>
        <v>1823970</v>
      </c>
      <c r="U694" s="56">
        <f>IFERROR(VLOOKUP($M694,'External Gateways'!$C$6:$F$10,4,FALSE),P694)</f>
        <v>6302610</v>
      </c>
      <c r="V694" s="353">
        <f t="shared" si="20"/>
        <v>0</v>
      </c>
      <c r="W694" s="353">
        <f t="shared" si="21"/>
        <v>110</v>
      </c>
    </row>
    <row r="695" spans="1:23" ht="15" customHeight="1" x14ac:dyDescent="0.25">
      <c r="A695" s="128">
        <v>3954</v>
      </c>
      <c r="B695" s="129" t="s">
        <v>495</v>
      </c>
      <c r="C695" s="128" t="s">
        <v>3</v>
      </c>
      <c r="D695" s="129" t="s">
        <v>158</v>
      </c>
      <c r="E695" s="129" t="s">
        <v>162</v>
      </c>
      <c r="F695" s="129">
        <v>92562</v>
      </c>
      <c r="G695" s="129">
        <v>92135</v>
      </c>
      <c r="H695" s="130">
        <v>160</v>
      </c>
      <c r="I695" s="129" t="s">
        <v>422</v>
      </c>
      <c r="J695" s="130">
        <v>8</v>
      </c>
      <c r="K695" s="131"/>
      <c r="L695" s="131" t="s">
        <v>3</v>
      </c>
      <c r="M695" s="131" t="s">
        <v>402</v>
      </c>
      <c r="N695" s="131" t="s">
        <v>323</v>
      </c>
      <c r="O695" s="56">
        <f>VLOOKUP($F695,'ZipCode Coordinates'!$A:$E,4,FALSE)</f>
        <v>2144470</v>
      </c>
      <c r="P695" s="56">
        <f>VLOOKUP($F695,'ZipCode Coordinates'!$A:$E,5,FALSE)</f>
        <v>6251450</v>
      </c>
      <c r="Q695" s="56">
        <f>VLOOKUP($G695,'ZipCode Coordinates'!$A:$E,4,FALSE)</f>
        <v>1835720</v>
      </c>
      <c r="R695" s="56">
        <f>VLOOKUP($G695,'ZipCode Coordinates'!$A:$E,5,FALSE)</f>
        <v>6266670</v>
      </c>
      <c r="S695" s="352" t="str">
        <f>IFERROR(VLOOKUP($M695,'External Gateways'!$C$6:$F$10,2,FALSE),"")</f>
        <v>I-15</v>
      </c>
      <c r="T695" s="56">
        <f>IFERROR(VLOOKUP($M695,'External Gateways'!$C$6:$F$10,3,FALSE),O695)</f>
        <v>2102195</v>
      </c>
      <c r="U695" s="56">
        <f>IFERROR(VLOOKUP($M695,'External Gateways'!$C$6:$F$10,4,FALSE),P695)</f>
        <v>6289147</v>
      </c>
      <c r="V695" s="353">
        <f t="shared" si="20"/>
        <v>10.727523233277124</v>
      </c>
      <c r="W695" s="353">
        <f t="shared" si="21"/>
        <v>138.54495353344575</v>
      </c>
    </row>
    <row r="696" spans="1:23" ht="15" customHeight="1" x14ac:dyDescent="0.25">
      <c r="A696" s="128">
        <v>3955</v>
      </c>
      <c r="B696" s="129" t="s">
        <v>319</v>
      </c>
      <c r="C696" s="128" t="s">
        <v>163</v>
      </c>
      <c r="D696" s="129" t="s">
        <v>165</v>
      </c>
      <c r="E696" s="129" t="s">
        <v>162</v>
      </c>
      <c r="F696" s="129">
        <v>91911</v>
      </c>
      <c r="G696" s="129">
        <v>92161</v>
      </c>
      <c r="H696" s="130">
        <v>60</v>
      </c>
      <c r="I696" s="129" t="s">
        <v>406</v>
      </c>
      <c r="J696" s="130">
        <v>7</v>
      </c>
      <c r="K696" s="131"/>
      <c r="L696" s="131" t="s">
        <v>5</v>
      </c>
      <c r="M696" s="131" t="s">
        <v>328</v>
      </c>
      <c r="N696" s="131" t="s">
        <v>327</v>
      </c>
      <c r="O696" s="56">
        <f>VLOOKUP($F696,'ZipCode Coordinates'!$A:$E,4,FALSE)</f>
        <v>1801570</v>
      </c>
      <c r="P696" s="56">
        <f>VLOOKUP($F696,'ZipCode Coordinates'!$A:$E,5,FALSE)</f>
        <v>6315270</v>
      </c>
      <c r="Q696" s="56">
        <f>VLOOKUP($G696,'ZipCode Coordinates'!$A:$E,4,FALSE)</f>
        <v>1899477</v>
      </c>
      <c r="R696" s="56">
        <f>VLOOKUP($G696,'ZipCode Coordinates'!$A:$E,5,FALSE)</f>
        <v>6258957</v>
      </c>
      <c r="S696" s="352" t="str">
        <f>IFERROR(VLOOKUP($M696,'External Gateways'!$C$6:$F$10,2,FALSE),"")</f>
        <v/>
      </c>
      <c r="T696" s="56">
        <f>IFERROR(VLOOKUP($M696,'External Gateways'!$C$6:$F$10,3,FALSE),O696)</f>
        <v>1801570</v>
      </c>
      <c r="U696" s="56">
        <f>IFERROR(VLOOKUP($M696,'External Gateways'!$C$6:$F$10,4,FALSE),P696)</f>
        <v>6315270</v>
      </c>
      <c r="V696" s="353">
        <f t="shared" si="20"/>
        <v>0</v>
      </c>
      <c r="W696" s="353">
        <f t="shared" si="21"/>
        <v>60</v>
      </c>
    </row>
    <row r="697" spans="1:23" ht="15" customHeight="1" x14ac:dyDescent="0.25">
      <c r="A697" s="128">
        <v>4061</v>
      </c>
      <c r="B697" s="129" t="s">
        <v>263</v>
      </c>
      <c r="C697" s="128" t="s">
        <v>166</v>
      </c>
      <c r="D697" s="129" t="s">
        <v>175</v>
      </c>
      <c r="E697" s="129" t="s">
        <v>162</v>
      </c>
      <c r="F697" s="129">
        <v>92231</v>
      </c>
      <c r="G697" s="129">
        <v>92113</v>
      </c>
      <c r="H697" s="130">
        <v>260</v>
      </c>
      <c r="I697" s="129" t="s">
        <v>475</v>
      </c>
      <c r="J697" s="130">
        <v>10</v>
      </c>
      <c r="K697" s="131"/>
      <c r="L697" s="131" t="s">
        <v>5</v>
      </c>
      <c r="M697" s="131" t="s">
        <v>431</v>
      </c>
      <c r="N697" s="131" t="s">
        <v>323</v>
      </c>
      <c r="O697" s="56">
        <f>VLOOKUP($F697,'ZipCode Coordinates'!$A:$E,4,FALSE)</f>
        <v>1829680</v>
      </c>
      <c r="P697" s="56">
        <f>VLOOKUP($F697,'ZipCode Coordinates'!$A:$E,5,FALSE)</f>
        <v>6778130</v>
      </c>
      <c r="Q697" s="56">
        <f>VLOOKUP($G697,'ZipCode Coordinates'!$A:$E,4,FALSE)</f>
        <v>1834470</v>
      </c>
      <c r="R697" s="56">
        <f>VLOOKUP($G697,'ZipCode Coordinates'!$A:$E,5,FALSE)</f>
        <v>6294590</v>
      </c>
      <c r="S697" s="352" t="str">
        <f>IFERROR(VLOOKUP($M697,'External Gateways'!$C$6:$F$10,2,FALSE),"")</f>
        <v>I-8</v>
      </c>
      <c r="T697" s="56">
        <f>IFERROR(VLOOKUP($M697,'External Gateways'!$C$6:$F$10,3,FALSE),O697)</f>
        <v>1814524</v>
      </c>
      <c r="U697" s="56">
        <f>IFERROR(VLOOKUP($M697,'External Gateways'!$C$6:$F$10,4,FALSE),P697)</f>
        <v>6606089</v>
      </c>
      <c r="V697" s="353">
        <f t="shared" si="20"/>
        <v>32.709715110593962</v>
      </c>
      <c r="W697" s="353">
        <f t="shared" si="21"/>
        <v>194.58056977881208</v>
      </c>
    </row>
    <row r="698" spans="1:23" ht="15" customHeight="1" x14ac:dyDescent="0.25">
      <c r="A698" s="128">
        <v>4062</v>
      </c>
      <c r="B698" s="129" t="s">
        <v>309</v>
      </c>
      <c r="C698" s="128" t="s">
        <v>198</v>
      </c>
      <c r="D698" s="129" t="s">
        <v>196</v>
      </c>
      <c r="E698" s="129" t="s">
        <v>155</v>
      </c>
      <c r="F698" s="129">
        <v>92021</v>
      </c>
      <c r="G698" s="129">
        <v>92008</v>
      </c>
      <c r="H698" s="130">
        <v>110</v>
      </c>
      <c r="I698" s="129" t="s">
        <v>406</v>
      </c>
      <c r="J698" s="130">
        <v>7</v>
      </c>
      <c r="K698" s="131"/>
      <c r="L698" s="131" t="s">
        <v>5</v>
      </c>
      <c r="M698" s="131" t="s">
        <v>326</v>
      </c>
      <c r="N698" s="131" t="s">
        <v>324</v>
      </c>
      <c r="O698" s="56">
        <f>VLOOKUP($F698,'ZipCode Coordinates'!$A:$E,4,FALSE)</f>
        <v>1885700</v>
      </c>
      <c r="P698" s="56">
        <f>VLOOKUP($F698,'ZipCode Coordinates'!$A:$E,5,FALSE)</f>
        <v>6371420</v>
      </c>
      <c r="Q698" s="56">
        <f>VLOOKUP($G698,'ZipCode Coordinates'!$A:$E,4,FALSE)</f>
        <v>1998660</v>
      </c>
      <c r="R698" s="56">
        <f>VLOOKUP($G698,'ZipCode Coordinates'!$A:$E,5,FALSE)</f>
        <v>6234650</v>
      </c>
      <c r="S698" s="352" t="str">
        <f>IFERROR(VLOOKUP($M698,'External Gateways'!$C$6:$F$10,2,FALSE),"")</f>
        <v/>
      </c>
      <c r="T698" s="56">
        <f>IFERROR(VLOOKUP($M698,'External Gateways'!$C$6:$F$10,3,FALSE),O698)</f>
        <v>1885700</v>
      </c>
      <c r="U698" s="56">
        <f>IFERROR(VLOOKUP($M698,'External Gateways'!$C$6:$F$10,4,FALSE),P698)</f>
        <v>6371420</v>
      </c>
      <c r="V698" s="353">
        <f t="shared" si="20"/>
        <v>0</v>
      </c>
      <c r="W698" s="353">
        <f t="shared" si="21"/>
        <v>110</v>
      </c>
    </row>
    <row r="699" spans="1:23" ht="15" customHeight="1" x14ac:dyDescent="0.25">
      <c r="A699" s="128">
        <v>4063</v>
      </c>
      <c r="B699" s="129" t="s">
        <v>315</v>
      </c>
      <c r="C699" s="128" t="s">
        <v>68</v>
      </c>
      <c r="D699" s="129" t="s">
        <v>194</v>
      </c>
      <c r="E699" s="129" t="s">
        <v>201</v>
      </c>
      <c r="F699" s="129">
        <v>91941</v>
      </c>
      <c r="G699" s="129">
        <v>91962</v>
      </c>
      <c r="H699" s="130">
        <v>135</v>
      </c>
      <c r="I699" s="129" t="s">
        <v>406</v>
      </c>
      <c r="J699" s="130">
        <v>7</v>
      </c>
      <c r="K699" s="131"/>
      <c r="L699" s="131" t="s">
        <v>68</v>
      </c>
      <c r="M699" s="131" t="s">
        <v>326</v>
      </c>
      <c r="N699" s="131" t="s">
        <v>329</v>
      </c>
      <c r="O699" s="56">
        <f>VLOOKUP($F699,'ZipCode Coordinates'!$A:$E,4,FALSE)</f>
        <v>1857090</v>
      </c>
      <c r="P699" s="56">
        <f>VLOOKUP($F699,'ZipCode Coordinates'!$A:$E,5,FALSE)</f>
        <v>6332960</v>
      </c>
      <c r="Q699" s="56">
        <f>VLOOKUP($G699,'ZipCode Coordinates'!$A:$E,4,FALSE)</f>
        <v>1874980</v>
      </c>
      <c r="R699" s="56">
        <f>VLOOKUP($G699,'ZipCode Coordinates'!$A:$E,5,FALSE)</f>
        <v>6499110</v>
      </c>
      <c r="S699" s="352" t="str">
        <f>IFERROR(VLOOKUP($M699,'External Gateways'!$C$6:$F$10,2,FALSE),"")</f>
        <v/>
      </c>
      <c r="T699" s="56">
        <f>IFERROR(VLOOKUP($M699,'External Gateways'!$C$6:$F$10,3,FALSE),O699)</f>
        <v>1857090</v>
      </c>
      <c r="U699" s="56">
        <f>IFERROR(VLOOKUP($M699,'External Gateways'!$C$6:$F$10,4,FALSE),P699)</f>
        <v>6332960</v>
      </c>
      <c r="V699" s="353">
        <f t="shared" si="20"/>
        <v>0</v>
      </c>
      <c r="W699" s="353">
        <f t="shared" si="21"/>
        <v>135</v>
      </c>
    </row>
    <row r="700" spans="1:23" ht="15" customHeight="1" x14ac:dyDescent="0.25">
      <c r="A700" s="128">
        <v>4064</v>
      </c>
      <c r="B700" s="129" t="s">
        <v>503</v>
      </c>
      <c r="C700" s="128" t="s">
        <v>166</v>
      </c>
      <c r="D700" s="129" t="s">
        <v>158</v>
      </c>
      <c r="E700" s="129" t="s">
        <v>156</v>
      </c>
      <c r="F700" s="129">
        <v>92563</v>
      </c>
      <c r="G700" s="129">
        <v>92029</v>
      </c>
      <c r="H700" s="130">
        <v>85</v>
      </c>
      <c r="I700" s="129" t="s">
        <v>419</v>
      </c>
      <c r="J700" s="130">
        <v>7</v>
      </c>
      <c r="K700" s="131"/>
      <c r="L700" s="131" t="s">
        <v>5</v>
      </c>
      <c r="M700" s="131" t="s">
        <v>402</v>
      </c>
      <c r="N700" s="131" t="s">
        <v>325</v>
      </c>
      <c r="O700" s="56">
        <f>VLOOKUP($F700,'ZipCode Coordinates'!$A:$E,4,FALSE)</f>
        <v>2156450</v>
      </c>
      <c r="P700" s="56">
        <f>VLOOKUP($F700,'ZipCode Coordinates'!$A:$E,5,FALSE)</f>
        <v>6288710</v>
      </c>
      <c r="Q700" s="56">
        <f>VLOOKUP($G700,'ZipCode Coordinates'!$A:$E,4,FALSE)</f>
        <v>1974260</v>
      </c>
      <c r="R700" s="56">
        <f>VLOOKUP($G700,'ZipCode Coordinates'!$A:$E,5,FALSE)</f>
        <v>6291680</v>
      </c>
      <c r="S700" s="352" t="str">
        <f>IFERROR(VLOOKUP($M700,'External Gateways'!$C$6:$F$10,2,FALSE),"")</f>
        <v>I-15</v>
      </c>
      <c r="T700" s="56">
        <f>IFERROR(VLOOKUP($M700,'External Gateways'!$C$6:$F$10,3,FALSE),O700)</f>
        <v>2102195</v>
      </c>
      <c r="U700" s="56">
        <f>IFERROR(VLOOKUP($M700,'External Gateways'!$C$6:$F$10,4,FALSE),P700)</f>
        <v>6289147</v>
      </c>
      <c r="V700" s="353">
        <f t="shared" si="20"/>
        <v>10.275901494735123</v>
      </c>
      <c r="W700" s="353">
        <f t="shared" si="21"/>
        <v>64.448197010529753</v>
      </c>
    </row>
    <row r="701" spans="1:23" ht="15" customHeight="1" x14ac:dyDescent="0.25">
      <c r="A701" s="128">
        <v>4065</v>
      </c>
      <c r="B701" s="129" t="s">
        <v>315</v>
      </c>
      <c r="C701" s="128" t="s">
        <v>68</v>
      </c>
      <c r="D701" s="129" t="s">
        <v>234</v>
      </c>
      <c r="E701" s="129" t="s">
        <v>405</v>
      </c>
      <c r="F701" s="129">
        <v>92243</v>
      </c>
      <c r="G701" s="129">
        <v>91905</v>
      </c>
      <c r="H701" s="130">
        <v>160</v>
      </c>
      <c r="I701" s="129" t="s">
        <v>406</v>
      </c>
      <c r="J701" s="130">
        <v>7</v>
      </c>
      <c r="K701" s="131"/>
      <c r="L701" s="131" t="s">
        <v>68</v>
      </c>
      <c r="M701" s="131" t="s">
        <v>431</v>
      </c>
      <c r="N701" s="131" t="s">
        <v>329</v>
      </c>
      <c r="O701" s="56">
        <f>VLOOKUP($F701,'ZipCode Coordinates'!$A:$E,4,FALSE)</f>
        <v>1861900</v>
      </c>
      <c r="P701" s="56">
        <f>VLOOKUP($F701,'ZipCode Coordinates'!$A:$E,5,FALSE)</f>
        <v>6761000</v>
      </c>
      <c r="Q701" s="56">
        <f>VLOOKUP($G701,'ZipCode Coordinates'!$A:$E,4,FALSE)</f>
        <v>1844120</v>
      </c>
      <c r="R701" s="56">
        <f>VLOOKUP($G701,'ZipCode Coordinates'!$A:$E,5,FALSE)</f>
        <v>6545720</v>
      </c>
      <c r="S701" s="352" t="str">
        <f>IFERROR(VLOOKUP($M701,'External Gateways'!$C$6:$F$10,2,FALSE),"")</f>
        <v>I-8</v>
      </c>
      <c r="T701" s="56">
        <f>IFERROR(VLOOKUP($M701,'External Gateways'!$C$6:$F$10,3,FALSE),O701)</f>
        <v>1814524</v>
      </c>
      <c r="U701" s="56">
        <f>IFERROR(VLOOKUP($M701,'External Gateways'!$C$6:$F$10,4,FALSE),P701)</f>
        <v>6606089</v>
      </c>
      <c r="V701" s="353">
        <f t="shared" si="20"/>
        <v>30.680592531285384</v>
      </c>
      <c r="W701" s="353">
        <f t="shared" si="21"/>
        <v>98.638814937429231</v>
      </c>
    </row>
  </sheetData>
  <autoFilter ref="A2:W701">
    <sortState ref="A3:W701">
      <sortCondition ref="A2:A701"/>
    </sortState>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30" zoomScaleNormal="130" workbookViewId="0">
      <selection activeCell="D10" sqref="D10"/>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BQ112"/>
  <sheetViews>
    <sheetView zoomScale="85" zoomScaleNormal="85" workbookViewId="0">
      <selection activeCell="B5" sqref="B5:N5"/>
    </sheetView>
  </sheetViews>
  <sheetFormatPr defaultRowHeight="15" x14ac:dyDescent="0.25"/>
  <cols>
    <col min="2" max="2" width="30.7109375" customWidth="1"/>
    <col min="3" max="14" width="10.7109375" customWidth="1"/>
    <col min="16" max="16" width="30.7109375" customWidth="1"/>
    <col min="17" max="28" width="9.28515625" customWidth="1"/>
    <col min="30" max="30" width="30.7109375" customWidth="1"/>
    <col min="31" max="42" width="9.28515625" customWidth="1"/>
    <col min="44" max="44" width="30.7109375" customWidth="1"/>
    <col min="45" max="56" width="9.28515625" customWidth="1"/>
  </cols>
  <sheetData>
    <row r="3" spans="2:14" ht="21" x14ac:dyDescent="0.35">
      <c r="B3" s="28" t="s">
        <v>659</v>
      </c>
    </row>
    <row r="4" spans="2:14" ht="21" x14ac:dyDescent="0.35">
      <c r="B4" s="28"/>
    </row>
    <row r="5" spans="2:14" ht="137.25" customHeight="1" x14ac:dyDescent="0.25">
      <c r="B5" s="398" t="s">
        <v>663</v>
      </c>
      <c r="C5" s="399"/>
      <c r="D5" s="399"/>
      <c r="E5" s="399"/>
      <c r="F5" s="399"/>
      <c r="G5" s="399"/>
      <c r="H5" s="399"/>
      <c r="I5" s="399"/>
      <c r="J5" s="399"/>
      <c r="K5" s="399"/>
      <c r="L5" s="399"/>
      <c r="M5" s="399"/>
      <c r="N5" s="399"/>
    </row>
    <row r="8" spans="2:14" ht="18.75" x14ac:dyDescent="0.3">
      <c r="B8" s="29" t="s">
        <v>642</v>
      </c>
    </row>
    <row r="10" spans="2:14" x14ac:dyDescent="0.25">
      <c r="B10" s="68"/>
      <c r="C10" s="400" t="s">
        <v>335</v>
      </c>
      <c r="D10" s="400"/>
      <c r="E10" s="400"/>
      <c r="F10" s="400"/>
      <c r="G10" s="400"/>
      <c r="H10" s="400"/>
      <c r="I10" s="400"/>
      <c r="J10" s="400"/>
      <c r="K10" s="400"/>
      <c r="L10" s="400"/>
      <c r="M10" s="400"/>
      <c r="N10" s="400"/>
    </row>
    <row r="11" spans="2:14" x14ac:dyDescent="0.25">
      <c r="B11" s="71" t="s">
        <v>334</v>
      </c>
      <c r="C11" s="72" t="s">
        <v>42</v>
      </c>
      <c r="D11" s="73" t="s">
        <v>51</v>
      </c>
      <c r="E11" s="73" t="s">
        <v>52</v>
      </c>
      <c r="F11" s="73" t="s">
        <v>53</v>
      </c>
      <c r="G11" s="73" t="s">
        <v>54</v>
      </c>
      <c r="H11" s="73" t="s">
        <v>55</v>
      </c>
      <c r="I11" s="75" t="s">
        <v>56</v>
      </c>
      <c r="J11" s="73" t="s">
        <v>60</v>
      </c>
      <c r="K11" s="73" t="s">
        <v>59</v>
      </c>
      <c r="L11" s="73" t="s">
        <v>61</v>
      </c>
      <c r="M11" s="73" t="s">
        <v>58</v>
      </c>
      <c r="N11" s="73" t="s">
        <v>57</v>
      </c>
    </row>
    <row r="12" spans="2:14" x14ac:dyDescent="0.25">
      <c r="B12" s="25" t="s">
        <v>42</v>
      </c>
      <c r="C12" s="46">
        <v>14.99746</v>
      </c>
      <c r="D12" s="46">
        <v>29.890979999999999</v>
      </c>
      <c r="E12" s="46">
        <v>22.54111</v>
      </c>
      <c r="F12" s="46">
        <v>28.669720000000002</v>
      </c>
      <c r="G12" s="46">
        <v>52.895780000000002</v>
      </c>
      <c r="H12" s="46">
        <v>55.813769999999998</v>
      </c>
      <c r="I12" s="76">
        <v>81.525840000000002</v>
      </c>
      <c r="J12" s="46">
        <v>63.038043999999999</v>
      </c>
      <c r="K12" s="46">
        <v>71.022261999999998</v>
      </c>
      <c r="L12" s="46">
        <v>72.575509999999994</v>
      </c>
      <c r="M12" s="46">
        <v>63.038043999999999</v>
      </c>
      <c r="N12" s="46">
        <v>71.022261999999998</v>
      </c>
    </row>
    <row r="13" spans="2:14" x14ac:dyDescent="0.25">
      <c r="B13" s="25" t="s">
        <v>43</v>
      </c>
      <c r="C13" s="46">
        <v>29.901240000000001</v>
      </c>
      <c r="D13" s="46">
        <v>26.143719999999998</v>
      </c>
      <c r="E13" s="46">
        <v>40.345350000000003</v>
      </c>
      <c r="F13" s="46">
        <v>35.731999999999999</v>
      </c>
      <c r="G13" s="46">
        <v>43.042560000000002</v>
      </c>
      <c r="H13" s="46">
        <v>44.539819999999999</v>
      </c>
      <c r="I13" s="76">
        <v>82.662090000000006</v>
      </c>
      <c r="J13" s="46">
        <v>52.295211999999999</v>
      </c>
      <c r="K13" s="46">
        <v>61.272975000000002</v>
      </c>
      <c r="L13" s="46">
        <v>79.334419999999994</v>
      </c>
      <c r="M13" s="46">
        <v>52.295211999999999</v>
      </c>
      <c r="N13" s="46">
        <v>61.272975000000002</v>
      </c>
    </row>
    <row r="14" spans="2:14" x14ac:dyDescent="0.25">
      <c r="B14" s="25" t="s">
        <v>44</v>
      </c>
      <c r="C14" s="46">
        <v>28.884509999999999</v>
      </c>
      <c r="D14" s="46">
        <v>46.551879999999997</v>
      </c>
      <c r="E14" s="46">
        <v>15.193379999999999</v>
      </c>
      <c r="F14" s="46">
        <v>36.66771</v>
      </c>
      <c r="G14" s="46">
        <v>71.180980000000005</v>
      </c>
      <c r="H14" s="46">
        <v>71.350939999999994</v>
      </c>
      <c r="I14" s="76">
        <v>88.863669999999999</v>
      </c>
      <c r="J14" s="46">
        <v>78.377590999999995</v>
      </c>
      <c r="K14" s="46">
        <v>89.456475999999995</v>
      </c>
      <c r="L14" s="46">
        <v>79.872990000000001</v>
      </c>
      <c r="M14" s="46">
        <v>78.377590999999995</v>
      </c>
      <c r="N14" s="46">
        <v>89.456475999999995</v>
      </c>
    </row>
    <row r="15" spans="2:14" x14ac:dyDescent="0.25">
      <c r="B15" s="25" t="s">
        <v>45</v>
      </c>
      <c r="C15" s="46">
        <v>37.111789999999999</v>
      </c>
      <c r="D15" s="46">
        <v>44.653500000000001</v>
      </c>
      <c r="E15" s="46">
        <v>40.160240000000002</v>
      </c>
      <c r="F15" s="46">
        <v>25.09149</v>
      </c>
      <c r="G15" s="46">
        <v>67.992310000000003</v>
      </c>
      <c r="H15" s="46">
        <v>65.046419999999998</v>
      </c>
      <c r="I15" s="76">
        <v>68.70384</v>
      </c>
      <c r="J15" s="46">
        <v>72.666045999999994</v>
      </c>
      <c r="K15" s="46">
        <v>85.948684</v>
      </c>
      <c r="L15" s="46">
        <v>62.658729999999998</v>
      </c>
      <c r="M15" s="46">
        <v>72.666045999999994</v>
      </c>
      <c r="N15" s="46">
        <v>85.948684</v>
      </c>
    </row>
    <row r="16" spans="2:14" x14ac:dyDescent="0.25">
      <c r="B16" s="25" t="s">
        <v>46</v>
      </c>
      <c r="C16" s="46">
        <v>63.853850000000001</v>
      </c>
      <c r="D16" s="46">
        <v>54.928159999999998</v>
      </c>
      <c r="E16" s="46">
        <v>75.698459999999997</v>
      </c>
      <c r="F16" s="46">
        <v>70.747489999999999</v>
      </c>
      <c r="G16" s="46">
        <v>21.354669999999999</v>
      </c>
      <c r="H16" s="46">
        <v>34.392249999999997</v>
      </c>
      <c r="I16" s="76">
        <v>107.42563</v>
      </c>
      <c r="J16" s="46">
        <v>46.712096000000003</v>
      </c>
      <c r="K16" s="46">
        <v>32.580621999999998</v>
      </c>
      <c r="L16" s="46">
        <v>118.78507</v>
      </c>
      <c r="M16" s="46">
        <v>46.712096000000003</v>
      </c>
      <c r="N16" s="46">
        <v>32.580621999999998</v>
      </c>
    </row>
    <row r="17" spans="2:56" x14ac:dyDescent="0.25">
      <c r="B17" s="25" t="s">
        <v>47</v>
      </c>
      <c r="C17" s="46">
        <v>69.636179999999996</v>
      </c>
      <c r="D17" s="46">
        <v>58.234400000000001</v>
      </c>
      <c r="E17" s="46">
        <v>78.993409999999997</v>
      </c>
      <c r="F17" s="46">
        <v>70.538889999999995</v>
      </c>
      <c r="G17" s="46">
        <v>37.744700000000002</v>
      </c>
      <c r="H17" s="46">
        <v>24.542349999999999</v>
      </c>
      <c r="I17" s="76">
        <v>96.638189999999994</v>
      </c>
      <c r="J17" s="46">
        <v>27.791799000000001</v>
      </c>
      <c r="K17" s="46">
        <v>48.822809999999997</v>
      </c>
      <c r="L17" s="46">
        <v>119.74366999999999</v>
      </c>
      <c r="M17" s="46">
        <v>27.791799000000001</v>
      </c>
      <c r="N17" s="46">
        <v>48.822809999999997</v>
      </c>
    </row>
    <row r="18" spans="2:56" x14ac:dyDescent="0.25">
      <c r="B18" s="72" t="s">
        <v>48</v>
      </c>
      <c r="C18" s="74">
        <v>92.320949999999996</v>
      </c>
      <c r="D18" s="74">
        <v>96.868480000000005</v>
      </c>
      <c r="E18" s="74">
        <v>94.990669999999994</v>
      </c>
      <c r="F18" s="74">
        <v>72.551950000000005</v>
      </c>
      <c r="G18" s="74">
        <v>110.93611</v>
      </c>
      <c r="H18" s="74">
        <v>96.796639999999996</v>
      </c>
      <c r="I18" s="77">
        <v>58.264800000000001</v>
      </c>
      <c r="J18" s="74">
        <v>96.634917999999999</v>
      </c>
      <c r="K18" s="74">
        <v>127.493968</v>
      </c>
      <c r="L18" s="74">
        <v>66.612660000000005</v>
      </c>
      <c r="M18" s="74">
        <v>96.634917999999999</v>
      </c>
      <c r="N18" s="74">
        <v>127.493968</v>
      </c>
    </row>
    <row r="19" spans="2:56" x14ac:dyDescent="0.25">
      <c r="B19" s="25" t="s">
        <v>523</v>
      </c>
      <c r="C19" s="46">
        <v>76.24709</v>
      </c>
      <c r="D19" s="46">
        <v>65.233609999999999</v>
      </c>
      <c r="E19" s="46">
        <v>85.459869999999995</v>
      </c>
      <c r="F19" s="46">
        <v>77.610370000000003</v>
      </c>
      <c r="G19" s="46">
        <v>50.934260000000002</v>
      </c>
      <c r="H19" s="46">
        <v>28.97007</v>
      </c>
      <c r="I19" s="76">
        <v>98.526889999999995</v>
      </c>
      <c r="J19" s="46"/>
      <c r="K19" s="46"/>
      <c r="L19" s="46"/>
      <c r="M19" s="46"/>
      <c r="N19" s="46"/>
    </row>
    <row r="20" spans="2:56" x14ac:dyDescent="0.25">
      <c r="B20" s="25" t="s">
        <v>524</v>
      </c>
      <c r="C20" s="46">
        <v>83.832440000000005</v>
      </c>
      <c r="D20" s="46">
        <v>74.742320000000007</v>
      </c>
      <c r="E20" s="46">
        <v>95.839929999999995</v>
      </c>
      <c r="F20" s="46">
        <v>90.728160000000003</v>
      </c>
      <c r="G20" s="46">
        <v>34.666980000000002</v>
      </c>
      <c r="H20" s="46">
        <v>47.547960000000003</v>
      </c>
      <c r="I20" s="76">
        <v>126.47454999999999</v>
      </c>
      <c r="J20" s="46"/>
      <c r="K20" s="46"/>
      <c r="L20" s="46"/>
      <c r="M20" s="46"/>
      <c r="N20" s="46"/>
    </row>
    <row r="21" spans="2:56" x14ac:dyDescent="0.25">
      <c r="B21" s="25" t="s">
        <v>525</v>
      </c>
      <c r="C21" s="46">
        <v>82.448880000000003</v>
      </c>
      <c r="D21" s="46">
        <v>90.182670000000002</v>
      </c>
      <c r="E21" s="46">
        <v>85.969679999999997</v>
      </c>
      <c r="F21" s="46">
        <v>65.565290000000005</v>
      </c>
      <c r="G21" s="46">
        <v>117.06164</v>
      </c>
      <c r="H21" s="46">
        <v>115.39269</v>
      </c>
      <c r="I21" s="76">
        <v>66.946879999999993</v>
      </c>
      <c r="J21" s="46"/>
      <c r="K21" s="46"/>
      <c r="L21" s="212" t="s">
        <v>69</v>
      </c>
      <c r="M21" s="46"/>
      <c r="N21" s="46"/>
    </row>
    <row r="22" spans="2:56" x14ac:dyDescent="0.25">
      <c r="B22" s="25" t="s">
        <v>526</v>
      </c>
      <c r="C22" s="46">
        <v>76.24709</v>
      </c>
      <c r="D22" s="46">
        <v>65.233609999999999</v>
      </c>
      <c r="E22" s="46">
        <v>85.459869999999995</v>
      </c>
      <c r="F22" s="46">
        <v>77.610370000000003</v>
      </c>
      <c r="G22" s="46">
        <v>50.934260000000002</v>
      </c>
      <c r="H22" s="46">
        <v>28.97007</v>
      </c>
      <c r="I22" s="76">
        <v>98.526889999999995</v>
      </c>
      <c r="J22" s="46"/>
      <c r="K22" s="46"/>
      <c r="L22" s="46"/>
      <c r="M22" s="46"/>
      <c r="N22" s="46"/>
    </row>
    <row r="23" spans="2:56" x14ac:dyDescent="0.25">
      <c r="B23" s="25" t="s">
        <v>527</v>
      </c>
      <c r="C23" s="46">
        <v>83.832440000000005</v>
      </c>
      <c r="D23" s="46">
        <v>74.742320000000007</v>
      </c>
      <c r="E23" s="46">
        <v>95.839929999999995</v>
      </c>
      <c r="F23" s="46">
        <v>90.728160000000003</v>
      </c>
      <c r="G23" s="46">
        <v>34.666980000000002</v>
      </c>
      <c r="H23" s="46">
        <v>47.547960000000003</v>
      </c>
      <c r="I23" s="76">
        <v>126.47454999999999</v>
      </c>
      <c r="J23" s="46"/>
      <c r="K23" s="46"/>
      <c r="L23" s="46"/>
      <c r="M23" s="46"/>
      <c r="N23" s="46"/>
    </row>
    <row r="25" spans="2:56" x14ac:dyDescent="0.25">
      <c r="B25" s="377" t="s">
        <v>99</v>
      </c>
      <c r="C25" s="377"/>
      <c r="D25" s="377"/>
      <c r="E25" s="377"/>
      <c r="F25" s="377"/>
      <c r="G25" s="377"/>
      <c r="H25" s="377"/>
      <c r="I25" s="377"/>
      <c r="J25" s="377"/>
      <c r="K25" s="377"/>
      <c r="L25" s="377"/>
      <c r="M25" s="377"/>
      <c r="N25" s="377"/>
    </row>
    <row r="26" spans="2:56" x14ac:dyDescent="0.25">
      <c r="B26" s="248" t="s">
        <v>602</v>
      </c>
      <c r="C26" s="371"/>
      <c r="D26" s="371"/>
      <c r="E26" s="371"/>
      <c r="F26" s="371"/>
      <c r="G26" s="371"/>
      <c r="H26" s="371"/>
      <c r="I26" s="371"/>
      <c r="J26" s="371"/>
      <c r="K26" s="371"/>
      <c r="L26" s="371"/>
      <c r="M26" s="371"/>
      <c r="N26" s="371"/>
    </row>
    <row r="27" spans="2:56" x14ac:dyDescent="0.25">
      <c r="B27" s="377" t="s">
        <v>113</v>
      </c>
      <c r="C27" s="377"/>
      <c r="D27" s="377"/>
      <c r="E27" s="377"/>
      <c r="F27" s="377"/>
      <c r="G27" s="377"/>
      <c r="H27" s="377"/>
      <c r="I27" s="377"/>
      <c r="J27" s="377"/>
      <c r="K27" s="377"/>
      <c r="L27" s="377"/>
      <c r="M27" s="377"/>
      <c r="N27" s="377"/>
    </row>
    <row r="28" spans="2:56" ht="30" customHeight="1" x14ac:dyDescent="0.25">
      <c r="B28" s="378" t="s">
        <v>624</v>
      </c>
      <c r="C28" s="378"/>
      <c r="D28" s="378"/>
      <c r="E28" s="378"/>
      <c r="F28" s="378"/>
      <c r="G28" s="378"/>
      <c r="H28" s="378"/>
      <c r="I28" s="378"/>
      <c r="J28" s="378"/>
      <c r="K28" s="378"/>
      <c r="L28" s="378"/>
      <c r="M28" s="378"/>
      <c r="N28" s="378"/>
    </row>
    <row r="29" spans="2:56" x14ac:dyDescent="0.25">
      <c r="B29" s="377" t="s">
        <v>112</v>
      </c>
      <c r="C29" s="377"/>
      <c r="D29" s="377"/>
      <c r="E29" s="377"/>
      <c r="F29" s="377"/>
      <c r="G29" s="377"/>
      <c r="H29" s="377"/>
      <c r="I29" s="377"/>
      <c r="J29" s="377"/>
      <c r="K29" s="377"/>
      <c r="L29" s="377"/>
      <c r="M29" s="377"/>
      <c r="N29" s="377"/>
      <c r="Q29" s="33"/>
    </row>
    <row r="31" spans="2:56" x14ac:dyDescent="0.25">
      <c r="C31" s="26"/>
      <c r="D31" s="26"/>
      <c r="E31" s="26"/>
      <c r="F31" s="26"/>
      <c r="G31" s="26"/>
      <c r="H31" s="26"/>
      <c r="I31" s="26"/>
      <c r="J31" s="26"/>
      <c r="K31" s="26"/>
      <c r="L31" s="26"/>
      <c r="M31" s="26"/>
      <c r="N31" s="26"/>
      <c r="P31" s="26"/>
      <c r="Q31" s="26"/>
      <c r="R31" s="26"/>
      <c r="S31" s="26"/>
      <c r="T31" s="26"/>
      <c r="U31" s="26"/>
      <c r="V31" s="26"/>
      <c r="W31" s="26"/>
      <c r="X31" s="26"/>
      <c r="Y31" s="26"/>
      <c r="Z31" s="26"/>
      <c r="AA31" s="26"/>
      <c r="AC31" s="26"/>
      <c r="AD31" s="26"/>
      <c r="AE31" s="26"/>
      <c r="AF31" s="26"/>
      <c r="AG31" s="26"/>
      <c r="AH31" s="26"/>
      <c r="AI31" s="26"/>
      <c r="AJ31" s="26"/>
      <c r="AK31" s="26"/>
      <c r="AL31" s="26"/>
      <c r="AM31" s="26"/>
      <c r="AN31" s="26"/>
      <c r="AP31" s="26"/>
      <c r="AQ31" s="26"/>
      <c r="AR31" s="26"/>
      <c r="AS31" s="26"/>
      <c r="AT31" s="26"/>
      <c r="AU31" s="26"/>
      <c r="AV31" s="26"/>
      <c r="AW31" s="26"/>
      <c r="AX31" s="26"/>
      <c r="AY31" s="26"/>
      <c r="AZ31" s="26"/>
      <c r="BA31" s="26"/>
      <c r="BC31" s="26"/>
      <c r="BD31" s="26"/>
    </row>
    <row r="32" spans="2:56" ht="18.75" x14ac:dyDescent="0.3">
      <c r="B32" s="29" t="s">
        <v>635</v>
      </c>
      <c r="P32" s="29" t="s">
        <v>636</v>
      </c>
      <c r="Q32" s="29"/>
      <c r="AD32" s="29" t="s">
        <v>637</v>
      </c>
      <c r="AR32" s="29" t="s">
        <v>638</v>
      </c>
      <c r="AS32" s="29"/>
    </row>
    <row r="34" spans="2:56" x14ac:dyDescent="0.25">
      <c r="C34" s="400" t="s">
        <v>335</v>
      </c>
      <c r="D34" s="400"/>
      <c r="E34" s="400"/>
      <c r="F34" s="400"/>
      <c r="G34" s="400"/>
      <c r="H34" s="400"/>
      <c r="I34" s="400"/>
      <c r="J34" s="400"/>
      <c r="K34" s="400"/>
      <c r="L34" s="400"/>
      <c r="M34" s="400"/>
      <c r="N34" s="400"/>
      <c r="P34" s="68"/>
      <c r="Q34" s="400" t="s">
        <v>335</v>
      </c>
      <c r="R34" s="400"/>
      <c r="S34" s="400"/>
      <c r="T34" s="400"/>
      <c r="U34" s="400"/>
      <c r="V34" s="400"/>
      <c r="W34" s="400"/>
      <c r="X34" s="400"/>
      <c r="Y34" s="400"/>
      <c r="Z34" s="400"/>
      <c r="AA34" s="400"/>
      <c r="AB34" s="400"/>
      <c r="AD34" s="68"/>
      <c r="AE34" s="400" t="s">
        <v>335</v>
      </c>
      <c r="AF34" s="400"/>
      <c r="AG34" s="400"/>
      <c r="AH34" s="400"/>
      <c r="AI34" s="400"/>
      <c r="AJ34" s="400"/>
      <c r="AK34" s="400"/>
      <c r="AL34" s="400"/>
      <c r="AM34" s="400"/>
      <c r="AN34" s="400"/>
      <c r="AO34" s="400"/>
      <c r="AP34" s="400"/>
      <c r="AR34" s="68"/>
      <c r="AS34" s="400" t="s">
        <v>335</v>
      </c>
      <c r="AT34" s="400"/>
      <c r="AU34" s="400"/>
      <c r="AV34" s="400"/>
      <c r="AW34" s="400"/>
      <c r="AX34" s="400"/>
      <c r="AY34" s="400"/>
      <c r="AZ34" s="400"/>
      <c r="BA34" s="400"/>
      <c r="BB34" s="400"/>
      <c r="BC34" s="400"/>
      <c r="BD34" s="400"/>
    </row>
    <row r="35" spans="2:56" x14ac:dyDescent="0.25">
      <c r="B35" s="71" t="s">
        <v>334</v>
      </c>
      <c r="C35" s="72" t="s">
        <v>42</v>
      </c>
      <c r="D35" s="73" t="s">
        <v>51</v>
      </c>
      <c r="E35" s="73" t="s">
        <v>52</v>
      </c>
      <c r="F35" s="73" t="s">
        <v>53</v>
      </c>
      <c r="G35" s="73" t="s">
        <v>54</v>
      </c>
      <c r="H35" s="73" t="s">
        <v>55</v>
      </c>
      <c r="I35" s="73" t="s">
        <v>56</v>
      </c>
      <c r="J35" s="73" t="s">
        <v>60</v>
      </c>
      <c r="K35" s="73" t="s">
        <v>59</v>
      </c>
      <c r="L35" s="73" t="s">
        <v>61</v>
      </c>
      <c r="M35" s="73" t="s">
        <v>58</v>
      </c>
      <c r="N35" s="73" t="s">
        <v>57</v>
      </c>
      <c r="P35" s="71" t="s">
        <v>334</v>
      </c>
      <c r="Q35" s="72" t="s">
        <v>42</v>
      </c>
      <c r="R35" s="73" t="s">
        <v>51</v>
      </c>
      <c r="S35" s="73" t="s">
        <v>52</v>
      </c>
      <c r="T35" s="73" t="s">
        <v>53</v>
      </c>
      <c r="U35" s="73" t="s">
        <v>54</v>
      </c>
      <c r="V35" s="73" t="s">
        <v>55</v>
      </c>
      <c r="W35" s="73" t="s">
        <v>56</v>
      </c>
      <c r="X35" s="73" t="s">
        <v>60</v>
      </c>
      <c r="Y35" s="73" t="s">
        <v>59</v>
      </c>
      <c r="Z35" s="73" t="s">
        <v>61</v>
      </c>
      <c r="AA35" s="73" t="s">
        <v>58</v>
      </c>
      <c r="AB35" s="73" t="s">
        <v>57</v>
      </c>
      <c r="AD35" s="71" t="s">
        <v>334</v>
      </c>
      <c r="AE35" s="72" t="s">
        <v>42</v>
      </c>
      <c r="AF35" s="73" t="s">
        <v>51</v>
      </c>
      <c r="AG35" s="73" t="s">
        <v>52</v>
      </c>
      <c r="AH35" s="73" t="s">
        <v>53</v>
      </c>
      <c r="AI35" s="73" t="s">
        <v>54</v>
      </c>
      <c r="AJ35" s="73" t="s">
        <v>55</v>
      </c>
      <c r="AK35" s="73" t="s">
        <v>56</v>
      </c>
      <c r="AL35" s="73" t="s">
        <v>60</v>
      </c>
      <c r="AM35" s="73" t="s">
        <v>59</v>
      </c>
      <c r="AN35" s="73" t="s">
        <v>61</v>
      </c>
      <c r="AO35" s="73" t="s">
        <v>58</v>
      </c>
      <c r="AP35" s="73" t="s">
        <v>57</v>
      </c>
      <c r="AR35" s="71" t="s">
        <v>334</v>
      </c>
      <c r="AS35" s="72" t="s">
        <v>42</v>
      </c>
      <c r="AT35" s="73" t="s">
        <v>51</v>
      </c>
      <c r="AU35" s="73" t="s">
        <v>52</v>
      </c>
      <c r="AV35" s="73" t="s">
        <v>53</v>
      </c>
      <c r="AW35" s="73" t="s">
        <v>54</v>
      </c>
      <c r="AX35" s="73" t="s">
        <v>55</v>
      </c>
      <c r="AY35" s="73" t="s">
        <v>56</v>
      </c>
      <c r="AZ35" s="73" t="s">
        <v>60</v>
      </c>
      <c r="BA35" s="73" t="s">
        <v>59</v>
      </c>
      <c r="BB35" s="73" t="s">
        <v>61</v>
      </c>
      <c r="BC35" s="73" t="s">
        <v>58</v>
      </c>
      <c r="BD35" s="73" t="s">
        <v>57</v>
      </c>
    </row>
    <row r="36" spans="2:56" x14ac:dyDescent="0.25">
      <c r="B36" s="25" t="s">
        <v>42</v>
      </c>
      <c r="C36" s="86">
        <v>-7.1149130000000005E-2</v>
      </c>
      <c r="D36" s="86">
        <v>-1.2283980000000001</v>
      </c>
      <c r="E36" s="86">
        <v>-0.67624969999999995</v>
      </c>
      <c r="F36" s="86">
        <v>-0.18562016000000001</v>
      </c>
      <c r="G36" s="86">
        <v>-6.2756401999999998</v>
      </c>
      <c r="H36" s="86">
        <v>-5.0546671999999999</v>
      </c>
      <c r="I36" s="87">
        <v>-0.39521541999999998</v>
      </c>
      <c r="J36" s="50">
        <v>-5.1886678000000002</v>
      </c>
      <c r="K36" s="50">
        <v>-8.4530978000000001</v>
      </c>
      <c r="L36" s="50">
        <v>-1.5845189999999999E-2</v>
      </c>
      <c r="M36" s="50">
        <v>-5.1886678000000002</v>
      </c>
      <c r="N36" s="50">
        <v>-8.4530978000000001</v>
      </c>
      <c r="P36" s="25" t="s">
        <v>42</v>
      </c>
      <c r="Q36" s="86">
        <v>-0.22544058</v>
      </c>
      <c r="R36" s="86">
        <v>-2.7039569999999999</v>
      </c>
      <c r="S36" s="86">
        <v>-0.78252900000000003</v>
      </c>
      <c r="T36" s="86">
        <v>-0.31830048</v>
      </c>
      <c r="U36" s="86">
        <v>-8.0169479999999993</v>
      </c>
      <c r="V36" s="86">
        <v>-9.4496243999999994</v>
      </c>
      <c r="W36" s="88">
        <v>-0.59297140000000004</v>
      </c>
      <c r="X36" s="50">
        <v>-8.7263407999999991</v>
      </c>
      <c r="Y36" s="50">
        <v>-10.875026999999999</v>
      </c>
      <c r="Z36" s="50">
        <v>-1.755731E-2</v>
      </c>
      <c r="AA36" s="50">
        <v>-8.7263407999999991</v>
      </c>
      <c r="AB36" s="50">
        <v>-10.875026999999999</v>
      </c>
      <c r="AD36" s="25" t="s">
        <v>42</v>
      </c>
      <c r="AE36" s="86">
        <v>-0.31304396000000001</v>
      </c>
      <c r="AF36" s="86">
        <v>-3.4146540000000001</v>
      </c>
      <c r="AG36" s="86">
        <v>-1.2470399999999999</v>
      </c>
      <c r="AH36" s="86">
        <v>-0.41210381000000001</v>
      </c>
      <c r="AI36" s="86">
        <v>-12.104805000000001</v>
      </c>
      <c r="AJ36" s="86">
        <v>-12.2217523</v>
      </c>
      <c r="AK36" s="88">
        <v>-0.74726422000000003</v>
      </c>
      <c r="AL36" s="50">
        <v>-11.105624000000001</v>
      </c>
      <c r="AM36" s="50">
        <v>-15.58084</v>
      </c>
      <c r="AN36" s="50">
        <v>-2.6332060000000001E-2</v>
      </c>
      <c r="AO36" s="50">
        <v>-11.105624000000001</v>
      </c>
      <c r="AP36" s="50">
        <v>-15.58084</v>
      </c>
      <c r="AR36" s="25" t="s">
        <v>42</v>
      </c>
      <c r="AS36" s="86">
        <v>-0.62051199999999995</v>
      </c>
      <c r="AT36" s="86">
        <v>-5.1507880000000004</v>
      </c>
      <c r="AU36" s="86">
        <v>-1.141251</v>
      </c>
      <c r="AV36" s="86">
        <v>-1.3213165</v>
      </c>
      <c r="AW36" s="86">
        <v>-16.993704999999999</v>
      </c>
      <c r="AX36" s="86">
        <v>-12.822228000000001</v>
      </c>
      <c r="AY36" s="88">
        <v>-1.5526975999999999</v>
      </c>
      <c r="AZ36" s="50">
        <v>-11.542119400000001</v>
      </c>
      <c r="BA36" s="50">
        <v>-20.932359000000002</v>
      </c>
      <c r="BB36" s="50">
        <v>-1.3374981399999999</v>
      </c>
      <c r="BC36" s="50">
        <v>-11.542119400000001</v>
      </c>
      <c r="BD36" s="50">
        <v>-20.932359000000002</v>
      </c>
    </row>
    <row r="37" spans="2:56" x14ac:dyDescent="0.25">
      <c r="B37" s="25" t="s">
        <v>43</v>
      </c>
      <c r="C37" s="50">
        <v>-2.6359570200000002</v>
      </c>
      <c r="D37" s="50">
        <v>-2.1648960000000002</v>
      </c>
      <c r="E37" s="50">
        <v>-3.6161184</v>
      </c>
      <c r="F37" s="50">
        <v>-2.1307236000000001</v>
      </c>
      <c r="G37" s="50">
        <v>-5.0505123999999997</v>
      </c>
      <c r="H37" s="50">
        <v>-4.3141907000000002</v>
      </c>
      <c r="I37" s="88">
        <v>-1.2787458700000001</v>
      </c>
      <c r="J37" s="50">
        <v>-4.3123367999999997</v>
      </c>
      <c r="K37" s="50">
        <v>-6.8377625999999996</v>
      </c>
      <c r="L37" s="50">
        <v>-1.6837908100000001</v>
      </c>
      <c r="M37" s="50">
        <v>-4.3123367999999997</v>
      </c>
      <c r="N37" s="50">
        <v>-6.8377625999999996</v>
      </c>
      <c r="P37" s="25" t="s">
        <v>43</v>
      </c>
      <c r="Q37" s="50">
        <v>-2.8137194999999999</v>
      </c>
      <c r="R37" s="50">
        <v>-2.3148620000000002</v>
      </c>
      <c r="S37" s="50">
        <v>-4.1681160000000004</v>
      </c>
      <c r="T37" s="50">
        <v>-2.2345305899999999</v>
      </c>
      <c r="U37" s="50">
        <v>-6.4026170000000002</v>
      </c>
      <c r="V37" s="50">
        <v>-5.7996752999999996</v>
      </c>
      <c r="W37" s="88">
        <v>-1.3179403999999999</v>
      </c>
      <c r="X37" s="50">
        <v>-5.0438377000000001</v>
      </c>
      <c r="Y37" s="50">
        <v>-9.6942339999999998</v>
      </c>
      <c r="Z37" s="50">
        <v>-1.6225578000000001</v>
      </c>
      <c r="AA37" s="50">
        <v>-5.0438377000000001</v>
      </c>
      <c r="AB37" s="50">
        <v>-9.6942339999999998</v>
      </c>
      <c r="AD37" s="25" t="s">
        <v>43</v>
      </c>
      <c r="AE37" s="50">
        <v>-3.0030614799999999</v>
      </c>
      <c r="AF37" s="50">
        <v>-2.5589569999999999</v>
      </c>
      <c r="AG37" s="50">
        <v>-4.6635179999999998</v>
      </c>
      <c r="AH37" s="50">
        <v>-2.3567817999999998</v>
      </c>
      <c r="AI37" s="50">
        <v>-8.9641839999999995</v>
      </c>
      <c r="AJ37" s="50">
        <v>-7.9928546999999996</v>
      </c>
      <c r="AK37" s="88">
        <v>-1.5425492599999999</v>
      </c>
      <c r="AL37" s="50">
        <v>-6.8769850000000003</v>
      </c>
      <c r="AM37" s="50">
        <v>-13.078901999999999</v>
      </c>
      <c r="AN37" s="50">
        <v>-1.7487403500000001</v>
      </c>
      <c r="AO37" s="50">
        <v>-6.8769850000000003</v>
      </c>
      <c r="AP37" s="50">
        <v>-13.078901999999999</v>
      </c>
      <c r="AR37" s="25" t="s">
        <v>43</v>
      </c>
      <c r="AS37" s="50">
        <v>-3.4055800000000001</v>
      </c>
      <c r="AT37" s="50">
        <v>-3.0912790000000001</v>
      </c>
      <c r="AU37" s="50">
        <v>-5.0177025000000004</v>
      </c>
      <c r="AV37" s="50">
        <v>-2.7678251999999999</v>
      </c>
      <c r="AW37" s="50">
        <v>-9.8193439999999992</v>
      </c>
      <c r="AX37" s="50">
        <v>-8.4701339999999998</v>
      </c>
      <c r="AY37" s="88">
        <v>-1.6970622</v>
      </c>
      <c r="AZ37" s="50">
        <v>-7.4504257999999997</v>
      </c>
      <c r="BA37" s="50">
        <v>-13.897356</v>
      </c>
      <c r="BB37" s="50">
        <v>-2.18762189</v>
      </c>
      <c r="BC37" s="50">
        <v>-7.4504257999999997</v>
      </c>
      <c r="BD37" s="50">
        <v>-13.897356</v>
      </c>
    </row>
    <row r="38" spans="2:56" x14ac:dyDescent="0.25">
      <c r="B38" s="25" t="s">
        <v>44</v>
      </c>
      <c r="C38" s="50">
        <v>-2.6343888299999998</v>
      </c>
      <c r="D38" s="50">
        <v>-5.1868840000000001</v>
      </c>
      <c r="E38" s="50">
        <v>-0.83688149999999994</v>
      </c>
      <c r="F38" s="50">
        <v>-3.0816071300000001</v>
      </c>
      <c r="G38" s="50">
        <v>-11.6026109</v>
      </c>
      <c r="H38" s="50">
        <v>-9.1471245000000003</v>
      </c>
      <c r="I38" s="88">
        <v>-2.7015136399999999</v>
      </c>
      <c r="J38" s="50">
        <v>-9.3167483000000004</v>
      </c>
      <c r="K38" s="50">
        <v>-13.872564000000001</v>
      </c>
      <c r="L38" s="50">
        <v>-2.2761190199999999</v>
      </c>
      <c r="M38" s="50">
        <v>-9.3167483000000004</v>
      </c>
      <c r="N38" s="50">
        <v>-13.872564000000001</v>
      </c>
      <c r="P38" s="25" t="s">
        <v>44</v>
      </c>
      <c r="Q38" s="50">
        <v>-4.4325579199999998</v>
      </c>
      <c r="R38" s="50">
        <v>-9.8893749999999994</v>
      </c>
      <c r="S38" s="50">
        <v>-1.023452</v>
      </c>
      <c r="T38" s="50">
        <v>-3.64128965</v>
      </c>
      <c r="U38" s="50">
        <v>-15.690079000000001</v>
      </c>
      <c r="V38" s="50">
        <v>-18.5797952</v>
      </c>
      <c r="W38" s="88">
        <v>-3.1811598999999999</v>
      </c>
      <c r="X38" s="50">
        <v>-17.8244832</v>
      </c>
      <c r="Y38" s="50">
        <v>-18.172986000000002</v>
      </c>
      <c r="Z38" s="50">
        <v>-2.4699377400000002</v>
      </c>
      <c r="AA38" s="50">
        <v>-17.8244832</v>
      </c>
      <c r="AB38" s="50">
        <v>-18.172986000000002</v>
      </c>
      <c r="AD38" s="25" t="s">
        <v>44</v>
      </c>
      <c r="AE38" s="50">
        <v>-5.0968692100000004</v>
      </c>
      <c r="AF38" s="50">
        <v>-10.762767999999999</v>
      </c>
      <c r="AG38" s="50">
        <v>-1.158245</v>
      </c>
      <c r="AH38" s="50">
        <v>-4.2842570899999997</v>
      </c>
      <c r="AI38" s="50">
        <v>-20.719829000000001</v>
      </c>
      <c r="AJ38" s="50">
        <v>-21.195288399999999</v>
      </c>
      <c r="AK38" s="88">
        <v>-3.8334659599999998</v>
      </c>
      <c r="AL38" s="50">
        <v>-20.008136</v>
      </c>
      <c r="AM38" s="50">
        <v>-23.958110999999999</v>
      </c>
      <c r="AN38" s="50">
        <v>-3.1115106400000001</v>
      </c>
      <c r="AO38" s="50">
        <v>-20.008136</v>
      </c>
      <c r="AP38" s="50">
        <v>-23.958110999999999</v>
      </c>
      <c r="AR38" s="25" t="s">
        <v>44</v>
      </c>
      <c r="AS38" s="50">
        <v>-4.0273839999999996</v>
      </c>
      <c r="AT38" s="50">
        <v>-11.865671000000001</v>
      </c>
      <c r="AU38" s="50">
        <v>-0.42926720000000002</v>
      </c>
      <c r="AV38" s="50">
        <v>-3.7846923000000001</v>
      </c>
      <c r="AW38" s="50">
        <v>-25.284191</v>
      </c>
      <c r="AX38" s="50">
        <v>-20.150378</v>
      </c>
      <c r="AY38" s="88">
        <v>-4.1300227999999999</v>
      </c>
      <c r="AZ38" s="50">
        <v>-19.060631000000001</v>
      </c>
      <c r="BA38" s="50">
        <v>-29.326765000000002</v>
      </c>
      <c r="BB38" s="50">
        <v>-4.2140917399999998</v>
      </c>
      <c r="BC38" s="50">
        <v>-19.060631000000001</v>
      </c>
      <c r="BD38" s="50">
        <v>-29.326765000000002</v>
      </c>
    </row>
    <row r="39" spans="2:56" x14ac:dyDescent="0.25">
      <c r="B39" s="25" t="s">
        <v>45</v>
      </c>
      <c r="C39" s="50">
        <v>-0.93837201000000003</v>
      </c>
      <c r="D39" s="50">
        <v>-1.8728880000000001</v>
      </c>
      <c r="E39" s="50">
        <v>-2.7416737000000002</v>
      </c>
      <c r="F39" s="50">
        <v>-0.30213872000000003</v>
      </c>
      <c r="G39" s="50">
        <v>-6.5242974</v>
      </c>
      <c r="H39" s="50">
        <v>-4.7626005999999999</v>
      </c>
      <c r="I39" s="88">
        <v>-0.28060081999999997</v>
      </c>
      <c r="J39" s="50">
        <v>-5.2425269999999999</v>
      </c>
      <c r="K39" s="50">
        <v>-8.6521501999999995</v>
      </c>
      <c r="L39" s="50">
        <v>-8.0318550000000002E-2</v>
      </c>
      <c r="M39" s="50">
        <v>-5.2425269999999999</v>
      </c>
      <c r="N39" s="50">
        <v>-8.6521501999999995</v>
      </c>
      <c r="P39" s="25" t="s">
        <v>45</v>
      </c>
      <c r="Q39" s="50">
        <v>-1.0111144299999999</v>
      </c>
      <c r="R39" s="50">
        <v>-2.5978319999999999</v>
      </c>
      <c r="S39" s="50">
        <v>-3.031288</v>
      </c>
      <c r="T39" s="50">
        <v>-0.30777306999999998</v>
      </c>
      <c r="U39" s="50">
        <v>-8.0965170000000004</v>
      </c>
      <c r="V39" s="50">
        <v>-8.1535489999999999</v>
      </c>
      <c r="W39" s="88">
        <v>-0.31568642000000002</v>
      </c>
      <c r="X39" s="50">
        <v>-7.6449081999999997</v>
      </c>
      <c r="Y39" s="50">
        <v>-11.103519</v>
      </c>
      <c r="Z39" s="50">
        <v>-9.4265979999999999E-2</v>
      </c>
      <c r="AA39" s="50">
        <v>-7.6449081999999997</v>
      </c>
      <c r="AB39" s="50">
        <v>-11.103519</v>
      </c>
      <c r="AD39" s="25" t="s">
        <v>45</v>
      </c>
      <c r="AE39" s="50">
        <v>-1.13230283</v>
      </c>
      <c r="AF39" s="50">
        <v>-3.191605</v>
      </c>
      <c r="AG39" s="50">
        <v>-3.456467</v>
      </c>
      <c r="AH39" s="50">
        <v>-0.32470905999999999</v>
      </c>
      <c r="AI39" s="50">
        <v>-12.054982000000001</v>
      </c>
      <c r="AJ39" s="50">
        <v>-10.6611539</v>
      </c>
      <c r="AK39" s="88">
        <v>-0.40287102000000002</v>
      </c>
      <c r="AL39" s="50">
        <v>-9.7537579999999995</v>
      </c>
      <c r="AM39" s="50">
        <v>-15.698525</v>
      </c>
      <c r="AN39" s="50">
        <v>-8.6809399999999995E-2</v>
      </c>
      <c r="AO39" s="50">
        <v>-9.7537579999999995</v>
      </c>
      <c r="AP39" s="50">
        <v>-15.698525</v>
      </c>
      <c r="AR39" s="25" t="s">
        <v>45</v>
      </c>
      <c r="AS39" s="50">
        <v>-3.0575580000000002</v>
      </c>
      <c r="AT39" s="50">
        <v>-8.1312320000000007</v>
      </c>
      <c r="AU39" s="50">
        <v>-2.9159351</v>
      </c>
      <c r="AV39" s="50">
        <v>-0.26831670000000002</v>
      </c>
      <c r="AW39" s="50">
        <v>-20.327397000000001</v>
      </c>
      <c r="AX39" s="50">
        <v>-16.680033000000002</v>
      </c>
      <c r="AY39" s="88">
        <v>-0.41717149999999997</v>
      </c>
      <c r="AZ39" s="50">
        <v>-16.1025563</v>
      </c>
      <c r="BA39" s="50">
        <v>-24.514125</v>
      </c>
      <c r="BB39" s="50">
        <v>-0.16090594</v>
      </c>
      <c r="BC39" s="50">
        <v>-16.1025563</v>
      </c>
      <c r="BD39" s="50">
        <v>-24.514125</v>
      </c>
    </row>
    <row r="40" spans="2:56" x14ac:dyDescent="0.25">
      <c r="B40" s="25" t="s">
        <v>46</v>
      </c>
      <c r="C40" s="50">
        <v>-12.034116879999999</v>
      </c>
      <c r="D40" s="50">
        <v>-9.99071</v>
      </c>
      <c r="E40" s="50">
        <v>-13.625086599999999</v>
      </c>
      <c r="F40" s="50">
        <v>-11.692615030000001</v>
      </c>
      <c r="G40" s="50">
        <v>-1.0083875</v>
      </c>
      <c r="H40" s="50">
        <v>-0.5408155</v>
      </c>
      <c r="I40" s="88">
        <v>-6.2222288900000002</v>
      </c>
      <c r="J40" s="50">
        <v>-1.3190118</v>
      </c>
      <c r="K40" s="50">
        <v>-0.8307348</v>
      </c>
      <c r="L40" s="50">
        <v>-12.461206130000001</v>
      </c>
      <c r="M40" s="50">
        <v>-1.3190118</v>
      </c>
      <c r="N40" s="50">
        <v>-0.8307348</v>
      </c>
      <c r="P40" s="25" t="s">
        <v>46</v>
      </c>
      <c r="Q40" s="50">
        <v>-11.48273975</v>
      </c>
      <c r="R40" s="50">
        <v>-10.022897</v>
      </c>
      <c r="S40" s="50">
        <v>-13.030305</v>
      </c>
      <c r="T40" s="50">
        <v>-11.202456160000001</v>
      </c>
      <c r="U40" s="50">
        <v>-1.080131</v>
      </c>
      <c r="V40" s="50">
        <v>-1.2020900000000001</v>
      </c>
      <c r="W40" s="88">
        <v>-6.7421983699999997</v>
      </c>
      <c r="X40" s="50">
        <v>-1.9555023</v>
      </c>
      <c r="Y40" s="50">
        <v>-1.5743560000000001</v>
      </c>
      <c r="Z40" s="50">
        <v>-11.458583429999999</v>
      </c>
      <c r="AA40" s="50">
        <v>-1.9555023</v>
      </c>
      <c r="AB40" s="50">
        <v>-1.5743560000000001</v>
      </c>
      <c r="AD40" s="25" t="s">
        <v>46</v>
      </c>
      <c r="AE40" s="50">
        <v>-14.201225389999999</v>
      </c>
      <c r="AF40" s="50">
        <v>-12.691634000000001</v>
      </c>
      <c r="AG40" s="50">
        <v>-16.475102</v>
      </c>
      <c r="AH40" s="50">
        <v>-14.173587599999999</v>
      </c>
      <c r="AI40" s="50">
        <v>-1.703109</v>
      </c>
      <c r="AJ40" s="50">
        <v>-2.9679679000000001</v>
      </c>
      <c r="AK40" s="88">
        <v>-9.6040457000000004</v>
      </c>
      <c r="AL40" s="50">
        <v>-4.1185029999999996</v>
      </c>
      <c r="AM40" s="50">
        <v>-2.207497</v>
      </c>
      <c r="AN40" s="50">
        <v>-14.880403879999999</v>
      </c>
      <c r="AO40" s="50">
        <v>-4.1185029999999996</v>
      </c>
      <c r="AP40" s="50">
        <v>-2.207497</v>
      </c>
      <c r="AR40" s="25" t="s">
        <v>46</v>
      </c>
      <c r="AS40" s="50">
        <v>-16.915330999999998</v>
      </c>
      <c r="AT40" s="50">
        <v>-13.998113999999999</v>
      </c>
      <c r="AU40" s="50">
        <v>-18.824137799999999</v>
      </c>
      <c r="AV40" s="50">
        <v>-16.282839200000002</v>
      </c>
      <c r="AW40" s="50">
        <v>-1.8082769999999999</v>
      </c>
      <c r="AX40" s="50">
        <v>-3.1967509999999999</v>
      </c>
      <c r="AY40" s="88">
        <v>-10.627421999999999</v>
      </c>
      <c r="AZ40" s="50">
        <v>-3.9153316</v>
      </c>
      <c r="BA40" s="50">
        <v>-2.2640280000000002</v>
      </c>
      <c r="BB40" s="50">
        <v>-17.308443199999999</v>
      </c>
      <c r="BC40" s="50">
        <v>-3.9153316</v>
      </c>
      <c r="BD40" s="50">
        <v>-2.2640280000000002</v>
      </c>
    </row>
    <row r="41" spans="2:56" x14ac:dyDescent="0.25">
      <c r="B41" s="25" t="s">
        <v>47</v>
      </c>
      <c r="C41" s="50">
        <v>-14.283374930000001</v>
      </c>
      <c r="D41" s="50">
        <v>-11.574089000000001</v>
      </c>
      <c r="E41" s="50">
        <v>-15.1373184</v>
      </c>
      <c r="F41" s="50">
        <v>-12.86970135</v>
      </c>
      <c r="G41" s="50">
        <v>-0.84130720000000003</v>
      </c>
      <c r="H41" s="50">
        <v>-0.18097350000000001</v>
      </c>
      <c r="I41" s="88">
        <v>-6.1765024200000003</v>
      </c>
      <c r="J41" s="50">
        <v>-0.20844280000000001</v>
      </c>
      <c r="K41" s="50">
        <v>-0.1520369</v>
      </c>
      <c r="L41" s="50">
        <v>-13.397121739999999</v>
      </c>
      <c r="M41" s="50">
        <v>-0.20844280000000001</v>
      </c>
      <c r="N41" s="50">
        <v>-0.1520369</v>
      </c>
      <c r="P41" s="25" t="s">
        <v>47</v>
      </c>
      <c r="Q41" s="50">
        <v>-14.89186484</v>
      </c>
      <c r="R41" s="50">
        <v>-11.789802999999999</v>
      </c>
      <c r="S41" s="50">
        <v>-16.599682999999999</v>
      </c>
      <c r="T41" s="50">
        <v>-13.59271397</v>
      </c>
      <c r="U41" s="50">
        <v>-2.0762510000000001</v>
      </c>
      <c r="V41" s="50">
        <v>-0.71921369999999996</v>
      </c>
      <c r="W41" s="88">
        <v>-6.8182026499999999</v>
      </c>
      <c r="X41" s="50">
        <v>-0.39759689999999998</v>
      </c>
      <c r="Y41" s="50">
        <v>-2.7725330000000001</v>
      </c>
      <c r="Z41" s="50">
        <v>-13.7943538</v>
      </c>
      <c r="AA41" s="50">
        <v>-0.39759689999999998</v>
      </c>
      <c r="AB41" s="50">
        <v>-2.7725330000000001</v>
      </c>
      <c r="AD41" s="25" t="s">
        <v>47</v>
      </c>
      <c r="AE41" s="50">
        <v>-17.666632280000002</v>
      </c>
      <c r="AF41" s="50">
        <v>-14.300907</v>
      </c>
      <c r="AG41" s="50">
        <v>-19.612978999999999</v>
      </c>
      <c r="AH41" s="50">
        <v>-16.180885979999999</v>
      </c>
      <c r="AI41" s="50">
        <v>-4.2090079999999999</v>
      </c>
      <c r="AJ41" s="50">
        <v>-1.1456967</v>
      </c>
      <c r="AK41" s="88">
        <v>-9.2546503199999997</v>
      </c>
      <c r="AL41" s="50">
        <v>-0.53415900000000005</v>
      </c>
      <c r="AM41" s="50">
        <v>-5.4267399999999997</v>
      </c>
      <c r="AN41" s="50">
        <v>-19.476171690000001</v>
      </c>
      <c r="AO41" s="50">
        <v>-0.53415900000000005</v>
      </c>
      <c r="AP41" s="50">
        <v>-5.4267399999999997</v>
      </c>
      <c r="AR41" s="25" t="s">
        <v>47</v>
      </c>
      <c r="AS41" s="50">
        <v>-18.663311</v>
      </c>
      <c r="AT41" s="50">
        <v>-15.113220999999999</v>
      </c>
      <c r="AU41" s="50">
        <v>-20.648615400000001</v>
      </c>
      <c r="AV41" s="50">
        <v>-16.843086700000001</v>
      </c>
      <c r="AW41" s="50">
        <v>-3.9367399999999999</v>
      </c>
      <c r="AX41" s="50">
        <v>-1.041871</v>
      </c>
      <c r="AY41" s="88">
        <v>-8.9508577999999996</v>
      </c>
      <c r="AZ41" s="50">
        <v>-0.50794059999999996</v>
      </c>
      <c r="BA41" s="50">
        <v>-4.715471</v>
      </c>
      <c r="BB41" s="50">
        <v>-19.08571796</v>
      </c>
      <c r="BC41" s="50">
        <v>-0.50794059999999996</v>
      </c>
      <c r="BD41" s="50">
        <v>-4.715471</v>
      </c>
    </row>
    <row r="42" spans="2:56" x14ac:dyDescent="0.25">
      <c r="B42" s="72" t="s">
        <v>48</v>
      </c>
      <c r="C42" s="78">
        <v>-1.26192434</v>
      </c>
      <c r="D42" s="78">
        <v>-3.0478230000000002</v>
      </c>
      <c r="E42" s="78">
        <v>-2.3812160000000002</v>
      </c>
      <c r="F42" s="78">
        <v>-0.35976071999999998</v>
      </c>
      <c r="G42" s="78">
        <v>-3.7003054999999998</v>
      </c>
      <c r="H42" s="78">
        <v>-2.4698202999999999</v>
      </c>
      <c r="I42" s="89">
        <v>-4.8363759999999999E-2</v>
      </c>
      <c r="J42" s="78">
        <v>-2.2738447000000002</v>
      </c>
      <c r="K42" s="78">
        <v>-4.7703707</v>
      </c>
      <c r="L42" s="78">
        <v>-1.0507270000000001E-2</v>
      </c>
      <c r="M42" s="78">
        <v>-2.2738447000000002</v>
      </c>
      <c r="N42" s="78">
        <v>-4.7703707</v>
      </c>
      <c r="P42" s="72" t="s">
        <v>48</v>
      </c>
      <c r="Q42" s="78">
        <v>-1.4748970400000001</v>
      </c>
      <c r="R42" s="78">
        <v>-3.4562789999999999</v>
      </c>
      <c r="S42" s="78">
        <v>-2.7354859999999999</v>
      </c>
      <c r="T42" s="78">
        <v>-0.34676327000000001</v>
      </c>
      <c r="U42" s="78">
        <v>-5.672955</v>
      </c>
      <c r="V42" s="78">
        <v>-4.6610132000000002</v>
      </c>
      <c r="W42" s="89">
        <v>-4.76537E-2</v>
      </c>
      <c r="X42" s="78">
        <v>-3.6410168999999999</v>
      </c>
      <c r="Y42" s="78">
        <v>-8.2522059999999993</v>
      </c>
      <c r="Z42" s="78">
        <v>-1.0446769999999999E-2</v>
      </c>
      <c r="AA42" s="78">
        <v>-3.6410168999999999</v>
      </c>
      <c r="AB42" s="78">
        <v>-8.2522059999999993</v>
      </c>
      <c r="AD42" s="72" t="s">
        <v>48</v>
      </c>
      <c r="AE42" s="78">
        <v>-2.1393716199999999</v>
      </c>
      <c r="AF42" s="78">
        <v>-4.1095119999999996</v>
      </c>
      <c r="AG42" s="78">
        <v>-3.422717</v>
      </c>
      <c r="AH42" s="78">
        <v>-0.49434371999999999</v>
      </c>
      <c r="AI42" s="78">
        <v>-9.3653049999999993</v>
      </c>
      <c r="AJ42" s="78">
        <v>-6.0404812999999997</v>
      </c>
      <c r="AK42" s="89">
        <v>-4.9759499999999998E-2</v>
      </c>
      <c r="AL42" s="78">
        <v>-4.6055270000000004</v>
      </c>
      <c r="AM42" s="78">
        <v>-12.912551000000001</v>
      </c>
      <c r="AN42" s="78">
        <v>-2.7097130000000001E-2</v>
      </c>
      <c r="AO42" s="78">
        <v>-4.6055270000000004</v>
      </c>
      <c r="AP42" s="78">
        <v>-12.912551000000001</v>
      </c>
      <c r="AR42" s="72" t="s">
        <v>48</v>
      </c>
      <c r="AS42" s="78">
        <v>-3.4071509999999998</v>
      </c>
      <c r="AT42" s="78">
        <v>-6.4796829999999996</v>
      </c>
      <c r="AU42" s="78">
        <v>-3.3627372000000002</v>
      </c>
      <c r="AV42" s="78">
        <v>-0.3965264</v>
      </c>
      <c r="AW42" s="78">
        <v>-13.278635</v>
      </c>
      <c r="AX42" s="78">
        <v>-8.7260580000000001</v>
      </c>
      <c r="AY42" s="89">
        <v>-0.1091046</v>
      </c>
      <c r="AZ42" s="78">
        <v>-7.7189196000000004</v>
      </c>
      <c r="BA42" s="78">
        <v>-17.085718</v>
      </c>
      <c r="BB42" s="78">
        <v>-2.256499E-2</v>
      </c>
      <c r="BC42" s="78">
        <v>-7.7189196000000004</v>
      </c>
      <c r="BD42" s="78">
        <v>-17.085718</v>
      </c>
    </row>
    <row r="43" spans="2:56" x14ac:dyDescent="0.25">
      <c r="B43" s="25" t="s">
        <v>523</v>
      </c>
      <c r="C43" s="50">
        <v>-13.33300474</v>
      </c>
      <c r="D43" s="50">
        <v>-10.633805000000001</v>
      </c>
      <c r="E43" s="50">
        <v>-14.219560599999999</v>
      </c>
      <c r="F43" s="50">
        <v>-12.38671821</v>
      </c>
      <c r="G43" s="50">
        <v>-1.3156768000000001</v>
      </c>
      <c r="H43" s="50">
        <v>-0.13690359999999999</v>
      </c>
      <c r="I43" s="88">
        <v>-5.6626494200000002</v>
      </c>
      <c r="J43" s="50"/>
      <c r="K43" s="50"/>
      <c r="L43" s="50"/>
      <c r="M43" s="50"/>
      <c r="N43" s="50"/>
      <c r="P43" s="25" t="s">
        <v>523</v>
      </c>
      <c r="Q43" s="50">
        <v>-13.240478700000001</v>
      </c>
      <c r="R43" s="50">
        <v>-10.086812999999999</v>
      </c>
      <c r="S43" s="50">
        <v>-14.924256</v>
      </c>
      <c r="T43" s="50">
        <v>-12.141549530000001</v>
      </c>
      <c r="U43" s="50">
        <v>-2.9395210000000001</v>
      </c>
      <c r="V43" s="50">
        <v>-0.48011749999999997</v>
      </c>
      <c r="W43" s="88">
        <v>-5.4372825999999996</v>
      </c>
      <c r="X43" s="50"/>
      <c r="Y43" s="50"/>
      <c r="Z43" s="50"/>
      <c r="AA43" s="50"/>
      <c r="AB43" s="50"/>
      <c r="AD43" s="25" t="s">
        <v>523</v>
      </c>
      <c r="AE43" s="50">
        <v>-16.293782889999999</v>
      </c>
      <c r="AF43" s="50">
        <v>-12.772817</v>
      </c>
      <c r="AG43" s="50">
        <v>-18.137036999999999</v>
      </c>
      <c r="AH43" s="50">
        <v>-15.07335144</v>
      </c>
      <c r="AI43" s="50">
        <v>-5.4050219999999998</v>
      </c>
      <c r="AJ43" s="50">
        <v>-0.77185289999999995</v>
      </c>
      <c r="AK43" s="88">
        <v>-8.0506737600000005</v>
      </c>
      <c r="AL43" s="50"/>
      <c r="AM43" s="50"/>
      <c r="AN43" s="50"/>
      <c r="AO43" s="50"/>
      <c r="AP43" s="50"/>
      <c r="AR43" s="25" t="s">
        <v>523</v>
      </c>
      <c r="AS43" s="50">
        <v>-17.036481999999999</v>
      </c>
      <c r="AT43" s="50">
        <v>-13.57366</v>
      </c>
      <c r="AU43" s="50">
        <v>-19.118729500000001</v>
      </c>
      <c r="AV43" s="50">
        <v>-16.186386299999999</v>
      </c>
      <c r="AW43" s="50">
        <v>-5.2131119999999997</v>
      </c>
      <c r="AX43" s="50">
        <v>-1.8498650000000001</v>
      </c>
      <c r="AY43" s="88">
        <v>-7.8207947000000004</v>
      </c>
      <c r="AZ43" s="50"/>
      <c r="BA43" s="50"/>
      <c r="BB43" s="50"/>
      <c r="BC43" s="50"/>
      <c r="BD43" s="50"/>
    </row>
    <row r="44" spans="2:56" x14ac:dyDescent="0.25">
      <c r="B44" s="25" t="s">
        <v>524</v>
      </c>
      <c r="C44" s="50">
        <v>-15.50777914</v>
      </c>
      <c r="D44" s="50">
        <v>-12.896236999999999</v>
      </c>
      <c r="E44" s="50">
        <v>-17.121475</v>
      </c>
      <c r="F44" s="50">
        <v>-14.87328913</v>
      </c>
      <c r="G44" s="50">
        <v>-1.3094600999999999</v>
      </c>
      <c r="H44" s="50">
        <v>-0.1072645</v>
      </c>
      <c r="I44" s="88">
        <v>-8.0781294900000002</v>
      </c>
      <c r="J44" s="50"/>
      <c r="K44" s="50"/>
      <c r="L44" s="50"/>
      <c r="M44" s="50"/>
      <c r="N44" s="50"/>
      <c r="P44" s="25" t="s">
        <v>524</v>
      </c>
      <c r="Q44" s="50">
        <v>-15.019003420000001</v>
      </c>
      <c r="R44" s="50">
        <v>-13.354262</v>
      </c>
      <c r="S44" s="50">
        <v>-16.502877000000002</v>
      </c>
      <c r="T44" s="50">
        <v>-14.57120718</v>
      </c>
      <c r="U44" s="50">
        <v>-1.547852</v>
      </c>
      <c r="V44" s="50">
        <v>-1.3961589000000001</v>
      </c>
      <c r="W44" s="88">
        <v>-9.6051269000000001</v>
      </c>
      <c r="X44" s="50"/>
      <c r="Y44" s="50"/>
      <c r="Z44" s="50"/>
      <c r="AA44" s="50"/>
      <c r="AB44" s="50"/>
      <c r="AD44" s="25" t="s">
        <v>524</v>
      </c>
      <c r="AE44" s="50">
        <v>-19.232243530000002</v>
      </c>
      <c r="AF44" s="50">
        <v>-17.910183</v>
      </c>
      <c r="AG44" s="50">
        <v>-21.482904000000001</v>
      </c>
      <c r="AH44" s="50">
        <v>-19.121821629999999</v>
      </c>
      <c r="AI44" s="50">
        <v>-3.0410180000000002</v>
      </c>
      <c r="AJ44" s="50">
        <v>-4.6469455000000002</v>
      </c>
      <c r="AK44" s="88">
        <v>-14.30727486</v>
      </c>
      <c r="AL44" s="50"/>
      <c r="AM44" s="50"/>
      <c r="AN44" s="50"/>
      <c r="AO44" s="50"/>
      <c r="AP44" s="50"/>
      <c r="AR44" s="25" t="s">
        <v>524</v>
      </c>
      <c r="AS44" s="50">
        <v>-22.789480000000001</v>
      </c>
      <c r="AT44" s="50">
        <v>-19.974515</v>
      </c>
      <c r="AU44" s="50">
        <v>-24.704334299999999</v>
      </c>
      <c r="AV44" s="50">
        <v>-22.075999899999999</v>
      </c>
      <c r="AW44" s="50">
        <v>-3.4817610000000001</v>
      </c>
      <c r="AX44" s="50">
        <v>-5.0046030000000004</v>
      </c>
      <c r="AY44" s="88">
        <v>-15.4395343</v>
      </c>
      <c r="AZ44" s="50"/>
      <c r="BA44" s="50"/>
      <c r="BB44" s="50"/>
      <c r="BC44" s="50"/>
      <c r="BD44" s="50"/>
    </row>
    <row r="45" spans="2:56" x14ac:dyDescent="0.25">
      <c r="B45" s="25" t="s">
        <v>525</v>
      </c>
      <c r="C45" s="50">
        <v>-2.8430500000000001E-2</v>
      </c>
      <c r="D45" s="50">
        <v>-1.0716490000000001</v>
      </c>
      <c r="E45" s="50">
        <v>-1.9372990000000001</v>
      </c>
      <c r="F45" s="50">
        <v>-8.8602929999999996E-2</v>
      </c>
      <c r="G45" s="50">
        <v>-6.5558478999999998</v>
      </c>
      <c r="H45" s="50">
        <v>-4.6480383999999999</v>
      </c>
      <c r="I45" s="88">
        <v>-1.041717E-2</v>
      </c>
      <c r="J45" s="50"/>
      <c r="K45" s="50"/>
      <c r="L45" s="212" t="s">
        <v>69</v>
      </c>
      <c r="M45" s="50"/>
      <c r="N45" s="50"/>
      <c r="P45" s="25" t="s">
        <v>525</v>
      </c>
      <c r="Q45" s="50">
        <v>-3.1834090000000002E-2</v>
      </c>
      <c r="R45" s="50">
        <v>-1.70614</v>
      </c>
      <c r="S45" s="50">
        <v>-2.1528239999999998</v>
      </c>
      <c r="T45" s="50">
        <v>-6.9238519999999998E-2</v>
      </c>
      <c r="U45" s="50">
        <v>-7.8949590000000001</v>
      </c>
      <c r="V45" s="50">
        <v>-8.3152442999999998</v>
      </c>
      <c r="W45" s="88">
        <v>-1.041342E-2</v>
      </c>
      <c r="X45" s="50"/>
      <c r="Y45" s="50"/>
      <c r="Z45" s="212" t="s">
        <v>69</v>
      </c>
      <c r="AA45" s="50"/>
      <c r="AB45" s="50"/>
      <c r="AD45" s="25" t="s">
        <v>525</v>
      </c>
      <c r="AE45" s="50">
        <v>-3.2824039999999999E-2</v>
      </c>
      <c r="AF45" s="50">
        <v>-2.4277489999999999</v>
      </c>
      <c r="AG45" s="50">
        <v>-2.3014839999999999</v>
      </c>
      <c r="AH45" s="50">
        <v>-7.0784879999999994E-2</v>
      </c>
      <c r="AI45" s="50">
        <v>-12.559722000000001</v>
      </c>
      <c r="AJ45" s="50">
        <v>-10.9321193</v>
      </c>
      <c r="AK45" s="88">
        <v>-2.0504850000000002E-2</v>
      </c>
      <c r="AL45" s="50"/>
      <c r="AM45" s="50"/>
      <c r="AN45" s="212" t="s">
        <v>69</v>
      </c>
      <c r="AO45" s="50"/>
      <c r="AP45" s="50"/>
      <c r="AR45" s="25" t="s">
        <v>525</v>
      </c>
      <c r="AS45" s="50">
        <v>-2.6262889999999999</v>
      </c>
      <c r="AT45" s="50">
        <v>-7.941351</v>
      </c>
      <c r="AU45" s="50">
        <v>-3.0999183000000001</v>
      </c>
      <c r="AV45" s="50">
        <v>-0.1223341</v>
      </c>
      <c r="AW45" s="50">
        <v>-21.987413</v>
      </c>
      <c r="AX45" s="50">
        <v>-17.855139999999999</v>
      </c>
      <c r="AY45" s="88">
        <v>-0.31510670000000002</v>
      </c>
      <c r="AZ45" s="50"/>
      <c r="BA45" s="50"/>
      <c r="BB45" s="212" t="s">
        <v>69</v>
      </c>
      <c r="BC45" s="50"/>
      <c r="BD45" s="50"/>
    </row>
    <row r="46" spans="2:56" x14ac:dyDescent="0.25">
      <c r="B46" s="25" t="s">
        <v>526</v>
      </c>
      <c r="C46" s="50">
        <v>-13.33300474</v>
      </c>
      <c r="D46" s="50">
        <v>-10.633805000000001</v>
      </c>
      <c r="E46" s="50">
        <v>-14.219560599999999</v>
      </c>
      <c r="F46" s="50">
        <v>-12.38671821</v>
      </c>
      <c r="G46" s="50">
        <v>-1.3156768000000001</v>
      </c>
      <c r="H46" s="50">
        <v>-0.13690359999999999</v>
      </c>
      <c r="I46" s="88">
        <v>-5.6626494200000002</v>
      </c>
      <c r="J46" s="50"/>
      <c r="K46" s="50"/>
      <c r="L46" s="50"/>
      <c r="M46" s="50"/>
      <c r="N46" s="50"/>
      <c r="P46" s="25" t="s">
        <v>526</v>
      </c>
      <c r="Q46" s="50">
        <v>-13.240478700000001</v>
      </c>
      <c r="R46" s="50">
        <v>-10.086812999999999</v>
      </c>
      <c r="S46" s="50">
        <v>-14.924256</v>
      </c>
      <c r="T46" s="50">
        <v>-12.141549530000001</v>
      </c>
      <c r="U46" s="50">
        <v>-2.9395210000000001</v>
      </c>
      <c r="V46" s="50">
        <v>-0.48011749999999997</v>
      </c>
      <c r="W46" s="88">
        <v>-5.4372825999999996</v>
      </c>
      <c r="X46" s="50"/>
      <c r="Y46" s="50"/>
      <c r="Z46" s="50"/>
      <c r="AA46" s="50"/>
      <c r="AB46" s="50"/>
      <c r="AD46" s="25" t="s">
        <v>526</v>
      </c>
      <c r="AE46" s="50">
        <v>-16.293782889999999</v>
      </c>
      <c r="AF46" s="50">
        <v>-12.772817</v>
      </c>
      <c r="AG46" s="50">
        <v>-18.137036999999999</v>
      </c>
      <c r="AH46" s="50">
        <v>-15.07335144</v>
      </c>
      <c r="AI46" s="50">
        <v>-5.4050219999999998</v>
      </c>
      <c r="AJ46" s="50">
        <v>-0.77185289999999995</v>
      </c>
      <c r="AK46" s="88">
        <v>-8.0506737600000005</v>
      </c>
      <c r="AL46" s="50"/>
      <c r="AM46" s="50"/>
      <c r="AN46" s="50"/>
      <c r="AO46" s="50"/>
      <c r="AP46" s="50"/>
      <c r="AR46" s="25" t="s">
        <v>526</v>
      </c>
      <c r="AS46" s="50">
        <v>-17.036481999999999</v>
      </c>
      <c r="AT46" s="50">
        <v>-13.57366</v>
      </c>
      <c r="AU46" s="50">
        <v>-19.118729500000001</v>
      </c>
      <c r="AV46" s="50">
        <v>-16.186386299999999</v>
      </c>
      <c r="AW46" s="50">
        <v>-5.2131119999999997</v>
      </c>
      <c r="AX46" s="50">
        <v>-1.8498650000000001</v>
      </c>
      <c r="AY46" s="88">
        <v>-7.8207947000000004</v>
      </c>
      <c r="AZ46" s="50"/>
      <c r="BA46" s="50"/>
      <c r="BB46" s="50"/>
      <c r="BC46" s="50"/>
      <c r="BD46" s="50"/>
    </row>
    <row r="47" spans="2:56" x14ac:dyDescent="0.25">
      <c r="B47" s="25" t="s">
        <v>527</v>
      </c>
      <c r="C47" s="50">
        <v>-15.50777914</v>
      </c>
      <c r="D47" s="50">
        <v>-12.896236999999999</v>
      </c>
      <c r="E47" s="50">
        <v>-17.121475</v>
      </c>
      <c r="F47" s="50">
        <v>-14.87328913</v>
      </c>
      <c r="G47" s="50">
        <v>-1.3094600999999999</v>
      </c>
      <c r="H47" s="50">
        <v>-0.1072645</v>
      </c>
      <c r="I47" s="88">
        <v>-8.0781294900000002</v>
      </c>
      <c r="J47" s="50"/>
      <c r="K47" s="50"/>
      <c r="L47" s="50"/>
      <c r="M47" s="50"/>
      <c r="N47" s="50"/>
      <c r="P47" s="25" t="s">
        <v>527</v>
      </c>
      <c r="Q47" s="50">
        <v>-15.019003420000001</v>
      </c>
      <c r="R47" s="50">
        <v>-13.354262</v>
      </c>
      <c r="S47" s="50">
        <v>-16.502877000000002</v>
      </c>
      <c r="T47" s="50">
        <v>-14.57120718</v>
      </c>
      <c r="U47" s="50">
        <v>-1.547852</v>
      </c>
      <c r="V47" s="50">
        <v>-1.3961589000000001</v>
      </c>
      <c r="W47" s="88">
        <v>-9.6051269000000001</v>
      </c>
      <c r="X47" s="50"/>
      <c r="Y47" s="50"/>
      <c r="Z47" s="50"/>
      <c r="AA47" s="50"/>
      <c r="AB47" s="50"/>
      <c r="AD47" s="25" t="s">
        <v>527</v>
      </c>
      <c r="AE47" s="50">
        <v>-19.232243530000002</v>
      </c>
      <c r="AF47" s="50">
        <v>-17.910183</v>
      </c>
      <c r="AG47" s="50">
        <v>-21.482904000000001</v>
      </c>
      <c r="AH47" s="50">
        <v>-19.121821629999999</v>
      </c>
      <c r="AI47" s="50">
        <v>-3.0410180000000002</v>
      </c>
      <c r="AJ47" s="50">
        <v>-4.6469455000000002</v>
      </c>
      <c r="AK47" s="88">
        <v>-14.30727486</v>
      </c>
      <c r="AL47" s="50"/>
      <c r="AM47" s="50"/>
      <c r="AN47" s="50"/>
      <c r="AO47" s="50"/>
      <c r="AP47" s="50"/>
      <c r="AR47" s="25" t="s">
        <v>527</v>
      </c>
      <c r="AS47" s="50">
        <v>-22.789480000000001</v>
      </c>
      <c r="AT47" s="50">
        <v>-19.974515</v>
      </c>
      <c r="AU47" s="50">
        <v>-24.704334299999999</v>
      </c>
      <c r="AV47" s="50">
        <v>-22.075999899999999</v>
      </c>
      <c r="AW47" s="50">
        <v>-3.4817610000000001</v>
      </c>
      <c r="AX47" s="50">
        <v>-5.0046030000000004</v>
      </c>
      <c r="AY47" s="88">
        <v>-15.4395343</v>
      </c>
      <c r="AZ47" s="50"/>
      <c r="BA47" s="50"/>
      <c r="BB47" s="50"/>
      <c r="BC47" s="50"/>
      <c r="BD47" s="50"/>
    </row>
    <row r="49" spans="2:69" x14ac:dyDescent="0.25">
      <c r="B49" t="s">
        <v>99</v>
      </c>
      <c r="P49" t="s">
        <v>99</v>
      </c>
      <c r="AD49" t="s">
        <v>99</v>
      </c>
      <c r="AR49" t="s">
        <v>99</v>
      </c>
    </row>
    <row r="50" spans="2:69" x14ac:dyDescent="0.25">
      <c r="B50" t="s">
        <v>113</v>
      </c>
      <c r="P50" t="s">
        <v>113</v>
      </c>
      <c r="AD50" t="s">
        <v>113</v>
      </c>
      <c r="AR50" t="s">
        <v>113</v>
      </c>
    </row>
    <row r="51" spans="2:69" x14ac:dyDescent="0.25">
      <c r="B51" t="s">
        <v>341</v>
      </c>
      <c r="P51" t="s">
        <v>341</v>
      </c>
      <c r="AD51" t="s">
        <v>341</v>
      </c>
      <c r="AR51" t="s">
        <v>341</v>
      </c>
    </row>
    <row r="52" spans="2:69" x14ac:dyDescent="0.25">
      <c r="B52" t="s">
        <v>112</v>
      </c>
      <c r="P52" t="s">
        <v>112</v>
      </c>
      <c r="AD52" t="s">
        <v>112</v>
      </c>
      <c r="AR52" t="s">
        <v>112</v>
      </c>
    </row>
    <row r="56" spans="2:69" ht="18.75" x14ac:dyDescent="0.3">
      <c r="B56" s="29" t="s">
        <v>626</v>
      </c>
    </row>
    <row r="57" spans="2:69" ht="18.75" x14ac:dyDescent="0.3">
      <c r="B57" s="29"/>
    </row>
    <row r="58" spans="2:69" ht="30" customHeight="1" x14ac:dyDescent="0.25">
      <c r="B58" s="30" t="s">
        <v>63</v>
      </c>
      <c r="C58" s="90">
        <f>SUM('Main Sheet'!B11:B13)*6*2</f>
        <v>8388</v>
      </c>
      <c r="D58" s="401" t="s">
        <v>625</v>
      </c>
      <c r="E58" s="401"/>
      <c r="F58" s="401"/>
      <c r="G58" s="401"/>
      <c r="H58" s="401"/>
      <c r="I58" s="401"/>
      <c r="J58" s="401"/>
      <c r="K58" s="401"/>
      <c r="L58" s="401"/>
      <c r="M58" s="401"/>
      <c r="N58" s="401"/>
    </row>
    <row r="59" spans="2:69" x14ac:dyDescent="0.25">
      <c r="B59" s="30" t="s">
        <v>64</v>
      </c>
      <c r="C59" s="90">
        <f>2*0.049*1600000</f>
        <v>156800</v>
      </c>
      <c r="D59" t="s">
        <v>562</v>
      </c>
    </row>
    <row r="60" spans="2:69" x14ac:dyDescent="0.25">
      <c r="B60" s="30" t="s">
        <v>62</v>
      </c>
      <c r="C60" s="27">
        <f>C58/C59</f>
        <v>5.3494897959183677E-2</v>
      </c>
      <c r="D60" s="179" t="s">
        <v>342</v>
      </c>
    </row>
    <row r="61" spans="2:69" x14ac:dyDescent="0.25">
      <c r="B61" s="30" t="s">
        <v>65</v>
      </c>
      <c r="C61" s="91">
        <v>-3.2000000000000001E-2</v>
      </c>
      <c r="D61" t="s">
        <v>350</v>
      </c>
    </row>
    <row r="63" spans="2:69" x14ac:dyDescent="0.25">
      <c r="C63" s="400" t="s">
        <v>335</v>
      </c>
      <c r="D63" s="400"/>
      <c r="E63" s="400"/>
      <c r="F63" s="400"/>
      <c r="G63" s="400"/>
      <c r="H63" s="400"/>
      <c r="I63" s="400"/>
      <c r="J63" s="400"/>
      <c r="K63" s="400"/>
      <c r="L63" s="400"/>
      <c r="M63" s="400"/>
      <c r="N63" s="400"/>
      <c r="BF63" s="1"/>
    </row>
    <row r="64" spans="2:69" x14ac:dyDescent="0.25">
      <c r="B64" s="71" t="s">
        <v>334</v>
      </c>
      <c r="C64" s="72" t="s">
        <v>42</v>
      </c>
      <c r="D64" s="73" t="s">
        <v>51</v>
      </c>
      <c r="E64" s="73" t="s">
        <v>52</v>
      </c>
      <c r="F64" s="73" t="s">
        <v>53</v>
      </c>
      <c r="G64" s="73" t="s">
        <v>54</v>
      </c>
      <c r="H64" s="73" t="s">
        <v>55</v>
      </c>
      <c r="I64" s="75" t="s">
        <v>56</v>
      </c>
      <c r="J64" s="73" t="s">
        <v>60</v>
      </c>
      <c r="K64" s="73" t="s">
        <v>59</v>
      </c>
      <c r="L64" s="73" t="s">
        <v>61</v>
      </c>
      <c r="M64" s="73" t="s">
        <v>58</v>
      </c>
      <c r="N64" s="73" t="s">
        <v>57</v>
      </c>
      <c r="BF64" s="25"/>
      <c r="BG64" s="26"/>
      <c r="BH64" s="26"/>
      <c r="BI64" s="26"/>
      <c r="BJ64" s="26"/>
      <c r="BK64" s="26"/>
      <c r="BL64" s="26"/>
      <c r="BM64" s="26"/>
      <c r="BN64" s="26"/>
      <c r="BO64" s="26"/>
      <c r="BP64" s="26"/>
      <c r="BQ64" s="26"/>
    </row>
    <row r="65" spans="2:69" x14ac:dyDescent="0.25">
      <c r="B65" s="25" t="s">
        <v>42</v>
      </c>
      <c r="C65" s="47">
        <f t="shared" ref="C65:N65" si="0">civt*C12*(1-probvp)</f>
        <v>-0.45424551704489796</v>
      </c>
      <c r="D65" s="47">
        <f t="shared" si="0"/>
        <v>-0.90534288239999994</v>
      </c>
      <c r="E65" s="47">
        <f t="shared" si="0"/>
        <v>-0.68272881986122447</v>
      </c>
      <c r="F65" s="47">
        <f t="shared" si="0"/>
        <v>-0.86835316013061226</v>
      </c>
      <c r="G65" s="47">
        <f t="shared" si="0"/>
        <v>-1.6021160206857143</v>
      </c>
      <c r="H65" s="47">
        <f t="shared" si="0"/>
        <v>-1.6904965782122447</v>
      </c>
      <c r="I65" s="226">
        <f t="shared" si="0"/>
        <v>-2.4692679522612244</v>
      </c>
      <c r="J65" s="47">
        <f t="shared" si="0"/>
        <v>-1.909306568597551</v>
      </c>
      <c r="K65" s="47">
        <f t="shared" si="0"/>
        <v>-2.151133866927347</v>
      </c>
      <c r="L65" s="47">
        <f t="shared" si="0"/>
        <v>-2.1981788959428568</v>
      </c>
      <c r="M65" s="47">
        <f t="shared" si="0"/>
        <v>-1.909306568597551</v>
      </c>
      <c r="N65" s="47">
        <f t="shared" si="0"/>
        <v>-2.151133866927347</v>
      </c>
      <c r="BF65" s="47"/>
      <c r="BG65" s="47"/>
      <c r="BH65" s="47"/>
      <c r="BI65" s="47"/>
      <c r="BJ65" s="47"/>
      <c r="BK65" s="47"/>
      <c r="BL65" s="47"/>
      <c r="BM65" s="47"/>
      <c r="BN65" s="47"/>
      <c r="BO65" s="47"/>
      <c r="BP65" s="47"/>
      <c r="BQ65" s="47"/>
    </row>
    <row r="66" spans="2:69" x14ac:dyDescent="0.25">
      <c r="B66" s="25" t="s">
        <v>43</v>
      </c>
      <c r="C66" s="47">
        <f t="shared" ref="C66:N66" si="1">civt*C13*(1-probvp)</f>
        <v>-0.90565363895510209</v>
      </c>
      <c r="D66" s="47">
        <f t="shared" si="1"/>
        <v>-0.7918452597224489</v>
      </c>
      <c r="E66" s="47">
        <f t="shared" si="1"/>
        <v>-1.2219865477959184</v>
      </c>
      <c r="F66" s="47">
        <f t="shared" si="1"/>
        <v>-1.0822566497959183</v>
      </c>
      <c r="G66" s="47">
        <f t="shared" si="1"/>
        <v>-1.3036800846367347</v>
      </c>
      <c r="H66" s="47">
        <f t="shared" si="1"/>
        <v>-1.349029339967347</v>
      </c>
      <c r="I66" s="226">
        <f t="shared" si="1"/>
        <v>-2.5036828777714288</v>
      </c>
      <c r="J66" s="47">
        <f t="shared" si="1"/>
        <v>-1.5839259190497958</v>
      </c>
      <c r="K66" s="47">
        <f t="shared" si="1"/>
        <v>-1.8558458705510203</v>
      </c>
      <c r="L66" s="47">
        <f t="shared" si="1"/>
        <v>-2.4028938655183674</v>
      </c>
      <c r="M66" s="47">
        <f t="shared" si="1"/>
        <v>-1.5839259190497958</v>
      </c>
      <c r="N66" s="47">
        <f t="shared" si="1"/>
        <v>-1.8558458705510203</v>
      </c>
      <c r="BF66" s="47"/>
      <c r="BG66" s="47"/>
      <c r="BH66" s="47"/>
      <c r="BI66" s="47"/>
      <c r="BJ66" s="47"/>
      <c r="BK66" s="47"/>
      <c r="BL66" s="47"/>
      <c r="BM66" s="47"/>
      <c r="BN66" s="47"/>
      <c r="BO66" s="47"/>
      <c r="BP66" s="47"/>
      <c r="BQ66" s="47"/>
    </row>
    <row r="67" spans="2:69" x14ac:dyDescent="0.25">
      <c r="B67" s="25" t="s">
        <v>44</v>
      </c>
      <c r="C67" s="47">
        <f t="shared" ref="C67:N67" si="2">civt*C14*(1-probvp)</f>
        <v>-0.87485875471836727</v>
      </c>
      <c r="D67" s="47">
        <f t="shared" si="2"/>
        <v>-1.4099709417469386</v>
      </c>
      <c r="E67" s="47">
        <f t="shared" si="2"/>
        <v>-0.46017957399183668</v>
      </c>
      <c r="F67" s="47">
        <f t="shared" si="2"/>
        <v>-1.1105975870448979</v>
      </c>
      <c r="G67" s="47">
        <f t="shared" si="2"/>
        <v>-2.15594114362449</v>
      </c>
      <c r="H67" s="47">
        <f t="shared" si="2"/>
        <v>-2.1610889198530612</v>
      </c>
      <c r="I67" s="226">
        <f t="shared" si="2"/>
        <v>-2.6915173453142858</v>
      </c>
      <c r="J67" s="47">
        <f t="shared" si="2"/>
        <v>-2.3739132725493874</v>
      </c>
      <c r="K67" s="47">
        <f t="shared" si="2"/>
        <v>-2.7094723502269384</v>
      </c>
      <c r="L67" s="47">
        <f t="shared" si="2"/>
        <v>-2.4192061616081633</v>
      </c>
      <c r="M67" s="47">
        <f t="shared" si="2"/>
        <v>-2.3739132725493874</v>
      </c>
      <c r="N67" s="47">
        <f t="shared" si="2"/>
        <v>-2.7094723502269384</v>
      </c>
      <c r="BF67" s="47"/>
      <c r="BG67" s="47"/>
      <c r="BH67" s="47"/>
      <c r="BI67" s="47"/>
      <c r="BJ67" s="47"/>
      <c r="BK67" s="47"/>
      <c r="BL67" s="47"/>
      <c r="BM67" s="47"/>
      <c r="BN67" s="47"/>
      <c r="BO67" s="47"/>
      <c r="BP67" s="47"/>
      <c r="BQ67" s="47"/>
    </row>
    <row r="68" spans="2:69" x14ac:dyDescent="0.25">
      <c r="B68" s="25" t="s">
        <v>45</v>
      </c>
      <c r="C68" s="47">
        <f t="shared" ref="C68:N68" si="3">civt*C15*(1-probvp)</f>
        <v>-1.1240479545877551</v>
      </c>
      <c r="D68" s="47">
        <f t="shared" si="3"/>
        <v>-1.3524724983673468</v>
      </c>
      <c r="E68" s="47">
        <f t="shared" si="3"/>
        <v>-1.2163799058938776</v>
      </c>
      <c r="F68" s="47">
        <f t="shared" si="3"/>
        <v>-0.75997514568979596</v>
      </c>
      <c r="G68" s="47">
        <f t="shared" si="3"/>
        <v>-2.059362186065306</v>
      </c>
      <c r="H68" s="47">
        <f t="shared" si="3"/>
        <v>-1.9701365887836733</v>
      </c>
      <c r="I68" s="226">
        <f t="shared" si="3"/>
        <v>-2.0809131228734694</v>
      </c>
      <c r="J68" s="47">
        <f t="shared" si="3"/>
        <v>-2.2009210650922446</v>
      </c>
      <c r="K68" s="47">
        <f t="shared" si="3"/>
        <v>-2.6032277734302038</v>
      </c>
      <c r="L68" s="47">
        <f t="shared" si="3"/>
        <v>-1.8978178442367344</v>
      </c>
      <c r="M68" s="47">
        <f t="shared" si="3"/>
        <v>-2.2009210650922446</v>
      </c>
      <c r="N68" s="47">
        <f t="shared" si="3"/>
        <v>-2.6032277734302038</v>
      </c>
      <c r="BF68" s="47"/>
      <c r="BG68" s="47"/>
      <c r="BH68" s="47"/>
      <c r="BI68" s="47"/>
      <c r="BJ68" s="47"/>
      <c r="BK68" s="47"/>
      <c r="BL68" s="47"/>
      <c r="BM68" s="47"/>
      <c r="BN68" s="47"/>
      <c r="BO68" s="47"/>
      <c r="BP68" s="47"/>
      <c r="BQ68" s="47"/>
    </row>
    <row r="69" spans="2:69" x14ac:dyDescent="0.25">
      <c r="B69" s="25" t="s">
        <v>46</v>
      </c>
      <c r="C69" s="47">
        <f t="shared" ref="C69:N69" si="4">civt*C16*(1-probvp)</f>
        <v>-1.9340158339183673</v>
      </c>
      <c r="D69" s="47">
        <f t="shared" si="4"/>
        <v>-1.663673077942857</v>
      </c>
      <c r="E69" s="47">
        <f t="shared" si="4"/>
        <v>-2.2927673154122448</v>
      </c>
      <c r="F69" s="47">
        <f t="shared" si="4"/>
        <v>-2.1428115277306121</v>
      </c>
      <c r="G69" s="47">
        <f t="shared" si="4"/>
        <v>-0.64679373143673469</v>
      </c>
      <c r="H69" s="47">
        <f t="shared" si="4"/>
        <v>-1.0416780830612244</v>
      </c>
      <c r="I69" s="226">
        <f t="shared" si="4"/>
        <v>-3.2537250203183672</v>
      </c>
      <c r="J69" s="47">
        <f t="shared" si="4"/>
        <v>-1.4148235901126531</v>
      </c>
      <c r="K69" s="47">
        <f t="shared" si="4"/>
        <v>-0.98680719842122433</v>
      </c>
      <c r="L69" s="47">
        <f t="shared" si="4"/>
        <v>-3.5977815936408164</v>
      </c>
      <c r="M69" s="47">
        <f t="shared" si="4"/>
        <v>-1.4148235901126531</v>
      </c>
      <c r="N69" s="47">
        <f t="shared" si="4"/>
        <v>-0.98680719842122433</v>
      </c>
      <c r="BF69" s="47"/>
      <c r="BG69" s="47"/>
      <c r="BH69" s="47"/>
      <c r="BI69" s="47"/>
      <c r="BJ69" s="47"/>
      <c r="BK69" s="47"/>
      <c r="BL69" s="47"/>
      <c r="BM69" s="47"/>
      <c r="BN69" s="47"/>
      <c r="BO69" s="47"/>
      <c r="BP69" s="47"/>
      <c r="BQ69" s="47"/>
    </row>
    <row r="70" spans="2:69" x14ac:dyDescent="0.25">
      <c r="B70" s="25" t="s">
        <v>47</v>
      </c>
      <c r="C70" s="47">
        <f t="shared" ref="C70:N70" si="5">civt*C17*(1-probvp)</f>
        <v>-2.1091519890122448</v>
      </c>
      <c r="D70" s="47">
        <f t="shared" si="5"/>
        <v>-1.7638130148571427</v>
      </c>
      <c r="E70" s="47">
        <f t="shared" si="5"/>
        <v>-2.3925652989632651</v>
      </c>
      <c r="F70" s="47">
        <f t="shared" si="5"/>
        <v>-2.1364934168734693</v>
      </c>
      <c r="G70" s="47">
        <f t="shared" si="5"/>
        <v>-1.1432176359999999</v>
      </c>
      <c r="H70" s="47">
        <f t="shared" si="5"/>
        <v>-0.74334270371428568</v>
      </c>
      <c r="I70" s="226">
        <f t="shared" si="5"/>
        <v>-2.9269932763836732</v>
      </c>
      <c r="J70" s="47">
        <f t="shared" si="5"/>
        <v>-0.84176254554857144</v>
      </c>
      <c r="K70" s="47">
        <f t="shared" si="5"/>
        <v>-1.4787532403510204</v>
      </c>
      <c r="L70" s="47">
        <f t="shared" si="5"/>
        <v>-3.6268158269469386</v>
      </c>
      <c r="M70" s="47">
        <f t="shared" si="5"/>
        <v>-0.84176254554857144</v>
      </c>
      <c r="N70" s="47">
        <f t="shared" si="5"/>
        <v>-1.4787532403510204</v>
      </c>
      <c r="BF70" s="47"/>
      <c r="BG70" s="47"/>
      <c r="BH70" s="47"/>
      <c r="BI70" s="47"/>
      <c r="BJ70" s="47"/>
      <c r="BK70" s="47"/>
      <c r="BL70" s="47"/>
      <c r="BM70" s="47"/>
      <c r="BN70" s="47"/>
      <c r="BO70" s="47"/>
      <c r="BP70" s="47"/>
      <c r="BQ70" s="47"/>
    </row>
    <row r="71" spans="2:69" x14ac:dyDescent="0.25">
      <c r="B71" s="72" t="s">
        <v>48</v>
      </c>
      <c r="C71" s="223">
        <f t="shared" ref="C71:N71" si="6">civt*C18*(1-probvp)</f>
        <v>-2.7962320064081632</v>
      </c>
      <c r="D71" s="223">
        <f t="shared" si="6"/>
        <v>-2.9339683375020407</v>
      </c>
      <c r="E71" s="223">
        <f t="shared" si="6"/>
        <v>-2.8770929216408163</v>
      </c>
      <c r="F71" s="223">
        <f t="shared" si="6"/>
        <v>-2.1974653068163263</v>
      </c>
      <c r="G71" s="223">
        <f t="shared" si="6"/>
        <v>-3.3600510116979589</v>
      </c>
      <c r="H71" s="223">
        <f t="shared" si="6"/>
        <v>-2.9317924358530614</v>
      </c>
      <c r="I71" s="227">
        <f t="shared" si="6"/>
        <v>-1.7647337750204082</v>
      </c>
      <c r="J71" s="223">
        <f t="shared" si="6"/>
        <v>-2.9268941735134693</v>
      </c>
      <c r="K71" s="223">
        <f t="shared" si="6"/>
        <v>-3.8615581181257137</v>
      </c>
      <c r="L71" s="223">
        <f t="shared" si="6"/>
        <v>-2.0175751216163267</v>
      </c>
      <c r="M71" s="223">
        <f t="shared" si="6"/>
        <v>-2.9268941735134693</v>
      </c>
      <c r="N71" s="223">
        <f t="shared" si="6"/>
        <v>-3.8615581181257137</v>
      </c>
      <c r="BF71" s="47"/>
      <c r="BG71" s="47"/>
      <c r="BH71" s="47"/>
      <c r="BI71" s="47"/>
      <c r="BJ71" s="47"/>
      <c r="BK71" s="47"/>
      <c r="BL71" s="47"/>
      <c r="BM71" s="47"/>
      <c r="BN71" s="47"/>
      <c r="BO71" s="47"/>
      <c r="BP71" s="47"/>
      <c r="BQ71" s="47"/>
    </row>
    <row r="72" spans="2:69" x14ac:dyDescent="0.25">
      <c r="B72" s="25" t="s">
        <v>523</v>
      </c>
      <c r="C72" s="47">
        <f t="shared" ref="C72:I76" si="7">civt*C19*(1-probvp)</f>
        <v>-2.3093843104244898</v>
      </c>
      <c r="D72" s="47">
        <f t="shared" si="7"/>
        <v>-1.9758062300653059</v>
      </c>
      <c r="E72" s="47">
        <f t="shared" si="7"/>
        <v>-2.5884224951918364</v>
      </c>
      <c r="F72" s="47">
        <f t="shared" si="7"/>
        <v>-2.350675557640816</v>
      </c>
      <c r="G72" s="47">
        <f t="shared" si="7"/>
        <v>-1.5427051826775511</v>
      </c>
      <c r="H72" s="47">
        <f t="shared" si="7"/>
        <v>-0.87745020996734691</v>
      </c>
      <c r="I72" s="226">
        <f t="shared" si="7"/>
        <v>-2.9841985303428569</v>
      </c>
      <c r="J72" s="213"/>
      <c r="K72" s="214"/>
      <c r="L72" s="214"/>
      <c r="M72" s="214"/>
      <c r="N72" s="215"/>
      <c r="BF72" s="47"/>
      <c r="BG72" s="47"/>
      <c r="BH72" s="47"/>
      <c r="BI72" s="47"/>
      <c r="BJ72" s="47"/>
      <c r="BK72" s="47"/>
      <c r="BL72" s="47"/>
      <c r="BM72" s="47"/>
      <c r="BN72" s="47"/>
      <c r="BO72" s="47"/>
      <c r="BP72" s="47"/>
      <c r="BQ72" s="47"/>
    </row>
    <row r="73" spans="2:69" x14ac:dyDescent="0.25">
      <c r="B73" s="25" t="s">
        <v>524</v>
      </c>
      <c r="C73" s="47">
        <f t="shared" si="7"/>
        <v>-2.5391306296489797</v>
      </c>
      <c r="D73" s="47">
        <f t="shared" si="7"/>
        <v>-2.2638075909877555</v>
      </c>
      <c r="E73" s="47">
        <f t="shared" si="7"/>
        <v>-2.9028154471755103</v>
      </c>
      <c r="F73" s="47">
        <f t="shared" si="7"/>
        <v>-2.7479893228408163</v>
      </c>
      <c r="G73" s="47">
        <f t="shared" si="7"/>
        <v>-1.049999150155102</v>
      </c>
      <c r="H73" s="47">
        <f t="shared" si="7"/>
        <v>-1.440140375412245</v>
      </c>
      <c r="I73" s="226">
        <f t="shared" si="7"/>
        <v>-3.8306818193061218</v>
      </c>
      <c r="J73" s="216"/>
      <c r="K73" s="217"/>
      <c r="L73" s="217"/>
      <c r="M73" s="217"/>
      <c r="N73" s="218"/>
      <c r="BF73" s="47"/>
      <c r="BG73" s="47"/>
      <c r="BH73" s="47"/>
      <c r="BI73" s="47"/>
      <c r="BJ73" s="47"/>
      <c r="BK73" s="47"/>
      <c r="BL73" s="47"/>
      <c r="BM73" s="47"/>
      <c r="BN73" s="47"/>
      <c r="BO73" s="47"/>
      <c r="BP73" s="47"/>
      <c r="BQ73" s="47"/>
    </row>
    <row r="74" spans="2:69" x14ac:dyDescent="0.25">
      <c r="B74" s="25" t="s">
        <v>525</v>
      </c>
      <c r="C74" s="47">
        <f t="shared" si="7"/>
        <v>-2.4972251384816326</v>
      </c>
      <c r="D74" s="47">
        <f t="shared" si="7"/>
        <v>-2.7314674326612245</v>
      </c>
      <c r="E74" s="47">
        <f t="shared" si="7"/>
        <v>-2.6038637037061223</v>
      </c>
      <c r="F74" s="47">
        <f t="shared" si="7"/>
        <v>-1.9858522080571432</v>
      </c>
      <c r="G74" s="47">
        <f t="shared" si="7"/>
        <v>-3.5455820644244893</v>
      </c>
      <c r="H74" s="47">
        <f t="shared" si="7"/>
        <v>-3.495032634342857</v>
      </c>
      <c r="I74" s="226">
        <f t="shared" si="7"/>
        <v>-2.0276980315428572</v>
      </c>
      <c r="J74" s="216"/>
      <c r="K74" s="217"/>
      <c r="L74" s="222" t="s">
        <v>69</v>
      </c>
      <c r="M74" s="217"/>
      <c r="N74" s="218"/>
      <c r="BF74" s="47"/>
      <c r="BG74" s="47"/>
      <c r="BH74" s="47"/>
      <c r="BI74" s="47"/>
      <c r="BJ74" s="47"/>
      <c r="BK74" s="47"/>
      <c r="BL74" s="47"/>
      <c r="BM74" s="47"/>
      <c r="BN74" s="47"/>
      <c r="BO74" s="47"/>
      <c r="BP74" s="47"/>
      <c r="BQ74" s="47"/>
    </row>
    <row r="75" spans="2:69" x14ac:dyDescent="0.25">
      <c r="B75" s="25" t="s">
        <v>526</v>
      </c>
      <c r="C75" s="47">
        <f t="shared" si="7"/>
        <v>-2.3093843104244898</v>
      </c>
      <c r="D75" s="47">
        <f t="shared" si="7"/>
        <v>-1.9758062300653059</v>
      </c>
      <c r="E75" s="47">
        <f t="shared" si="7"/>
        <v>-2.5884224951918364</v>
      </c>
      <c r="F75" s="47">
        <f t="shared" si="7"/>
        <v>-2.350675557640816</v>
      </c>
      <c r="G75" s="47">
        <f t="shared" si="7"/>
        <v>-1.5427051826775511</v>
      </c>
      <c r="H75" s="47">
        <f t="shared" si="7"/>
        <v>-0.87745020996734691</v>
      </c>
      <c r="I75" s="226">
        <f t="shared" si="7"/>
        <v>-2.9841985303428569</v>
      </c>
      <c r="J75" s="216"/>
      <c r="K75" s="217"/>
      <c r="L75" s="217"/>
      <c r="M75" s="217"/>
      <c r="N75" s="218"/>
      <c r="BF75" s="47"/>
      <c r="BG75" s="47"/>
      <c r="BH75" s="47"/>
      <c r="BI75" s="47"/>
      <c r="BJ75" s="47"/>
      <c r="BK75" s="47"/>
      <c r="BL75" s="47"/>
      <c r="BM75" s="47"/>
      <c r="BN75" s="47"/>
      <c r="BO75" s="47"/>
      <c r="BP75" s="47"/>
      <c r="BQ75" s="47"/>
    </row>
    <row r="76" spans="2:69" x14ac:dyDescent="0.25">
      <c r="B76" s="25" t="s">
        <v>527</v>
      </c>
      <c r="C76" s="47">
        <f t="shared" si="7"/>
        <v>-2.5391306296489797</v>
      </c>
      <c r="D76" s="47">
        <f t="shared" si="7"/>
        <v>-2.2638075909877555</v>
      </c>
      <c r="E76" s="47">
        <f t="shared" si="7"/>
        <v>-2.9028154471755103</v>
      </c>
      <c r="F76" s="47">
        <f t="shared" si="7"/>
        <v>-2.7479893228408163</v>
      </c>
      <c r="G76" s="47">
        <f t="shared" si="7"/>
        <v>-1.049999150155102</v>
      </c>
      <c r="H76" s="47">
        <f t="shared" si="7"/>
        <v>-1.440140375412245</v>
      </c>
      <c r="I76" s="226">
        <f t="shared" si="7"/>
        <v>-3.8306818193061218</v>
      </c>
      <c r="J76" s="219"/>
      <c r="K76" s="220"/>
      <c r="L76" s="220"/>
      <c r="M76" s="220"/>
      <c r="N76" s="221"/>
      <c r="BF76" s="47"/>
      <c r="BG76" s="47"/>
      <c r="BH76" s="47"/>
      <c r="BI76" s="47"/>
      <c r="BJ76" s="47"/>
      <c r="BK76" s="47"/>
      <c r="BL76" s="47"/>
      <c r="BM76" s="47"/>
      <c r="BN76" s="47"/>
      <c r="BO76" s="47"/>
      <c r="BP76" s="47"/>
      <c r="BQ76" s="47"/>
    </row>
    <row r="79" spans="2:69" ht="18.75" x14ac:dyDescent="0.3">
      <c r="B79" s="29" t="s">
        <v>634</v>
      </c>
      <c r="P79" s="29" t="s">
        <v>633</v>
      </c>
      <c r="AD79" s="29" t="s">
        <v>632</v>
      </c>
      <c r="AR79" s="29" t="s">
        <v>631</v>
      </c>
    </row>
    <row r="81" spans="2:56" x14ac:dyDescent="0.25">
      <c r="C81" s="400" t="s">
        <v>335</v>
      </c>
      <c r="D81" s="400"/>
      <c r="E81" s="400"/>
      <c r="F81" s="400"/>
      <c r="G81" s="400"/>
      <c r="H81" s="400"/>
      <c r="I81" s="400"/>
      <c r="J81" s="400"/>
      <c r="K81" s="400"/>
      <c r="L81" s="400"/>
      <c r="M81" s="400"/>
      <c r="N81" s="400"/>
      <c r="Q81" s="400" t="s">
        <v>335</v>
      </c>
      <c r="R81" s="400"/>
      <c r="S81" s="400"/>
      <c r="T81" s="400"/>
      <c r="U81" s="400"/>
      <c r="V81" s="400"/>
      <c r="W81" s="400"/>
      <c r="X81" s="400"/>
      <c r="Y81" s="400"/>
      <c r="Z81" s="400"/>
      <c r="AA81" s="400"/>
      <c r="AB81" s="400"/>
      <c r="AE81" s="400" t="s">
        <v>335</v>
      </c>
      <c r="AF81" s="400"/>
      <c r="AG81" s="400"/>
      <c r="AH81" s="400"/>
      <c r="AI81" s="400"/>
      <c r="AJ81" s="400"/>
      <c r="AK81" s="400"/>
      <c r="AL81" s="400"/>
      <c r="AM81" s="400"/>
      <c r="AN81" s="400"/>
      <c r="AO81" s="400"/>
      <c r="AP81" s="400"/>
      <c r="AS81" s="400" t="s">
        <v>335</v>
      </c>
      <c r="AT81" s="400"/>
      <c r="AU81" s="400"/>
      <c r="AV81" s="400"/>
      <c r="AW81" s="400"/>
      <c r="AX81" s="400"/>
      <c r="AY81" s="400"/>
      <c r="AZ81" s="400"/>
      <c r="BA81" s="400"/>
      <c r="BB81" s="400"/>
      <c r="BC81" s="400"/>
      <c r="BD81" s="400"/>
    </row>
    <row r="82" spans="2:56" x14ac:dyDescent="0.25">
      <c r="B82" s="71" t="s">
        <v>334</v>
      </c>
      <c r="C82" s="72" t="s">
        <v>42</v>
      </c>
      <c r="D82" s="73" t="s">
        <v>51</v>
      </c>
      <c r="E82" s="73" t="s">
        <v>52</v>
      </c>
      <c r="F82" s="73" t="s">
        <v>53</v>
      </c>
      <c r="G82" s="73" t="s">
        <v>54</v>
      </c>
      <c r="H82" s="73" t="s">
        <v>55</v>
      </c>
      <c r="I82" s="75" t="s">
        <v>56</v>
      </c>
      <c r="J82" s="73" t="s">
        <v>60</v>
      </c>
      <c r="K82" s="73" t="s">
        <v>59</v>
      </c>
      <c r="L82" s="73" t="s">
        <v>61</v>
      </c>
      <c r="M82" s="73" t="s">
        <v>58</v>
      </c>
      <c r="N82" s="73" t="s">
        <v>57</v>
      </c>
      <c r="P82" s="71" t="s">
        <v>334</v>
      </c>
      <c r="Q82" s="72" t="s">
        <v>42</v>
      </c>
      <c r="R82" s="73" t="s">
        <v>51</v>
      </c>
      <c r="S82" s="73" t="s">
        <v>52</v>
      </c>
      <c r="T82" s="73" t="s">
        <v>53</v>
      </c>
      <c r="U82" s="73" t="s">
        <v>54</v>
      </c>
      <c r="V82" s="73" t="s">
        <v>55</v>
      </c>
      <c r="W82" s="73" t="s">
        <v>56</v>
      </c>
      <c r="X82" s="73" t="s">
        <v>60</v>
      </c>
      <c r="Y82" s="73" t="s">
        <v>59</v>
      </c>
      <c r="Z82" s="73" t="s">
        <v>61</v>
      </c>
      <c r="AA82" s="73" t="s">
        <v>58</v>
      </c>
      <c r="AB82" s="73" t="s">
        <v>57</v>
      </c>
      <c r="AD82" s="71" t="s">
        <v>334</v>
      </c>
      <c r="AE82" s="72" t="s">
        <v>42</v>
      </c>
      <c r="AF82" s="73" t="s">
        <v>51</v>
      </c>
      <c r="AG82" s="73" t="s">
        <v>52</v>
      </c>
      <c r="AH82" s="73" t="s">
        <v>53</v>
      </c>
      <c r="AI82" s="73" t="s">
        <v>54</v>
      </c>
      <c r="AJ82" s="73" t="s">
        <v>55</v>
      </c>
      <c r="AK82" s="75" t="s">
        <v>56</v>
      </c>
      <c r="AL82" s="73" t="s">
        <v>60</v>
      </c>
      <c r="AM82" s="73" t="s">
        <v>59</v>
      </c>
      <c r="AN82" s="73" t="s">
        <v>61</v>
      </c>
      <c r="AO82" s="73" t="s">
        <v>58</v>
      </c>
      <c r="AP82" s="73" t="s">
        <v>57</v>
      </c>
      <c r="AR82" s="71" t="s">
        <v>334</v>
      </c>
      <c r="AS82" s="72" t="s">
        <v>42</v>
      </c>
      <c r="AT82" s="73" t="s">
        <v>51</v>
      </c>
      <c r="AU82" s="73" t="s">
        <v>52</v>
      </c>
      <c r="AV82" s="73" t="s">
        <v>53</v>
      </c>
      <c r="AW82" s="73" t="s">
        <v>54</v>
      </c>
      <c r="AX82" s="73" t="s">
        <v>55</v>
      </c>
      <c r="AY82" s="75" t="s">
        <v>56</v>
      </c>
      <c r="AZ82" s="73" t="s">
        <v>60</v>
      </c>
      <c r="BA82" s="73" t="s">
        <v>59</v>
      </c>
      <c r="BB82" s="73" t="s">
        <v>61</v>
      </c>
      <c r="BC82" s="73" t="s">
        <v>58</v>
      </c>
      <c r="BD82" s="73" t="s">
        <v>57</v>
      </c>
    </row>
    <row r="83" spans="2:56" x14ac:dyDescent="0.25">
      <c r="B83" s="25" t="s">
        <v>42</v>
      </c>
      <c r="C83" s="122">
        <f>IF(C12&gt;0,C65*C36/(C12),0)</f>
        <v>2.1549764656244898E-3</v>
      </c>
      <c r="D83" s="48">
        <f t="shared" ref="D83:N83" si="8">IF(D12&gt;0,D65*D36/(D12),0)</f>
        <v>3.7205919178775512E-2</v>
      </c>
      <c r="E83" s="48">
        <f t="shared" si="8"/>
        <v>2.0482361321714285E-2</v>
      </c>
      <c r="F83" s="48">
        <f t="shared" si="8"/>
        <v>5.622093711412245E-3</v>
      </c>
      <c r="G83" s="48">
        <f t="shared" si="8"/>
        <v>0.19007761497191836</v>
      </c>
      <c r="H83" s="48">
        <f t="shared" si="8"/>
        <v>0.15309658540538773</v>
      </c>
      <c r="I83" s="228">
        <f t="shared" si="8"/>
        <v>1.1970349165926529E-2</v>
      </c>
      <c r="J83" s="48">
        <f t="shared" si="8"/>
        <v>0.15715521745583672</v>
      </c>
      <c r="K83" s="48">
        <f t="shared" si="8"/>
        <v>0.25602880626399999</v>
      </c>
      <c r="L83" s="48">
        <f t="shared" si="8"/>
        <v>4.799217016897958E-4</v>
      </c>
      <c r="M83" s="48">
        <f t="shared" si="8"/>
        <v>0.15715521745583672</v>
      </c>
      <c r="N83" s="48">
        <f t="shared" si="8"/>
        <v>0.25602880626399999</v>
      </c>
      <c r="P83" s="25" t="s">
        <v>42</v>
      </c>
      <c r="Q83" s="48">
        <f t="shared" ref="Q83:AB89" si="9">IF(C12&gt;0,C65*Q36/(C12),0)</f>
        <v>6.8281810936653064E-3</v>
      </c>
      <c r="R83" s="48">
        <f t="shared" si="9"/>
        <v>8.1897891078367341E-2</v>
      </c>
      <c r="S83" s="48">
        <f t="shared" si="9"/>
        <v>2.3701366111836736E-2</v>
      </c>
      <c r="T83" s="48">
        <f t="shared" si="9"/>
        <v>9.6407369056653053E-3</v>
      </c>
      <c r="U83" s="48">
        <f t="shared" si="9"/>
        <v>0.24281862991346936</v>
      </c>
      <c r="V83" s="48">
        <f t="shared" si="9"/>
        <v>0.28621176662302034</v>
      </c>
      <c r="W83" s="48">
        <f t="shared" si="9"/>
        <v>1.7960014574857141E-2</v>
      </c>
      <c r="X83" s="48">
        <f t="shared" si="9"/>
        <v>0.264304834859102</v>
      </c>
      <c r="Y83" s="48">
        <f t="shared" si="9"/>
        <v>0.3293845932906122</v>
      </c>
      <c r="Z83" s="48">
        <f t="shared" si="9"/>
        <v>5.3177867177959181E-4</v>
      </c>
      <c r="AA83" s="48">
        <f t="shared" si="9"/>
        <v>0.264304834859102</v>
      </c>
      <c r="AB83" s="48">
        <f t="shared" si="9"/>
        <v>0.3293845932906122</v>
      </c>
      <c r="AD83" s="25" t="s">
        <v>42</v>
      </c>
      <c r="AE83" s="48">
        <f t="shared" ref="AE83:AP89" si="10">IF(C12&gt;0,C65*AE36/(C12),0)</f>
        <v>9.4815265696979595E-3</v>
      </c>
      <c r="AF83" s="48">
        <f t="shared" si="10"/>
        <v>0.10342359784653062</v>
      </c>
      <c r="AG83" s="48">
        <f t="shared" si="10"/>
        <v>3.7770551118367343E-2</v>
      </c>
      <c r="AH83" s="48">
        <f t="shared" si="10"/>
        <v>1.2481867479534694E-2</v>
      </c>
      <c r="AI83" s="48">
        <f t="shared" si="10"/>
        <v>0.36663231013469388</v>
      </c>
      <c r="AJ83" s="48">
        <f t="shared" si="10"/>
        <v>0.37017442905053055</v>
      </c>
      <c r="AK83" s="228">
        <f t="shared" si="10"/>
        <v>2.2633260697681633E-2</v>
      </c>
      <c r="AL83" s="48">
        <f t="shared" si="10"/>
        <v>0.3363689528751021</v>
      </c>
      <c r="AM83" s="48">
        <f t="shared" si="10"/>
        <v>0.47191502573061223</v>
      </c>
      <c r="AN83" s="48">
        <f t="shared" si="10"/>
        <v>7.9754973239183668E-4</v>
      </c>
      <c r="AO83" s="48">
        <f t="shared" si="10"/>
        <v>0.3363689528751021</v>
      </c>
      <c r="AP83" s="48">
        <f t="shared" si="10"/>
        <v>0.47191502573061223</v>
      </c>
      <c r="AR83" s="25" t="s">
        <v>42</v>
      </c>
      <c r="AS83" s="48">
        <f t="shared" ref="AS83:BD89" si="11">IF(C12&gt;0,C65*AS36/(C12),0)</f>
        <v>1.8794168764081631E-2</v>
      </c>
      <c r="AT83" s="48">
        <f t="shared" si="11"/>
        <v>0.15600790788897961</v>
      </c>
      <c r="AU83" s="48">
        <f t="shared" si="11"/>
        <v>3.4566396614693878E-2</v>
      </c>
      <c r="AV83" s="48">
        <f t="shared" si="11"/>
        <v>4.0020249877142859E-2</v>
      </c>
      <c r="AW83" s="48">
        <f t="shared" si="11"/>
        <v>0.51470811152244889</v>
      </c>
      <c r="AX83" s="48">
        <f t="shared" si="11"/>
        <v>0.38836173508897964</v>
      </c>
      <c r="AY83" s="228">
        <f t="shared" si="11"/>
        <v>4.7028358410448973E-2</v>
      </c>
      <c r="AZ83" s="48">
        <f t="shared" si="11"/>
        <v>0.34958959681485718</v>
      </c>
      <c r="BA83" s="48">
        <f t="shared" si="11"/>
        <v>0.63400270692000005</v>
      </c>
      <c r="BB83" s="48">
        <f t="shared" si="11"/>
        <v>4.051036203136326E-2</v>
      </c>
      <c r="BC83" s="48">
        <f t="shared" si="11"/>
        <v>0.34958959681485718</v>
      </c>
      <c r="BD83" s="48">
        <f t="shared" si="11"/>
        <v>0.63400270692000005</v>
      </c>
    </row>
    <row r="84" spans="2:56" x14ac:dyDescent="0.25">
      <c r="B84" s="25" t="s">
        <v>43</v>
      </c>
      <c r="C84" s="48">
        <f t="shared" ref="C84:N84" si="12">IF(C13&gt;0,C66*C37/(C13),0)</f>
        <v>7.9838296582089796E-2</v>
      </c>
      <c r="D84" s="48">
        <f t="shared" si="12"/>
        <v>6.5570723500408171E-2</v>
      </c>
      <c r="E84" s="48">
        <f t="shared" si="12"/>
        <v>0.10952558448587756</v>
      </c>
      <c r="F84" s="48">
        <f t="shared" si="12"/>
        <v>6.4535704270040808E-2</v>
      </c>
      <c r="G84" s="48">
        <f t="shared" si="12"/>
        <v>0.15297074414465303</v>
      </c>
      <c r="H84" s="48">
        <f t="shared" si="12"/>
        <v>0.1306689122792653</v>
      </c>
      <c r="I84" s="228">
        <f t="shared" si="12"/>
        <v>3.8730863685395925E-2</v>
      </c>
      <c r="J84" s="48">
        <f t="shared" si="12"/>
        <v>0.13061276105338773</v>
      </c>
      <c r="K84" s="48">
        <f t="shared" si="12"/>
        <v>0.20710326999820405</v>
      </c>
      <c r="L84" s="48">
        <f t="shared" si="12"/>
        <v>5.0998930957902047E-2</v>
      </c>
      <c r="M84" s="48">
        <f t="shared" si="12"/>
        <v>0.13061276105338773</v>
      </c>
      <c r="N84" s="48">
        <f t="shared" si="12"/>
        <v>0.20710326999820405</v>
      </c>
      <c r="P84" s="25" t="s">
        <v>43</v>
      </c>
      <c r="Q84" s="48">
        <f t="shared" si="9"/>
        <v>8.5222395598775508E-2</v>
      </c>
      <c r="R84" s="48">
        <f t="shared" si="9"/>
        <v>7.011291819265307E-2</v>
      </c>
      <c r="S84" s="48">
        <f t="shared" si="9"/>
        <v>0.12624457791673471</v>
      </c>
      <c r="T84" s="48">
        <f t="shared" si="9"/>
        <v>6.7679827331240811E-2</v>
      </c>
      <c r="U84" s="48">
        <f t="shared" si="9"/>
        <v>0.19392350902122446</v>
      </c>
      <c r="V84" s="48">
        <f t="shared" si="9"/>
        <v>0.17566151237216326</v>
      </c>
      <c r="W84" s="48">
        <f t="shared" si="9"/>
        <v>3.9917994009142851E-2</v>
      </c>
      <c r="X84" s="48">
        <f t="shared" si="9"/>
        <v>0.15276857974130612</v>
      </c>
      <c r="Y84" s="48">
        <f t="shared" si="9"/>
        <v>0.29362054212408156</v>
      </c>
      <c r="Z84" s="48">
        <f t="shared" si="9"/>
        <v>4.9144295553795923E-2</v>
      </c>
      <c r="AA84" s="48">
        <f t="shared" si="9"/>
        <v>0.15276857974130612</v>
      </c>
      <c r="AB84" s="48">
        <f t="shared" si="9"/>
        <v>0.29362054212408156</v>
      </c>
      <c r="AD84" s="25" t="s">
        <v>43</v>
      </c>
      <c r="AE84" s="48">
        <f t="shared" si="10"/>
        <v>9.0957216401991836E-2</v>
      </c>
      <c r="AF84" s="48">
        <f t="shared" si="10"/>
        <v>7.7506107404897967E-2</v>
      </c>
      <c r="AG84" s="48">
        <f t="shared" si="10"/>
        <v>0.14124939457469385</v>
      </c>
      <c r="AH84" s="48">
        <f t="shared" si="10"/>
        <v>7.1382591939102027E-2</v>
      </c>
      <c r="AI84" s="48">
        <f t="shared" si="10"/>
        <v>0.27150866853224487</v>
      </c>
      <c r="AJ84" s="48">
        <f t="shared" si="10"/>
        <v>0.24208888810946938</v>
      </c>
      <c r="AK84" s="228">
        <f t="shared" si="10"/>
        <v>4.672098383165714E-2</v>
      </c>
      <c r="AL84" s="48">
        <f t="shared" si="10"/>
        <v>0.20829124445306124</v>
      </c>
      <c r="AM84" s="48">
        <f t="shared" si="10"/>
        <v>0.39613591910693874</v>
      </c>
      <c r="AN84" s="48">
        <f t="shared" si="10"/>
        <v>5.2966133229428579E-2</v>
      </c>
      <c r="AO84" s="48">
        <f t="shared" si="10"/>
        <v>0.20829124445306124</v>
      </c>
      <c r="AP84" s="48">
        <f t="shared" si="10"/>
        <v>0.39613591910693874</v>
      </c>
      <c r="AR84" s="25" t="s">
        <v>43</v>
      </c>
      <c r="AS84" s="48">
        <f t="shared" si="11"/>
        <v>0.10314876305306123</v>
      </c>
      <c r="AT84" s="48">
        <f t="shared" si="11"/>
        <v>9.3629163050612238E-2</v>
      </c>
      <c r="AU84" s="48">
        <f t="shared" si="11"/>
        <v>0.15197699253673469</v>
      </c>
      <c r="AV84" s="48">
        <f t="shared" si="11"/>
        <v>8.3832341547428565E-2</v>
      </c>
      <c r="AW84" s="48">
        <f t="shared" si="11"/>
        <v>0.29740989423020403</v>
      </c>
      <c r="AX84" s="48">
        <f t="shared" si="11"/>
        <v>0.25654480147102043</v>
      </c>
      <c r="AY84" s="228">
        <f t="shared" si="11"/>
        <v>5.1400896984979592E-2</v>
      </c>
      <c r="AZ84" s="48">
        <f t="shared" si="11"/>
        <v>0.22565971302644897</v>
      </c>
      <c r="BA84" s="48">
        <f t="shared" si="11"/>
        <v>0.42092538748408159</v>
      </c>
      <c r="BB84" s="48">
        <f t="shared" si="11"/>
        <v>6.6259048967077558E-2</v>
      </c>
      <c r="BC84" s="48">
        <f t="shared" si="11"/>
        <v>0.22565971302644897</v>
      </c>
      <c r="BD84" s="48">
        <f t="shared" si="11"/>
        <v>0.42092538748408159</v>
      </c>
    </row>
    <row r="85" spans="2:56" x14ac:dyDescent="0.25">
      <c r="B85" s="25" t="s">
        <v>44</v>
      </c>
      <c r="C85" s="48">
        <f t="shared" ref="C85:N85" si="13">IF(C14&gt;0,C67*C38/(C14),0)</f>
        <v>7.9790798987338776E-2</v>
      </c>
      <c r="D85" s="48">
        <f t="shared" si="13"/>
        <v>0.15710118943020407</v>
      </c>
      <c r="E85" s="48">
        <f t="shared" si="13"/>
        <v>2.5347603505714279E-2</v>
      </c>
      <c r="F85" s="48">
        <f>IF(F14&gt;0,F67*F38/(F14),0)</f>
        <v>9.3336219872971429E-2</v>
      </c>
      <c r="G85" s="48">
        <f t="shared" si="13"/>
        <v>0.35142177324302037</v>
      </c>
      <c r="H85" s="48">
        <f t="shared" si="13"/>
        <v>0.27704960026408165</v>
      </c>
      <c r="I85" s="228">
        <f t="shared" si="13"/>
        <v>8.1823886191771431E-2</v>
      </c>
      <c r="J85" s="48">
        <f t="shared" si="13"/>
        <v>0.28218719361216327</v>
      </c>
      <c r="K85" s="48">
        <f t="shared" si="13"/>
        <v>0.42017448334040819</v>
      </c>
      <c r="L85" s="48">
        <f t="shared" si="13"/>
        <v>6.893946448902856E-2</v>
      </c>
      <c r="M85" s="48">
        <f t="shared" si="13"/>
        <v>0.28218719361216327</v>
      </c>
      <c r="N85" s="48">
        <f t="shared" si="13"/>
        <v>0.42017448334040819</v>
      </c>
      <c r="P85" s="25" t="s">
        <v>44</v>
      </c>
      <c r="Q85" s="48">
        <f t="shared" si="9"/>
        <v>0.13425403796388571</v>
      </c>
      <c r="R85" s="48">
        <f t="shared" si="9"/>
        <v>0.29953100459183668</v>
      </c>
      <c r="S85" s="48">
        <f t="shared" si="9"/>
        <v>3.0998481270204079E-2</v>
      </c>
      <c r="T85" s="48">
        <f t="shared" si="9"/>
        <v>0.11028797541546938</v>
      </c>
      <c r="U85" s="48">
        <f t="shared" si="9"/>
        <v>0.47522367439755109</v>
      </c>
      <c r="V85" s="48">
        <f t="shared" si="9"/>
        <v>0.56274787045355101</v>
      </c>
      <c r="W85" s="48">
        <f t="shared" si="9"/>
        <v>9.6351490424244901E-2</v>
      </c>
      <c r="X85" s="48">
        <f t="shared" si="9"/>
        <v>0.53987085728130613</v>
      </c>
      <c r="Y85" s="48">
        <f t="shared" si="9"/>
        <v>0.55042636698612246</v>
      </c>
      <c r="Z85" s="48">
        <f t="shared" si="9"/>
        <v>7.4809877524261228E-2</v>
      </c>
      <c r="AA85" s="48">
        <f t="shared" si="9"/>
        <v>0.53987085728130613</v>
      </c>
      <c r="AB85" s="48">
        <f t="shared" si="9"/>
        <v>0.55042636698612246</v>
      </c>
      <c r="AD85" s="25" t="s">
        <v>44</v>
      </c>
      <c r="AE85" s="48">
        <f t="shared" si="10"/>
        <v>0.15437480677439186</v>
      </c>
      <c r="AF85" s="48">
        <f t="shared" si="10"/>
        <v>0.32598447437061223</v>
      </c>
      <c r="AG85" s="48">
        <f t="shared" si="10"/>
        <v>3.5081113661224489E-2</v>
      </c>
      <c r="AH85" s="48">
        <f t="shared" si="10"/>
        <v>0.12976227821246528</v>
      </c>
      <c r="AI85" s="48">
        <f t="shared" si="10"/>
        <v>0.62756556358122451</v>
      </c>
      <c r="AJ85" s="48">
        <f t="shared" si="10"/>
        <v>0.64196635551444903</v>
      </c>
      <c r="AK85" s="228">
        <f t="shared" si="10"/>
        <v>0.11610864286847347</v>
      </c>
      <c r="AL85" s="48">
        <f t="shared" si="10"/>
        <v>0.60600968980244896</v>
      </c>
      <c r="AM85" s="48">
        <f t="shared" si="10"/>
        <v>0.72564717749632646</v>
      </c>
      <c r="AN85" s="48">
        <f t="shared" si="10"/>
        <v>9.4241942266057144E-2</v>
      </c>
      <c r="AO85" s="48">
        <f t="shared" si="10"/>
        <v>0.60600968980244896</v>
      </c>
      <c r="AP85" s="48">
        <f t="shared" si="10"/>
        <v>0.72564717749632646</v>
      </c>
      <c r="AR85" s="25" t="s">
        <v>44</v>
      </c>
      <c r="AS85" s="48">
        <f t="shared" si="11"/>
        <v>0.12198206412408161</v>
      </c>
      <c r="AT85" s="48">
        <f t="shared" si="11"/>
        <v>0.3593893805004082</v>
      </c>
      <c r="AU85" s="48">
        <f t="shared" si="11"/>
        <v>1.3001715038040816E-2</v>
      </c>
      <c r="AV85" s="48">
        <f t="shared" si="11"/>
        <v>0.11463137829134694</v>
      </c>
      <c r="AW85" s="48">
        <f t="shared" si="11"/>
        <v>0.76581170503918372</v>
      </c>
      <c r="AX85" s="48">
        <f t="shared" si="11"/>
        <v>0.61031793872163265</v>
      </c>
      <c r="AY85" s="228">
        <f t="shared" si="11"/>
        <v>0.12509080485583673</v>
      </c>
      <c r="AZ85" s="48">
        <f t="shared" si="11"/>
        <v>0.57731150366775508</v>
      </c>
      <c r="BA85" s="48">
        <f t="shared" si="11"/>
        <v>0.88825384636326532</v>
      </c>
      <c r="BB85" s="48">
        <f t="shared" si="11"/>
        <v>0.12763709863609796</v>
      </c>
      <c r="BC85" s="48">
        <f t="shared" si="11"/>
        <v>0.57731150366775508</v>
      </c>
      <c r="BD85" s="48">
        <f t="shared" si="11"/>
        <v>0.88825384636326532</v>
      </c>
    </row>
    <row r="86" spans="2:56" x14ac:dyDescent="0.25">
      <c r="B86" s="25" t="s">
        <v>45</v>
      </c>
      <c r="C86" s="48">
        <f t="shared" ref="C86:N86" si="14">IF(C15&gt;0,C68*C39/(C15),0)</f>
        <v>2.842156464247347E-2</v>
      </c>
      <c r="D86" s="48">
        <f t="shared" si="14"/>
        <v>5.6726337521632655E-2</v>
      </c>
      <c r="E86" s="48">
        <f t="shared" si="14"/>
        <v>8.3040260645795921E-2</v>
      </c>
      <c r="F86" s="48">
        <f t="shared" si="14"/>
        <v>9.1512268801306126E-3</v>
      </c>
      <c r="G86" s="48">
        <f t="shared" si="14"/>
        <v>0.19760898484261222</v>
      </c>
      <c r="H86" s="48">
        <f t="shared" si="14"/>
        <v>0.14425042454024489</v>
      </c>
      <c r="I86" s="228">
        <f t="shared" si="14"/>
        <v>8.498883448538776E-3</v>
      </c>
      <c r="J86" s="48">
        <f t="shared" si="14"/>
        <v>0.1587865136987755</v>
      </c>
      <c r="K86" s="48">
        <f t="shared" si="14"/>
        <v>0.26205773785355096</v>
      </c>
      <c r="L86" s="48">
        <f t="shared" si="14"/>
        <v>2.4327013556326529E-3</v>
      </c>
      <c r="M86" s="48">
        <f t="shared" si="14"/>
        <v>0.1587865136987755</v>
      </c>
      <c r="N86" s="48">
        <f t="shared" si="14"/>
        <v>0.26205773785355096</v>
      </c>
      <c r="P86" s="25" t="s">
        <v>45</v>
      </c>
      <c r="Q86" s="48">
        <f t="shared" si="9"/>
        <v>3.0624798935746933E-2</v>
      </c>
      <c r="R86" s="48">
        <f t="shared" si="9"/>
        <v>7.8683559751836718E-2</v>
      </c>
      <c r="S86" s="48">
        <f t="shared" si="9"/>
        <v>9.181214584816326E-2</v>
      </c>
      <c r="T86" s="48">
        <f t="shared" si="9"/>
        <v>9.3218809928244887E-3</v>
      </c>
      <c r="U86" s="48">
        <f t="shared" si="9"/>
        <v>0.24522862877632653</v>
      </c>
      <c r="V86" s="48">
        <f t="shared" si="9"/>
        <v>0.24695602330367344</v>
      </c>
      <c r="W86" s="48">
        <f t="shared" si="9"/>
        <v>9.5615618296000012E-3</v>
      </c>
      <c r="X86" s="48">
        <f t="shared" si="9"/>
        <v>0.23155022770987752</v>
      </c>
      <c r="Y86" s="48">
        <f t="shared" si="9"/>
        <v>0.33630519629142858</v>
      </c>
      <c r="Z86" s="48">
        <f t="shared" si="9"/>
        <v>2.8551433926040813E-3</v>
      </c>
      <c r="AA86" s="48">
        <f t="shared" si="9"/>
        <v>0.23155022770987752</v>
      </c>
      <c r="AB86" s="48">
        <f t="shared" si="9"/>
        <v>0.33630519629142858</v>
      </c>
      <c r="AD86" s="25" t="s">
        <v>45</v>
      </c>
      <c r="AE86" s="48">
        <f t="shared" si="10"/>
        <v>3.4295372980808161E-2</v>
      </c>
      <c r="AF86" s="48">
        <f t="shared" si="10"/>
        <v>9.6667853318367344E-2</v>
      </c>
      <c r="AG86" s="48">
        <f t="shared" si="10"/>
        <v>0.10469003681714285</v>
      </c>
      <c r="AH86" s="48">
        <f t="shared" si="10"/>
        <v>9.8348410230040817E-3</v>
      </c>
      <c r="AI86" s="48">
        <f t="shared" si="10"/>
        <v>0.36512326297632652</v>
      </c>
      <c r="AJ86" s="48">
        <f t="shared" si="10"/>
        <v>0.32290676991975509</v>
      </c>
      <c r="AK86" s="228">
        <f t="shared" si="10"/>
        <v>1.2202223228620409E-2</v>
      </c>
      <c r="AL86" s="48">
        <f t="shared" si="10"/>
        <v>0.29542341475428568</v>
      </c>
      <c r="AM86" s="48">
        <f t="shared" si="10"/>
        <v>0.47547948822448971</v>
      </c>
      <c r="AN86" s="48">
        <f t="shared" si="10"/>
        <v>2.6292972801632646E-3</v>
      </c>
      <c r="AO86" s="48">
        <f t="shared" si="10"/>
        <v>0.29542341475428568</v>
      </c>
      <c r="AP86" s="48">
        <f t="shared" si="10"/>
        <v>0.47547948822448971</v>
      </c>
      <c r="AR86" s="25" t="s">
        <v>45</v>
      </c>
      <c r="AS86" s="48">
        <f t="shared" si="11"/>
        <v>9.2607815897142856E-2</v>
      </c>
      <c r="AT86" s="48">
        <f t="shared" si="11"/>
        <v>0.24628008236408164</v>
      </c>
      <c r="AU86" s="48">
        <f t="shared" si="11"/>
        <v>8.8318318379836724E-2</v>
      </c>
      <c r="AV86" s="48">
        <f t="shared" si="11"/>
        <v>8.1268200164081646E-3</v>
      </c>
      <c r="AW86" s="48">
        <f t="shared" si="11"/>
        <v>0.61567951909469376</v>
      </c>
      <c r="AX86" s="48">
        <f t="shared" si="11"/>
        <v>0.50520756277469392</v>
      </c>
      <c r="AY86" s="228">
        <f t="shared" si="11"/>
        <v>1.2635358501632651E-2</v>
      </c>
      <c r="AZ86" s="48">
        <f t="shared" si="11"/>
        <v>0.48771685420318367</v>
      </c>
      <c r="BA86" s="48">
        <f t="shared" si="11"/>
        <v>0.74248782030612237</v>
      </c>
      <c r="BB86" s="48">
        <f t="shared" si="11"/>
        <v>4.8735453810775497E-3</v>
      </c>
      <c r="BC86" s="48">
        <f t="shared" si="11"/>
        <v>0.48771685420318367</v>
      </c>
      <c r="BD86" s="48">
        <f t="shared" si="11"/>
        <v>0.74248782030612237</v>
      </c>
    </row>
    <row r="87" spans="2:56" x14ac:dyDescent="0.25">
      <c r="B87" s="25" t="s">
        <v>46</v>
      </c>
      <c r="C87" s="48">
        <f t="shared" ref="C87:N87" si="15">IF(C16&gt;0,C69*C40/(C16),0)</f>
        <v>0.3644912968152163</v>
      </c>
      <c r="D87" s="48">
        <f t="shared" si="15"/>
        <v>0.30260025561632653</v>
      </c>
      <c r="E87" s="48">
        <f t="shared" si="15"/>
        <v>0.41267884744473465</v>
      </c>
      <c r="F87" s="48">
        <f t="shared" si="15"/>
        <v>0.35414783302701225</v>
      </c>
      <c r="G87" s="48">
        <f t="shared" si="15"/>
        <v>3.0542205234693878E-2</v>
      </c>
      <c r="H87" s="48">
        <f t="shared" si="15"/>
        <v>1.6380308160408166E-2</v>
      </c>
      <c r="I87" s="228">
        <f t="shared" si="15"/>
        <v>0.18845988449442447</v>
      </c>
      <c r="J87" s="48">
        <f t="shared" si="15"/>
        <v>3.9950444747265307E-2</v>
      </c>
      <c r="K87" s="48">
        <f t="shared" si="15"/>
        <v>2.5161431252571424E-2</v>
      </c>
      <c r="L87" s="48">
        <f t="shared" si="15"/>
        <v>0.37742704574807345</v>
      </c>
      <c r="M87" s="48">
        <f t="shared" si="15"/>
        <v>3.9950444747265307E-2</v>
      </c>
      <c r="N87" s="48">
        <f t="shared" si="15"/>
        <v>2.5161431252571424E-2</v>
      </c>
      <c r="P87" s="25" t="s">
        <v>46</v>
      </c>
      <c r="Q87" s="48">
        <f t="shared" si="9"/>
        <v>0.3477910962810204</v>
      </c>
      <c r="R87" s="48">
        <f t="shared" si="9"/>
        <v>0.30357514072734693</v>
      </c>
      <c r="S87" s="48">
        <f t="shared" si="9"/>
        <v>0.39466400523673467</v>
      </c>
      <c r="T87" s="48">
        <f t="shared" si="9"/>
        <v>0.3393018211465143</v>
      </c>
      <c r="U87" s="48">
        <f t="shared" si="9"/>
        <v>3.271518407591837E-2</v>
      </c>
      <c r="V87" s="48">
        <f t="shared" si="9"/>
        <v>3.6409098179591835E-2</v>
      </c>
      <c r="W87" s="48">
        <f t="shared" si="9"/>
        <v>0.2042088049976408</v>
      </c>
      <c r="X87" s="48">
        <f t="shared" si="9"/>
        <v>5.9228572928081633E-2</v>
      </c>
      <c r="Y87" s="48">
        <f t="shared" si="9"/>
        <v>4.7684351565714281E-2</v>
      </c>
      <c r="Z87" s="48">
        <f t="shared" si="9"/>
        <v>0.34705944571697139</v>
      </c>
      <c r="AA87" s="48">
        <f t="shared" si="9"/>
        <v>5.9228572928081633E-2</v>
      </c>
      <c r="AB87" s="48">
        <f t="shared" si="9"/>
        <v>4.7684351565714281E-2</v>
      </c>
      <c r="AD87" s="25" t="s">
        <v>46</v>
      </c>
      <c r="AE87" s="48">
        <f t="shared" si="10"/>
        <v>0.43012903317973056</v>
      </c>
      <c r="AF87" s="48">
        <f t="shared" si="10"/>
        <v>0.38440628269551019</v>
      </c>
      <c r="AG87" s="48">
        <f t="shared" si="10"/>
        <v>0.49900057918857138</v>
      </c>
      <c r="AH87" s="48">
        <f t="shared" si="10"/>
        <v>0.42929193528391835</v>
      </c>
      <c r="AI87" s="48">
        <f t="shared" si="10"/>
        <v>5.1584043450612245E-2</v>
      </c>
      <c r="AJ87" s="48">
        <f t="shared" si="10"/>
        <v>8.9894296321387762E-2</v>
      </c>
      <c r="AK87" s="228">
        <f t="shared" si="10"/>
        <v>0.29088890416906121</v>
      </c>
      <c r="AL87" s="48">
        <f t="shared" si="10"/>
        <v>0.12474189127265305</v>
      </c>
      <c r="AM87" s="48">
        <f t="shared" si="10"/>
        <v>6.686102954367347E-2</v>
      </c>
      <c r="AN87" s="48">
        <f t="shared" si="10"/>
        <v>0.45070010217113465</v>
      </c>
      <c r="AO87" s="48">
        <f t="shared" si="10"/>
        <v>0.12474189127265305</v>
      </c>
      <c r="AP87" s="48">
        <f t="shared" si="10"/>
        <v>6.686102954367347E-2</v>
      </c>
      <c r="AR87" s="25" t="s">
        <v>46</v>
      </c>
      <c r="AS87" s="48">
        <f t="shared" si="11"/>
        <v>0.51233430701469374</v>
      </c>
      <c r="AT87" s="48">
        <f t="shared" si="11"/>
        <v>0.42397716223836729</v>
      </c>
      <c r="AU87" s="48">
        <f t="shared" si="11"/>
        <v>0.57014855901502037</v>
      </c>
      <c r="AV87" s="48">
        <f t="shared" si="11"/>
        <v>0.49317729211232653</v>
      </c>
      <c r="AW87" s="48">
        <f t="shared" si="11"/>
        <v>5.4769389004897959E-2</v>
      </c>
      <c r="AX87" s="48">
        <f t="shared" si="11"/>
        <v>9.6823716206530616E-2</v>
      </c>
      <c r="AY87" s="228">
        <f t="shared" si="11"/>
        <v>0.32188509262530612</v>
      </c>
      <c r="AZ87" s="48">
        <f t="shared" si="11"/>
        <v>0.11858820273861224</v>
      </c>
      <c r="BA87" s="48">
        <f t="shared" si="11"/>
        <v>6.8573249701224484E-2</v>
      </c>
      <c r="BB87" s="48">
        <f t="shared" si="11"/>
        <v>0.52424095350987754</v>
      </c>
      <c r="BC87" s="48">
        <f t="shared" si="11"/>
        <v>0.11858820273861224</v>
      </c>
      <c r="BD87" s="48">
        <f t="shared" si="11"/>
        <v>6.8573249701224484E-2</v>
      </c>
    </row>
    <row r="88" spans="2:56" x14ac:dyDescent="0.25">
      <c r="B88" s="25" t="s">
        <v>47</v>
      </c>
      <c r="C88" s="48">
        <f t="shared" ref="C88:N88" si="16">IF(C17&gt;0,C70*C41/(C17),0)</f>
        <v>0.43261719185942044</v>
      </c>
      <c r="D88" s="48">
        <f t="shared" si="16"/>
        <v>0.35055789727918363</v>
      </c>
      <c r="E88" s="48">
        <f t="shared" si="16"/>
        <v>0.45848157109812243</v>
      </c>
      <c r="F88" s="48">
        <f t="shared" si="16"/>
        <v>0.38979961566453064</v>
      </c>
      <c r="G88" s="48">
        <f t="shared" si="16"/>
        <v>2.5481649829877551E-2</v>
      </c>
      <c r="H88" s="48">
        <f t="shared" si="16"/>
        <v>5.481354914693877E-3</v>
      </c>
      <c r="I88" s="228">
        <f t="shared" si="16"/>
        <v>0.18707491370551838</v>
      </c>
      <c r="J88" s="48">
        <f t="shared" si="16"/>
        <v>6.3133495578775517E-3</v>
      </c>
      <c r="K88" s="48">
        <f t="shared" si="16"/>
        <v>4.6049184495510209E-3</v>
      </c>
      <c r="L88" s="48">
        <f t="shared" si="16"/>
        <v>0.40577421054630203</v>
      </c>
      <c r="M88" s="48">
        <f t="shared" si="16"/>
        <v>6.3133495578775517E-3</v>
      </c>
      <c r="N88" s="48">
        <f t="shared" si="16"/>
        <v>4.6049184495510209E-3</v>
      </c>
      <c r="P88" s="25" t="s">
        <v>47</v>
      </c>
      <c r="Q88" s="48">
        <f t="shared" si="9"/>
        <v>0.45104723359879184</v>
      </c>
      <c r="R88" s="48">
        <f t="shared" si="9"/>
        <v>0.35709147812979586</v>
      </c>
      <c r="S88" s="48">
        <f t="shared" si="9"/>
        <v>0.50277390885632645</v>
      </c>
      <c r="T88" s="48">
        <f t="shared" si="9"/>
        <v>0.41169833994196736</v>
      </c>
      <c r="U88" s="48">
        <f t="shared" si="9"/>
        <v>6.28858292677551E-2</v>
      </c>
      <c r="V88" s="48">
        <f t="shared" si="9"/>
        <v>2.1783661968244893E-2</v>
      </c>
      <c r="W88" s="48">
        <f t="shared" si="9"/>
        <v>0.20651083503914286</v>
      </c>
      <c r="X88" s="48">
        <f t="shared" si="9"/>
        <v>1.2042479820979592E-2</v>
      </c>
      <c r="Y88" s="48">
        <f t="shared" si="9"/>
        <v>8.3974932162449001E-2</v>
      </c>
      <c r="Z88" s="48">
        <f t="shared" si="9"/>
        <v>0.41780564003379594</v>
      </c>
      <c r="AA88" s="48">
        <f t="shared" si="9"/>
        <v>1.2042479820979592E-2</v>
      </c>
      <c r="AB88" s="48">
        <f t="shared" si="9"/>
        <v>8.3974932162449001E-2</v>
      </c>
      <c r="AD88" s="25" t="s">
        <v>47</v>
      </c>
      <c r="AE88" s="48">
        <f t="shared" si="10"/>
        <v>0.53508984284476746</v>
      </c>
      <c r="AF88" s="48">
        <f t="shared" si="10"/>
        <v>0.43314820605795917</v>
      </c>
      <c r="AG88" s="48">
        <f t="shared" si="10"/>
        <v>0.59404111007102034</v>
      </c>
      <c r="AH88" s="48">
        <f t="shared" si="10"/>
        <v>0.49008931633954278</v>
      </c>
      <c r="AI88" s="48">
        <f t="shared" si="10"/>
        <v>0.12748312148897958</v>
      </c>
      <c r="AJ88" s="48">
        <f t="shared" si="10"/>
        <v>3.4701048702122449E-2</v>
      </c>
      <c r="AK88" s="228">
        <f t="shared" si="10"/>
        <v>0.28030635985547753</v>
      </c>
      <c r="AL88" s="48">
        <f t="shared" si="10"/>
        <v>1.6178695001632656E-2</v>
      </c>
      <c r="AM88" s="48">
        <f t="shared" si="10"/>
        <v>0.16436598711836736</v>
      </c>
      <c r="AN88" s="48">
        <f t="shared" si="10"/>
        <v>0.58989746792985309</v>
      </c>
      <c r="AO88" s="48">
        <f t="shared" si="10"/>
        <v>1.6178695001632656E-2</v>
      </c>
      <c r="AP88" s="48">
        <f t="shared" si="10"/>
        <v>0.16436598711836736</v>
      </c>
      <c r="AR88" s="25" t="s">
        <v>47</v>
      </c>
      <c r="AS88" s="48">
        <f t="shared" si="11"/>
        <v>0.56527741063918369</v>
      </c>
      <c r="AT88" s="48">
        <f t="shared" si="11"/>
        <v>0.45775170511265301</v>
      </c>
      <c r="AU88" s="48">
        <f t="shared" si="11"/>
        <v>0.62540863443771422</v>
      </c>
      <c r="AV88" s="48">
        <f t="shared" si="11"/>
        <v>0.51014615986130618</v>
      </c>
      <c r="AW88" s="48">
        <f t="shared" si="11"/>
        <v>0.1192366238530612</v>
      </c>
      <c r="AX88" s="48">
        <f t="shared" si="11"/>
        <v>3.1556358949387756E-2</v>
      </c>
      <c r="AY88" s="228">
        <f t="shared" si="11"/>
        <v>0.27110504241093875</v>
      </c>
      <c r="AZ88" s="48">
        <f t="shared" si="11"/>
        <v>1.5384587821877549E-2</v>
      </c>
      <c r="BA88" s="48">
        <f t="shared" si="11"/>
        <v>0.14282295552081634</v>
      </c>
      <c r="BB88" s="48">
        <f t="shared" si="11"/>
        <v>0.57807134160806528</v>
      </c>
      <c r="BC88" s="48">
        <f t="shared" si="11"/>
        <v>1.5384587821877549E-2</v>
      </c>
      <c r="BD88" s="48">
        <f t="shared" si="11"/>
        <v>0.14282295552081634</v>
      </c>
    </row>
    <row r="89" spans="2:56" x14ac:dyDescent="0.25">
      <c r="B89" s="72" t="s">
        <v>48</v>
      </c>
      <c r="C89" s="224">
        <f t="shared" ref="C89:N89" si="17">IF(C18&gt;0,C71*C42/(C18),0)</f>
        <v>3.8221370438383674E-2</v>
      </c>
      <c r="D89" s="224">
        <f t="shared" si="17"/>
        <v>9.2312960627755097E-2</v>
      </c>
      <c r="E89" s="224">
        <f t="shared" si="17"/>
        <v>7.2122658977959192E-2</v>
      </c>
      <c r="F89" s="224">
        <f t="shared" si="17"/>
        <v>1.089649142380408E-2</v>
      </c>
      <c r="G89" s="224">
        <f t="shared" si="17"/>
        <v>0.1120754571155102</v>
      </c>
      <c r="H89" s="224">
        <f t="shared" si="17"/>
        <v>7.480632048236735E-2</v>
      </c>
      <c r="I89" s="229">
        <f t="shared" si="17"/>
        <v>1.4648494590040815E-3</v>
      </c>
      <c r="J89" s="224">
        <f t="shared" si="17"/>
        <v>6.8870579513551022E-2</v>
      </c>
      <c r="K89" s="224">
        <f t="shared" si="17"/>
        <v>0.14448576659763263</v>
      </c>
      <c r="L89" s="224">
        <f t="shared" si="17"/>
        <v>3.1824590923265308E-4</v>
      </c>
      <c r="M89" s="224">
        <f t="shared" si="17"/>
        <v>6.8870579513551022E-2</v>
      </c>
      <c r="N89" s="224">
        <f t="shared" si="17"/>
        <v>0.14448576659763263</v>
      </c>
      <c r="P89" s="72" t="s">
        <v>48</v>
      </c>
      <c r="Q89" s="224">
        <f t="shared" si="9"/>
        <v>4.4671922347036735E-2</v>
      </c>
      <c r="R89" s="224">
        <f t="shared" si="9"/>
        <v>0.10468434264244895</v>
      </c>
      <c r="S89" s="224">
        <f t="shared" si="9"/>
        <v>8.2852846577959188E-2</v>
      </c>
      <c r="T89" s="224">
        <f t="shared" si="9"/>
        <v>1.0502822536171427E-2</v>
      </c>
      <c r="U89" s="224">
        <f t="shared" si="9"/>
        <v>0.17182338723673468</v>
      </c>
      <c r="V89" s="224">
        <f t="shared" si="9"/>
        <v>0.14117352878334696</v>
      </c>
      <c r="W89" s="224">
        <f t="shared" si="9"/>
        <v>1.4433430457959184E-3</v>
      </c>
      <c r="X89" s="224">
        <f t="shared" si="9"/>
        <v>0.11027971431893877</v>
      </c>
      <c r="Y89" s="224">
        <f t="shared" si="9"/>
        <v>0.24994416262693872</v>
      </c>
      <c r="Z89" s="224">
        <f t="shared" si="9"/>
        <v>3.16413475355102E-4</v>
      </c>
      <c r="AA89" s="224">
        <f t="shared" si="9"/>
        <v>0.11027971431893877</v>
      </c>
      <c r="AB89" s="224">
        <f t="shared" si="9"/>
        <v>0.24994416262693872</v>
      </c>
      <c r="AD89" s="72" t="s">
        <v>48</v>
      </c>
      <c r="AE89" s="224">
        <f t="shared" si="10"/>
        <v>6.4797636911722453E-2</v>
      </c>
      <c r="AF89" s="224">
        <f t="shared" si="10"/>
        <v>0.12446957039673467</v>
      </c>
      <c r="AG89" s="224">
        <f t="shared" si="10"/>
        <v>0.10366781130693879</v>
      </c>
      <c r="AH89" s="224">
        <f t="shared" si="10"/>
        <v>1.4972763300538771E-2</v>
      </c>
      <c r="AI89" s="224">
        <f t="shared" si="10"/>
        <v>0.2836578868693877</v>
      </c>
      <c r="AJ89" s="224">
        <f t="shared" si="10"/>
        <v>0.1829550838154286</v>
      </c>
      <c r="AK89" s="229">
        <f t="shared" si="10"/>
        <v>1.5071238599999998E-3</v>
      </c>
      <c r="AL89" s="224">
        <f t="shared" si="10"/>
        <v>0.13949295369877551</v>
      </c>
      <c r="AM89" s="224">
        <f t="shared" si="10"/>
        <v>0.39109745285959185</v>
      </c>
      <c r="AN89" s="224">
        <f t="shared" si="10"/>
        <v>8.2072229746122446E-4</v>
      </c>
      <c r="AO89" s="224">
        <f t="shared" si="10"/>
        <v>0.13949295369877551</v>
      </c>
      <c r="AP89" s="224">
        <f t="shared" si="10"/>
        <v>0.39109745285959185</v>
      </c>
      <c r="AR89" s="72" t="s">
        <v>48</v>
      </c>
      <c r="AS89" s="224">
        <f t="shared" si="11"/>
        <v>0.10319634575755102</v>
      </c>
      <c r="AT89" s="224">
        <f t="shared" si="11"/>
        <v>0.19625769661142853</v>
      </c>
      <c r="AU89" s="224">
        <f t="shared" si="11"/>
        <v>0.10185113333191838</v>
      </c>
      <c r="AV89" s="224">
        <f t="shared" si="11"/>
        <v>1.2010056342204079E-2</v>
      </c>
      <c r="AW89" s="224">
        <f t="shared" si="11"/>
        <v>0.40218546482040812</v>
      </c>
      <c r="AX89" s="224">
        <f t="shared" si="11"/>
        <v>0.26429626936653061</v>
      </c>
      <c r="AY89" s="229">
        <f t="shared" si="11"/>
        <v>3.3045779377959181E-3</v>
      </c>
      <c r="AZ89" s="224">
        <f t="shared" si="11"/>
        <v>0.23379189707657144</v>
      </c>
      <c r="BA89" s="224">
        <f t="shared" si="11"/>
        <v>0.51749501628897954</v>
      </c>
      <c r="BB89" s="224">
        <f t="shared" si="11"/>
        <v>6.8345210120000007E-4</v>
      </c>
      <c r="BC89" s="224">
        <f t="shared" si="11"/>
        <v>0.23379189707657144</v>
      </c>
      <c r="BD89" s="224">
        <f t="shared" si="11"/>
        <v>0.51749501628897954</v>
      </c>
    </row>
    <row r="90" spans="2:56" x14ac:dyDescent="0.25">
      <c r="B90" s="25" t="s">
        <v>523</v>
      </c>
      <c r="C90" s="48">
        <f t="shared" ref="C90:I94" si="18">IF(C19&gt;0,C72*C43/(C19),0)</f>
        <v>0.40383222438222038</v>
      </c>
      <c r="D90" s="48">
        <f t="shared" si="18"/>
        <v>0.32207842197142855</v>
      </c>
      <c r="E90" s="48">
        <f t="shared" si="18"/>
        <v>0.43068437301371421</v>
      </c>
      <c r="F90" s="48">
        <f t="shared" si="18"/>
        <v>0.37517094346582036</v>
      </c>
      <c r="G90" s="48">
        <f t="shared" si="18"/>
        <v>3.984943372277551E-2</v>
      </c>
      <c r="H90" s="48">
        <f t="shared" si="18"/>
        <v>4.1465585884081623E-3</v>
      </c>
      <c r="I90" s="228">
        <f t="shared" si="18"/>
        <v>0.17151125014715102</v>
      </c>
      <c r="J90" s="213"/>
      <c r="K90" s="214"/>
      <c r="L90" s="214"/>
      <c r="M90" s="214"/>
      <c r="N90" s="215"/>
      <c r="P90" s="25" t="s">
        <v>523</v>
      </c>
      <c r="Q90" s="48">
        <f t="shared" ref="Q90:W94" si="19">IF(C19&gt;0,C72*Q43/(C19),0)</f>
        <v>0.4010297805764082</v>
      </c>
      <c r="R90" s="48">
        <f t="shared" si="19"/>
        <v>0.30551103897061221</v>
      </c>
      <c r="S90" s="48">
        <f t="shared" si="19"/>
        <v>0.45202830234122449</v>
      </c>
      <c r="T90" s="48">
        <f t="shared" si="19"/>
        <v>0.36774523445844076</v>
      </c>
      <c r="U90" s="48">
        <f t="shared" si="19"/>
        <v>8.9032691969795907E-2</v>
      </c>
      <c r="V90" s="48">
        <f t="shared" si="19"/>
        <v>1.454187722653061E-2</v>
      </c>
      <c r="W90" s="48">
        <f t="shared" si="19"/>
        <v>0.16468530310840815</v>
      </c>
      <c r="X90" s="213"/>
      <c r="Y90" s="214"/>
      <c r="Z90" s="214"/>
      <c r="AA90" s="214"/>
      <c r="AB90" s="215"/>
      <c r="AD90" s="25" t="s">
        <v>523</v>
      </c>
      <c r="AE90" s="48">
        <f t="shared" ref="AE90:AK94" si="20">IF(C19&gt;0,C72*AE43/(C19),0)</f>
        <v>0.49350875638177139</v>
      </c>
      <c r="AF90" s="48">
        <f t="shared" si="20"/>
        <v>0.38686516665387749</v>
      </c>
      <c r="AG90" s="48">
        <f t="shared" si="20"/>
        <v>0.54933753780489791</v>
      </c>
      <c r="AH90" s="48">
        <f t="shared" si="20"/>
        <v>0.45654412937005706</v>
      </c>
      <c r="AI90" s="48">
        <f t="shared" si="20"/>
        <v>0.16370818878857141</v>
      </c>
      <c r="AJ90" s="48">
        <f t="shared" si="20"/>
        <v>2.3378006651999995E-2</v>
      </c>
      <c r="AK90" s="228">
        <f t="shared" si="20"/>
        <v>0.24384012123859591</v>
      </c>
      <c r="AL90" s="213"/>
      <c r="AM90" s="214"/>
      <c r="AN90" s="214"/>
      <c r="AO90" s="214"/>
      <c r="AP90" s="215"/>
      <c r="AR90" s="25" t="s">
        <v>523</v>
      </c>
      <c r="AS90" s="48">
        <f t="shared" ref="AS90:AY94" si="21">IF(C19&gt;0,C72*AS43/(C19),0)</f>
        <v>0.51600374828244888</v>
      </c>
      <c r="AT90" s="48">
        <f t="shared" si="21"/>
        <v>0.41112123018775509</v>
      </c>
      <c r="AU90" s="48">
        <f t="shared" si="21"/>
        <v>0.57907120052122452</v>
      </c>
      <c r="AV90" s="48">
        <f t="shared" si="21"/>
        <v>0.49025591092971416</v>
      </c>
      <c r="AW90" s="48">
        <f t="shared" si="21"/>
        <v>0.1578955873763265</v>
      </c>
      <c r="AX90" s="48">
        <f t="shared" si="21"/>
        <v>5.6029013138775507E-2</v>
      </c>
      <c r="AY90" s="228">
        <f t="shared" si="21"/>
        <v>0.23687750673804081</v>
      </c>
      <c r="AZ90" s="213"/>
      <c r="BA90" s="214"/>
      <c r="BB90" s="214"/>
      <c r="BC90" s="214"/>
      <c r="BD90" s="215"/>
    </row>
    <row r="91" spans="2:56" x14ac:dyDescent="0.25">
      <c r="B91" s="25" t="s">
        <v>524</v>
      </c>
      <c r="C91" s="48">
        <f t="shared" si="18"/>
        <v>0.46970214647462855</v>
      </c>
      <c r="D91" s="48">
        <f t="shared" si="18"/>
        <v>0.39060333176408163</v>
      </c>
      <c r="E91" s="48">
        <f t="shared" si="18"/>
        <v>0.51857803014285719</v>
      </c>
      <c r="F91" s="48">
        <f t="shared" si="18"/>
        <v>0.45048460946154278</v>
      </c>
      <c r="G91" s="48">
        <f t="shared" si="18"/>
        <v>3.9661141298204076E-2</v>
      </c>
      <c r="H91" s="48">
        <f t="shared" si="18"/>
        <v>3.2488446885714285E-3</v>
      </c>
      <c r="I91" s="228">
        <f t="shared" si="18"/>
        <v>0.24467170487140405</v>
      </c>
      <c r="J91" s="216"/>
      <c r="K91" s="217"/>
      <c r="L91" s="217"/>
      <c r="M91" s="217"/>
      <c r="N91" s="218"/>
      <c r="P91" s="25" t="s">
        <v>524</v>
      </c>
      <c r="Q91" s="48">
        <f t="shared" si="19"/>
        <v>0.45489802766715109</v>
      </c>
      <c r="R91" s="48">
        <f t="shared" si="19"/>
        <v>0.40447606774367351</v>
      </c>
      <c r="S91" s="48">
        <f t="shared" si="19"/>
        <v>0.49984183292326539</v>
      </c>
      <c r="T91" s="48">
        <f t="shared" si="19"/>
        <v>0.4413351020404408</v>
      </c>
      <c r="U91" s="48">
        <f t="shared" si="19"/>
        <v>4.6881594086530615E-2</v>
      </c>
      <c r="V91" s="48">
        <f t="shared" si="19"/>
        <v>4.2287088707510204E-2</v>
      </c>
      <c r="W91" s="48">
        <f t="shared" si="19"/>
        <v>0.29092165173118362</v>
      </c>
      <c r="X91" s="216"/>
      <c r="Y91" s="217"/>
      <c r="Z91" s="217"/>
      <c r="AA91" s="217"/>
      <c r="AB91" s="218"/>
      <c r="AD91" s="25" t="s">
        <v>524</v>
      </c>
      <c r="AE91" s="48">
        <f t="shared" si="20"/>
        <v>0.5825093319947674</v>
      </c>
      <c r="AF91" s="48">
        <f t="shared" si="20"/>
        <v>0.54246654681551032</v>
      </c>
      <c r="AG91" s="48">
        <f t="shared" si="20"/>
        <v>0.65067770376489809</v>
      </c>
      <c r="AH91" s="48">
        <f t="shared" si="20"/>
        <v>0.57916485545950203</v>
      </c>
      <c r="AI91" s="48">
        <f t="shared" si="20"/>
        <v>9.2106849676734687E-2</v>
      </c>
      <c r="AJ91" s="48">
        <f t="shared" si="20"/>
        <v>0.14074744398897962</v>
      </c>
      <c r="AK91" s="228">
        <f t="shared" si="20"/>
        <v>0.43334107684128975</v>
      </c>
      <c r="AL91" s="216"/>
      <c r="AM91" s="217"/>
      <c r="AN91" s="217"/>
      <c r="AO91" s="217"/>
      <c r="AP91" s="218"/>
      <c r="AR91" s="25" t="s">
        <v>524</v>
      </c>
      <c r="AS91" s="48">
        <f t="shared" si="21"/>
        <v>0.69025149097142857</v>
      </c>
      <c r="AT91" s="48">
        <f t="shared" si="21"/>
        <v>0.60499137146530613</v>
      </c>
      <c r="AU91" s="48">
        <f t="shared" si="21"/>
        <v>0.74824891063910215</v>
      </c>
      <c r="AV91" s="48">
        <f t="shared" si="21"/>
        <v>0.66864148921608157</v>
      </c>
      <c r="AW91" s="48">
        <f t="shared" si="21"/>
        <v>0.1054561456187755</v>
      </c>
      <c r="AX91" s="48">
        <f t="shared" si="21"/>
        <v>0.15158023274204083</v>
      </c>
      <c r="AY91" s="228">
        <f t="shared" si="21"/>
        <v>0.46763513561869385</v>
      </c>
      <c r="AZ91" s="216"/>
      <c r="BA91" s="217"/>
      <c r="BB91" s="217"/>
      <c r="BC91" s="217"/>
      <c r="BD91" s="218"/>
    </row>
    <row r="92" spans="2:56" x14ac:dyDescent="0.25">
      <c r="B92" s="25" t="s">
        <v>525</v>
      </c>
      <c r="C92" s="48">
        <f t="shared" si="18"/>
        <v>8.6110762571428578E-4</v>
      </c>
      <c r="D92" s="48">
        <f t="shared" si="18"/>
        <v>3.2458279875102039E-2</v>
      </c>
      <c r="E92" s="48">
        <f t="shared" si="18"/>
        <v>5.8677228405714286E-2</v>
      </c>
      <c r="F92" s="48">
        <f t="shared" si="18"/>
        <v>2.6836200096244898E-3</v>
      </c>
      <c r="G92" s="48">
        <f t="shared" si="18"/>
        <v>0.19856459153771425</v>
      </c>
      <c r="H92" s="48">
        <f t="shared" si="18"/>
        <v>0.14078054592261222</v>
      </c>
      <c r="I92" s="228">
        <f t="shared" si="18"/>
        <v>3.1551694572244904E-4</v>
      </c>
      <c r="J92" s="216"/>
      <c r="K92" s="217"/>
      <c r="L92" s="222" t="s">
        <v>69</v>
      </c>
      <c r="M92" s="217"/>
      <c r="N92" s="218"/>
      <c r="P92" s="25" t="s">
        <v>525</v>
      </c>
      <c r="Q92" s="48">
        <f t="shared" si="19"/>
        <v>9.6419611532244892E-4</v>
      </c>
      <c r="R92" s="48">
        <f t="shared" si="19"/>
        <v>5.1675846873469385E-2</v>
      </c>
      <c r="S92" s="48">
        <f t="shared" si="19"/>
        <v>6.5205084793469384E-2</v>
      </c>
      <c r="T92" s="48">
        <f t="shared" si="19"/>
        <v>2.0971075980081634E-3</v>
      </c>
      <c r="U92" s="48">
        <f t="shared" si="19"/>
        <v>0.23912380716489792</v>
      </c>
      <c r="V92" s="48">
        <f t="shared" si="19"/>
        <v>0.2518534769493061</v>
      </c>
      <c r="W92" s="48">
        <f t="shared" si="19"/>
        <v>3.1540336511020408E-4</v>
      </c>
      <c r="X92" s="216"/>
      <c r="Y92" s="217"/>
      <c r="Z92" s="222" t="s">
        <v>69</v>
      </c>
      <c r="AA92" s="217"/>
      <c r="AB92" s="218"/>
      <c r="AD92" s="25" t="s">
        <v>525</v>
      </c>
      <c r="AE92" s="48">
        <f t="shared" si="20"/>
        <v>9.9417988254693872E-4</v>
      </c>
      <c r="AF92" s="48">
        <f t="shared" si="20"/>
        <v>7.3532058079183671E-2</v>
      </c>
      <c r="AG92" s="48">
        <f t="shared" si="20"/>
        <v>6.9707723144489794E-2</v>
      </c>
      <c r="AH92" s="48">
        <f t="shared" si="20"/>
        <v>2.1439440021551021E-3</v>
      </c>
      <c r="AI92" s="48">
        <f t="shared" si="20"/>
        <v>0.38041091050285708</v>
      </c>
      <c r="AJ92" s="48">
        <f t="shared" si="20"/>
        <v>0.33111381419420405</v>
      </c>
      <c r="AK92" s="228">
        <f t="shared" si="20"/>
        <v>6.2105424453061235E-4</v>
      </c>
      <c r="AL92" s="216"/>
      <c r="AM92" s="217"/>
      <c r="AN92" s="222" t="s">
        <v>69</v>
      </c>
      <c r="AO92" s="217"/>
      <c r="AP92" s="218"/>
      <c r="AR92" s="25" t="s">
        <v>525</v>
      </c>
      <c r="AS92" s="48">
        <f t="shared" si="21"/>
        <v>7.9545470013877545E-2</v>
      </c>
      <c r="AT92" s="48">
        <f t="shared" si="21"/>
        <v>0.24052893563510203</v>
      </c>
      <c r="AU92" s="48">
        <f t="shared" si="21"/>
        <v>9.3890831579510212E-2</v>
      </c>
      <c r="AV92" s="48">
        <f t="shared" si="21"/>
        <v>3.705275193714286E-3</v>
      </c>
      <c r="AW92" s="48">
        <f t="shared" si="21"/>
        <v>0.66595835472571419</v>
      </c>
      <c r="AX92" s="48">
        <f t="shared" si="21"/>
        <v>0.54079939544489786</v>
      </c>
      <c r="AY92" s="228">
        <f t="shared" si="21"/>
        <v>9.5440031755918385E-3</v>
      </c>
      <c r="AZ92" s="216"/>
      <c r="BA92" s="217"/>
      <c r="BB92" s="222" t="s">
        <v>69</v>
      </c>
      <c r="BC92" s="217"/>
      <c r="BD92" s="218"/>
    </row>
    <row r="93" spans="2:56" x14ac:dyDescent="0.25">
      <c r="B93" s="25" t="s">
        <v>526</v>
      </c>
      <c r="C93" s="48">
        <f t="shared" si="18"/>
        <v>0.40383222438222038</v>
      </c>
      <c r="D93" s="48">
        <f t="shared" si="18"/>
        <v>0.32207842197142855</v>
      </c>
      <c r="E93" s="48">
        <f t="shared" si="18"/>
        <v>0.43068437301371421</v>
      </c>
      <c r="F93" s="48">
        <f t="shared" si="18"/>
        <v>0.37517094346582036</v>
      </c>
      <c r="G93" s="48">
        <f t="shared" si="18"/>
        <v>3.984943372277551E-2</v>
      </c>
      <c r="H93" s="48">
        <f t="shared" si="18"/>
        <v>4.1465585884081623E-3</v>
      </c>
      <c r="I93" s="228">
        <f t="shared" si="18"/>
        <v>0.17151125014715102</v>
      </c>
      <c r="J93" s="216"/>
      <c r="K93" s="217"/>
      <c r="L93" s="217"/>
      <c r="M93" s="217"/>
      <c r="N93" s="218"/>
      <c r="P93" s="25" t="s">
        <v>526</v>
      </c>
      <c r="Q93" s="48">
        <f t="shared" si="19"/>
        <v>0.4010297805764082</v>
      </c>
      <c r="R93" s="48">
        <f t="shared" si="19"/>
        <v>0.30551103897061221</v>
      </c>
      <c r="S93" s="48">
        <f t="shared" si="19"/>
        <v>0.45202830234122449</v>
      </c>
      <c r="T93" s="48">
        <f t="shared" si="19"/>
        <v>0.36774523445844076</v>
      </c>
      <c r="U93" s="48">
        <f t="shared" si="19"/>
        <v>8.9032691969795907E-2</v>
      </c>
      <c r="V93" s="48">
        <f t="shared" si="19"/>
        <v>1.454187722653061E-2</v>
      </c>
      <c r="W93" s="48">
        <f t="shared" si="19"/>
        <v>0.16468530310840815</v>
      </c>
      <c r="X93" s="216"/>
      <c r="Y93" s="217"/>
      <c r="Z93" s="217"/>
      <c r="AA93" s="217"/>
      <c r="AB93" s="218"/>
      <c r="AD93" s="25" t="s">
        <v>526</v>
      </c>
      <c r="AE93" s="48">
        <f t="shared" si="20"/>
        <v>0.49350875638177139</v>
      </c>
      <c r="AF93" s="48">
        <f t="shared" si="20"/>
        <v>0.38686516665387749</v>
      </c>
      <c r="AG93" s="48">
        <f t="shared" si="20"/>
        <v>0.54933753780489791</v>
      </c>
      <c r="AH93" s="48">
        <f t="shared" si="20"/>
        <v>0.45654412937005706</v>
      </c>
      <c r="AI93" s="48">
        <f t="shared" si="20"/>
        <v>0.16370818878857141</v>
      </c>
      <c r="AJ93" s="48">
        <f t="shared" si="20"/>
        <v>2.3378006651999995E-2</v>
      </c>
      <c r="AK93" s="228">
        <f t="shared" si="20"/>
        <v>0.24384012123859591</v>
      </c>
      <c r="AL93" s="216"/>
      <c r="AM93" s="217"/>
      <c r="AN93" s="217"/>
      <c r="AO93" s="217"/>
      <c r="AP93" s="218"/>
      <c r="AR93" s="25" t="s">
        <v>526</v>
      </c>
      <c r="AS93" s="48">
        <f t="shared" si="21"/>
        <v>0.51600374828244888</v>
      </c>
      <c r="AT93" s="48">
        <f t="shared" si="21"/>
        <v>0.41112123018775509</v>
      </c>
      <c r="AU93" s="48">
        <f t="shared" si="21"/>
        <v>0.57907120052122452</v>
      </c>
      <c r="AV93" s="48">
        <f t="shared" si="21"/>
        <v>0.49025591092971416</v>
      </c>
      <c r="AW93" s="48">
        <f t="shared" si="21"/>
        <v>0.1578955873763265</v>
      </c>
      <c r="AX93" s="48">
        <f t="shared" si="21"/>
        <v>5.6029013138775507E-2</v>
      </c>
      <c r="AY93" s="228">
        <f t="shared" si="21"/>
        <v>0.23687750673804081</v>
      </c>
      <c r="AZ93" s="216"/>
      <c r="BA93" s="217"/>
      <c r="BB93" s="217"/>
      <c r="BC93" s="217"/>
      <c r="BD93" s="218"/>
    </row>
    <row r="94" spans="2:56" x14ac:dyDescent="0.25">
      <c r="B94" s="25" t="s">
        <v>527</v>
      </c>
      <c r="C94" s="48">
        <f t="shared" si="18"/>
        <v>0.46970214647462855</v>
      </c>
      <c r="D94" s="48">
        <f t="shared" si="18"/>
        <v>0.39060333176408163</v>
      </c>
      <c r="E94" s="48">
        <f t="shared" si="18"/>
        <v>0.51857803014285719</v>
      </c>
      <c r="F94" s="48">
        <f t="shared" si="18"/>
        <v>0.45048460946154278</v>
      </c>
      <c r="G94" s="48">
        <f t="shared" si="18"/>
        <v>3.9661141298204076E-2</v>
      </c>
      <c r="H94" s="48">
        <f t="shared" si="18"/>
        <v>3.2488446885714285E-3</v>
      </c>
      <c r="I94" s="228">
        <f t="shared" si="18"/>
        <v>0.24467170487140405</v>
      </c>
      <c r="J94" s="219"/>
      <c r="K94" s="220"/>
      <c r="L94" s="220"/>
      <c r="M94" s="220"/>
      <c r="N94" s="221"/>
      <c r="P94" s="25" t="s">
        <v>527</v>
      </c>
      <c r="Q94" s="48">
        <f t="shared" si="19"/>
        <v>0.45489802766715109</v>
      </c>
      <c r="R94" s="48">
        <f t="shared" si="19"/>
        <v>0.40447606774367351</v>
      </c>
      <c r="S94" s="48">
        <f t="shared" si="19"/>
        <v>0.49984183292326539</v>
      </c>
      <c r="T94" s="48">
        <f t="shared" si="19"/>
        <v>0.4413351020404408</v>
      </c>
      <c r="U94" s="48">
        <f t="shared" si="19"/>
        <v>4.6881594086530615E-2</v>
      </c>
      <c r="V94" s="48">
        <f t="shared" si="19"/>
        <v>4.2287088707510204E-2</v>
      </c>
      <c r="W94" s="48">
        <f t="shared" si="19"/>
        <v>0.29092165173118362</v>
      </c>
      <c r="X94" s="219"/>
      <c r="Y94" s="220"/>
      <c r="Z94" s="220"/>
      <c r="AA94" s="220"/>
      <c r="AB94" s="221"/>
      <c r="AD94" s="25" t="s">
        <v>527</v>
      </c>
      <c r="AE94" s="48">
        <f t="shared" si="20"/>
        <v>0.5825093319947674</v>
      </c>
      <c r="AF94" s="48">
        <f t="shared" si="20"/>
        <v>0.54246654681551032</v>
      </c>
      <c r="AG94" s="48">
        <f t="shared" si="20"/>
        <v>0.65067770376489809</v>
      </c>
      <c r="AH94" s="48">
        <f t="shared" si="20"/>
        <v>0.57916485545950203</v>
      </c>
      <c r="AI94" s="48">
        <f t="shared" si="20"/>
        <v>9.2106849676734687E-2</v>
      </c>
      <c r="AJ94" s="48">
        <f t="shared" si="20"/>
        <v>0.14074744398897962</v>
      </c>
      <c r="AK94" s="228">
        <f t="shared" si="20"/>
        <v>0.43334107684128975</v>
      </c>
      <c r="AL94" s="219"/>
      <c r="AM94" s="220"/>
      <c r="AN94" s="220"/>
      <c r="AO94" s="220"/>
      <c r="AP94" s="221"/>
      <c r="AR94" s="25" t="s">
        <v>527</v>
      </c>
      <c r="AS94" s="48">
        <f t="shared" si="21"/>
        <v>0.69025149097142857</v>
      </c>
      <c r="AT94" s="48">
        <f t="shared" si="21"/>
        <v>0.60499137146530613</v>
      </c>
      <c r="AU94" s="48">
        <f t="shared" si="21"/>
        <v>0.74824891063910215</v>
      </c>
      <c r="AV94" s="48">
        <f t="shared" si="21"/>
        <v>0.66864148921608157</v>
      </c>
      <c r="AW94" s="48">
        <f t="shared" si="21"/>
        <v>0.1054561456187755</v>
      </c>
      <c r="AX94" s="48">
        <f t="shared" si="21"/>
        <v>0.15158023274204083</v>
      </c>
      <c r="AY94" s="228">
        <f t="shared" si="21"/>
        <v>0.46763513561869385</v>
      </c>
      <c r="AZ94" s="219"/>
      <c r="BA94" s="220"/>
      <c r="BB94" s="220"/>
      <c r="BC94" s="220"/>
      <c r="BD94" s="221"/>
    </row>
    <row r="97" spans="2:56" ht="18.75" x14ac:dyDescent="0.3">
      <c r="B97" s="29" t="s">
        <v>627</v>
      </c>
      <c r="P97" s="29" t="s">
        <v>628</v>
      </c>
      <c r="AD97" s="29" t="s">
        <v>629</v>
      </c>
      <c r="AR97" s="29" t="s">
        <v>630</v>
      </c>
    </row>
    <row r="99" spans="2:56" x14ac:dyDescent="0.25">
      <c r="C99" s="400" t="s">
        <v>335</v>
      </c>
      <c r="D99" s="400"/>
      <c r="E99" s="400"/>
      <c r="F99" s="400"/>
      <c r="G99" s="400"/>
      <c r="H99" s="400"/>
      <c r="I99" s="400"/>
      <c r="J99" s="400"/>
      <c r="K99" s="400"/>
      <c r="L99" s="400"/>
      <c r="M99" s="400"/>
      <c r="N99" s="400"/>
      <c r="Q99" s="400" t="s">
        <v>335</v>
      </c>
      <c r="R99" s="400"/>
      <c r="S99" s="400"/>
      <c r="T99" s="400"/>
      <c r="U99" s="400"/>
      <c r="V99" s="400"/>
      <c r="W99" s="400"/>
      <c r="X99" s="400"/>
      <c r="Y99" s="400"/>
      <c r="Z99" s="400"/>
      <c r="AA99" s="400"/>
      <c r="AB99" s="400"/>
      <c r="AE99" s="400" t="s">
        <v>335</v>
      </c>
      <c r="AF99" s="400"/>
      <c r="AG99" s="400"/>
      <c r="AH99" s="400"/>
      <c r="AI99" s="400"/>
      <c r="AJ99" s="400"/>
      <c r="AK99" s="400"/>
      <c r="AL99" s="400"/>
      <c r="AM99" s="400"/>
      <c r="AN99" s="400"/>
      <c r="AO99" s="400"/>
      <c r="AP99" s="400"/>
      <c r="AS99" s="400" t="s">
        <v>335</v>
      </c>
      <c r="AT99" s="400"/>
      <c r="AU99" s="400"/>
      <c r="AV99" s="400"/>
      <c r="AW99" s="400"/>
      <c r="AX99" s="400"/>
      <c r="AY99" s="400"/>
      <c r="AZ99" s="400"/>
      <c r="BA99" s="400"/>
      <c r="BB99" s="400"/>
      <c r="BC99" s="400"/>
      <c r="BD99" s="400"/>
    </row>
    <row r="100" spans="2:56" x14ac:dyDescent="0.25">
      <c r="B100" s="71" t="s">
        <v>334</v>
      </c>
      <c r="C100" s="72" t="s">
        <v>42</v>
      </c>
      <c r="D100" s="73" t="s">
        <v>51</v>
      </c>
      <c r="E100" s="73" t="s">
        <v>52</v>
      </c>
      <c r="F100" s="73" t="s">
        <v>53</v>
      </c>
      <c r="G100" s="73" t="s">
        <v>54</v>
      </c>
      <c r="H100" s="73" t="s">
        <v>55</v>
      </c>
      <c r="I100" s="75" t="s">
        <v>56</v>
      </c>
      <c r="J100" s="73" t="s">
        <v>60</v>
      </c>
      <c r="K100" s="73" t="s">
        <v>59</v>
      </c>
      <c r="L100" s="73" t="s">
        <v>61</v>
      </c>
      <c r="M100" s="73" t="s">
        <v>58</v>
      </c>
      <c r="N100" s="73" t="s">
        <v>57</v>
      </c>
      <c r="P100" s="71" t="s">
        <v>334</v>
      </c>
      <c r="Q100" s="72" t="s">
        <v>42</v>
      </c>
      <c r="R100" s="73" t="s">
        <v>51</v>
      </c>
      <c r="S100" s="73" t="s">
        <v>52</v>
      </c>
      <c r="T100" s="73" t="s">
        <v>53</v>
      </c>
      <c r="U100" s="73" t="s">
        <v>54</v>
      </c>
      <c r="V100" s="73" t="s">
        <v>55</v>
      </c>
      <c r="W100" s="73" t="s">
        <v>56</v>
      </c>
      <c r="X100" s="73" t="s">
        <v>60</v>
      </c>
      <c r="Y100" s="73" t="s">
        <v>59</v>
      </c>
      <c r="Z100" s="73" t="s">
        <v>61</v>
      </c>
      <c r="AA100" s="73" t="s">
        <v>58</v>
      </c>
      <c r="AB100" s="73" t="s">
        <v>57</v>
      </c>
      <c r="AD100" s="71" t="s">
        <v>334</v>
      </c>
      <c r="AE100" s="72" t="s">
        <v>42</v>
      </c>
      <c r="AF100" s="73" t="s">
        <v>51</v>
      </c>
      <c r="AG100" s="73" t="s">
        <v>52</v>
      </c>
      <c r="AH100" s="73" t="s">
        <v>53</v>
      </c>
      <c r="AI100" s="73" t="s">
        <v>54</v>
      </c>
      <c r="AJ100" s="73" t="s">
        <v>55</v>
      </c>
      <c r="AK100" s="75" t="s">
        <v>56</v>
      </c>
      <c r="AL100" s="73" t="s">
        <v>60</v>
      </c>
      <c r="AM100" s="73" t="s">
        <v>59</v>
      </c>
      <c r="AN100" s="73" t="s">
        <v>61</v>
      </c>
      <c r="AO100" s="73" t="s">
        <v>58</v>
      </c>
      <c r="AP100" s="73" t="s">
        <v>57</v>
      </c>
      <c r="AR100" s="71" t="s">
        <v>334</v>
      </c>
      <c r="AS100" s="72" t="s">
        <v>42</v>
      </c>
      <c r="AT100" s="73" t="s">
        <v>51</v>
      </c>
      <c r="AU100" s="73" t="s">
        <v>52</v>
      </c>
      <c r="AV100" s="73" t="s">
        <v>53</v>
      </c>
      <c r="AW100" s="73" t="s">
        <v>54</v>
      </c>
      <c r="AX100" s="73" t="s">
        <v>55</v>
      </c>
      <c r="AY100" s="75" t="s">
        <v>56</v>
      </c>
      <c r="AZ100" s="73" t="s">
        <v>60</v>
      </c>
      <c r="BA100" s="73" t="s">
        <v>59</v>
      </c>
      <c r="BB100" s="73" t="s">
        <v>61</v>
      </c>
      <c r="BC100" s="73" t="s">
        <v>58</v>
      </c>
      <c r="BD100" s="73" t="s">
        <v>57</v>
      </c>
    </row>
    <row r="101" spans="2:56" x14ac:dyDescent="0.25">
      <c r="B101" s="25" t="s">
        <v>42</v>
      </c>
      <c r="C101" s="49">
        <f>1+C83</f>
        <v>1.0021549764656246</v>
      </c>
      <c r="D101" s="49">
        <f t="shared" ref="D101:N101" si="22">1+D83</f>
        <v>1.0372059191787755</v>
      </c>
      <c r="E101" s="49">
        <f t="shared" si="22"/>
        <v>1.0204823613217142</v>
      </c>
      <c r="F101" s="49">
        <f t="shared" si="22"/>
        <v>1.0056220937114122</v>
      </c>
      <c r="G101" s="49">
        <f t="shared" si="22"/>
        <v>1.1900776149719183</v>
      </c>
      <c r="H101" s="49">
        <f t="shared" si="22"/>
        <v>1.1530965854053878</v>
      </c>
      <c r="I101" s="230">
        <f t="shared" si="22"/>
        <v>1.0119703491659264</v>
      </c>
      <c r="J101" s="49">
        <f t="shared" si="22"/>
        <v>1.1571552174558368</v>
      </c>
      <c r="K101" s="49">
        <f t="shared" si="22"/>
        <v>1.2560288062639999</v>
      </c>
      <c r="L101" s="49">
        <f t="shared" si="22"/>
        <v>1.0004799217016898</v>
      </c>
      <c r="M101" s="49">
        <f t="shared" si="22"/>
        <v>1.1571552174558368</v>
      </c>
      <c r="N101" s="49">
        <f t="shared" si="22"/>
        <v>1.2560288062639999</v>
      </c>
      <c r="P101" s="25" t="s">
        <v>42</v>
      </c>
      <c r="Q101" s="49">
        <f>1+Q83</f>
        <v>1.0068281810936652</v>
      </c>
      <c r="R101" s="49">
        <f t="shared" ref="R101:AB101" si="23">1+R83</f>
        <v>1.0818978910783674</v>
      </c>
      <c r="S101" s="49">
        <f t="shared" si="23"/>
        <v>1.0237013661118368</v>
      </c>
      <c r="T101" s="49">
        <f t="shared" si="23"/>
        <v>1.0096407369056652</v>
      </c>
      <c r="U101" s="49">
        <f t="shared" si="23"/>
        <v>1.2428186299134694</v>
      </c>
      <c r="V101" s="49">
        <f t="shared" si="23"/>
        <v>1.2862117666230204</v>
      </c>
      <c r="W101" s="49">
        <f t="shared" si="23"/>
        <v>1.0179600145748571</v>
      </c>
      <c r="X101" s="49">
        <f t="shared" si="23"/>
        <v>1.2643048348591019</v>
      </c>
      <c r="Y101" s="49">
        <f t="shared" si="23"/>
        <v>1.3293845932906123</v>
      </c>
      <c r="Z101" s="49">
        <f t="shared" si="23"/>
        <v>1.0005317786717796</v>
      </c>
      <c r="AA101" s="49">
        <f t="shared" si="23"/>
        <v>1.2643048348591019</v>
      </c>
      <c r="AB101" s="49">
        <f t="shared" si="23"/>
        <v>1.3293845932906123</v>
      </c>
      <c r="AD101" s="25" t="s">
        <v>42</v>
      </c>
      <c r="AE101" s="49">
        <f>1+AE83</f>
        <v>1.0094815265696979</v>
      </c>
      <c r="AF101" s="49">
        <f t="shared" ref="AF101:AP101" si="24">1+AF83</f>
        <v>1.1034235978465305</v>
      </c>
      <c r="AG101" s="49">
        <f t="shared" si="24"/>
        <v>1.0377705511183672</v>
      </c>
      <c r="AH101" s="49">
        <f t="shared" si="24"/>
        <v>1.0124818674795346</v>
      </c>
      <c r="AI101" s="49">
        <f t="shared" si="24"/>
        <v>1.366632310134694</v>
      </c>
      <c r="AJ101" s="49">
        <f t="shared" si="24"/>
        <v>1.3701744290505307</v>
      </c>
      <c r="AK101" s="230">
        <f t="shared" si="24"/>
        <v>1.0226332606976816</v>
      </c>
      <c r="AL101" s="49">
        <f t="shared" si="24"/>
        <v>1.3363689528751022</v>
      </c>
      <c r="AM101" s="49">
        <f t="shared" si="24"/>
        <v>1.4719150257306122</v>
      </c>
      <c r="AN101" s="49">
        <f t="shared" si="24"/>
        <v>1.0007975497323918</v>
      </c>
      <c r="AO101" s="49">
        <f t="shared" si="24"/>
        <v>1.3363689528751022</v>
      </c>
      <c r="AP101" s="49">
        <f t="shared" si="24"/>
        <v>1.4719150257306122</v>
      </c>
      <c r="AR101" s="25" t="s">
        <v>42</v>
      </c>
      <c r="AS101" s="49">
        <f t="shared" ref="AS101:AT105" si="25">1+AS83</f>
        <v>1.0187941687640816</v>
      </c>
      <c r="AT101" s="49">
        <f t="shared" si="25"/>
        <v>1.1560079078889796</v>
      </c>
      <c r="AU101" s="49">
        <f t="shared" ref="AU101:BD101" si="26">1+AU83</f>
        <v>1.0345663966146939</v>
      </c>
      <c r="AV101" s="49">
        <f t="shared" si="26"/>
        <v>1.0400202498771429</v>
      </c>
      <c r="AW101" s="49">
        <f t="shared" si="26"/>
        <v>1.5147081115224488</v>
      </c>
      <c r="AX101" s="49">
        <f t="shared" si="26"/>
        <v>1.3883617350889796</v>
      </c>
      <c r="AY101" s="230">
        <f t="shared" si="26"/>
        <v>1.0470283584104489</v>
      </c>
      <c r="AZ101" s="49">
        <f t="shared" si="26"/>
        <v>1.3495895968148572</v>
      </c>
      <c r="BA101" s="49">
        <f t="shared" si="26"/>
        <v>1.63400270692</v>
      </c>
      <c r="BB101" s="49">
        <f t="shared" si="26"/>
        <v>1.0405103620313632</v>
      </c>
      <c r="BC101" s="49">
        <f t="shared" si="26"/>
        <v>1.3495895968148572</v>
      </c>
      <c r="BD101" s="49">
        <f t="shared" si="26"/>
        <v>1.63400270692</v>
      </c>
    </row>
    <row r="102" spans="2:56" x14ac:dyDescent="0.25">
      <c r="B102" s="25" t="s">
        <v>43</v>
      </c>
      <c r="C102" s="49">
        <f t="shared" ref="C102:N102" si="27">1+C84</f>
        <v>1.0798382965820899</v>
      </c>
      <c r="D102" s="49">
        <f t="shared" si="27"/>
        <v>1.0655707235004082</v>
      </c>
      <c r="E102" s="49">
        <f t="shared" si="27"/>
        <v>1.1095255844858776</v>
      </c>
      <c r="F102" s="49">
        <f t="shared" si="27"/>
        <v>1.0645357042700407</v>
      </c>
      <c r="G102" s="49">
        <f t="shared" si="27"/>
        <v>1.1529707441446531</v>
      </c>
      <c r="H102" s="49">
        <f t="shared" si="27"/>
        <v>1.1306689122792652</v>
      </c>
      <c r="I102" s="230">
        <f t="shared" si="27"/>
        <v>1.038730863685396</v>
      </c>
      <c r="J102" s="49">
        <f t="shared" si="27"/>
        <v>1.1306127610533878</v>
      </c>
      <c r="K102" s="49">
        <f t="shared" si="27"/>
        <v>1.2071032699982041</v>
      </c>
      <c r="L102" s="49">
        <f t="shared" si="27"/>
        <v>1.050998930957902</v>
      </c>
      <c r="M102" s="49">
        <f t="shared" si="27"/>
        <v>1.1306127610533878</v>
      </c>
      <c r="N102" s="49">
        <f t="shared" si="27"/>
        <v>1.2071032699982041</v>
      </c>
      <c r="P102" s="25" t="s">
        <v>43</v>
      </c>
      <c r="Q102" s="49">
        <f t="shared" ref="Q102:AB102" si="28">1+Q84</f>
        <v>1.0852223955987754</v>
      </c>
      <c r="R102" s="49">
        <f t="shared" si="28"/>
        <v>1.070112918192653</v>
      </c>
      <c r="S102" s="49">
        <f t="shared" si="28"/>
        <v>1.1262445779167347</v>
      </c>
      <c r="T102" s="49">
        <f t="shared" si="28"/>
        <v>1.0676798273312409</v>
      </c>
      <c r="U102" s="49">
        <f t="shared" si="28"/>
        <v>1.1939235090212246</v>
      </c>
      <c r="V102" s="49">
        <f t="shared" si="28"/>
        <v>1.1756615123721632</v>
      </c>
      <c r="W102" s="49">
        <f t="shared" si="28"/>
        <v>1.0399179940091428</v>
      </c>
      <c r="X102" s="49">
        <f t="shared" si="28"/>
        <v>1.1527685797413061</v>
      </c>
      <c r="Y102" s="49">
        <f t="shared" si="28"/>
        <v>1.2936205421240816</v>
      </c>
      <c r="Z102" s="49">
        <f t="shared" si="28"/>
        <v>1.049144295553796</v>
      </c>
      <c r="AA102" s="49">
        <f t="shared" si="28"/>
        <v>1.1527685797413061</v>
      </c>
      <c r="AB102" s="49">
        <f t="shared" si="28"/>
        <v>1.2936205421240816</v>
      </c>
      <c r="AD102" s="25" t="s">
        <v>43</v>
      </c>
      <c r="AE102" s="49">
        <f t="shared" ref="AE102:AP102" si="29">1+AE84</f>
        <v>1.0909572164019918</v>
      </c>
      <c r="AF102" s="49">
        <f t="shared" si="29"/>
        <v>1.0775061074048979</v>
      </c>
      <c r="AG102" s="49">
        <f t="shared" si="29"/>
        <v>1.1412493945746938</v>
      </c>
      <c r="AH102" s="49">
        <f t="shared" si="29"/>
        <v>1.071382591939102</v>
      </c>
      <c r="AI102" s="49">
        <f t="shared" si="29"/>
        <v>1.271508668532245</v>
      </c>
      <c r="AJ102" s="49">
        <f t="shared" si="29"/>
        <v>1.2420888881094694</v>
      </c>
      <c r="AK102" s="230">
        <f t="shared" si="29"/>
        <v>1.0467209838316571</v>
      </c>
      <c r="AL102" s="49">
        <f t="shared" si="29"/>
        <v>1.2082912444530614</v>
      </c>
      <c r="AM102" s="49">
        <f t="shared" si="29"/>
        <v>1.3961359191069387</v>
      </c>
      <c r="AN102" s="49">
        <f t="shared" si="29"/>
        <v>1.0529661332294287</v>
      </c>
      <c r="AO102" s="49">
        <f t="shared" si="29"/>
        <v>1.2082912444530614</v>
      </c>
      <c r="AP102" s="49">
        <f t="shared" si="29"/>
        <v>1.3961359191069387</v>
      </c>
      <c r="AR102" s="25" t="s">
        <v>43</v>
      </c>
      <c r="AS102" s="49">
        <f t="shared" si="25"/>
        <v>1.1031487630530612</v>
      </c>
      <c r="AT102" s="49">
        <f t="shared" si="25"/>
        <v>1.0936291630506123</v>
      </c>
      <c r="AU102" s="49">
        <f t="shared" ref="AU102:BD102" si="30">1+AU84</f>
        <v>1.1519769925367347</v>
      </c>
      <c r="AV102" s="49">
        <f t="shared" si="30"/>
        <v>1.0838323415474285</v>
      </c>
      <c r="AW102" s="49">
        <f t="shared" si="30"/>
        <v>1.2974098942302041</v>
      </c>
      <c r="AX102" s="49">
        <f t="shared" si="30"/>
        <v>1.2565448014710205</v>
      </c>
      <c r="AY102" s="230">
        <f t="shared" si="30"/>
        <v>1.0514008969849795</v>
      </c>
      <c r="AZ102" s="49">
        <f t="shared" si="30"/>
        <v>1.225659713026449</v>
      </c>
      <c r="BA102" s="49">
        <f t="shared" si="30"/>
        <v>1.4209253874840817</v>
      </c>
      <c r="BB102" s="49">
        <f t="shared" si="30"/>
        <v>1.0662590489670776</v>
      </c>
      <c r="BC102" s="49">
        <f t="shared" si="30"/>
        <v>1.225659713026449</v>
      </c>
      <c r="BD102" s="49">
        <f t="shared" si="30"/>
        <v>1.4209253874840817</v>
      </c>
    </row>
    <row r="103" spans="2:56" x14ac:dyDescent="0.25">
      <c r="B103" s="25" t="s">
        <v>44</v>
      </c>
      <c r="C103" s="49">
        <f t="shared" ref="C103:N103" si="31">1+C85</f>
        <v>1.0797907989873388</v>
      </c>
      <c r="D103" s="49">
        <f t="shared" si="31"/>
        <v>1.1571011894302041</v>
      </c>
      <c r="E103" s="49">
        <f t="shared" si="31"/>
        <v>1.0253476035057143</v>
      </c>
      <c r="F103" s="49">
        <f t="shared" si="31"/>
        <v>1.0933362198729715</v>
      </c>
      <c r="G103" s="49">
        <f t="shared" si="31"/>
        <v>1.3514217732430205</v>
      </c>
      <c r="H103" s="49">
        <f t="shared" si="31"/>
        <v>1.2770496002640817</v>
      </c>
      <c r="I103" s="230">
        <f t="shared" si="31"/>
        <v>1.0818238861917715</v>
      </c>
      <c r="J103" s="49">
        <f t="shared" si="31"/>
        <v>1.2821871936121632</v>
      </c>
      <c r="K103" s="49">
        <f>1+K85</f>
        <v>1.4201744833404082</v>
      </c>
      <c r="L103" s="49">
        <f t="shared" si="31"/>
        <v>1.0689394644890287</v>
      </c>
      <c r="M103" s="49">
        <f t="shared" si="31"/>
        <v>1.2821871936121632</v>
      </c>
      <c r="N103" s="49">
        <f t="shared" si="31"/>
        <v>1.4201744833404082</v>
      </c>
      <c r="P103" s="25" t="s">
        <v>44</v>
      </c>
      <c r="Q103" s="49">
        <f t="shared" ref="Q103:AB103" si="32">1+Q85</f>
        <v>1.1342540379638857</v>
      </c>
      <c r="R103" s="49">
        <f t="shared" si="32"/>
        <v>1.2995310045918367</v>
      </c>
      <c r="S103" s="49">
        <f t="shared" si="32"/>
        <v>1.030998481270204</v>
      </c>
      <c r="T103" s="49">
        <f t="shared" si="32"/>
        <v>1.1102879754154693</v>
      </c>
      <c r="U103" s="49">
        <f t="shared" si="32"/>
        <v>1.4752236743975511</v>
      </c>
      <c r="V103" s="49">
        <f t="shared" si="32"/>
        <v>1.5627478704535509</v>
      </c>
      <c r="W103" s="49">
        <f t="shared" si="32"/>
        <v>1.0963514904242448</v>
      </c>
      <c r="X103" s="49">
        <f t="shared" si="32"/>
        <v>1.539870857281306</v>
      </c>
      <c r="Y103" s="49">
        <f t="shared" si="32"/>
        <v>1.5504263669861225</v>
      </c>
      <c r="Z103" s="49">
        <f t="shared" si="32"/>
        <v>1.0748098775242612</v>
      </c>
      <c r="AA103" s="49">
        <f t="shared" si="32"/>
        <v>1.539870857281306</v>
      </c>
      <c r="AB103" s="49">
        <f t="shared" si="32"/>
        <v>1.5504263669861225</v>
      </c>
      <c r="AD103" s="25" t="s">
        <v>44</v>
      </c>
      <c r="AE103" s="49">
        <f t="shared" ref="AE103:AP103" si="33">1+AE85</f>
        <v>1.154374806774392</v>
      </c>
      <c r="AF103" s="49">
        <f t="shared" si="33"/>
        <v>1.3259844743706122</v>
      </c>
      <c r="AG103" s="49">
        <f t="shared" si="33"/>
        <v>1.0350811136612246</v>
      </c>
      <c r="AH103" s="49">
        <f t="shared" si="33"/>
        <v>1.1297622782124652</v>
      </c>
      <c r="AI103" s="49">
        <f t="shared" si="33"/>
        <v>1.6275655635812245</v>
      </c>
      <c r="AJ103" s="49">
        <f t="shared" si="33"/>
        <v>1.641966355514449</v>
      </c>
      <c r="AK103" s="230">
        <f t="shared" si="33"/>
        <v>1.1161086428684734</v>
      </c>
      <c r="AL103" s="49">
        <f t="shared" si="33"/>
        <v>1.606009689802449</v>
      </c>
      <c r="AM103" s="49">
        <f t="shared" si="33"/>
        <v>1.7256471774963265</v>
      </c>
      <c r="AN103" s="49">
        <f t="shared" si="33"/>
        <v>1.0942419422660572</v>
      </c>
      <c r="AO103" s="49">
        <f t="shared" si="33"/>
        <v>1.606009689802449</v>
      </c>
      <c r="AP103" s="49">
        <f t="shared" si="33"/>
        <v>1.7256471774963265</v>
      </c>
      <c r="AR103" s="25" t="s">
        <v>44</v>
      </c>
      <c r="AS103" s="49">
        <f t="shared" si="25"/>
        <v>1.1219820641240816</v>
      </c>
      <c r="AT103" s="49">
        <f t="shared" si="25"/>
        <v>1.3593893805004083</v>
      </c>
      <c r="AU103" s="49">
        <f t="shared" ref="AU103:BD103" si="34">1+AU85</f>
        <v>1.0130017150380408</v>
      </c>
      <c r="AV103" s="49">
        <f t="shared" si="34"/>
        <v>1.1146313782913468</v>
      </c>
      <c r="AW103" s="49">
        <f t="shared" si="34"/>
        <v>1.7658117050391837</v>
      </c>
      <c r="AX103" s="49">
        <f t="shared" si="34"/>
        <v>1.6103179387216326</v>
      </c>
      <c r="AY103" s="230">
        <f t="shared" si="34"/>
        <v>1.1250908048558368</v>
      </c>
      <c r="AZ103" s="49">
        <f t="shared" si="34"/>
        <v>1.577311503667755</v>
      </c>
      <c r="BA103" s="49">
        <f t="shared" si="34"/>
        <v>1.8882538463632654</v>
      </c>
      <c r="BB103" s="49">
        <f t="shared" si="34"/>
        <v>1.127637098636098</v>
      </c>
      <c r="BC103" s="49">
        <f t="shared" si="34"/>
        <v>1.577311503667755</v>
      </c>
      <c r="BD103" s="49">
        <f t="shared" si="34"/>
        <v>1.8882538463632654</v>
      </c>
    </row>
    <row r="104" spans="2:56" x14ac:dyDescent="0.25">
      <c r="B104" s="25" t="s">
        <v>45</v>
      </c>
      <c r="C104" s="49">
        <f t="shared" ref="C104:N104" si="35">1+C86</f>
        <v>1.0284215646424735</v>
      </c>
      <c r="D104" s="49">
        <f t="shared" si="35"/>
        <v>1.0567263375216327</v>
      </c>
      <c r="E104" s="49">
        <f t="shared" si="35"/>
        <v>1.0830402606457958</v>
      </c>
      <c r="F104" s="49">
        <f t="shared" si="35"/>
        <v>1.0091512268801306</v>
      </c>
      <c r="G104" s="49">
        <f t="shared" si="35"/>
        <v>1.1976089848426121</v>
      </c>
      <c r="H104" s="49">
        <f t="shared" si="35"/>
        <v>1.1442504245402449</v>
      </c>
      <c r="I104" s="230">
        <f t="shared" si="35"/>
        <v>1.0084988834485389</v>
      </c>
      <c r="J104" s="49">
        <f t="shared" si="35"/>
        <v>1.1587865136987756</v>
      </c>
      <c r="K104" s="49">
        <f t="shared" si="35"/>
        <v>1.2620577378535509</v>
      </c>
      <c r="L104" s="49">
        <f t="shared" si="35"/>
        <v>1.0024327013556327</v>
      </c>
      <c r="M104" s="49">
        <f t="shared" si="35"/>
        <v>1.1587865136987756</v>
      </c>
      <c r="N104" s="49">
        <f t="shared" si="35"/>
        <v>1.2620577378535509</v>
      </c>
      <c r="P104" s="25" t="s">
        <v>45</v>
      </c>
      <c r="Q104" s="49">
        <f t="shared" ref="Q104:AB104" si="36">1+Q86</f>
        <v>1.0306247989357469</v>
      </c>
      <c r="R104" s="49">
        <f t="shared" si="36"/>
        <v>1.0786835597518367</v>
      </c>
      <c r="S104" s="49">
        <f t="shared" si="36"/>
        <v>1.0918121458481633</v>
      </c>
      <c r="T104" s="49">
        <f t="shared" si="36"/>
        <v>1.0093218809928244</v>
      </c>
      <c r="U104" s="49">
        <f t="shared" si="36"/>
        <v>1.2452286287763266</v>
      </c>
      <c r="V104" s="49">
        <f t="shared" si="36"/>
        <v>1.2469560233036734</v>
      </c>
      <c r="W104" s="49">
        <f t="shared" si="36"/>
        <v>1.0095615618296001</v>
      </c>
      <c r="X104" s="49">
        <f t="shared" si="36"/>
        <v>1.2315502277098775</v>
      </c>
      <c r="Y104" s="49">
        <f t="shared" si="36"/>
        <v>1.3363051962914285</v>
      </c>
      <c r="Z104" s="49">
        <f t="shared" si="36"/>
        <v>1.0028551433926041</v>
      </c>
      <c r="AA104" s="49">
        <f t="shared" si="36"/>
        <v>1.2315502277098775</v>
      </c>
      <c r="AB104" s="49">
        <f t="shared" si="36"/>
        <v>1.3363051962914285</v>
      </c>
      <c r="AD104" s="25" t="s">
        <v>45</v>
      </c>
      <c r="AE104" s="49">
        <f t="shared" ref="AE104:AP104" si="37">1+AE86</f>
        <v>1.0342953729808082</v>
      </c>
      <c r="AF104" s="49">
        <f t="shared" si="37"/>
        <v>1.0966678533183674</v>
      </c>
      <c r="AG104" s="49">
        <f t="shared" si="37"/>
        <v>1.1046900368171428</v>
      </c>
      <c r="AH104" s="49">
        <f t="shared" si="37"/>
        <v>1.009834841023004</v>
      </c>
      <c r="AI104" s="49">
        <f t="shared" si="37"/>
        <v>1.3651232629763266</v>
      </c>
      <c r="AJ104" s="49">
        <f t="shared" si="37"/>
        <v>1.3229067699197552</v>
      </c>
      <c r="AK104" s="230">
        <f t="shared" si="37"/>
        <v>1.0122022232286203</v>
      </c>
      <c r="AL104" s="49">
        <f t="shared" si="37"/>
        <v>1.2954234147542856</v>
      </c>
      <c r="AM104" s="49">
        <f t="shared" si="37"/>
        <v>1.4754794882244897</v>
      </c>
      <c r="AN104" s="49">
        <f t="shared" si="37"/>
        <v>1.0026292972801634</v>
      </c>
      <c r="AO104" s="49">
        <f t="shared" si="37"/>
        <v>1.2954234147542856</v>
      </c>
      <c r="AP104" s="49">
        <f t="shared" si="37"/>
        <v>1.4754794882244897</v>
      </c>
      <c r="AR104" s="25" t="s">
        <v>45</v>
      </c>
      <c r="AS104" s="49">
        <f t="shared" si="25"/>
        <v>1.0926078158971428</v>
      </c>
      <c r="AT104" s="49">
        <f t="shared" si="25"/>
        <v>1.2462800823640816</v>
      </c>
      <c r="AU104" s="49">
        <f t="shared" ref="AU104:BD104" si="38">1+AU86</f>
        <v>1.0883183183798368</v>
      </c>
      <c r="AV104" s="49">
        <f t="shared" si="38"/>
        <v>1.0081268200164082</v>
      </c>
      <c r="AW104" s="49">
        <f t="shared" si="38"/>
        <v>1.6156795190946938</v>
      </c>
      <c r="AX104" s="49">
        <f t="shared" si="38"/>
        <v>1.5052075627746939</v>
      </c>
      <c r="AY104" s="230">
        <f t="shared" si="38"/>
        <v>1.0126353585016326</v>
      </c>
      <c r="AZ104" s="49">
        <f t="shared" si="38"/>
        <v>1.4877168542031836</v>
      </c>
      <c r="BA104" s="49">
        <f t="shared" si="38"/>
        <v>1.7424878203061223</v>
      </c>
      <c r="BB104" s="49">
        <f t="shared" si="38"/>
        <v>1.0048735453810775</v>
      </c>
      <c r="BC104" s="49">
        <f t="shared" si="38"/>
        <v>1.4877168542031836</v>
      </c>
      <c r="BD104" s="49">
        <f t="shared" si="38"/>
        <v>1.7424878203061223</v>
      </c>
    </row>
    <row r="105" spans="2:56" x14ac:dyDescent="0.25">
      <c r="B105" s="25" t="s">
        <v>46</v>
      </c>
      <c r="C105" s="49">
        <f t="shared" ref="C105:N105" si="39">1+C87</f>
        <v>1.3644912968152163</v>
      </c>
      <c r="D105" s="49">
        <f t="shared" si="39"/>
        <v>1.3026002556163265</v>
      </c>
      <c r="E105" s="49">
        <f t="shared" si="39"/>
        <v>1.4126788474447347</v>
      </c>
      <c r="F105" s="49">
        <f t="shared" si="39"/>
        <v>1.3541478330270122</v>
      </c>
      <c r="G105" s="49">
        <f t="shared" si="39"/>
        <v>1.030542205234694</v>
      </c>
      <c r="H105" s="49">
        <f t="shared" si="39"/>
        <v>1.0163803081604081</v>
      </c>
      <c r="I105" s="230">
        <f t="shared" si="39"/>
        <v>1.1884598844944245</v>
      </c>
      <c r="J105" s="49">
        <f t="shared" si="39"/>
        <v>1.0399504447472654</v>
      </c>
      <c r="K105" s="49">
        <f t="shared" si="39"/>
        <v>1.0251614312525714</v>
      </c>
      <c r="L105" s="49">
        <f t="shared" si="39"/>
        <v>1.3774270457480735</v>
      </c>
      <c r="M105" s="49">
        <f t="shared" si="39"/>
        <v>1.0399504447472654</v>
      </c>
      <c r="N105" s="49">
        <f t="shared" si="39"/>
        <v>1.0251614312525714</v>
      </c>
      <c r="P105" s="25" t="s">
        <v>46</v>
      </c>
      <c r="Q105" s="49">
        <f t="shared" ref="Q105:AB105" si="40">1+Q87</f>
        <v>1.3477910962810205</v>
      </c>
      <c r="R105" s="49">
        <f t="shared" si="40"/>
        <v>1.303575140727347</v>
      </c>
      <c r="S105" s="49">
        <f t="shared" si="40"/>
        <v>1.3946640052367347</v>
      </c>
      <c r="T105" s="49">
        <f t="shared" si="40"/>
        <v>1.3393018211465142</v>
      </c>
      <c r="U105" s="49">
        <f t="shared" si="40"/>
        <v>1.0327151840759183</v>
      </c>
      <c r="V105" s="49">
        <f t="shared" si="40"/>
        <v>1.0364090981795919</v>
      </c>
      <c r="W105" s="49">
        <f t="shared" si="40"/>
        <v>1.2042088049976407</v>
      </c>
      <c r="X105" s="49">
        <f t="shared" si="40"/>
        <v>1.0592285729280817</v>
      </c>
      <c r="Y105" s="49">
        <f t="shared" si="40"/>
        <v>1.0476843515657144</v>
      </c>
      <c r="Z105" s="49">
        <f t="shared" si="40"/>
        <v>1.3470594457169713</v>
      </c>
      <c r="AA105" s="49">
        <f t="shared" si="40"/>
        <v>1.0592285729280817</v>
      </c>
      <c r="AB105" s="49">
        <f t="shared" si="40"/>
        <v>1.0476843515657144</v>
      </c>
      <c r="AD105" s="25" t="s">
        <v>46</v>
      </c>
      <c r="AE105" s="49">
        <f t="shared" ref="AE105:AP105" si="41">1+AE87</f>
        <v>1.4301290331797305</v>
      </c>
      <c r="AF105" s="49">
        <f t="shared" si="41"/>
        <v>1.3844062826955101</v>
      </c>
      <c r="AG105" s="49">
        <f t="shared" si="41"/>
        <v>1.4990005791885714</v>
      </c>
      <c r="AH105" s="49">
        <f t="shared" si="41"/>
        <v>1.4292919352839184</v>
      </c>
      <c r="AI105" s="49">
        <f t="shared" si="41"/>
        <v>1.0515840434506123</v>
      </c>
      <c r="AJ105" s="49">
        <f t="shared" si="41"/>
        <v>1.0898942963213878</v>
      </c>
      <c r="AK105" s="230">
        <f t="shared" si="41"/>
        <v>1.2908889041690612</v>
      </c>
      <c r="AL105" s="49">
        <f t="shared" si="41"/>
        <v>1.124741891272653</v>
      </c>
      <c r="AM105" s="49">
        <f t="shared" si="41"/>
        <v>1.0668610295436736</v>
      </c>
      <c r="AN105" s="49">
        <f t="shared" si="41"/>
        <v>1.4507001021711345</v>
      </c>
      <c r="AO105" s="49">
        <f t="shared" si="41"/>
        <v>1.124741891272653</v>
      </c>
      <c r="AP105" s="49">
        <f t="shared" si="41"/>
        <v>1.0668610295436736</v>
      </c>
      <c r="AR105" s="25" t="s">
        <v>46</v>
      </c>
      <c r="AS105" s="49">
        <f t="shared" si="25"/>
        <v>1.5123343070146937</v>
      </c>
      <c r="AT105" s="49">
        <f t="shared" si="25"/>
        <v>1.4239771622383672</v>
      </c>
      <c r="AU105" s="49">
        <f t="shared" ref="AU105:BD105" si="42">1+AU87</f>
        <v>1.5701485590150204</v>
      </c>
      <c r="AV105" s="49">
        <f t="shared" si="42"/>
        <v>1.4931772921123265</v>
      </c>
      <c r="AW105" s="49">
        <f t="shared" si="42"/>
        <v>1.0547693890048979</v>
      </c>
      <c r="AX105" s="49">
        <f t="shared" si="42"/>
        <v>1.0968237162065306</v>
      </c>
      <c r="AY105" s="230">
        <f t="shared" si="42"/>
        <v>1.3218850926253061</v>
      </c>
      <c r="AZ105" s="49">
        <f t="shared" si="42"/>
        <v>1.1185882027386123</v>
      </c>
      <c r="BA105" s="49">
        <f t="shared" si="42"/>
        <v>1.0685732497012246</v>
      </c>
      <c r="BB105" s="49">
        <f t="shared" si="42"/>
        <v>1.5242409535098775</v>
      </c>
      <c r="BC105" s="49">
        <f t="shared" si="42"/>
        <v>1.1185882027386123</v>
      </c>
      <c r="BD105" s="49">
        <f t="shared" si="42"/>
        <v>1.0685732497012246</v>
      </c>
    </row>
    <row r="106" spans="2:56" x14ac:dyDescent="0.25">
      <c r="B106" s="25" t="s">
        <v>47</v>
      </c>
      <c r="C106" s="49">
        <f t="shared" ref="C106:N106" si="43">1+C88</f>
        <v>1.4326171918594204</v>
      </c>
      <c r="D106" s="49">
        <f t="shared" si="43"/>
        <v>1.3505578972791836</v>
      </c>
      <c r="E106" s="49">
        <f>1+E88</f>
        <v>1.4584815710981225</v>
      </c>
      <c r="F106" s="49">
        <f t="shared" si="43"/>
        <v>1.3897996156645307</v>
      </c>
      <c r="G106" s="49">
        <f t="shared" si="43"/>
        <v>1.0254816498298776</v>
      </c>
      <c r="H106" s="49">
        <f t="shared" si="43"/>
        <v>1.0054813549146939</v>
      </c>
      <c r="I106" s="230">
        <f t="shared" si="43"/>
        <v>1.1870749137055183</v>
      </c>
      <c r="J106" s="49">
        <f t="shared" si="43"/>
        <v>1.0063133495578775</v>
      </c>
      <c r="K106" s="49">
        <f t="shared" si="43"/>
        <v>1.0046049184495511</v>
      </c>
      <c r="L106" s="49">
        <f t="shared" si="43"/>
        <v>1.405774210546302</v>
      </c>
      <c r="M106" s="49">
        <f t="shared" si="43"/>
        <v>1.0063133495578775</v>
      </c>
      <c r="N106" s="49">
        <f t="shared" si="43"/>
        <v>1.0046049184495511</v>
      </c>
      <c r="P106" s="25" t="s">
        <v>47</v>
      </c>
      <c r="Q106" s="49">
        <f t="shared" ref="Q106:AB106" si="44">1+Q88</f>
        <v>1.4510472335987918</v>
      </c>
      <c r="R106" s="49">
        <f t="shared" si="44"/>
        <v>1.3570914781297958</v>
      </c>
      <c r="S106" s="49">
        <f t="shared" si="44"/>
        <v>1.5027739088563266</v>
      </c>
      <c r="T106" s="49">
        <f t="shared" si="44"/>
        <v>1.4116983399419674</v>
      </c>
      <c r="U106" s="49">
        <f t="shared" si="44"/>
        <v>1.062885829267755</v>
      </c>
      <c r="V106" s="49">
        <f t="shared" si="44"/>
        <v>1.021783661968245</v>
      </c>
      <c r="W106" s="49">
        <f t="shared" si="44"/>
        <v>1.2065108350391429</v>
      </c>
      <c r="X106" s="49">
        <f t="shared" si="44"/>
        <v>1.0120424798209795</v>
      </c>
      <c r="Y106" s="49">
        <f t="shared" si="44"/>
        <v>1.083974932162449</v>
      </c>
      <c r="Z106" s="49">
        <f t="shared" si="44"/>
        <v>1.4178056400337959</v>
      </c>
      <c r="AA106" s="49">
        <f t="shared" si="44"/>
        <v>1.0120424798209795</v>
      </c>
      <c r="AB106" s="49">
        <f t="shared" si="44"/>
        <v>1.083974932162449</v>
      </c>
      <c r="AD106" s="25" t="s">
        <v>47</v>
      </c>
      <c r="AE106" s="49">
        <f t="shared" ref="AE106:AP106" si="45">1+AE88</f>
        <v>1.5350898428447675</v>
      </c>
      <c r="AF106" s="49">
        <f t="shared" si="45"/>
        <v>1.4331482060579592</v>
      </c>
      <c r="AG106" s="49">
        <f t="shared" si="45"/>
        <v>1.5940411100710203</v>
      </c>
      <c r="AH106" s="49">
        <f t="shared" si="45"/>
        <v>1.4900893163395428</v>
      </c>
      <c r="AI106" s="49">
        <f t="shared" si="45"/>
        <v>1.1274831214889796</v>
      </c>
      <c r="AJ106" s="49">
        <f t="shared" si="45"/>
        <v>1.0347010487021224</v>
      </c>
      <c r="AK106" s="230">
        <f t="shared" si="45"/>
        <v>1.2803063598554776</v>
      </c>
      <c r="AL106" s="49">
        <f t="shared" si="45"/>
        <v>1.0161786950016327</v>
      </c>
      <c r="AM106" s="49">
        <f t="shared" si="45"/>
        <v>1.1643659871183674</v>
      </c>
      <c r="AN106" s="49">
        <f t="shared" si="45"/>
        <v>1.5898974679298532</v>
      </c>
      <c r="AO106" s="49">
        <f t="shared" si="45"/>
        <v>1.0161786950016327</v>
      </c>
      <c r="AP106" s="49">
        <f t="shared" si="45"/>
        <v>1.1643659871183674</v>
      </c>
      <c r="AR106" s="25" t="s">
        <v>47</v>
      </c>
      <c r="AS106" s="49">
        <f>1+AS88</f>
        <v>1.5652774106391836</v>
      </c>
      <c r="AT106" s="49">
        <f t="shared" ref="AT106:BD106" si="46">1+AT88</f>
        <v>1.457751705112653</v>
      </c>
      <c r="AU106" s="49">
        <f t="shared" si="46"/>
        <v>1.6254086344377141</v>
      </c>
      <c r="AV106" s="49">
        <f t="shared" si="46"/>
        <v>1.5101461598613062</v>
      </c>
      <c r="AW106" s="49">
        <f t="shared" si="46"/>
        <v>1.1192366238530611</v>
      </c>
      <c r="AX106" s="49">
        <f t="shared" si="46"/>
        <v>1.0315563589493877</v>
      </c>
      <c r="AY106" s="230">
        <f t="shared" si="46"/>
        <v>1.2711050424109387</v>
      </c>
      <c r="AZ106" s="49">
        <f t="shared" si="46"/>
        <v>1.0153845878218775</v>
      </c>
      <c r="BA106" s="49">
        <f t="shared" si="46"/>
        <v>1.1428229555208163</v>
      </c>
      <c r="BB106" s="49">
        <f t="shared" si="46"/>
        <v>1.5780713416080654</v>
      </c>
      <c r="BC106" s="49">
        <f t="shared" si="46"/>
        <v>1.0153845878218775</v>
      </c>
      <c r="BD106" s="49">
        <f t="shared" si="46"/>
        <v>1.1428229555208163</v>
      </c>
    </row>
    <row r="107" spans="2:56" x14ac:dyDescent="0.25">
      <c r="B107" s="72" t="s">
        <v>48</v>
      </c>
      <c r="C107" s="225">
        <f t="shared" ref="C107:N107" si="47">1+C89</f>
        <v>1.0382213704383836</v>
      </c>
      <c r="D107" s="225">
        <f t="shared" si="47"/>
        <v>1.0923129606277551</v>
      </c>
      <c r="E107" s="225">
        <f t="shared" si="47"/>
        <v>1.0721226589779591</v>
      </c>
      <c r="F107" s="225">
        <f t="shared" si="47"/>
        <v>1.0108964914238041</v>
      </c>
      <c r="G107" s="225">
        <f t="shared" si="47"/>
        <v>1.1120754571155103</v>
      </c>
      <c r="H107" s="225">
        <f t="shared" si="47"/>
        <v>1.0748063204823675</v>
      </c>
      <c r="I107" s="231">
        <f t="shared" si="47"/>
        <v>1.0014648494590042</v>
      </c>
      <c r="J107" s="225">
        <f t="shared" si="47"/>
        <v>1.0688705795135509</v>
      </c>
      <c r="K107" s="225">
        <f t="shared" si="47"/>
        <v>1.1444857665976327</v>
      </c>
      <c r="L107" s="225">
        <f t="shared" si="47"/>
        <v>1.0003182459092326</v>
      </c>
      <c r="M107" s="225">
        <f t="shared" si="47"/>
        <v>1.0688705795135509</v>
      </c>
      <c r="N107" s="225">
        <f t="shared" si="47"/>
        <v>1.1444857665976327</v>
      </c>
      <c r="P107" s="72" t="s">
        <v>48</v>
      </c>
      <c r="Q107" s="225">
        <f t="shared" ref="Q107:AB107" si="48">1+Q89</f>
        <v>1.0446719223470367</v>
      </c>
      <c r="R107" s="225">
        <f t="shared" si="48"/>
        <v>1.1046843426424489</v>
      </c>
      <c r="S107" s="225">
        <f t="shared" si="48"/>
        <v>1.0828528465779592</v>
      </c>
      <c r="T107" s="225">
        <f t="shared" si="48"/>
        <v>1.0105028225361714</v>
      </c>
      <c r="U107" s="225">
        <f t="shared" si="48"/>
        <v>1.1718233872367347</v>
      </c>
      <c r="V107" s="225">
        <f t="shared" si="48"/>
        <v>1.1411735287833469</v>
      </c>
      <c r="W107" s="225">
        <f t="shared" si="48"/>
        <v>1.0014433430457959</v>
      </c>
      <c r="X107" s="225">
        <f t="shared" si="48"/>
        <v>1.1102797143189387</v>
      </c>
      <c r="Y107" s="225">
        <f t="shared" si="48"/>
        <v>1.2499441626269387</v>
      </c>
      <c r="Z107" s="225">
        <f t="shared" si="48"/>
        <v>1.000316413475355</v>
      </c>
      <c r="AA107" s="225">
        <f t="shared" si="48"/>
        <v>1.1102797143189387</v>
      </c>
      <c r="AB107" s="225">
        <f t="shared" si="48"/>
        <v>1.2499441626269387</v>
      </c>
      <c r="AD107" s="72" t="s">
        <v>48</v>
      </c>
      <c r="AE107" s="225">
        <f t="shared" ref="AE107:AP107" si="49">1+AE89</f>
        <v>1.0647976369117225</v>
      </c>
      <c r="AF107" s="225">
        <f t="shared" si="49"/>
        <v>1.1244695703967347</v>
      </c>
      <c r="AG107" s="225">
        <f t="shared" si="49"/>
        <v>1.1036678113069387</v>
      </c>
      <c r="AH107" s="225">
        <f t="shared" si="49"/>
        <v>1.0149727633005388</v>
      </c>
      <c r="AI107" s="225">
        <f t="shared" si="49"/>
        <v>1.2836578868693878</v>
      </c>
      <c r="AJ107" s="225">
        <f t="shared" si="49"/>
        <v>1.1829550838154286</v>
      </c>
      <c r="AK107" s="231">
        <f t="shared" si="49"/>
        <v>1.00150712386</v>
      </c>
      <c r="AL107" s="225">
        <f t="shared" si="49"/>
        <v>1.1394929536987755</v>
      </c>
      <c r="AM107" s="225">
        <f t="shared" si="49"/>
        <v>1.3910974528595919</v>
      </c>
      <c r="AN107" s="225">
        <f t="shared" si="49"/>
        <v>1.0008207222974612</v>
      </c>
      <c r="AO107" s="225">
        <f t="shared" si="49"/>
        <v>1.1394929536987755</v>
      </c>
      <c r="AP107" s="225">
        <f t="shared" si="49"/>
        <v>1.3910974528595919</v>
      </c>
      <c r="AR107" s="72" t="s">
        <v>48</v>
      </c>
      <c r="AS107" s="225">
        <f>1+AS89</f>
        <v>1.1031963457575511</v>
      </c>
      <c r="AT107" s="225">
        <f t="shared" ref="AT107:BD107" si="50">1+AT89</f>
        <v>1.1962576966114284</v>
      </c>
      <c r="AU107" s="225">
        <f t="shared" si="50"/>
        <v>1.1018511333319183</v>
      </c>
      <c r="AV107" s="225">
        <f t="shared" si="50"/>
        <v>1.0120100563422041</v>
      </c>
      <c r="AW107" s="225">
        <f t="shared" si="50"/>
        <v>1.4021854648204082</v>
      </c>
      <c r="AX107" s="225">
        <f t="shared" si="50"/>
        <v>1.2642962693665307</v>
      </c>
      <c r="AY107" s="231">
        <f t="shared" si="50"/>
        <v>1.0033045779377958</v>
      </c>
      <c r="AZ107" s="225">
        <f t="shared" si="50"/>
        <v>1.2337918970765713</v>
      </c>
      <c r="BA107" s="225">
        <f t="shared" si="50"/>
        <v>1.5174950162889795</v>
      </c>
      <c r="BB107" s="225">
        <f t="shared" si="50"/>
        <v>1.0006834521012</v>
      </c>
      <c r="BC107" s="225">
        <f t="shared" si="50"/>
        <v>1.2337918970765713</v>
      </c>
      <c r="BD107" s="225">
        <f t="shared" si="50"/>
        <v>1.5174950162889795</v>
      </c>
    </row>
    <row r="108" spans="2:56" x14ac:dyDescent="0.25">
      <c r="B108" s="25" t="s">
        <v>523</v>
      </c>
      <c r="C108" s="49">
        <f t="shared" ref="C108:I108" si="51">1+C90</f>
        <v>1.4038322243822203</v>
      </c>
      <c r="D108" s="49">
        <f t="shared" si="51"/>
        <v>1.3220784219714286</v>
      </c>
      <c r="E108" s="49">
        <f t="shared" si="51"/>
        <v>1.4306843730137142</v>
      </c>
      <c r="F108" s="49">
        <f t="shared" si="51"/>
        <v>1.3751709434658204</v>
      </c>
      <c r="G108" s="49">
        <f t="shared" si="51"/>
        <v>1.0398494337227755</v>
      </c>
      <c r="H108" s="49">
        <f t="shared" si="51"/>
        <v>1.0041465585884082</v>
      </c>
      <c r="I108" s="230">
        <f t="shared" si="51"/>
        <v>1.171511250147151</v>
      </c>
      <c r="J108" s="213"/>
      <c r="K108" s="214"/>
      <c r="L108" s="214"/>
      <c r="M108" s="214"/>
      <c r="N108" s="215"/>
      <c r="P108" s="25" t="s">
        <v>523</v>
      </c>
      <c r="Q108" s="49">
        <f t="shared" ref="Q108:W108" si="52">1+Q90</f>
        <v>1.4010297805764083</v>
      </c>
      <c r="R108" s="49">
        <f t="shared" si="52"/>
        <v>1.3055110389706122</v>
      </c>
      <c r="S108" s="49">
        <f t="shared" si="52"/>
        <v>1.4520283023412244</v>
      </c>
      <c r="T108" s="49">
        <f t="shared" si="52"/>
        <v>1.3677452344584409</v>
      </c>
      <c r="U108" s="49">
        <f t="shared" si="52"/>
        <v>1.0890326919697959</v>
      </c>
      <c r="V108" s="49">
        <f t="shared" si="52"/>
        <v>1.0145418772265307</v>
      </c>
      <c r="W108" s="49">
        <f t="shared" si="52"/>
        <v>1.1646853031084081</v>
      </c>
      <c r="X108" s="213"/>
      <c r="Y108" s="214"/>
      <c r="Z108" s="214"/>
      <c r="AA108" s="214"/>
      <c r="AB108" s="215"/>
      <c r="AD108" s="25" t="s">
        <v>523</v>
      </c>
      <c r="AE108" s="49">
        <f t="shared" ref="AE108:AK108" si="53">1+AE90</f>
        <v>1.4935087563817713</v>
      </c>
      <c r="AF108" s="49">
        <f t="shared" si="53"/>
        <v>1.3868651666538776</v>
      </c>
      <c r="AG108" s="49">
        <f t="shared" si="53"/>
        <v>1.5493375378048979</v>
      </c>
      <c r="AH108" s="49">
        <f t="shared" si="53"/>
        <v>1.456544129370057</v>
      </c>
      <c r="AI108" s="49">
        <f t="shared" si="53"/>
        <v>1.1637081887885714</v>
      </c>
      <c r="AJ108" s="49">
        <f t="shared" si="53"/>
        <v>1.023378006652</v>
      </c>
      <c r="AK108" s="230">
        <f t="shared" si="53"/>
        <v>1.2438401212385959</v>
      </c>
      <c r="AL108" s="213"/>
      <c r="AM108" s="214"/>
      <c r="AN108" s="214"/>
      <c r="AO108" s="214"/>
      <c r="AP108" s="215"/>
      <c r="AR108" s="25" t="s">
        <v>523</v>
      </c>
      <c r="AS108" s="49">
        <f>1+AS90</f>
        <v>1.5160037482824489</v>
      </c>
      <c r="AT108" s="49">
        <f t="shared" ref="AT108:AY108" si="54">1+AT90</f>
        <v>1.4111212301877551</v>
      </c>
      <c r="AU108" s="49">
        <f t="shared" si="54"/>
        <v>1.5790712005212244</v>
      </c>
      <c r="AV108" s="49">
        <f t="shared" si="54"/>
        <v>1.4902559109297142</v>
      </c>
      <c r="AW108" s="49">
        <f t="shared" si="54"/>
        <v>1.1578955873763266</v>
      </c>
      <c r="AX108" s="49">
        <f t="shared" si="54"/>
        <v>1.0560290131387755</v>
      </c>
      <c r="AY108" s="230">
        <f t="shared" si="54"/>
        <v>1.2368775067380409</v>
      </c>
      <c r="AZ108" s="213"/>
      <c r="BA108" s="214"/>
      <c r="BB108" s="214"/>
      <c r="BC108" s="214"/>
      <c r="BD108" s="215"/>
    </row>
    <row r="109" spans="2:56" x14ac:dyDescent="0.25">
      <c r="B109" s="25" t="s">
        <v>524</v>
      </c>
      <c r="C109" s="49">
        <f t="shared" ref="C109:I109" si="55">1+C91</f>
        <v>1.4697021464746285</v>
      </c>
      <c r="D109" s="49">
        <f t="shared" si="55"/>
        <v>1.3906033317640816</v>
      </c>
      <c r="E109" s="49">
        <f t="shared" si="55"/>
        <v>1.5185780301428573</v>
      </c>
      <c r="F109" s="49">
        <f t="shared" si="55"/>
        <v>1.4504846094615429</v>
      </c>
      <c r="G109" s="49">
        <f t="shared" si="55"/>
        <v>1.039661141298204</v>
      </c>
      <c r="H109" s="49">
        <f t="shared" si="55"/>
        <v>1.0032488446885715</v>
      </c>
      <c r="I109" s="230">
        <f t="shared" si="55"/>
        <v>1.244671704871404</v>
      </c>
      <c r="J109" s="216"/>
      <c r="K109" s="217"/>
      <c r="L109" s="217"/>
      <c r="M109" s="217"/>
      <c r="N109" s="218"/>
      <c r="P109" s="25" t="s">
        <v>524</v>
      </c>
      <c r="Q109" s="49">
        <f t="shared" ref="Q109:W109" si="56">1+Q91</f>
        <v>1.454898027667151</v>
      </c>
      <c r="R109" s="49">
        <f t="shared" si="56"/>
        <v>1.4044760677436736</v>
      </c>
      <c r="S109" s="49">
        <f t="shared" si="56"/>
        <v>1.4998418329232655</v>
      </c>
      <c r="T109" s="49">
        <f t="shared" si="56"/>
        <v>1.4413351020404408</v>
      </c>
      <c r="U109" s="49">
        <f t="shared" si="56"/>
        <v>1.0468815940865306</v>
      </c>
      <c r="V109" s="49">
        <f t="shared" si="56"/>
        <v>1.0422870887075102</v>
      </c>
      <c r="W109" s="49">
        <f t="shared" si="56"/>
        <v>1.2909216517311837</v>
      </c>
      <c r="X109" s="216"/>
      <c r="Y109" s="217"/>
      <c r="Z109" s="217"/>
      <c r="AA109" s="217"/>
      <c r="AB109" s="218"/>
      <c r="AD109" s="25" t="s">
        <v>524</v>
      </c>
      <c r="AE109" s="49">
        <f t="shared" ref="AE109:AK109" si="57">1+AE91</f>
        <v>1.5825093319947674</v>
      </c>
      <c r="AF109" s="49">
        <f t="shared" si="57"/>
        <v>1.5424665468155103</v>
      </c>
      <c r="AG109" s="49">
        <f t="shared" si="57"/>
        <v>1.6506777037648981</v>
      </c>
      <c r="AH109" s="49">
        <f t="shared" si="57"/>
        <v>1.5791648554595019</v>
      </c>
      <c r="AI109" s="49">
        <f t="shared" si="57"/>
        <v>1.0921068496767348</v>
      </c>
      <c r="AJ109" s="49">
        <f t="shared" si="57"/>
        <v>1.1407474439889795</v>
      </c>
      <c r="AK109" s="230">
        <f t="shared" si="57"/>
        <v>1.4333410768412898</v>
      </c>
      <c r="AL109" s="216"/>
      <c r="AM109" s="217"/>
      <c r="AN109" s="217"/>
      <c r="AO109" s="217"/>
      <c r="AP109" s="218"/>
      <c r="AR109" s="25" t="s">
        <v>524</v>
      </c>
      <c r="AS109" s="49">
        <f>1+AS91</f>
        <v>1.6902514909714286</v>
      </c>
      <c r="AT109" s="49">
        <f t="shared" ref="AT109:AY109" si="58">1+AT91</f>
        <v>1.6049913714653061</v>
      </c>
      <c r="AU109" s="49">
        <f t="shared" si="58"/>
        <v>1.7482489106391021</v>
      </c>
      <c r="AV109" s="49">
        <f t="shared" si="58"/>
        <v>1.6686414892160815</v>
      </c>
      <c r="AW109" s="49">
        <f t="shared" si="58"/>
        <v>1.1054561456187755</v>
      </c>
      <c r="AX109" s="49">
        <f t="shared" si="58"/>
        <v>1.1515802327420408</v>
      </c>
      <c r="AY109" s="230">
        <f t="shared" si="58"/>
        <v>1.4676351356186939</v>
      </c>
      <c r="AZ109" s="216"/>
      <c r="BA109" s="217"/>
      <c r="BB109" s="217"/>
      <c r="BC109" s="217"/>
      <c r="BD109" s="218"/>
    </row>
    <row r="110" spans="2:56" x14ac:dyDescent="0.25">
      <c r="B110" s="25" t="s">
        <v>525</v>
      </c>
      <c r="C110" s="49">
        <f t="shared" ref="C110:I110" si="59">1+C92</f>
        <v>1.0008611076257143</v>
      </c>
      <c r="D110" s="49">
        <f t="shared" si="59"/>
        <v>1.0324582798751021</v>
      </c>
      <c r="E110" s="49">
        <f t="shared" si="59"/>
        <v>1.0586772284057142</v>
      </c>
      <c r="F110" s="49">
        <f t="shared" si="59"/>
        <v>1.0026836200096245</v>
      </c>
      <c r="G110" s="49">
        <f t="shared" si="59"/>
        <v>1.1985645915377143</v>
      </c>
      <c r="H110" s="49">
        <f t="shared" si="59"/>
        <v>1.1407805459226121</v>
      </c>
      <c r="I110" s="230">
        <f t="shared" si="59"/>
        <v>1.0003155169457225</v>
      </c>
      <c r="J110" s="216"/>
      <c r="K110" s="217"/>
      <c r="L110" s="222" t="s">
        <v>69</v>
      </c>
      <c r="M110" s="217"/>
      <c r="N110" s="218"/>
      <c r="P110" s="25" t="s">
        <v>525</v>
      </c>
      <c r="Q110" s="49">
        <f t="shared" ref="Q110:W110" si="60">1+Q92</f>
        <v>1.0009641961153224</v>
      </c>
      <c r="R110" s="49">
        <f t="shared" si="60"/>
        <v>1.0516758468734695</v>
      </c>
      <c r="S110" s="49">
        <f t="shared" si="60"/>
        <v>1.0652050847934693</v>
      </c>
      <c r="T110" s="49">
        <f t="shared" si="60"/>
        <v>1.0020971075980081</v>
      </c>
      <c r="U110" s="49">
        <f t="shared" si="60"/>
        <v>1.239123807164898</v>
      </c>
      <c r="V110" s="49">
        <f t="shared" si="60"/>
        <v>1.2518534769493062</v>
      </c>
      <c r="W110" s="49">
        <f t="shared" si="60"/>
        <v>1.0003154033651103</v>
      </c>
      <c r="X110" s="216"/>
      <c r="Y110" s="217"/>
      <c r="Z110" s="222" t="s">
        <v>69</v>
      </c>
      <c r="AA110" s="217"/>
      <c r="AB110" s="218"/>
      <c r="AD110" s="25" t="s">
        <v>525</v>
      </c>
      <c r="AE110" s="49">
        <f t="shared" ref="AE110:AK110" si="61">1+AE92</f>
        <v>1.000994179882547</v>
      </c>
      <c r="AF110" s="49">
        <f t="shared" si="61"/>
        <v>1.0735320580791836</v>
      </c>
      <c r="AG110" s="49">
        <f t="shared" si="61"/>
        <v>1.0697077231444898</v>
      </c>
      <c r="AH110" s="49">
        <f t="shared" si="61"/>
        <v>1.0021439440021551</v>
      </c>
      <c r="AI110" s="49">
        <f t="shared" si="61"/>
        <v>1.380410910502857</v>
      </c>
      <c r="AJ110" s="49">
        <f t="shared" si="61"/>
        <v>1.331113814194204</v>
      </c>
      <c r="AK110" s="230">
        <f t="shared" si="61"/>
        <v>1.0006210542445306</v>
      </c>
      <c r="AL110" s="216"/>
      <c r="AM110" s="217"/>
      <c r="AN110" s="222" t="s">
        <v>69</v>
      </c>
      <c r="AO110" s="217"/>
      <c r="AP110" s="218"/>
      <c r="AR110" s="25" t="s">
        <v>525</v>
      </c>
      <c r="AS110" s="49">
        <f>1+AS92</f>
        <v>1.0795454700138776</v>
      </c>
      <c r="AT110" s="49">
        <f t="shared" ref="AT110:AY110" si="62">1+AT92</f>
        <v>1.2405289356351021</v>
      </c>
      <c r="AU110" s="49">
        <f t="shared" si="62"/>
        <v>1.0938908315795102</v>
      </c>
      <c r="AV110" s="49">
        <f t="shared" si="62"/>
        <v>1.0037052751937143</v>
      </c>
      <c r="AW110" s="49">
        <f t="shared" si="62"/>
        <v>1.6659583547257142</v>
      </c>
      <c r="AX110" s="49">
        <f t="shared" si="62"/>
        <v>1.540799395444898</v>
      </c>
      <c r="AY110" s="230">
        <f t="shared" si="62"/>
        <v>1.0095440031755918</v>
      </c>
      <c r="AZ110" s="216"/>
      <c r="BA110" s="217"/>
      <c r="BB110" s="222" t="s">
        <v>69</v>
      </c>
      <c r="BC110" s="217"/>
      <c r="BD110" s="218"/>
    </row>
    <row r="111" spans="2:56" x14ac:dyDescent="0.25">
      <c r="B111" s="25" t="s">
        <v>526</v>
      </c>
      <c r="C111" s="49">
        <f t="shared" ref="C111:I111" si="63">1+C93</f>
        <v>1.4038322243822203</v>
      </c>
      <c r="D111" s="49">
        <f t="shared" si="63"/>
        <v>1.3220784219714286</v>
      </c>
      <c r="E111" s="49">
        <f t="shared" si="63"/>
        <v>1.4306843730137142</v>
      </c>
      <c r="F111" s="49">
        <f t="shared" si="63"/>
        <v>1.3751709434658204</v>
      </c>
      <c r="G111" s="49">
        <f t="shared" si="63"/>
        <v>1.0398494337227755</v>
      </c>
      <c r="H111" s="49">
        <f t="shared" si="63"/>
        <v>1.0041465585884082</v>
      </c>
      <c r="I111" s="230">
        <f t="shared" si="63"/>
        <v>1.171511250147151</v>
      </c>
      <c r="J111" s="216"/>
      <c r="K111" s="217"/>
      <c r="L111" s="217"/>
      <c r="M111" s="217"/>
      <c r="N111" s="218"/>
      <c r="P111" s="25" t="s">
        <v>526</v>
      </c>
      <c r="Q111" s="49">
        <f t="shared" ref="Q111:W111" si="64">1+Q93</f>
        <v>1.4010297805764083</v>
      </c>
      <c r="R111" s="49">
        <f t="shared" si="64"/>
        <v>1.3055110389706122</v>
      </c>
      <c r="S111" s="49">
        <f t="shared" si="64"/>
        <v>1.4520283023412244</v>
      </c>
      <c r="T111" s="49">
        <f t="shared" si="64"/>
        <v>1.3677452344584409</v>
      </c>
      <c r="U111" s="49">
        <f t="shared" si="64"/>
        <v>1.0890326919697959</v>
      </c>
      <c r="V111" s="49">
        <f t="shared" si="64"/>
        <v>1.0145418772265307</v>
      </c>
      <c r="W111" s="49">
        <f t="shared" si="64"/>
        <v>1.1646853031084081</v>
      </c>
      <c r="X111" s="216"/>
      <c r="Y111" s="217"/>
      <c r="Z111" s="217"/>
      <c r="AA111" s="217"/>
      <c r="AB111" s="218"/>
      <c r="AD111" s="25" t="s">
        <v>526</v>
      </c>
      <c r="AE111" s="49">
        <f t="shared" ref="AE111:AK111" si="65">1+AE93</f>
        <v>1.4935087563817713</v>
      </c>
      <c r="AF111" s="49">
        <f t="shared" si="65"/>
        <v>1.3868651666538776</v>
      </c>
      <c r="AG111" s="49">
        <f t="shared" si="65"/>
        <v>1.5493375378048979</v>
      </c>
      <c r="AH111" s="49">
        <f t="shared" si="65"/>
        <v>1.456544129370057</v>
      </c>
      <c r="AI111" s="49">
        <f t="shared" si="65"/>
        <v>1.1637081887885714</v>
      </c>
      <c r="AJ111" s="49">
        <f t="shared" si="65"/>
        <v>1.023378006652</v>
      </c>
      <c r="AK111" s="230">
        <f t="shared" si="65"/>
        <v>1.2438401212385959</v>
      </c>
      <c r="AL111" s="216"/>
      <c r="AM111" s="217"/>
      <c r="AN111" s="217"/>
      <c r="AO111" s="217"/>
      <c r="AP111" s="218"/>
      <c r="AR111" s="25" t="s">
        <v>526</v>
      </c>
      <c r="AS111" s="49">
        <f t="shared" ref="AS111:AY111" si="66">1+AS93</f>
        <v>1.5160037482824489</v>
      </c>
      <c r="AT111" s="49">
        <f t="shared" si="66"/>
        <v>1.4111212301877551</v>
      </c>
      <c r="AU111" s="49">
        <f t="shared" si="66"/>
        <v>1.5790712005212244</v>
      </c>
      <c r="AV111" s="49">
        <f t="shared" si="66"/>
        <v>1.4902559109297142</v>
      </c>
      <c r="AW111" s="49">
        <f t="shared" si="66"/>
        <v>1.1578955873763266</v>
      </c>
      <c r="AX111" s="49">
        <f t="shared" si="66"/>
        <v>1.0560290131387755</v>
      </c>
      <c r="AY111" s="230">
        <f t="shared" si="66"/>
        <v>1.2368775067380409</v>
      </c>
      <c r="AZ111" s="216"/>
      <c r="BA111" s="217"/>
      <c r="BB111" s="217"/>
      <c r="BC111" s="217"/>
      <c r="BD111" s="218"/>
    </row>
    <row r="112" spans="2:56" x14ac:dyDescent="0.25">
      <c r="B112" s="25" t="s">
        <v>527</v>
      </c>
      <c r="C112" s="49">
        <f t="shared" ref="C112:I112" si="67">1+C94</f>
        <v>1.4697021464746285</v>
      </c>
      <c r="D112" s="49">
        <f t="shared" si="67"/>
        <v>1.3906033317640816</v>
      </c>
      <c r="E112" s="49">
        <f t="shared" si="67"/>
        <v>1.5185780301428573</v>
      </c>
      <c r="F112" s="49">
        <f t="shared" si="67"/>
        <v>1.4504846094615429</v>
      </c>
      <c r="G112" s="49">
        <f t="shared" si="67"/>
        <v>1.039661141298204</v>
      </c>
      <c r="H112" s="49">
        <f t="shared" si="67"/>
        <v>1.0032488446885715</v>
      </c>
      <c r="I112" s="230">
        <f t="shared" si="67"/>
        <v>1.244671704871404</v>
      </c>
      <c r="J112" s="219"/>
      <c r="K112" s="220"/>
      <c r="L112" s="220"/>
      <c r="M112" s="220"/>
      <c r="N112" s="221"/>
      <c r="P112" s="25" t="s">
        <v>527</v>
      </c>
      <c r="Q112" s="49">
        <f t="shared" ref="Q112:W112" si="68">1+Q94</f>
        <v>1.454898027667151</v>
      </c>
      <c r="R112" s="49">
        <f t="shared" si="68"/>
        <v>1.4044760677436736</v>
      </c>
      <c r="S112" s="49">
        <f t="shared" si="68"/>
        <v>1.4998418329232655</v>
      </c>
      <c r="T112" s="49">
        <f t="shared" si="68"/>
        <v>1.4413351020404408</v>
      </c>
      <c r="U112" s="49">
        <f t="shared" si="68"/>
        <v>1.0468815940865306</v>
      </c>
      <c r="V112" s="49">
        <f t="shared" si="68"/>
        <v>1.0422870887075102</v>
      </c>
      <c r="W112" s="49">
        <f t="shared" si="68"/>
        <v>1.2909216517311837</v>
      </c>
      <c r="X112" s="219"/>
      <c r="Y112" s="220"/>
      <c r="Z112" s="220"/>
      <c r="AA112" s="220"/>
      <c r="AB112" s="221"/>
      <c r="AD112" s="25" t="s">
        <v>527</v>
      </c>
      <c r="AE112" s="49">
        <f t="shared" ref="AE112:AK112" si="69">1+AE94</f>
        <v>1.5825093319947674</v>
      </c>
      <c r="AF112" s="49">
        <f t="shared" si="69"/>
        <v>1.5424665468155103</v>
      </c>
      <c r="AG112" s="49">
        <f t="shared" si="69"/>
        <v>1.6506777037648981</v>
      </c>
      <c r="AH112" s="49">
        <f t="shared" si="69"/>
        <v>1.5791648554595019</v>
      </c>
      <c r="AI112" s="49">
        <f t="shared" si="69"/>
        <v>1.0921068496767348</v>
      </c>
      <c r="AJ112" s="49">
        <f t="shared" si="69"/>
        <v>1.1407474439889795</v>
      </c>
      <c r="AK112" s="230">
        <f t="shared" si="69"/>
        <v>1.4333410768412898</v>
      </c>
      <c r="AL112" s="219"/>
      <c r="AM112" s="220"/>
      <c r="AN112" s="220"/>
      <c r="AO112" s="220"/>
      <c r="AP112" s="221"/>
      <c r="AR112" s="25" t="s">
        <v>527</v>
      </c>
      <c r="AS112" s="49">
        <f>1+AS94</f>
        <v>1.6902514909714286</v>
      </c>
      <c r="AT112" s="49">
        <f t="shared" ref="AT112:AY112" si="70">1+AT94</f>
        <v>1.6049913714653061</v>
      </c>
      <c r="AU112" s="49">
        <f t="shared" si="70"/>
        <v>1.7482489106391021</v>
      </c>
      <c r="AV112" s="49">
        <f t="shared" si="70"/>
        <v>1.6686414892160815</v>
      </c>
      <c r="AW112" s="49">
        <f t="shared" si="70"/>
        <v>1.1054561456187755</v>
      </c>
      <c r="AX112" s="49">
        <f t="shared" si="70"/>
        <v>1.1515802327420408</v>
      </c>
      <c r="AY112" s="230">
        <f t="shared" si="70"/>
        <v>1.4676351356186939</v>
      </c>
      <c r="AZ112" s="219"/>
      <c r="BA112" s="220"/>
      <c r="BB112" s="220"/>
      <c r="BC112" s="220"/>
      <c r="BD112" s="221"/>
    </row>
  </sheetData>
  <mergeCells count="20">
    <mergeCell ref="AE34:AP34"/>
    <mergeCell ref="AS34:BD34"/>
    <mergeCell ref="AE81:AP81"/>
    <mergeCell ref="AS81:BD81"/>
    <mergeCell ref="AS99:BD99"/>
    <mergeCell ref="AE99:AP99"/>
    <mergeCell ref="C34:N34"/>
    <mergeCell ref="Q34:AB34"/>
    <mergeCell ref="C63:N63"/>
    <mergeCell ref="C99:N99"/>
    <mergeCell ref="Q99:AB99"/>
    <mergeCell ref="Q81:AB81"/>
    <mergeCell ref="C81:N81"/>
    <mergeCell ref="D58:N58"/>
    <mergeCell ref="B5:N5"/>
    <mergeCell ref="B25:N25"/>
    <mergeCell ref="B27:N27"/>
    <mergeCell ref="B28:N28"/>
    <mergeCell ref="B29:N29"/>
    <mergeCell ref="C10:N10"/>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BD140"/>
  <sheetViews>
    <sheetView zoomScale="85" zoomScaleNormal="85" workbookViewId="0">
      <selection activeCell="B5" sqref="B5:N5"/>
    </sheetView>
  </sheetViews>
  <sheetFormatPr defaultRowHeight="15" x14ac:dyDescent="0.25"/>
  <cols>
    <col min="2" max="2" width="30.7109375" customWidth="1"/>
    <col min="3" max="14" width="10.7109375" customWidth="1"/>
    <col min="16" max="16" width="30.7109375" customWidth="1"/>
    <col min="17" max="28" width="10.7109375" customWidth="1"/>
    <col min="30" max="30" width="30.7109375" customWidth="1"/>
    <col min="31" max="42" width="10.7109375" customWidth="1"/>
    <col min="44" max="44" width="30.7109375" customWidth="1"/>
    <col min="45" max="56" width="10.7109375" customWidth="1"/>
  </cols>
  <sheetData>
    <row r="3" spans="2:17" ht="21" x14ac:dyDescent="0.35">
      <c r="B3" s="28" t="s">
        <v>658</v>
      </c>
    </row>
    <row r="5" spans="2:17" ht="134.25" customHeight="1" x14ac:dyDescent="0.25">
      <c r="B5" s="398" t="s">
        <v>662</v>
      </c>
      <c r="C5" s="399"/>
      <c r="D5" s="399"/>
      <c r="E5" s="399"/>
      <c r="F5" s="399"/>
      <c r="G5" s="399"/>
      <c r="H5" s="399"/>
      <c r="I5" s="399"/>
      <c r="J5" s="399"/>
      <c r="K5" s="399"/>
      <c r="L5" s="399"/>
      <c r="M5" s="399"/>
      <c r="N5" s="399"/>
    </row>
    <row r="6" spans="2:17" ht="15" customHeight="1" x14ac:dyDescent="0.25">
      <c r="B6" s="236"/>
      <c r="C6" s="237"/>
      <c r="D6" s="237"/>
      <c r="E6" s="237"/>
      <c r="F6" s="237"/>
      <c r="G6" s="237"/>
      <c r="H6" s="237"/>
      <c r="I6" s="237"/>
      <c r="J6" s="237"/>
      <c r="K6" s="237"/>
      <c r="L6" s="237"/>
      <c r="M6" s="237"/>
      <c r="N6" s="237"/>
    </row>
    <row r="8" spans="2:17" ht="18.75" x14ac:dyDescent="0.3">
      <c r="B8" s="29" t="s">
        <v>642</v>
      </c>
      <c r="P8" s="1" t="s">
        <v>399</v>
      </c>
    </row>
    <row r="9" spans="2:17" x14ac:dyDescent="0.25">
      <c r="P9" t="s">
        <v>42</v>
      </c>
      <c r="Q9" t="s">
        <v>81</v>
      </c>
    </row>
    <row r="10" spans="2:17" x14ac:dyDescent="0.25">
      <c r="C10" s="402" t="s">
        <v>80</v>
      </c>
      <c r="D10" s="402"/>
      <c r="E10" s="402"/>
      <c r="F10" s="402"/>
      <c r="G10" s="402"/>
      <c r="H10" s="402"/>
      <c r="I10" s="402"/>
      <c r="J10" s="402"/>
      <c r="K10" s="402"/>
      <c r="L10" s="402"/>
      <c r="M10" s="402"/>
      <c r="N10" s="402"/>
      <c r="P10" t="s">
        <v>43</v>
      </c>
      <c r="Q10" t="s">
        <v>253</v>
      </c>
    </row>
    <row r="11" spans="2:17" x14ac:dyDescent="0.25">
      <c r="B11" s="31" t="s">
        <v>49</v>
      </c>
      <c r="C11" s="25" t="s">
        <v>42</v>
      </c>
      <c r="D11" s="26" t="s">
        <v>51</v>
      </c>
      <c r="E11" s="26" t="s">
        <v>52</v>
      </c>
      <c r="F11" s="26" t="s">
        <v>53</v>
      </c>
      <c r="G11" s="26" t="s">
        <v>54</v>
      </c>
      <c r="H11" s="26" t="s">
        <v>55</v>
      </c>
      <c r="I11" s="238" t="s">
        <v>56</v>
      </c>
      <c r="J11" s="26" t="s">
        <v>60</v>
      </c>
      <c r="K11" s="26" t="s">
        <v>59</v>
      </c>
      <c r="L11" s="26" t="s">
        <v>61</v>
      </c>
      <c r="M11" s="26" t="s">
        <v>58</v>
      </c>
      <c r="N11" s="26" t="s">
        <v>57</v>
      </c>
      <c r="P11" t="s">
        <v>46</v>
      </c>
      <c r="Q11" t="s">
        <v>82</v>
      </c>
    </row>
    <row r="12" spans="2:17" x14ac:dyDescent="0.25">
      <c r="B12" s="25" t="s">
        <v>42</v>
      </c>
      <c r="C12" s="46">
        <v>17.45637</v>
      </c>
      <c r="D12" s="46">
        <v>26.230229999999999</v>
      </c>
      <c r="E12" s="46">
        <v>0</v>
      </c>
      <c r="F12" s="46">
        <v>0</v>
      </c>
      <c r="G12" s="46">
        <v>79.759050000000002</v>
      </c>
      <c r="H12" s="46">
        <v>0</v>
      </c>
      <c r="I12" s="76">
        <v>0</v>
      </c>
      <c r="J12" s="46">
        <v>0</v>
      </c>
      <c r="K12" s="46">
        <v>0</v>
      </c>
      <c r="L12" s="46">
        <v>0</v>
      </c>
      <c r="M12" s="46">
        <v>0</v>
      </c>
      <c r="N12" s="46">
        <v>0</v>
      </c>
    </row>
    <row r="13" spans="2:17" x14ac:dyDescent="0.25">
      <c r="B13" s="25" t="s">
        <v>43</v>
      </c>
      <c r="C13" s="46">
        <v>35.017330000000001</v>
      </c>
      <c r="D13" s="46">
        <v>22.5779</v>
      </c>
      <c r="E13" s="46">
        <v>0</v>
      </c>
      <c r="F13" s="46">
        <v>0</v>
      </c>
      <c r="G13" s="46">
        <v>70.009770000000003</v>
      </c>
      <c r="H13" s="46">
        <v>0</v>
      </c>
      <c r="I13" s="76">
        <v>0</v>
      </c>
      <c r="J13" s="46">
        <v>0</v>
      </c>
      <c r="K13" s="46">
        <v>0</v>
      </c>
      <c r="L13" s="46">
        <v>0</v>
      </c>
      <c r="M13" s="46">
        <v>0</v>
      </c>
      <c r="N13" s="46">
        <v>0</v>
      </c>
    </row>
    <row r="14" spans="2:17" x14ac:dyDescent="0.25">
      <c r="B14" s="25" t="s">
        <v>44</v>
      </c>
      <c r="C14" s="46">
        <v>25.513010000000001</v>
      </c>
      <c r="D14" s="46">
        <v>42.075850000000003</v>
      </c>
      <c r="E14" s="46">
        <v>0</v>
      </c>
      <c r="F14" s="46">
        <v>0</v>
      </c>
      <c r="G14" s="46">
        <v>98.193259999999995</v>
      </c>
      <c r="H14" s="46">
        <v>0</v>
      </c>
      <c r="I14" s="76">
        <v>0</v>
      </c>
      <c r="J14" s="46">
        <v>0</v>
      </c>
      <c r="K14" s="46">
        <v>0</v>
      </c>
      <c r="L14" s="46">
        <v>0</v>
      </c>
      <c r="M14" s="46">
        <v>0</v>
      </c>
      <c r="N14" s="46">
        <v>0</v>
      </c>
    </row>
    <row r="15" spans="2:17" x14ac:dyDescent="0.25">
      <c r="B15" s="25" t="s">
        <v>45</v>
      </c>
      <c r="C15" s="46">
        <v>41.460659999999997</v>
      </c>
      <c r="D15" s="46">
        <v>40.301720000000003</v>
      </c>
      <c r="E15" s="46">
        <v>0</v>
      </c>
      <c r="F15" s="46">
        <v>0</v>
      </c>
      <c r="G15" s="46">
        <v>94.680999999999997</v>
      </c>
      <c r="H15" s="46">
        <v>0</v>
      </c>
      <c r="I15" s="76">
        <v>0</v>
      </c>
      <c r="J15" s="46">
        <v>0</v>
      </c>
      <c r="K15" s="46">
        <v>0</v>
      </c>
      <c r="L15" s="46">
        <v>0</v>
      </c>
      <c r="M15" s="46">
        <v>0</v>
      </c>
      <c r="N15" s="46">
        <v>0</v>
      </c>
    </row>
    <row r="16" spans="2:17" x14ac:dyDescent="0.25">
      <c r="B16" s="25" t="s">
        <v>46</v>
      </c>
      <c r="C16" s="46">
        <v>69.046210000000002</v>
      </c>
      <c r="D16" s="46">
        <v>56.719110000000001</v>
      </c>
      <c r="E16" s="46">
        <v>0</v>
      </c>
      <c r="F16" s="46">
        <v>0</v>
      </c>
      <c r="G16" s="46">
        <v>39.315739999999998</v>
      </c>
      <c r="H16" s="46">
        <v>0</v>
      </c>
      <c r="I16" s="76">
        <v>0</v>
      </c>
      <c r="J16" s="46">
        <v>0</v>
      </c>
      <c r="K16" s="46">
        <v>0</v>
      </c>
      <c r="L16" s="46">
        <v>0</v>
      </c>
      <c r="M16" s="46">
        <v>0</v>
      </c>
      <c r="N16" s="46">
        <v>0</v>
      </c>
    </row>
    <row r="17" spans="2:56" x14ac:dyDescent="0.25">
      <c r="B17" s="25" t="s">
        <v>47</v>
      </c>
      <c r="C17" s="46">
        <v>74.846410000000006</v>
      </c>
      <c r="D17" s="46">
        <v>54.329120000000003</v>
      </c>
      <c r="E17" s="46">
        <v>0</v>
      </c>
      <c r="F17" s="46">
        <v>0</v>
      </c>
      <c r="G17" s="46">
        <v>49.341090000000001</v>
      </c>
      <c r="H17" s="46">
        <v>0</v>
      </c>
      <c r="I17" s="76">
        <v>0</v>
      </c>
      <c r="J17" s="46">
        <v>0</v>
      </c>
      <c r="K17" s="46">
        <v>0</v>
      </c>
      <c r="L17" s="46">
        <v>0</v>
      </c>
      <c r="M17" s="46">
        <v>0</v>
      </c>
      <c r="N17" s="46">
        <v>0</v>
      </c>
    </row>
    <row r="18" spans="2:56" x14ac:dyDescent="0.25">
      <c r="B18" s="25" t="s">
        <v>48</v>
      </c>
      <c r="C18" s="74">
        <v>96.896259999999998</v>
      </c>
      <c r="D18" s="74">
        <v>95.357259999999997</v>
      </c>
      <c r="E18" s="74">
        <v>0</v>
      </c>
      <c r="F18" s="74">
        <v>0</v>
      </c>
      <c r="G18" s="74">
        <v>123.68965</v>
      </c>
      <c r="H18" s="74">
        <v>0</v>
      </c>
      <c r="I18" s="77">
        <v>0</v>
      </c>
      <c r="J18" s="74">
        <v>0</v>
      </c>
      <c r="K18" s="74">
        <v>0</v>
      </c>
      <c r="L18" s="74">
        <v>0</v>
      </c>
      <c r="M18" s="74">
        <v>0</v>
      </c>
      <c r="N18" s="74">
        <v>0</v>
      </c>
    </row>
    <row r="19" spans="2:56" x14ac:dyDescent="0.25">
      <c r="B19" s="25" t="s">
        <v>523</v>
      </c>
      <c r="C19" s="46">
        <v>81.409030000000001</v>
      </c>
      <c r="D19" s="46">
        <v>60.787480000000002</v>
      </c>
      <c r="E19" s="46">
        <v>0</v>
      </c>
      <c r="F19" s="46">
        <v>0</v>
      </c>
      <c r="G19" s="46">
        <v>39.519730000000003</v>
      </c>
      <c r="H19" s="46">
        <v>0</v>
      </c>
      <c r="I19" s="76">
        <v>0</v>
      </c>
      <c r="J19" s="46"/>
      <c r="K19" s="46"/>
      <c r="L19" s="46"/>
      <c r="M19" s="46"/>
      <c r="N19" s="46"/>
    </row>
    <row r="20" spans="2:56" x14ac:dyDescent="0.25">
      <c r="B20" s="25" t="s">
        <v>524</v>
      </c>
      <c r="C20" s="46">
        <v>89.006389999999996</v>
      </c>
      <c r="D20" s="46">
        <v>77.610389999999995</v>
      </c>
      <c r="E20" s="46">
        <v>0</v>
      </c>
      <c r="F20" s="46">
        <v>0</v>
      </c>
      <c r="G20" s="46">
        <v>42.25159</v>
      </c>
      <c r="H20" s="46">
        <v>0</v>
      </c>
      <c r="I20" s="76">
        <v>0</v>
      </c>
      <c r="J20" s="46"/>
      <c r="K20" s="46"/>
      <c r="L20" s="46"/>
      <c r="M20" s="46"/>
      <c r="N20" s="46"/>
    </row>
    <row r="21" spans="2:56" x14ac:dyDescent="0.25">
      <c r="B21" s="25" t="s">
        <v>525</v>
      </c>
      <c r="C21" s="46">
        <v>87.170460000000006</v>
      </c>
      <c r="D21" s="46">
        <v>86.198120000000003</v>
      </c>
      <c r="E21" s="46">
        <v>0</v>
      </c>
      <c r="F21" s="46">
        <v>0</v>
      </c>
      <c r="G21" s="46">
        <v>144.13422</v>
      </c>
      <c r="H21" s="46">
        <v>0</v>
      </c>
      <c r="I21" s="76">
        <v>0</v>
      </c>
      <c r="J21" s="46"/>
      <c r="K21" s="46"/>
      <c r="L21" s="239" t="s">
        <v>69</v>
      </c>
      <c r="M21" s="46"/>
      <c r="N21" s="46"/>
    </row>
    <row r="22" spans="2:56" x14ac:dyDescent="0.25">
      <c r="B22" s="25" t="s">
        <v>526</v>
      </c>
      <c r="C22" s="46">
        <v>81.409030000000001</v>
      </c>
      <c r="D22" s="46">
        <v>60.787480000000002</v>
      </c>
      <c r="E22" s="46">
        <v>0</v>
      </c>
      <c r="F22" s="46">
        <v>0</v>
      </c>
      <c r="G22" s="46">
        <v>39.519730000000003</v>
      </c>
      <c r="H22" s="46">
        <v>0</v>
      </c>
      <c r="I22" s="76">
        <v>0</v>
      </c>
      <c r="J22" s="46"/>
      <c r="K22" s="46"/>
      <c r="L22" s="46"/>
      <c r="M22" s="46"/>
      <c r="N22" s="46"/>
    </row>
    <row r="23" spans="2:56" x14ac:dyDescent="0.25">
      <c r="B23" s="25" t="s">
        <v>527</v>
      </c>
      <c r="C23" s="46">
        <v>89.006389999999996</v>
      </c>
      <c r="D23" s="46">
        <v>77.610389999999995</v>
      </c>
      <c r="E23" s="46">
        <v>0</v>
      </c>
      <c r="F23" s="46">
        <v>0</v>
      </c>
      <c r="G23" s="46">
        <v>42.25159</v>
      </c>
      <c r="H23" s="46">
        <v>0</v>
      </c>
      <c r="I23" s="76">
        <v>0</v>
      </c>
      <c r="J23" s="46"/>
      <c r="K23" s="46"/>
      <c r="L23" s="46"/>
      <c r="M23" s="46"/>
      <c r="N23" s="46"/>
    </row>
    <row r="25" spans="2:56" x14ac:dyDescent="0.25">
      <c r="B25" s="377" t="s">
        <v>99</v>
      </c>
      <c r="C25" s="377"/>
      <c r="D25" s="377"/>
      <c r="E25" s="377"/>
      <c r="F25" s="377"/>
      <c r="G25" s="377"/>
      <c r="H25" s="377"/>
      <c r="I25" s="377"/>
      <c r="J25" s="377"/>
      <c r="K25" s="377"/>
      <c r="L25" s="377"/>
      <c r="M25" s="377"/>
      <c r="N25" s="377"/>
    </row>
    <row r="26" spans="2:56" x14ac:dyDescent="0.25">
      <c r="B26" s="248" t="s">
        <v>602</v>
      </c>
      <c r="C26" s="371"/>
      <c r="D26" s="371"/>
      <c r="E26" s="371"/>
      <c r="F26" s="371"/>
      <c r="G26" s="371"/>
      <c r="H26" s="371"/>
      <c r="I26" s="371"/>
      <c r="J26" s="371"/>
      <c r="K26" s="371"/>
      <c r="L26" s="371"/>
      <c r="M26" s="371"/>
      <c r="N26" s="371"/>
    </row>
    <row r="27" spans="2:56" ht="15" customHeight="1" x14ac:dyDescent="0.25">
      <c r="B27" s="377" t="s">
        <v>113</v>
      </c>
      <c r="C27" s="377"/>
      <c r="D27" s="377"/>
      <c r="E27" s="377"/>
      <c r="F27" s="377"/>
      <c r="G27" s="377"/>
      <c r="H27" s="377"/>
      <c r="I27" s="377"/>
      <c r="J27" s="377"/>
      <c r="K27" s="377"/>
      <c r="L27" s="377"/>
      <c r="M27" s="377"/>
      <c r="N27" s="377"/>
      <c r="P27" s="33"/>
    </row>
    <row r="28" spans="2:56" x14ac:dyDescent="0.25">
      <c r="B28" s="378" t="s">
        <v>624</v>
      </c>
      <c r="C28" s="378"/>
      <c r="D28" s="378"/>
      <c r="E28" s="378"/>
      <c r="F28" s="378"/>
      <c r="G28" s="378"/>
      <c r="H28" s="378"/>
      <c r="I28" s="378"/>
      <c r="J28" s="378"/>
      <c r="K28" s="378"/>
      <c r="L28" s="378"/>
      <c r="M28" s="378"/>
      <c r="N28" s="378"/>
    </row>
    <row r="29" spans="2:56" x14ac:dyDescent="0.25">
      <c r="B29" s="377" t="s">
        <v>112</v>
      </c>
      <c r="C29" s="377"/>
      <c r="D29" s="377"/>
      <c r="E29" s="377"/>
      <c r="F29" s="377"/>
      <c r="G29" s="377"/>
      <c r="H29" s="377"/>
      <c r="I29" s="377"/>
      <c r="J29" s="377"/>
      <c r="K29" s="377"/>
      <c r="L29" s="377"/>
      <c r="M29" s="377"/>
      <c r="N29" s="377"/>
      <c r="R29" s="26"/>
      <c r="S29" s="26"/>
      <c r="T29" s="26"/>
      <c r="U29" s="26"/>
      <c r="V29" s="26"/>
      <c r="W29" s="26"/>
      <c r="X29" s="26"/>
      <c r="Y29" s="26"/>
      <c r="Z29" s="26"/>
      <c r="AA29" s="26"/>
      <c r="AC29" s="26"/>
      <c r="AD29" s="26"/>
      <c r="AE29" s="26"/>
      <c r="AF29" s="26"/>
      <c r="AG29" s="26"/>
      <c r="AH29" s="26"/>
      <c r="AI29" s="26"/>
      <c r="AJ29" s="26"/>
      <c r="AK29" s="26"/>
      <c r="AL29" s="26"/>
      <c r="AM29" s="26"/>
      <c r="AN29" s="26"/>
      <c r="AP29" s="26"/>
      <c r="AQ29" s="26"/>
      <c r="AR29" s="26"/>
      <c r="AS29" s="26"/>
      <c r="AT29" s="26"/>
      <c r="AU29" s="26"/>
      <c r="AV29" s="26"/>
      <c r="AW29" s="26"/>
      <c r="AX29" s="26"/>
      <c r="AY29" s="26"/>
      <c r="AZ29" s="26"/>
      <c r="BA29" s="26"/>
      <c r="BC29" s="26"/>
      <c r="BD29" s="26"/>
    </row>
    <row r="31" spans="2:56" ht="18.75" x14ac:dyDescent="0.3">
      <c r="B31" s="29" t="s">
        <v>635</v>
      </c>
      <c r="P31" s="29" t="s">
        <v>636</v>
      </c>
      <c r="Q31" s="29"/>
      <c r="AD31" s="29" t="s">
        <v>637</v>
      </c>
      <c r="AR31" s="29" t="s">
        <v>638</v>
      </c>
      <c r="AS31" s="29"/>
    </row>
    <row r="33" spans="2:56" x14ac:dyDescent="0.25">
      <c r="C33" s="402" t="s">
        <v>80</v>
      </c>
      <c r="D33" s="402"/>
      <c r="E33" s="402"/>
      <c r="F33" s="402"/>
      <c r="G33" s="402"/>
      <c r="H33" s="402"/>
      <c r="I33" s="402"/>
      <c r="J33" s="402"/>
      <c r="K33" s="402"/>
      <c r="L33" s="402"/>
      <c r="M33" s="402"/>
      <c r="N33" s="402"/>
      <c r="Q33" s="402" t="s">
        <v>80</v>
      </c>
      <c r="R33" s="402"/>
      <c r="S33" s="402"/>
      <c r="T33" s="402"/>
      <c r="U33" s="402"/>
      <c r="V33" s="402"/>
      <c r="W33" s="402"/>
      <c r="X33" s="402"/>
      <c r="Y33" s="402"/>
      <c r="Z33" s="402"/>
      <c r="AA33" s="402"/>
      <c r="AB33" s="402"/>
      <c r="AE33" s="402" t="s">
        <v>80</v>
      </c>
      <c r="AF33" s="402"/>
      <c r="AG33" s="402"/>
      <c r="AH33" s="402"/>
      <c r="AI33" s="402"/>
      <c r="AJ33" s="402"/>
      <c r="AK33" s="402"/>
      <c r="AL33" s="402"/>
      <c r="AM33" s="402"/>
      <c r="AN33" s="402"/>
      <c r="AO33" s="402"/>
      <c r="AP33" s="402"/>
      <c r="AS33" s="402" t="s">
        <v>80</v>
      </c>
      <c r="AT33" s="402"/>
      <c r="AU33" s="402"/>
      <c r="AV33" s="402"/>
      <c r="AW33" s="402"/>
      <c r="AX33" s="402"/>
      <c r="AY33" s="402"/>
      <c r="AZ33" s="402"/>
      <c r="BA33" s="402"/>
      <c r="BB33" s="402"/>
      <c r="BC33" s="402"/>
      <c r="BD33" s="402"/>
    </row>
    <row r="34" spans="2:56" x14ac:dyDescent="0.25">
      <c r="B34" s="31" t="s">
        <v>49</v>
      </c>
      <c r="C34" s="25" t="s">
        <v>42</v>
      </c>
      <c r="D34" s="26" t="s">
        <v>51</v>
      </c>
      <c r="E34" s="26" t="s">
        <v>52</v>
      </c>
      <c r="F34" s="26" t="s">
        <v>53</v>
      </c>
      <c r="G34" s="26" t="s">
        <v>54</v>
      </c>
      <c r="H34" s="26" t="s">
        <v>55</v>
      </c>
      <c r="I34" s="238" t="s">
        <v>56</v>
      </c>
      <c r="J34" s="26" t="s">
        <v>60</v>
      </c>
      <c r="K34" s="26" t="s">
        <v>59</v>
      </c>
      <c r="L34" s="26" t="s">
        <v>61</v>
      </c>
      <c r="M34" s="26" t="s">
        <v>58</v>
      </c>
      <c r="N34" s="26" t="s">
        <v>57</v>
      </c>
      <c r="P34" s="31" t="s">
        <v>49</v>
      </c>
      <c r="Q34" s="25" t="s">
        <v>42</v>
      </c>
      <c r="R34" s="26" t="s">
        <v>51</v>
      </c>
      <c r="S34" s="26" t="s">
        <v>52</v>
      </c>
      <c r="T34" s="26" t="s">
        <v>53</v>
      </c>
      <c r="U34" s="26" t="s">
        <v>54</v>
      </c>
      <c r="V34" s="26" t="s">
        <v>55</v>
      </c>
      <c r="W34" s="238" t="s">
        <v>56</v>
      </c>
      <c r="X34" s="26" t="s">
        <v>60</v>
      </c>
      <c r="Y34" s="26" t="s">
        <v>59</v>
      </c>
      <c r="Z34" s="26" t="s">
        <v>61</v>
      </c>
      <c r="AA34" s="26" t="s">
        <v>58</v>
      </c>
      <c r="AB34" s="26" t="s">
        <v>57</v>
      </c>
      <c r="AD34" s="31" t="s">
        <v>49</v>
      </c>
      <c r="AE34" s="25" t="s">
        <v>42</v>
      </c>
      <c r="AF34" s="26" t="s">
        <v>51</v>
      </c>
      <c r="AG34" s="26" t="s">
        <v>52</v>
      </c>
      <c r="AH34" s="26" t="s">
        <v>53</v>
      </c>
      <c r="AI34" s="26" t="s">
        <v>54</v>
      </c>
      <c r="AJ34" s="26" t="s">
        <v>55</v>
      </c>
      <c r="AK34" s="238" t="s">
        <v>56</v>
      </c>
      <c r="AL34" s="26" t="s">
        <v>60</v>
      </c>
      <c r="AM34" s="26" t="s">
        <v>59</v>
      </c>
      <c r="AN34" s="26" t="s">
        <v>61</v>
      </c>
      <c r="AO34" s="26" t="s">
        <v>58</v>
      </c>
      <c r="AP34" s="26" t="s">
        <v>57</v>
      </c>
      <c r="AR34" s="31" t="s">
        <v>49</v>
      </c>
      <c r="AS34" s="25" t="s">
        <v>42</v>
      </c>
      <c r="AT34" s="26" t="s">
        <v>51</v>
      </c>
      <c r="AU34" s="26" t="s">
        <v>52</v>
      </c>
      <c r="AV34" s="26" t="s">
        <v>53</v>
      </c>
      <c r="AW34" s="26" t="s">
        <v>54</v>
      </c>
      <c r="AX34" s="26" t="s">
        <v>55</v>
      </c>
      <c r="AY34" s="238" t="s">
        <v>56</v>
      </c>
      <c r="AZ34" s="26" t="s">
        <v>60</v>
      </c>
      <c r="BA34" s="26" t="s">
        <v>59</v>
      </c>
      <c r="BB34" s="26" t="s">
        <v>61</v>
      </c>
      <c r="BC34" s="26" t="s">
        <v>58</v>
      </c>
      <c r="BD34" s="26" t="s">
        <v>57</v>
      </c>
    </row>
    <row r="35" spans="2:56" x14ac:dyDescent="0.25">
      <c r="B35" s="25" t="s">
        <v>42</v>
      </c>
      <c r="C35" s="50">
        <v>-1.754464E-2</v>
      </c>
      <c r="D35" s="50">
        <v>-0.3259341</v>
      </c>
      <c r="E35" s="50">
        <v>0</v>
      </c>
      <c r="F35" s="50">
        <v>0</v>
      </c>
      <c r="G35" s="50">
        <v>-8.4530948000000006</v>
      </c>
      <c r="H35" s="50">
        <v>0</v>
      </c>
      <c r="I35" s="88">
        <v>0</v>
      </c>
      <c r="J35" s="50">
        <v>0</v>
      </c>
      <c r="K35" s="50">
        <v>0</v>
      </c>
      <c r="L35" s="50">
        <v>0</v>
      </c>
      <c r="M35" s="50">
        <v>0</v>
      </c>
      <c r="N35" s="50">
        <v>0</v>
      </c>
      <c r="P35" s="25" t="s">
        <v>42</v>
      </c>
      <c r="Q35" s="50">
        <v>-4.8299673000000001E-2</v>
      </c>
      <c r="R35" s="50">
        <v>-2.313869</v>
      </c>
      <c r="S35" s="50">
        <v>0</v>
      </c>
      <c r="T35" s="50">
        <v>0</v>
      </c>
      <c r="U35" s="50">
        <v>-9.9170455999999998</v>
      </c>
      <c r="V35" s="50">
        <v>0</v>
      </c>
      <c r="W35" s="88">
        <v>0</v>
      </c>
      <c r="X35" s="50">
        <v>0</v>
      </c>
      <c r="Y35" s="50">
        <v>0</v>
      </c>
      <c r="Z35" s="50">
        <v>0</v>
      </c>
      <c r="AA35" s="50">
        <v>0</v>
      </c>
      <c r="AB35" s="50">
        <v>0</v>
      </c>
      <c r="AD35" s="25" t="s">
        <v>42</v>
      </c>
      <c r="AE35" s="50">
        <v>-0.20718210000000001</v>
      </c>
      <c r="AF35" s="50">
        <v>-2.3330320000000002</v>
      </c>
      <c r="AG35" s="50">
        <v>0</v>
      </c>
      <c r="AH35" s="50">
        <v>0</v>
      </c>
      <c r="AI35" s="50">
        <v>-14.936458</v>
      </c>
      <c r="AJ35" s="50">
        <v>0</v>
      </c>
      <c r="AK35" s="88">
        <v>0</v>
      </c>
      <c r="AL35" s="50">
        <v>0</v>
      </c>
      <c r="AM35" s="50">
        <v>0</v>
      </c>
      <c r="AN35" s="50">
        <v>0</v>
      </c>
      <c r="AO35" s="50">
        <v>0</v>
      </c>
      <c r="AP35" s="50">
        <v>0</v>
      </c>
      <c r="AR35" s="25" t="s">
        <v>42</v>
      </c>
      <c r="AS35" s="50">
        <v>-0.52479160000000002</v>
      </c>
      <c r="AT35" s="50">
        <v>-3.6519490000000001</v>
      </c>
      <c r="AU35" s="50">
        <v>0</v>
      </c>
      <c r="AV35" s="50">
        <v>0</v>
      </c>
      <c r="AW35" s="50">
        <v>-20.217877999999999</v>
      </c>
      <c r="AX35" s="50">
        <v>0</v>
      </c>
      <c r="AY35" s="88">
        <v>0</v>
      </c>
      <c r="AZ35" s="50">
        <v>0</v>
      </c>
      <c r="BA35" s="50">
        <v>0</v>
      </c>
      <c r="BB35" s="50">
        <v>0</v>
      </c>
      <c r="BC35" s="50">
        <v>0</v>
      </c>
      <c r="BD35" s="50">
        <v>0</v>
      </c>
    </row>
    <row r="36" spans="2:56" x14ac:dyDescent="0.25">
      <c r="B36" s="25" t="s">
        <v>43</v>
      </c>
      <c r="C36" s="50">
        <v>-2.6123430000000001</v>
      </c>
      <c r="D36" s="50">
        <v>-2.4395665000000002</v>
      </c>
      <c r="E36" s="50">
        <v>0</v>
      </c>
      <c r="F36" s="50">
        <v>0</v>
      </c>
      <c r="G36" s="50">
        <v>-6.8374318000000001</v>
      </c>
      <c r="H36" s="50">
        <v>0</v>
      </c>
      <c r="I36" s="88">
        <v>0</v>
      </c>
      <c r="J36" s="50">
        <v>0</v>
      </c>
      <c r="K36" s="50">
        <v>0</v>
      </c>
      <c r="L36" s="50">
        <v>0</v>
      </c>
      <c r="M36" s="50">
        <v>0</v>
      </c>
      <c r="N36" s="50">
        <v>0</v>
      </c>
      <c r="P36" s="25" t="s">
        <v>43</v>
      </c>
      <c r="Q36" s="50">
        <v>-2.7886459819999998</v>
      </c>
      <c r="R36" s="50">
        <v>-2.4596840000000002</v>
      </c>
      <c r="S36" s="50">
        <v>0</v>
      </c>
      <c r="T36" s="50">
        <v>0</v>
      </c>
      <c r="U36" s="50">
        <v>-7.6627121999999996</v>
      </c>
      <c r="V36" s="50">
        <v>0</v>
      </c>
      <c r="W36" s="88">
        <v>0</v>
      </c>
      <c r="X36" s="50">
        <v>0</v>
      </c>
      <c r="Y36" s="50">
        <v>0</v>
      </c>
      <c r="Z36" s="50">
        <v>0</v>
      </c>
      <c r="AA36" s="50">
        <v>0</v>
      </c>
      <c r="AB36" s="50">
        <v>0</v>
      </c>
      <c r="AD36" s="25" t="s">
        <v>43</v>
      </c>
      <c r="AE36" s="50">
        <v>-2.9372071000000002</v>
      </c>
      <c r="AF36" s="50">
        <v>-2.3894489999999999</v>
      </c>
      <c r="AG36" s="50">
        <v>0</v>
      </c>
      <c r="AH36" s="50">
        <v>0</v>
      </c>
      <c r="AI36" s="50">
        <v>-12.032351</v>
      </c>
      <c r="AJ36" s="50">
        <v>0</v>
      </c>
      <c r="AK36" s="88">
        <v>0</v>
      </c>
      <c r="AL36" s="50">
        <v>0</v>
      </c>
      <c r="AM36" s="50">
        <v>0</v>
      </c>
      <c r="AN36" s="50">
        <v>0</v>
      </c>
      <c r="AO36" s="50">
        <v>0</v>
      </c>
      <c r="AP36" s="50">
        <v>0</v>
      </c>
      <c r="AR36" s="25" t="s">
        <v>43</v>
      </c>
      <c r="AS36" s="50">
        <v>-3.5258992999999998</v>
      </c>
      <c r="AT36" s="50">
        <v>-2.768866</v>
      </c>
      <c r="AU36" s="50">
        <v>0</v>
      </c>
      <c r="AV36" s="50">
        <v>0</v>
      </c>
      <c r="AW36" s="50">
        <v>-13.182880000000001</v>
      </c>
      <c r="AX36" s="50">
        <v>0</v>
      </c>
      <c r="AY36" s="88">
        <v>0</v>
      </c>
      <c r="AZ36" s="50">
        <v>0</v>
      </c>
      <c r="BA36" s="50">
        <v>0</v>
      </c>
      <c r="BB36" s="50">
        <v>0</v>
      </c>
      <c r="BC36" s="50">
        <v>0</v>
      </c>
      <c r="BD36" s="50">
        <v>0</v>
      </c>
    </row>
    <row r="37" spans="2:56" x14ac:dyDescent="0.25">
      <c r="B37" s="25" t="s">
        <v>44</v>
      </c>
      <c r="C37" s="50">
        <v>-1.3231299999999999</v>
      </c>
      <c r="D37" s="50">
        <v>-4.3952729000000001</v>
      </c>
      <c r="E37" s="50">
        <v>0</v>
      </c>
      <c r="F37" s="50">
        <v>0</v>
      </c>
      <c r="G37" s="50">
        <v>-13.8725656</v>
      </c>
      <c r="H37" s="50">
        <v>0</v>
      </c>
      <c r="I37" s="88">
        <v>0</v>
      </c>
      <c r="J37" s="50">
        <v>0</v>
      </c>
      <c r="K37" s="50">
        <v>0</v>
      </c>
      <c r="L37" s="50">
        <v>0</v>
      </c>
      <c r="M37" s="50">
        <v>0</v>
      </c>
      <c r="N37" s="50">
        <v>0</v>
      </c>
      <c r="P37" s="25" t="s">
        <v>44</v>
      </c>
      <c r="Q37" s="50">
        <v>-1.802231841</v>
      </c>
      <c r="R37" s="50">
        <v>-10.819326999999999</v>
      </c>
      <c r="S37" s="50">
        <v>0</v>
      </c>
      <c r="T37" s="50">
        <v>0</v>
      </c>
      <c r="U37" s="50">
        <v>-17.215008399999999</v>
      </c>
      <c r="V37" s="50">
        <v>0</v>
      </c>
      <c r="W37" s="88">
        <v>0</v>
      </c>
      <c r="X37" s="50">
        <v>0</v>
      </c>
      <c r="Y37" s="50">
        <v>0</v>
      </c>
      <c r="Z37" s="50">
        <v>0</v>
      </c>
      <c r="AA37" s="50">
        <v>0</v>
      </c>
      <c r="AB37" s="50">
        <v>0</v>
      </c>
      <c r="AD37" s="25" t="s">
        <v>44</v>
      </c>
      <c r="AE37" s="50">
        <v>-2.9317253999999999</v>
      </c>
      <c r="AF37" s="50">
        <v>-10.545686</v>
      </c>
      <c r="AG37" s="50">
        <v>0</v>
      </c>
      <c r="AH37" s="50">
        <v>0</v>
      </c>
      <c r="AI37" s="50">
        <v>-23.31373</v>
      </c>
      <c r="AJ37" s="50">
        <v>0</v>
      </c>
      <c r="AK37" s="88">
        <v>0</v>
      </c>
      <c r="AL37" s="50">
        <v>0</v>
      </c>
      <c r="AM37" s="50">
        <v>0</v>
      </c>
      <c r="AN37" s="50">
        <v>0</v>
      </c>
      <c r="AO37" s="50">
        <v>0</v>
      </c>
      <c r="AP37" s="50">
        <v>0</v>
      </c>
      <c r="AR37" s="25" t="s">
        <v>44</v>
      </c>
      <c r="AS37" s="50">
        <v>-2.2458740000000001</v>
      </c>
      <c r="AT37" s="50">
        <v>-10.840522999999999</v>
      </c>
      <c r="AU37" s="50">
        <v>0</v>
      </c>
      <c r="AV37" s="50">
        <v>0</v>
      </c>
      <c r="AW37" s="50">
        <v>-28.612280999999999</v>
      </c>
      <c r="AX37" s="50">
        <v>0</v>
      </c>
      <c r="AY37" s="88">
        <v>0</v>
      </c>
      <c r="AZ37" s="50">
        <v>0</v>
      </c>
      <c r="BA37" s="50">
        <v>0</v>
      </c>
      <c r="BB37" s="50">
        <v>0</v>
      </c>
      <c r="BC37" s="50">
        <v>0</v>
      </c>
      <c r="BD37" s="50">
        <v>0</v>
      </c>
    </row>
    <row r="38" spans="2:56" x14ac:dyDescent="0.25">
      <c r="B38" s="25" t="s">
        <v>45</v>
      </c>
      <c r="C38" s="50">
        <v>-0.87146219999999996</v>
      </c>
      <c r="D38" s="50">
        <v>-1.5574465</v>
      </c>
      <c r="E38" s="50">
        <v>0</v>
      </c>
      <c r="F38" s="50">
        <v>0</v>
      </c>
      <c r="G38" s="50">
        <v>-8.6656849999999999</v>
      </c>
      <c r="H38" s="50">
        <v>0</v>
      </c>
      <c r="I38" s="88">
        <v>0</v>
      </c>
      <c r="J38" s="50">
        <v>0</v>
      </c>
      <c r="K38" s="50">
        <v>0</v>
      </c>
      <c r="L38" s="50">
        <v>0</v>
      </c>
      <c r="M38" s="50">
        <v>0</v>
      </c>
      <c r="N38" s="50">
        <v>0</v>
      </c>
      <c r="P38" s="25" t="s">
        <v>45</v>
      </c>
      <c r="Q38" s="50">
        <v>-0.90845659099999998</v>
      </c>
      <c r="R38" s="50">
        <v>-2.433093</v>
      </c>
      <c r="S38" s="50">
        <v>0</v>
      </c>
      <c r="T38" s="50">
        <v>0</v>
      </c>
      <c r="U38" s="50">
        <v>-9.6131495000000005</v>
      </c>
      <c r="V38" s="50">
        <v>0</v>
      </c>
      <c r="W38" s="88">
        <v>0</v>
      </c>
      <c r="X38" s="50">
        <v>0</v>
      </c>
      <c r="Y38" s="50">
        <v>0</v>
      </c>
      <c r="Z38" s="50">
        <v>0</v>
      </c>
      <c r="AA38" s="50">
        <v>0</v>
      </c>
      <c r="AB38" s="50">
        <v>0</v>
      </c>
      <c r="AD38" s="25" t="s">
        <v>45</v>
      </c>
      <c r="AE38" s="50">
        <v>-1.2210885</v>
      </c>
      <c r="AF38" s="50">
        <v>-2.4591270000000001</v>
      </c>
      <c r="AG38" s="50">
        <v>0</v>
      </c>
      <c r="AH38" s="50">
        <v>0</v>
      </c>
      <c r="AI38" s="50">
        <v>-14.642118</v>
      </c>
      <c r="AJ38" s="50">
        <v>0</v>
      </c>
      <c r="AK38" s="88">
        <v>0</v>
      </c>
      <c r="AL38" s="50">
        <v>0</v>
      </c>
      <c r="AM38" s="50">
        <v>0</v>
      </c>
      <c r="AN38" s="50">
        <v>0</v>
      </c>
      <c r="AO38" s="50">
        <v>0</v>
      </c>
      <c r="AP38" s="50">
        <v>0</v>
      </c>
      <c r="AR38" s="25" t="s">
        <v>45</v>
      </c>
      <c r="AS38" s="50">
        <v>-4.3883558000000003</v>
      </c>
      <c r="AT38" s="50">
        <v>-8.2195309999999999</v>
      </c>
      <c r="AU38" s="50">
        <v>0</v>
      </c>
      <c r="AV38" s="50">
        <v>0</v>
      </c>
      <c r="AW38" s="50">
        <v>-23.780365</v>
      </c>
      <c r="AX38" s="50">
        <v>0</v>
      </c>
      <c r="AY38" s="88">
        <v>0</v>
      </c>
      <c r="AZ38" s="50">
        <v>0</v>
      </c>
      <c r="BA38" s="50">
        <v>0</v>
      </c>
      <c r="BB38" s="50">
        <v>0</v>
      </c>
      <c r="BC38" s="50">
        <v>0</v>
      </c>
      <c r="BD38" s="50">
        <v>0</v>
      </c>
    </row>
    <row r="39" spans="2:56" x14ac:dyDescent="0.25">
      <c r="B39" s="25" t="s">
        <v>46</v>
      </c>
      <c r="C39" s="50">
        <v>-11.84168</v>
      </c>
      <c r="D39" s="50">
        <v>-12.3392879</v>
      </c>
      <c r="E39" s="50">
        <v>0</v>
      </c>
      <c r="F39" s="50">
        <v>0</v>
      </c>
      <c r="G39" s="50">
        <v>-0.84457059999999995</v>
      </c>
      <c r="H39" s="50">
        <v>0</v>
      </c>
      <c r="I39" s="88">
        <v>0</v>
      </c>
      <c r="J39" s="50">
        <v>0</v>
      </c>
      <c r="K39" s="50">
        <v>0</v>
      </c>
      <c r="L39" s="50">
        <v>0</v>
      </c>
      <c r="M39" s="50">
        <v>0</v>
      </c>
      <c r="N39" s="50">
        <v>0</v>
      </c>
      <c r="P39" s="25" t="s">
        <v>46</v>
      </c>
      <c r="Q39" s="50">
        <v>-11.318097963</v>
      </c>
      <c r="R39" s="50">
        <v>-11.705705</v>
      </c>
      <c r="S39" s="50">
        <v>0</v>
      </c>
      <c r="T39" s="50">
        <v>0</v>
      </c>
      <c r="U39" s="50">
        <v>-0.93247590000000002</v>
      </c>
      <c r="V39" s="50">
        <v>0</v>
      </c>
      <c r="W39" s="88">
        <v>0</v>
      </c>
      <c r="X39" s="50">
        <v>0</v>
      </c>
      <c r="Y39" s="50">
        <v>0</v>
      </c>
      <c r="Z39" s="50">
        <v>0</v>
      </c>
      <c r="AA39" s="50">
        <v>0</v>
      </c>
      <c r="AB39" s="50">
        <v>0</v>
      </c>
      <c r="AD39" s="25" t="s">
        <v>46</v>
      </c>
      <c r="AE39" s="50">
        <v>-13.895905900000001</v>
      </c>
      <c r="AF39" s="50">
        <v>-14.348229999999999</v>
      </c>
      <c r="AG39" s="50">
        <v>0</v>
      </c>
      <c r="AH39" s="50">
        <v>0</v>
      </c>
      <c r="AI39" s="50">
        <v>-1.7214769999999999</v>
      </c>
      <c r="AJ39" s="50">
        <v>0</v>
      </c>
      <c r="AK39" s="88">
        <v>0</v>
      </c>
      <c r="AL39" s="50">
        <v>0</v>
      </c>
      <c r="AM39" s="50">
        <v>0</v>
      </c>
      <c r="AN39" s="50">
        <v>0</v>
      </c>
      <c r="AO39" s="50">
        <v>0</v>
      </c>
      <c r="AP39" s="50">
        <v>0</v>
      </c>
      <c r="AR39" s="25" t="s">
        <v>46</v>
      </c>
      <c r="AS39" s="50">
        <v>-16.823533600000001</v>
      </c>
      <c r="AT39" s="50">
        <v>-16.344339999999999</v>
      </c>
      <c r="AU39" s="50">
        <v>0</v>
      </c>
      <c r="AV39" s="50">
        <v>0</v>
      </c>
      <c r="AW39" s="50">
        <v>-1.732084</v>
      </c>
      <c r="AX39" s="50">
        <v>0</v>
      </c>
      <c r="AY39" s="88">
        <v>0</v>
      </c>
      <c r="AZ39" s="50">
        <v>0</v>
      </c>
      <c r="BA39" s="50">
        <v>0</v>
      </c>
      <c r="BB39" s="50">
        <v>0</v>
      </c>
      <c r="BC39" s="50">
        <v>0</v>
      </c>
      <c r="BD39" s="50">
        <v>0</v>
      </c>
    </row>
    <row r="40" spans="2:56" x14ac:dyDescent="0.25">
      <c r="B40" s="25" t="s">
        <v>47</v>
      </c>
      <c r="C40" s="50">
        <v>-14.20819</v>
      </c>
      <c r="D40" s="50">
        <v>-12.8350629</v>
      </c>
      <c r="E40" s="50">
        <v>0</v>
      </c>
      <c r="F40" s="50">
        <v>0</v>
      </c>
      <c r="G40" s="50">
        <v>-0.17849499999999999</v>
      </c>
      <c r="H40" s="50">
        <v>0</v>
      </c>
      <c r="I40" s="88">
        <v>0</v>
      </c>
      <c r="J40" s="50">
        <v>0</v>
      </c>
      <c r="K40" s="50">
        <v>0</v>
      </c>
      <c r="L40" s="50">
        <v>0</v>
      </c>
      <c r="M40" s="50">
        <v>0</v>
      </c>
      <c r="N40" s="50">
        <v>0</v>
      </c>
      <c r="P40" s="25" t="s">
        <v>47</v>
      </c>
      <c r="Q40" s="50">
        <v>-14.84793934</v>
      </c>
      <c r="R40" s="50">
        <v>-13.122985</v>
      </c>
      <c r="S40" s="50">
        <v>0</v>
      </c>
      <c r="T40" s="50">
        <v>0</v>
      </c>
      <c r="U40" s="50">
        <v>-0.43832690000000002</v>
      </c>
      <c r="V40" s="50">
        <v>0</v>
      </c>
      <c r="W40" s="88">
        <v>0</v>
      </c>
      <c r="X40" s="50">
        <v>0</v>
      </c>
      <c r="Y40" s="50">
        <v>0</v>
      </c>
      <c r="Z40" s="50">
        <v>0</v>
      </c>
      <c r="AA40" s="50">
        <v>0</v>
      </c>
      <c r="AB40" s="50">
        <v>0</v>
      </c>
      <c r="AD40" s="25" t="s">
        <v>47</v>
      </c>
      <c r="AE40" s="50">
        <v>-17.524092599999999</v>
      </c>
      <c r="AF40" s="50">
        <v>-15.719818</v>
      </c>
      <c r="AG40" s="50">
        <v>0</v>
      </c>
      <c r="AH40" s="50">
        <v>0</v>
      </c>
      <c r="AI40" s="50">
        <v>-2.6716009999999999</v>
      </c>
      <c r="AJ40" s="50">
        <v>0</v>
      </c>
      <c r="AK40" s="88">
        <v>0</v>
      </c>
      <c r="AL40" s="50">
        <v>0</v>
      </c>
      <c r="AM40" s="50">
        <v>0</v>
      </c>
      <c r="AN40" s="50">
        <v>0</v>
      </c>
      <c r="AO40" s="50">
        <v>0</v>
      </c>
      <c r="AP40" s="50">
        <v>0</v>
      </c>
      <c r="AR40" s="25" t="s">
        <v>47</v>
      </c>
      <c r="AS40" s="50">
        <v>-18.839849000000001</v>
      </c>
      <c r="AT40" s="50">
        <v>-16.285983000000002</v>
      </c>
      <c r="AU40" s="50">
        <v>0</v>
      </c>
      <c r="AV40" s="50">
        <v>0</v>
      </c>
      <c r="AW40" s="50">
        <v>-3.054081</v>
      </c>
      <c r="AX40" s="50">
        <v>0</v>
      </c>
      <c r="AY40" s="88">
        <v>0</v>
      </c>
      <c r="AZ40" s="50">
        <v>0</v>
      </c>
      <c r="BA40" s="50">
        <v>0</v>
      </c>
      <c r="BB40" s="50">
        <v>0</v>
      </c>
      <c r="BC40" s="50">
        <v>0</v>
      </c>
      <c r="BD40" s="50">
        <v>0</v>
      </c>
    </row>
    <row r="41" spans="2:56" x14ac:dyDescent="0.25">
      <c r="B41" s="72" t="s">
        <v>48</v>
      </c>
      <c r="C41" s="78">
        <v>-1.26813</v>
      </c>
      <c r="D41" s="78">
        <v>-3.7536450000000001</v>
      </c>
      <c r="E41" s="78">
        <v>0</v>
      </c>
      <c r="F41" s="78">
        <v>0</v>
      </c>
      <c r="G41" s="78">
        <v>-3.694591</v>
      </c>
      <c r="H41" s="78">
        <v>0</v>
      </c>
      <c r="I41" s="89">
        <v>0</v>
      </c>
      <c r="J41" s="78">
        <v>0</v>
      </c>
      <c r="K41" s="78">
        <v>0</v>
      </c>
      <c r="L41" s="78">
        <v>0</v>
      </c>
      <c r="M41" s="78">
        <v>0</v>
      </c>
      <c r="N41" s="78">
        <v>0</v>
      </c>
      <c r="P41" s="72" t="s">
        <v>48</v>
      </c>
      <c r="Q41" s="78">
        <v>-1.444675725</v>
      </c>
      <c r="R41" s="78">
        <v>-5.1665570000000001</v>
      </c>
      <c r="S41" s="78">
        <v>0</v>
      </c>
      <c r="T41" s="78">
        <v>0</v>
      </c>
      <c r="U41" s="78">
        <v>-4.1958769</v>
      </c>
      <c r="V41" s="78">
        <v>0</v>
      </c>
      <c r="W41" s="89">
        <v>0</v>
      </c>
      <c r="X41" s="78">
        <v>0</v>
      </c>
      <c r="Y41" s="78">
        <v>0</v>
      </c>
      <c r="Z41" s="78">
        <v>0</v>
      </c>
      <c r="AA41" s="78">
        <v>0</v>
      </c>
      <c r="AB41" s="78">
        <v>0</v>
      </c>
      <c r="AD41" s="72" t="s">
        <v>48</v>
      </c>
      <c r="AE41" s="78">
        <v>-2.3223474</v>
      </c>
      <c r="AF41" s="78">
        <v>-5.5369739999999998</v>
      </c>
      <c r="AG41" s="78">
        <v>0</v>
      </c>
      <c r="AH41" s="78">
        <v>0</v>
      </c>
      <c r="AI41" s="78">
        <v>-6.5218990000000003</v>
      </c>
      <c r="AJ41" s="78">
        <v>0</v>
      </c>
      <c r="AK41" s="89">
        <v>0</v>
      </c>
      <c r="AL41" s="78">
        <v>0</v>
      </c>
      <c r="AM41" s="78">
        <v>0</v>
      </c>
      <c r="AN41" s="78">
        <v>0</v>
      </c>
      <c r="AO41" s="78">
        <v>0</v>
      </c>
      <c r="AP41" s="78">
        <v>0</v>
      </c>
      <c r="AR41" s="72" t="s">
        <v>48</v>
      </c>
      <c r="AS41" s="78">
        <v>-4.9246606999999996</v>
      </c>
      <c r="AT41" s="78">
        <v>-9.0828389999999999</v>
      </c>
      <c r="AU41" s="78">
        <v>0</v>
      </c>
      <c r="AV41" s="78">
        <v>0</v>
      </c>
      <c r="AW41" s="78">
        <v>-10.709389</v>
      </c>
      <c r="AX41" s="78">
        <v>0</v>
      </c>
      <c r="AY41" s="89">
        <v>0</v>
      </c>
      <c r="AZ41" s="78">
        <v>0</v>
      </c>
      <c r="BA41" s="78">
        <v>0</v>
      </c>
      <c r="BB41" s="78">
        <v>0</v>
      </c>
      <c r="BC41" s="78">
        <v>0</v>
      </c>
      <c r="BD41" s="78">
        <v>0</v>
      </c>
    </row>
    <row r="42" spans="2:56" x14ac:dyDescent="0.25">
      <c r="B42" s="25" t="s">
        <v>523</v>
      </c>
      <c r="C42" s="50">
        <v>-13.267569999999999</v>
      </c>
      <c r="D42" s="50">
        <v>-12.059854</v>
      </c>
      <c r="E42" s="50">
        <v>0</v>
      </c>
      <c r="F42" s="50">
        <v>0</v>
      </c>
      <c r="G42" s="50">
        <v>0</v>
      </c>
      <c r="H42" s="50">
        <v>0</v>
      </c>
      <c r="I42" s="88">
        <v>0</v>
      </c>
      <c r="J42" s="46"/>
      <c r="K42" s="46"/>
      <c r="L42" s="46"/>
      <c r="M42" s="46"/>
      <c r="N42" s="46"/>
      <c r="P42" s="25" t="s">
        <v>523</v>
      </c>
      <c r="Q42" s="50">
        <v>-13.213950333</v>
      </c>
      <c r="R42" s="50">
        <v>-11.413484</v>
      </c>
      <c r="S42" s="50">
        <v>0</v>
      </c>
      <c r="T42" s="50">
        <v>0</v>
      </c>
      <c r="U42" s="50">
        <v>0</v>
      </c>
      <c r="V42" s="50">
        <v>0</v>
      </c>
      <c r="W42" s="88">
        <v>0</v>
      </c>
      <c r="X42" s="46"/>
      <c r="Y42" s="46"/>
      <c r="Z42" s="46"/>
      <c r="AA42" s="46"/>
      <c r="AB42" s="46"/>
      <c r="AD42" s="25" t="s">
        <v>523</v>
      </c>
      <c r="AE42" s="50">
        <v>-16.182034999999999</v>
      </c>
      <c r="AF42" s="50">
        <v>-14.196123</v>
      </c>
      <c r="AG42" s="50">
        <v>0</v>
      </c>
      <c r="AH42" s="50">
        <v>0</v>
      </c>
      <c r="AI42" s="50">
        <v>0</v>
      </c>
      <c r="AJ42" s="50">
        <v>0</v>
      </c>
      <c r="AK42" s="88">
        <v>0</v>
      </c>
      <c r="AL42" s="46"/>
      <c r="AM42" s="46"/>
      <c r="AN42" s="46"/>
      <c r="AO42" s="46"/>
      <c r="AP42" s="46"/>
      <c r="AR42" s="25" t="s">
        <v>523</v>
      </c>
      <c r="AS42" s="50">
        <v>-17.2747773</v>
      </c>
      <c r="AT42" s="50">
        <v>-14.70828</v>
      </c>
      <c r="AU42" s="50">
        <v>0</v>
      </c>
      <c r="AV42" s="50">
        <v>0</v>
      </c>
      <c r="AW42" s="50">
        <v>-2.0057450000000001</v>
      </c>
      <c r="AX42" s="50">
        <v>0</v>
      </c>
      <c r="AY42" s="88">
        <v>0</v>
      </c>
      <c r="AZ42" s="46"/>
      <c r="BA42" s="46"/>
      <c r="BB42" s="46"/>
      <c r="BC42" s="46"/>
      <c r="BD42" s="46"/>
    </row>
    <row r="43" spans="2:56" x14ac:dyDescent="0.25">
      <c r="B43" s="25" t="s">
        <v>524</v>
      </c>
      <c r="C43" s="50">
        <v>-15.30443</v>
      </c>
      <c r="D43" s="50">
        <v>-16.563542999999999</v>
      </c>
      <c r="E43" s="50">
        <v>0</v>
      </c>
      <c r="F43" s="50">
        <v>0</v>
      </c>
      <c r="G43" s="50">
        <v>0</v>
      </c>
      <c r="H43" s="50">
        <v>0</v>
      </c>
      <c r="I43" s="88">
        <v>0</v>
      </c>
      <c r="J43" s="46"/>
      <c r="K43" s="46"/>
      <c r="L43" s="46"/>
      <c r="M43" s="46"/>
      <c r="N43" s="46"/>
      <c r="P43" s="25" t="s">
        <v>524</v>
      </c>
      <c r="Q43" s="50">
        <v>-14.851281667</v>
      </c>
      <c r="R43" s="50">
        <v>-15.629721</v>
      </c>
      <c r="S43" s="50">
        <v>0</v>
      </c>
      <c r="T43" s="50">
        <v>0</v>
      </c>
      <c r="U43" s="50">
        <v>0</v>
      </c>
      <c r="V43" s="50">
        <v>0</v>
      </c>
      <c r="W43" s="88">
        <v>0</v>
      </c>
      <c r="X43" s="46"/>
      <c r="Y43" s="46"/>
      <c r="Z43" s="46"/>
      <c r="AA43" s="46"/>
      <c r="AB43" s="46"/>
      <c r="AD43" s="25" t="s">
        <v>524</v>
      </c>
      <c r="AE43" s="50">
        <v>-18.9293607</v>
      </c>
      <c r="AF43" s="50">
        <v>-19.421154000000001</v>
      </c>
      <c r="AG43" s="50">
        <v>0</v>
      </c>
      <c r="AH43" s="50">
        <v>0</v>
      </c>
      <c r="AI43" s="50">
        <v>0</v>
      </c>
      <c r="AJ43" s="50">
        <v>0</v>
      </c>
      <c r="AK43" s="88">
        <v>0</v>
      </c>
      <c r="AL43" s="46"/>
      <c r="AM43" s="46"/>
      <c r="AN43" s="46"/>
      <c r="AO43" s="46"/>
      <c r="AP43" s="46"/>
      <c r="AR43" s="25" t="s">
        <v>524</v>
      </c>
      <c r="AS43" s="50">
        <v>-22.699684000000001</v>
      </c>
      <c r="AT43" s="50">
        <v>-22.589801999999999</v>
      </c>
      <c r="AU43" s="50">
        <v>0</v>
      </c>
      <c r="AV43" s="50">
        <v>0</v>
      </c>
      <c r="AW43" s="50">
        <v>0</v>
      </c>
      <c r="AX43" s="50">
        <v>0</v>
      </c>
      <c r="AY43" s="88">
        <v>0</v>
      </c>
      <c r="AZ43" s="46"/>
      <c r="BA43" s="46"/>
      <c r="BB43" s="46"/>
      <c r="BC43" s="46"/>
      <c r="BD43" s="46"/>
    </row>
    <row r="44" spans="2:56" x14ac:dyDescent="0.25">
      <c r="B44" s="25" t="s">
        <v>525</v>
      </c>
      <c r="C44" s="50">
        <v>-9.3333330000000005E-4</v>
      </c>
      <c r="D44" s="50">
        <v>-0.23914099999999999</v>
      </c>
      <c r="E44" s="50">
        <v>0</v>
      </c>
      <c r="F44" s="50">
        <v>0</v>
      </c>
      <c r="G44" s="50">
        <v>-8.8323520000000002</v>
      </c>
      <c r="H44" s="50">
        <v>0</v>
      </c>
      <c r="I44" s="88">
        <v>0</v>
      </c>
      <c r="J44" s="46"/>
      <c r="K44" s="46"/>
      <c r="L44" s="239" t="s">
        <v>69</v>
      </c>
      <c r="M44" s="46"/>
      <c r="N44" s="46"/>
      <c r="P44" s="25" t="s">
        <v>525</v>
      </c>
      <c r="Q44" s="50">
        <v>-3.1866669999999998E-3</v>
      </c>
      <c r="R44" s="50">
        <v>-1.0033190000000001</v>
      </c>
      <c r="S44" s="50">
        <v>0</v>
      </c>
      <c r="T44" s="50">
        <v>0</v>
      </c>
      <c r="U44" s="50">
        <v>-9.7805789999999995</v>
      </c>
      <c r="V44" s="50">
        <v>0</v>
      </c>
      <c r="W44" s="88">
        <v>0</v>
      </c>
      <c r="X44" s="46"/>
      <c r="Y44" s="46"/>
      <c r="Z44" s="239" t="s">
        <v>69</v>
      </c>
      <c r="AA44" s="46"/>
      <c r="AB44" s="46"/>
      <c r="AD44" s="25" t="s">
        <v>525</v>
      </c>
      <c r="AE44" s="50">
        <v>-3.6110000000000001E-3</v>
      </c>
      <c r="AF44" s="50">
        <v>-1.131149</v>
      </c>
      <c r="AG44" s="50">
        <v>0</v>
      </c>
      <c r="AH44" s="50">
        <v>0</v>
      </c>
      <c r="AI44" s="50">
        <v>-15.382065000000001</v>
      </c>
      <c r="AJ44" s="50">
        <v>0</v>
      </c>
      <c r="AK44" s="88">
        <v>0</v>
      </c>
      <c r="AL44" s="46"/>
      <c r="AM44" s="46"/>
      <c r="AN44" s="239" t="s">
        <v>69</v>
      </c>
      <c r="AO44" s="46"/>
      <c r="AP44" s="46"/>
      <c r="AR44" s="25" t="s">
        <v>525</v>
      </c>
      <c r="AS44" s="50">
        <v>-4.5699870000000002</v>
      </c>
      <c r="AT44" s="50">
        <v>-8.5770700000000009</v>
      </c>
      <c r="AU44" s="50">
        <v>0</v>
      </c>
      <c r="AV44" s="50">
        <v>0</v>
      </c>
      <c r="AW44" s="50">
        <v>-25.255661</v>
      </c>
      <c r="AX44" s="50">
        <v>0</v>
      </c>
      <c r="AY44" s="88">
        <v>0</v>
      </c>
      <c r="AZ44" s="46"/>
      <c r="BA44" s="46"/>
      <c r="BB44" s="239" t="s">
        <v>69</v>
      </c>
      <c r="BC44" s="46"/>
      <c r="BD44" s="46"/>
    </row>
    <row r="45" spans="2:56" x14ac:dyDescent="0.25">
      <c r="B45" s="25" t="s">
        <v>526</v>
      </c>
      <c r="C45" s="50">
        <v>-13.267569999999999</v>
      </c>
      <c r="D45" s="50">
        <v>-12.059854</v>
      </c>
      <c r="E45" s="50">
        <v>0</v>
      </c>
      <c r="F45" s="50">
        <v>0</v>
      </c>
      <c r="G45" s="50">
        <v>0</v>
      </c>
      <c r="H45" s="50">
        <v>0</v>
      </c>
      <c r="I45" s="88">
        <v>0</v>
      </c>
      <c r="J45" s="46"/>
      <c r="K45" s="46"/>
      <c r="L45" s="46"/>
      <c r="M45" s="46"/>
      <c r="N45" s="46"/>
      <c r="P45" s="25" t="s">
        <v>526</v>
      </c>
      <c r="Q45" s="50">
        <v>-13.213950333</v>
      </c>
      <c r="R45" s="50">
        <v>-11.413484</v>
      </c>
      <c r="S45" s="50">
        <v>0</v>
      </c>
      <c r="T45" s="50">
        <v>0</v>
      </c>
      <c r="U45" s="50">
        <v>0</v>
      </c>
      <c r="V45" s="50">
        <v>0</v>
      </c>
      <c r="W45" s="88">
        <v>0</v>
      </c>
      <c r="X45" s="46"/>
      <c r="Y45" s="46"/>
      <c r="Z45" s="46"/>
      <c r="AA45" s="46"/>
      <c r="AB45" s="46"/>
      <c r="AD45" s="25" t="s">
        <v>526</v>
      </c>
      <c r="AE45" s="50">
        <v>-16.182034999999999</v>
      </c>
      <c r="AF45" s="50">
        <v>-14.196123</v>
      </c>
      <c r="AG45" s="50">
        <v>0</v>
      </c>
      <c r="AH45" s="50">
        <v>0</v>
      </c>
      <c r="AI45" s="50">
        <v>0</v>
      </c>
      <c r="AJ45" s="50">
        <v>0</v>
      </c>
      <c r="AK45" s="88">
        <v>0</v>
      </c>
      <c r="AL45" s="46"/>
      <c r="AM45" s="46"/>
      <c r="AN45" s="46"/>
      <c r="AO45" s="46"/>
      <c r="AP45" s="46"/>
      <c r="AR45" s="25" t="s">
        <v>526</v>
      </c>
      <c r="AS45" s="50">
        <v>-17.2747773</v>
      </c>
      <c r="AT45" s="50">
        <v>-14.70828</v>
      </c>
      <c r="AU45" s="50">
        <v>0</v>
      </c>
      <c r="AV45" s="50">
        <v>0</v>
      </c>
      <c r="AW45" s="50">
        <v>-2.0057450000000001</v>
      </c>
      <c r="AX45" s="50">
        <v>0</v>
      </c>
      <c r="AY45" s="88">
        <v>0</v>
      </c>
      <c r="AZ45" s="46"/>
      <c r="BA45" s="46"/>
      <c r="BB45" s="46"/>
      <c r="BC45" s="46"/>
      <c r="BD45" s="46"/>
    </row>
    <row r="46" spans="2:56" x14ac:dyDescent="0.25">
      <c r="B46" s="25" t="s">
        <v>527</v>
      </c>
      <c r="C46" s="50">
        <v>-15.30443</v>
      </c>
      <c r="D46" s="50">
        <v>-16.563542999999999</v>
      </c>
      <c r="E46" s="50">
        <v>0</v>
      </c>
      <c r="F46" s="50">
        <v>0</v>
      </c>
      <c r="G46" s="50">
        <v>0</v>
      </c>
      <c r="H46" s="50">
        <v>0</v>
      </c>
      <c r="I46" s="88">
        <v>0</v>
      </c>
      <c r="J46" s="46"/>
      <c r="K46" s="46"/>
      <c r="L46" s="46"/>
      <c r="M46" s="46"/>
      <c r="N46" s="46"/>
      <c r="P46" s="25" t="s">
        <v>527</v>
      </c>
      <c r="Q46" s="50">
        <v>-14.851281667</v>
      </c>
      <c r="R46" s="50">
        <v>-15.629721</v>
      </c>
      <c r="S46" s="50">
        <v>0</v>
      </c>
      <c r="T46" s="50">
        <v>0</v>
      </c>
      <c r="U46" s="50">
        <v>0</v>
      </c>
      <c r="V46" s="50">
        <v>0</v>
      </c>
      <c r="W46" s="88">
        <v>0</v>
      </c>
      <c r="X46" s="46"/>
      <c r="Y46" s="46"/>
      <c r="Z46" s="46"/>
      <c r="AA46" s="46"/>
      <c r="AB46" s="46"/>
      <c r="AD46" s="25" t="s">
        <v>527</v>
      </c>
      <c r="AE46" s="50">
        <v>-18.9293607</v>
      </c>
      <c r="AF46" s="50">
        <v>-19.421154000000001</v>
      </c>
      <c r="AG46" s="50">
        <v>0</v>
      </c>
      <c r="AH46" s="50">
        <v>0</v>
      </c>
      <c r="AI46" s="50">
        <v>0</v>
      </c>
      <c r="AJ46" s="50">
        <v>0</v>
      </c>
      <c r="AK46" s="88">
        <v>0</v>
      </c>
      <c r="AL46" s="46"/>
      <c r="AM46" s="46"/>
      <c r="AN46" s="46"/>
      <c r="AO46" s="46"/>
      <c r="AP46" s="46"/>
      <c r="AR46" s="25" t="s">
        <v>527</v>
      </c>
      <c r="AS46" s="50">
        <v>-22.699684000000001</v>
      </c>
      <c r="AT46" s="50">
        <v>-22.589801999999999</v>
      </c>
      <c r="AU46" s="50">
        <v>0</v>
      </c>
      <c r="AV46" s="50">
        <v>0</v>
      </c>
      <c r="AW46" s="50">
        <v>0</v>
      </c>
      <c r="AX46" s="50">
        <v>0</v>
      </c>
      <c r="AY46" s="88">
        <v>0</v>
      </c>
      <c r="AZ46" s="46"/>
      <c r="BA46" s="46"/>
      <c r="BB46" s="46"/>
      <c r="BC46" s="46"/>
      <c r="BD46" s="46"/>
    </row>
    <row r="47" spans="2:56" x14ac:dyDescent="0.25">
      <c r="Q47" s="358"/>
      <c r="R47" s="358"/>
      <c r="S47" s="358"/>
      <c r="T47" s="358"/>
      <c r="U47" s="358"/>
      <c r="AE47" s="358">
        <f>AE35-Q35</f>
        <v>-0.15888242699999999</v>
      </c>
      <c r="AF47" s="358">
        <f t="shared" ref="AF47:AF58" si="0">AF35-R35</f>
        <v>-1.9163000000000263E-2</v>
      </c>
      <c r="AG47" s="358"/>
      <c r="AH47" s="358"/>
      <c r="AI47" s="358">
        <f t="shared" ref="AI47:AI58" si="1">AI35-U35</f>
        <v>-5.0194124000000002</v>
      </c>
      <c r="AS47" s="358">
        <f>AS35-AE35</f>
        <v>-0.31760949999999999</v>
      </c>
      <c r="AT47" s="358">
        <f t="shared" ref="AT47:AT58" si="2">AT35-AF35</f>
        <v>-1.3189169999999999</v>
      </c>
      <c r="AU47" s="358"/>
      <c r="AV47" s="358"/>
      <c r="AW47" s="358">
        <f t="shared" ref="AW47:AW58" si="3">AW35-AI35</f>
        <v>-5.2814199999999989</v>
      </c>
    </row>
    <row r="48" spans="2:56" x14ac:dyDescent="0.25">
      <c r="B48" t="s">
        <v>99</v>
      </c>
      <c r="P48" t="s">
        <v>99</v>
      </c>
      <c r="Q48" s="358"/>
      <c r="R48" s="358"/>
      <c r="S48" s="358"/>
      <c r="T48" s="358"/>
      <c r="U48" s="358"/>
      <c r="AD48" t="s">
        <v>99</v>
      </c>
      <c r="AE48" s="358">
        <f t="shared" ref="AE48:AE58" si="4">AE36-Q36</f>
        <v>-0.14856111800000038</v>
      </c>
      <c r="AF48" s="358">
        <f t="shared" si="0"/>
        <v>7.0235000000000269E-2</v>
      </c>
      <c r="AG48" s="358"/>
      <c r="AH48" s="358"/>
      <c r="AI48" s="358">
        <f t="shared" si="1"/>
        <v>-4.3696388000000006</v>
      </c>
      <c r="AR48" t="s">
        <v>99</v>
      </c>
      <c r="AS48" s="358">
        <f t="shared" ref="AS48:AS58" si="5">AS36-AE36</f>
        <v>-0.58869219999999967</v>
      </c>
      <c r="AT48" s="358">
        <f t="shared" si="2"/>
        <v>-0.37941700000000012</v>
      </c>
      <c r="AU48" s="358"/>
      <c r="AV48" s="358"/>
      <c r="AW48" s="358">
        <f t="shared" si="3"/>
        <v>-1.1505290000000006</v>
      </c>
    </row>
    <row r="49" spans="2:49" x14ac:dyDescent="0.25">
      <c r="B49" t="s">
        <v>113</v>
      </c>
      <c r="P49" t="s">
        <v>113</v>
      </c>
      <c r="Q49" s="358"/>
      <c r="R49" s="358"/>
      <c r="S49" s="358"/>
      <c r="T49" s="358"/>
      <c r="U49" s="358"/>
      <c r="AD49" t="s">
        <v>113</v>
      </c>
      <c r="AE49" s="358">
        <f t="shared" si="4"/>
        <v>-1.1294935589999999</v>
      </c>
      <c r="AF49" s="358">
        <f t="shared" si="0"/>
        <v>0.27364099999999958</v>
      </c>
      <c r="AG49" s="358"/>
      <c r="AH49" s="358"/>
      <c r="AI49" s="358">
        <f t="shared" si="1"/>
        <v>-6.0987216000000011</v>
      </c>
      <c r="AR49" t="s">
        <v>113</v>
      </c>
      <c r="AS49" s="358">
        <f t="shared" si="5"/>
        <v>0.68585139999999978</v>
      </c>
      <c r="AT49" s="358">
        <f t="shared" si="2"/>
        <v>-0.29483699999999935</v>
      </c>
      <c r="AU49" s="358"/>
      <c r="AV49" s="358"/>
      <c r="AW49" s="358">
        <f t="shared" si="3"/>
        <v>-5.2985509999999998</v>
      </c>
    </row>
    <row r="50" spans="2:49" x14ac:dyDescent="0.25">
      <c r="B50" t="s">
        <v>341</v>
      </c>
      <c r="P50" t="s">
        <v>341</v>
      </c>
      <c r="Q50" s="358"/>
      <c r="R50" s="358"/>
      <c r="S50" s="358"/>
      <c r="T50" s="358"/>
      <c r="U50" s="358"/>
      <c r="AD50" t="s">
        <v>341</v>
      </c>
      <c r="AE50" s="358">
        <f t="shared" si="4"/>
        <v>-0.31263190900000004</v>
      </c>
      <c r="AF50" s="358">
        <f t="shared" si="0"/>
        <v>-2.6034000000000113E-2</v>
      </c>
      <c r="AG50" s="358"/>
      <c r="AH50" s="358"/>
      <c r="AI50" s="358">
        <f t="shared" si="1"/>
        <v>-5.0289684999999995</v>
      </c>
      <c r="AR50" t="s">
        <v>341</v>
      </c>
      <c r="AS50" s="358">
        <f t="shared" si="5"/>
        <v>-3.1672673000000002</v>
      </c>
      <c r="AT50" s="358">
        <f t="shared" si="2"/>
        <v>-5.7604039999999994</v>
      </c>
      <c r="AU50" s="358"/>
      <c r="AV50" s="358"/>
      <c r="AW50" s="358">
        <f t="shared" si="3"/>
        <v>-9.1382469999999998</v>
      </c>
    </row>
    <row r="51" spans="2:49" x14ac:dyDescent="0.25">
      <c r="B51" t="s">
        <v>112</v>
      </c>
      <c r="P51" t="s">
        <v>112</v>
      </c>
      <c r="Q51" s="358"/>
      <c r="R51" s="358"/>
      <c r="S51" s="358"/>
      <c r="T51" s="358"/>
      <c r="U51" s="358"/>
      <c r="AD51" t="s">
        <v>112</v>
      </c>
      <c r="AE51" s="358">
        <f t="shared" si="4"/>
        <v>-2.5778079370000011</v>
      </c>
      <c r="AF51" s="358">
        <f t="shared" si="0"/>
        <v>-2.6425249999999991</v>
      </c>
      <c r="AG51" s="358"/>
      <c r="AH51" s="358"/>
      <c r="AI51" s="358">
        <f t="shared" si="1"/>
        <v>-0.7890010999999999</v>
      </c>
      <c r="AR51" t="s">
        <v>112</v>
      </c>
      <c r="AS51" s="358">
        <f t="shared" si="5"/>
        <v>-2.9276277000000004</v>
      </c>
      <c r="AT51" s="358">
        <f t="shared" si="2"/>
        <v>-1.9961099999999998</v>
      </c>
      <c r="AU51" s="358"/>
      <c r="AV51" s="358"/>
      <c r="AW51" s="358">
        <f t="shared" si="3"/>
        <v>-1.0607000000000033E-2</v>
      </c>
    </row>
    <row r="52" spans="2:49" x14ac:dyDescent="0.25">
      <c r="Q52" s="358"/>
      <c r="R52" s="358"/>
      <c r="S52" s="358"/>
      <c r="T52" s="358"/>
      <c r="U52" s="358"/>
      <c r="AE52" s="358">
        <f t="shared" si="4"/>
        <v>-2.6761532599999995</v>
      </c>
      <c r="AF52" s="358">
        <f t="shared" si="0"/>
        <v>-2.5968330000000002</v>
      </c>
      <c r="AG52" s="358"/>
      <c r="AH52" s="358"/>
      <c r="AI52" s="358">
        <f t="shared" si="1"/>
        <v>-2.2332741</v>
      </c>
      <c r="AS52" s="358">
        <f t="shared" si="5"/>
        <v>-1.3157564000000015</v>
      </c>
      <c r="AT52" s="358">
        <f t="shared" si="2"/>
        <v>-0.56616500000000158</v>
      </c>
      <c r="AU52" s="358"/>
      <c r="AV52" s="358"/>
      <c r="AW52" s="358">
        <f t="shared" si="3"/>
        <v>-0.38248000000000015</v>
      </c>
    </row>
    <row r="53" spans="2:49" x14ac:dyDescent="0.25">
      <c r="Q53" s="358"/>
      <c r="R53" s="358"/>
      <c r="S53" s="358"/>
      <c r="T53" s="358"/>
      <c r="U53" s="358"/>
      <c r="AE53" s="358">
        <f t="shared" si="4"/>
        <v>-0.87767167499999998</v>
      </c>
      <c r="AF53" s="358">
        <f t="shared" si="0"/>
        <v>-0.37041699999999977</v>
      </c>
      <c r="AG53" s="358"/>
      <c r="AH53" s="358"/>
      <c r="AI53" s="358">
        <f t="shared" si="1"/>
        <v>-2.3260221000000003</v>
      </c>
      <c r="AS53" s="358">
        <f t="shared" si="5"/>
        <v>-2.6023132999999996</v>
      </c>
      <c r="AT53" s="358">
        <f t="shared" si="2"/>
        <v>-3.545865</v>
      </c>
      <c r="AU53" s="358"/>
      <c r="AV53" s="358"/>
      <c r="AW53" s="358">
        <f t="shared" si="3"/>
        <v>-4.1874899999999995</v>
      </c>
    </row>
    <row r="54" spans="2:49" ht="18.75" x14ac:dyDescent="0.3">
      <c r="B54" s="29" t="s">
        <v>626</v>
      </c>
      <c r="Q54" s="358"/>
      <c r="R54" s="358"/>
      <c r="S54" s="358"/>
      <c r="T54" s="358"/>
      <c r="U54" s="358"/>
      <c r="AE54" s="358">
        <f t="shared" si="4"/>
        <v>-2.9680846669999994</v>
      </c>
      <c r="AF54" s="358">
        <f t="shared" si="0"/>
        <v>-2.7826389999999996</v>
      </c>
      <c r="AG54" s="358"/>
      <c r="AH54" s="358"/>
      <c r="AI54" s="358">
        <f t="shared" si="1"/>
        <v>0</v>
      </c>
      <c r="AS54" s="358">
        <f t="shared" si="5"/>
        <v>-1.0927423000000012</v>
      </c>
      <c r="AT54" s="358">
        <f t="shared" si="2"/>
        <v>-0.5121570000000002</v>
      </c>
      <c r="AU54" s="358"/>
      <c r="AV54" s="358"/>
      <c r="AW54" s="358">
        <f t="shared" si="3"/>
        <v>-2.0057450000000001</v>
      </c>
    </row>
    <row r="55" spans="2:49" x14ac:dyDescent="0.25">
      <c r="Q55" s="358"/>
      <c r="R55" s="358"/>
      <c r="S55" s="358"/>
      <c r="T55" s="358"/>
      <c r="U55" s="358"/>
      <c r="AE55" s="358">
        <f t="shared" si="4"/>
        <v>-4.0780790329999999</v>
      </c>
      <c r="AF55" s="358">
        <f t="shared" si="0"/>
        <v>-3.7914330000000014</v>
      </c>
      <c r="AG55" s="358"/>
      <c r="AH55" s="358"/>
      <c r="AI55" s="358">
        <f t="shared" si="1"/>
        <v>0</v>
      </c>
      <c r="AS55" s="358">
        <f t="shared" si="5"/>
        <v>-3.7703233000000012</v>
      </c>
      <c r="AT55" s="358">
        <f t="shared" si="2"/>
        <v>-3.1686479999999975</v>
      </c>
      <c r="AU55" s="358"/>
      <c r="AV55" s="358"/>
      <c r="AW55" s="358">
        <f t="shared" si="3"/>
        <v>0</v>
      </c>
    </row>
    <row r="56" spans="2:49" ht="30.75" customHeight="1" x14ac:dyDescent="0.25">
      <c r="B56" s="30" t="s">
        <v>63</v>
      </c>
      <c r="C56" s="90">
        <f>SUM('Main Sheet'!B11:B13)*6*2</f>
        <v>8388</v>
      </c>
      <c r="D56" s="401" t="s">
        <v>625</v>
      </c>
      <c r="E56" s="401"/>
      <c r="F56" s="401"/>
      <c r="G56" s="401"/>
      <c r="H56" s="401"/>
      <c r="I56" s="401"/>
      <c r="J56" s="401"/>
      <c r="K56" s="401"/>
      <c r="L56" s="401"/>
      <c r="M56" s="401"/>
      <c r="N56" s="401"/>
      <c r="Q56" s="358"/>
      <c r="R56" s="358"/>
      <c r="S56" s="358"/>
      <c r="T56" s="358"/>
      <c r="U56" s="358"/>
      <c r="AE56" s="358">
        <f t="shared" si="4"/>
        <v>-4.2433300000000026E-4</v>
      </c>
      <c r="AF56" s="358">
        <f t="shared" si="0"/>
        <v>-0.12782999999999989</v>
      </c>
      <c r="AG56" s="358"/>
      <c r="AH56" s="358"/>
      <c r="AI56" s="358">
        <f t="shared" si="1"/>
        <v>-5.6014860000000013</v>
      </c>
      <c r="AS56" s="358">
        <f t="shared" si="5"/>
        <v>-4.566376</v>
      </c>
      <c r="AT56" s="358">
        <f t="shared" si="2"/>
        <v>-7.4459210000000011</v>
      </c>
      <c r="AU56" s="358"/>
      <c r="AV56" s="358"/>
      <c r="AW56" s="358">
        <f t="shared" si="3"/>
        <v>-9.8735959999999992</v>
      </c>
    </row>
    <row r="57" spans="2:49" ht="15" customHeight="1" x14ac:dyDescent="0.25">
      <c r="B57" s="30" t="s">
        <v>64</v>
      </c>
      <c r="C57" s="90">
        <f>2*0.049*1600000</f>
        <v>156800</v>
      </c>
      <c r="D57" t="s">
        <v>562</v>
      </c>
      <c r="Q57" s="358"/>
      <c r="R57" s="358"/>
      <c r="S57" s="358"/>
      <c r="T57" s="358"/>
      <c r="U57" s="358"/>
      <c r="AE57" s="358">
        <f t="shared" si="4"/>
        <v>-2.9680846669999994</v>
      </c>
      <c r="AF57" s="358">
        <f t="shared" si="0"/>
        <v>-2.7826389999999996</v>
      </c>
      <c r="AG57" s="358"/>
      <c r="AH57" s="358"/>
      <c r="AI57" s="358">
        <f t="shared" si="1"/>
        <v>0</v>
      </c>
      <c r="AS57" s="358">
        <f t="shared" si="5"/>
        <v>-1.0927423000000012</v>
      </c>
      <c r="AT57" s="358">
        <f t="shared" si="2"/>
        <v>-0.5121570000000002</v>
      </c>
      <c r="AU57" s="358"/>
      <c r="AV57" s="358"/>
      <c r="AW57" s="358">
        <f t="shared" si="3"/>
        <v>-2.0057450000000001</v>
      </c>
    </row>
    <row r="58" spans="2:49" x14ac:dyDescent="0.25">
      <c r="B58" s="30" t="s">
        <v>62</v>
      </c>
      <c r="C58" s="27">
        <f>C56/C57</f>
        <v>5.3494897959183677E-2</v>
      </c>
      <c r="D58" s="179" t="s">
        <v>342</v>
      </c>
      <c r="Q58" s="358"/>
      <c r="R58" s="358"/>
      <c r="S58" s="358"/>
      <c r="T58" s="358"/>
      <c r="U58" s="358"/>
      <c r="AE58" s="358">
        <f t="shared" si="4"/>
        <v>-4.0780790329999999</v>
      </c>
      <c r="AF58" s="358">
        <f t="shared" si="0"/>
        <v>-3.7914330000000014</v>
      </c>
      <c r="AG58" s="358"/>
      <c r="AH58" s="358"/>
      <c r="AI58" s="358">
        <f t="shared" si="1"/>
        <v>0</v>
      </c>
      <c r="AS58" s="358">
        <f t="shared" si="5"/>
        <v>-3.7703233000000012</v>
      </c>
      <c r="AT58" s="358">
        <f t="shared" si="2"/>
        <v>-3.1686479999999975</v>
      </c>
      <c r="AU58" s="358"/>
      <c r="AV58" s="358"/>
      <c r="AW58" s="358">
        <f t="shared" si="3"/>
        <v>0</v>
      </c>
    </row>
    <row r="59" spans="2:49" x14ac:dyDescent="0.25">
      <c r="B59" s="30" t="s">
        <v>65</v>
      </c>
      <c r="C59" s="91">
        <v>-3.2000000000000001E-2</v>
      </c>
      <c r="D59" t="s">
        <v>350</v>
      </c>
      <c r="Q59" s="358"/>
      <c r="R59" s="358"/>
      <c r="U59" s="358"/>
    </row>
    <row r="60" spans="2:49" x14ac:dyDescent="0.25">
      <c r="Q60" s="358"/>
      <c r="R60" s="358"/>
      <c r="U60" s="358"/>
    </row>
    <row r="61" spans="2:49" x14ac:dyDescent="0.25">
      <c r="C61" s="402" t="s">
        <v>639</v>
      </c>
      <c r="D61" s="402"/>
      <c r="E61" s="402"/>
      <c r="F61" s="402"/>
      <c r="G61" s="402"/>
      <c r="H61" s="402"/>
      <c r="I61" s="402"/>
      <c r="J61" s="402"/>
      <c r="K61" s="402"/>
      <c r="L61" s="402"/>
      <c r="M61" s="402"/>
      <c r="N61" s="402"/>
      <c r="Q61" s="358"/>
      <c r="R61" s="358"/>
      <c r="U61" s="358"/>
    </row>
    <row r="62" spans="2:49" x14ac:dyDescent="0.25">
      <c r="B62" s="71" t="s">
        <v>334</v>
      </c>
      <c r="C62" s="72" t="s">
        <v>42</v>
      </c>
      <c r="D62" s="73" t="s">
        <v>51</v>
      </c>
      <c r="E62" s="73" t="s">
        <v>52</v>
      </c>
      <c r="F62" s="73" t="s">
        <v>53</v>
      </c>
      <c r="G62" s="73" t="s">
        <v>54</v>
      </c>
      <c r="H62" s="73" t="s">
        <v>55</v>
      </c>
      <c r="I62" s="75" t="s">
        <v>56</v>
      </c>
      <c r="J62" s="73" t="s">
        <v>60</v>
      </c>
      <c r="K62" s="73" t="s">
        <v>59</v>
      </c>
      <c r="L62" s="73" t="s">
        <v>61</v>
      </c>
      <c r="M62" s="73" t="s">
        <v>58</v>
      </c>
      <c r="N62" s="73" t="s">
        <v>57</v>
      </c>
    </row>
    <row r="63" spans="2:49" x14ac:dyDescent="0.25">
      <c r="B63" s="25" t="s">
        <v>42</v>
      </c>
      <c r="C63" s="47">
        <f t="shared" ref="C63:N63" si="6">civt*C12*(1-probvp)</f>
        <v>-0.52872138457959172</v>
      </c>
      <c r="D63" s="47">
        <f t="shared" si="6"/>
        <v>-0.79446548872653056</v>
      </c>
      <c r="E63" s="47">
        <f t="shared" si="6"/>
        <v>0</v>
      </c>
      <c r="F63" s="47">
        <f t="shared" si="6"/>
        <v>0</v>
      </c>
      <c r="G63" s="47">
        <f t="shared" si="6"/>
        <v>-2.4157551282857139</v>
      </c>
      <c r="H63" s="47">
        <f t="shared" si="6"/>
        <v>0</v>
      </c>
      <c r="I63" s="226">
        <f t="shared" si="6"/>
        <v>0</v>
      </c>
      <c r="J63" s="47">
        <f t="shared" si="6"/>
        <v>0</v>
      </c>
      <c r="K63" s="47">
        <f t="shared" si="6"/>
        <v>0</v>
      </c>
      <c r="L63" s="47">
        <f t="shared" si="6"/>
        <v>0</v>
      </c>
      <c r="M63" s="47">
        <f t="shared" si="6"/>
        <v>0</v>
      </c>
      <c r="N63" s="47">
        <f t="shared" si="6"/>
        <v>0</v>
      </c>
    </row>
    <row r="64" spans="2:49" x14ac:dyDescent="0.25">
      <c r="B64" s="25" t="s">
        <v>43</v>
      </c>
      <c r="C64" s="47">
        <f t="shared" ref="C64:N64" si="7">civt*C13*(1-probvp)</f>
        <v>-1.0606106081551019</v>
      </c>
      <c r="D64" s="47">
        <f t="shared" si="7"/>
        <v>-0.68384312138775516</v>
      </c>
      <c r="E64" s="47">
        <f t="shared" si="7"/>
        <v>0</v>
      </c>
      <c r="F64" s="47">
        <f t="shared" si="7"/>
        <v>0</v>
      </c>
      <c r="G64" s="47">
        <f t="shared" si="7"/>
        <v>-2.1204673439265305</v>
      </c>
      <c r="H64" s="47">
        <f t="shared" si="7"/>
        <v>0</v>
      </c>
      <c r="I64" s="226">
        <f t="shared" si="7"/>
        <v>0</v>
      </c>
      <c r="J64" s="47">
        <f t="shared" si="7"/>
        <v>0</v>
      </c>
      <c r="K64" s="47">
        <f t="shared" si="7"/>
        <v>0</v>
      </c>
      <c r="L64" s="47">
        <f t="shared" si="7"/>
        <v>0</v>
      </c>
      <c r="M64" s="47">
        <f t="shared" si="7"/>
        <v>0</v>
      </c>
      <c r="N64" s="47">
        <f t="shared" si="7"/>
        <v>0</v>
      </c>
    </row>
    <row r="65" spans="2:56" x14ac:dyDescent="0.25">
      <c r="B65" s="25" t="s">
        <v>44</v>
      </c>
      <c r="C65" s="47">
        <f t="shared" ref="C65:N65" si="8">civt*C14*(1-probvp)</f>
        <v>-0.77274221226938777</v>
      </c>
      <c r="D65" s="47">
        <f t="shared" si="8"/>
        <v>-1.2744002143265307</v>
      </c>
      <c r="E65" s="47">
        <f t="shared" si="8"/>
        <v>0</v>
      </c>
      <c r="F65" s="47">
        <f t="shared" si="8"/>
        <v>0</v>
      </c>
      <c r="G65" s="47">
        <f t="shared" si="8"/>
        <v>-2.9740934904326526</v>
      </c>
      <c r="H65" s="47">
        <f t="shared" si="8"/>
        <v>0</v>
      </c>
      <c r="I65" s="226">
        <f t="shared" si="8"/>
        <v>0</v>
      </c>
      <c r="J65" s="47">
        <f t="shared" si="8"/>
        <v>0</v>
      </c>
      <c r="K65" s="47">
        <f t="shared" si="8"/>
        <v>0</v>
      </c>
      <c r="L65" s="47">
        <f t="shared" si="8"/>
        <v>0</v>
      </c>
      <c r="M65" s="47">
        <f t="shared" si="8"/>
        <v>0</v>
      </c>
      <c r="N65" s="47">
        <f t="shared" si="8"/>
        <v>0</v>
      </c>
    </row>
    <row r="66" spans="2:56" x14ac:dyDescent="0.25">
      <c r="B66" s="25" t="s">
        <v>45</v>
      </c>
      <c r="C66" s="47">
        <f t="shared" ref="C66:N66" si="9">civt*C15*(1-probvp)</f>
        <v>-1.2557672391673467</v>
      </c>
      <c r="D66" s="47">
        <f t="shared" si="9"/>
        <v>-1.2206650752326531</v>
      </c>
      <c r="E66" s="47">
        <f t="shared" si="9"/>
        <v>0</v>
      </c>
      <c r="F66" s="47">
        <f t="shared" si="9"/>
        <v>0</v>
      </c>
      <c r="G66" s="47">
        <f t="shared" si="9"/>
        <v>-2.867713586122449</v>
      </c>
      <c r="H66" s="47">
        <f t="shared" si="9"/>
        <v>0</v>
      </c>
      <c r="I66" s="226">
        <f t="shared" si="9"/>
        <v>0</v>
      </c>
      <c r="J66" s="47">
        <f t="shared" si="9"/>
        <v>0</v>
      </c>
      <c r="K66" s="47">
        <f t="shared" si="9"/>
        <v>0</v>
      </c>
      <c r="L66" s="47">
        <f t="shared" si="9"/>
        <v>0</v>
      </c>
      <c r="M66" s="47">
        <f t="shared" si="9"/>
        <v>0</v>
      </c>
      <c r="N66" s="47">
        <f t="shared" si="9"/>
        <v>0</v>
      </c>
    </row>
    <row r="67" spans="2:56" x14ac:dyDescent="0.25">
      <c r="B67" s="25" t="s">
        <v>46</v>
      </c>
      <c r="C67" s="47">
        <f t="shared" ref="C67:N67" si="10">civt*C16*(1-probvp)</f>
        <v>-2.0912828813306121</v>
      </c>
      <c r="D67" s="47">
        <f t="shared" si="10"/>
        <v>-1.7179176639428571</v>
      </c>
      <c r="E67" s="47">
        <f t="shared" si="10"/>
        <v>0</v>
      </c>
      <c r="F67" s="47">
        <f t="shared" si="10"/>
        <v>0</v>
      </c>
      <c r="G67" s="47">
        <f t="shared" si="10"/>
        <v>-1.1908015520163264</v>
      </c>
      <c r="H67" s="47">
        <f t="shared" si="10"/>
        <v>0</v>
      </c>
      <c r="I67" s="226">
        <f t="shared" si="10"/>
        <v>0</v>
      </c>
      <c r="J67" s="47">
        <f t="shared" si="10"/>
        <v>0</v>
      </c>
      <c r="K67" s="47">
        <f t="shared" si="10"/>
        <v>0</v>
      </c>
      <c r="L67" s="47">
        <f t="shared" si="10"/>
        <v>0</v>
      </c>
      <c r="M67" s="47">
        <f t="shared" si="10"/>
        <v>0</v>
      </c>
      <c r="N67" s="47">
        <f t="shared" si="10"/>
        <v>0</v>
      </c>
    </row>
    <row r="68" spans="2:56" x14ac:dyDescent="0.25">
      <c r="B68" s="25" t="s">
        <v>47</v>
      </c>
      <c r="C68" s="47">
        <f t="shared" ref="C68:N68" si="11">civt*C17*(1-probvp)</f>
        <v>-2.2669602859020408</v>
      </c>
      <c r="D68" s="47">
        <f t="shared" si="11"/>
        <v>-1.6455292566204081</v>
      </c>
      <c r="E68" s="47">
        <f t="shared" si="11"/>
        <v>0</v>
      </c>
      <c r="F68" s="47">
        <f t="shared" si="11"/>
        <v>0</v>
      </c>
      <c r="G68" s="47">
        <f t="shared" si="11"/>
        <v>-1.4944509896081632</v>
      </c>
      <c r="H68" s="47">
        <f t="shared" si="11"/>
        <v>0</v>
      </c>
      <c r="I68" s="226">
        <f t="shared" si="11"/>
        <v>0</v>
      </c>
      <c r="J68" s="47">
        <f t="shared" si="11"/>
        <v>0</v>
      </c>
      <c r="K68" s="47">
        <f t="shared" si="11"/>
        <v>0</v>
      </c>
      <c r="L68" s="47">
        <f t="shared" si="11"/>
        <v>0</v>
      </c>
      <c r="M68" s="47">
        <f t="shared" si="11"/>
        <v>0</v>
      </c>
      <c r="N68" s="47">
        <f t="shared" si="11"/>
        <v>0</v>
      </c>
    </row>
    <row r="69" spans="2:56" x14ac:dyDescent="0.25">
      <c r="B69" s="72" t="s">
        <v>48</v>
      </c>
      <c r="C69" s="223">
        <f t="shared" ref="C69:N69" si="12">civt*C18*(1-probvp)</f>
        <v>-2.934809742677551</v>
      </c>
      <c r="D69" s="223">
        <f t="shared" si="12"/>
        <v>-2.8881962594122448</v>
      </c>
      <c r="E69" s="223">
        <f t="shared" si="12"/>
        <v>0</v>
      </c>
      <c r="F69" s="223">
        <f t="shared" si="12"/>
        <v>0</v>
      </c>
      <c r="G69" s="223">
        <f t="shared" si="12"/>
        <v>-3.7463323134285713</v>
      </c>
      <c r="H69" s="223">
        <f t="shared" si="12"/>
        <v>0</v>
      </c>
      <c r="I69" s="227">
        <f t="shared" si="12"/>
        <v>0</v>
      </c>
      <c r="J69" s="223">
        <f t="shared" si="12"/>
        <v>0</v>
      </c>
      <c r="K69" s="223">
        <f t="shared" si="12"/>
        <v>0</v>
      </c>
      <c r="L69" s="223">
        <f t="shared" si="12"/>
        <v>0</v>
      </c>
      <c r="M69" s="223">
        <f t="shared" si="12"/>
        <v>0</v>
      </c>
      <c r="N69" s="223">
        <f t="shared" si="12"/>
        <v>0</v>
      </c>
    </row>
    <row r="70" spans="2:56" x14ac:dyDescent="0.25">
      <c r="B70" s="25" t="s">
        <v>523</v>
      </c>
      <c r="C70" s="47">
        <f t="shared" ref="C70:I74" si="13">civt*C19*(1-probvp)</f>
        <v>-2.4657299919102043</v>
      </c>
      <c r="D70" s="47">
        <f t="shared" si="13"/>
        <v>-1.8411411187265307</v>
      </c>
      <c r="E70" s="47">
        <f t="shared" si="13"/>
        <v>0</v>
      </c>
      <c r="F70" s="47">
        <f t="shared" si="13"/>
        <v>0</v>
      </c>
      <c r="G70" s="47">
        <f t="shared" si="13"/>
        <v>-1.1969800344408164</v>
      </c>
      <c r="H70" s="47">
        <f t="shared" si="13"/>
        <v>0</v>
      </c>
      <c r="I70" s="226">
        <f t="shared" si="13"/>
        <v>0</v>
      </c>
      <c r="J70" s="213"/>
      <c r="K70" s="214"/>
      <c r="L70" s="214"/>
      <c r="M70" s="214"/>
      <c r="N70" s="215"/>
    </row>
    <row r="71" spans="2:56" x14ac:dyDescent="0.25">
      <c r="B71" s="25" t="s">
        <v>524</v>
      </c>
      <c r="C71" s="47">
        <f t="shared" si="13"/>
        <v>-2.69584007197551</v>
      </c>
      <c r="D71" s="47">
        <f t="shared" si="13"/>
        <v>-2.3506761634040814</v>
      </c>
      <c r="E71" s="47">
        <f t="shared" si="13"/>
        <v>0</v>
      </c>
      <c r="F71" s="47">
        <f t="shared" si="13"/>
        <v>0</v>
      </c>
      <c r="G71" s="47">
        <f t="shared" si="13"/>
        <v>-1.2797230561387754</v>
      </c>
      <c r="H71" s="47">
        <f t="shared" si="13"/>
        <v>0</v>
      </c>
      <c r="I71" s="226">
        <f t="shared" si="13"/>
        <v>0</v>
      </c>
      <c r="J71" s="216"/>
      <c r="K71" s="217"/>
      <c r="L71" s="217"/>
      <c r="M71" s="217"/>
      <c r="N71" s="218"/>
    </row>
    <row r="72" spans="2:56" x14ac:dyDescent="0.25">
      <c r="B72" s="25" t="s">
        <v>525</v>
      </c>
      <c r="C72" s="47">
        <f t="shared" si="13"/>
        <v>-2.6402331243918367</v>
      </c>
      <c r="D72" s="47">
        <f t="shared" si="13"/>
        <v>-2.6107827317224488</v>
      </c>
      <c r="E72" s="47">
        <f t="shared" si="13"/>
        <v>0</v>
      </c>
      <c r="F72" s="47">
        <f t="shared" si="13"/>
        <v>0</v>
      </c>
      <c r="G72" s="47">
        <f t="shared" si="13"/>
        <v>-4.3655607874775511</v>
      </c>
      <c r="H72" s="47">
        <f t="shared" si="13"/>
        <v>0</v>
      </c>
      <c r="I72" s="226">
        <f t="shared" si="13"/>
        <v>0</v>
      </c>
      <c r="J72" s="216"/>
      <c r="K72" s="217"/>
      <c r="L72" s="222" t="s">
        <v>69</v>
      </c>
      <c r="M72" s="217"/>
      <c r="N72" s="218"/>
    </row>
    <row r="73" spans="2:56" x14ac:dyDescent="0.25">
      <c r="B73" s="25" t="s">
        <v>526</v>
      </c>
      <c r="C73" s="47">
        <f t="shared" si="13"/>
        <v>-2.4657299919102043</v>
      </c>
      <c r="D73" s="47">
        <f t="shared" si="13"/>
        <v>-1.8411411187265307</v>
      </c>
      <c r="E73" s="47">
        <f t="shared" si="13"/>
        <v>0</v>
      </c>
      <c r="F73" s="47">
        <f t="shared" si="13"/>
        <v>0</v>
      </c>
      <c r="G73" s="47">
        <f t="shared" si="13"/>
        <v>-1.1969800344408164</v>
      </c>
      <c r="H73" s="47">
        <f t="shared" si="13"/>
        <v>0</v>
      </c>
      <c r="I73" s="226">
        <f t="shared" si="13"/>
        <v>0</v>
      </c>
      <c r="J73" s="216"/>
      <c r="K73" s="217"/>
      <c r="L73" s="217"/>
      <c r="M73" s="217"/>
      <c r="N73" s="218"/>
    </row>
    <row r="74" spans="2:56" x14ac:dyDescent="0.25">
      <c r="B74" s="25" t="s">
        <v>527</v>
      </c>
      <c r="C74" s="47">
        <f t="shared" si="13"/>
        <v>-2.69584007197551</v>
      </c>
      <c r="D74" s="47">
        <f t="shared" si="13"/>
        <v>-2.3506761634040814</v>
      </c>
      <c r="E74" s="47">
        <f t="shared" si="13"/>
        <v>0</v>
      </c>
      <c r="F74" s="47">
        <f t="shared" si="13"/>
        <v>0</v>
      </c>
      <c r="G74" s="47">
        <f t="shared" si="13"/>
        <v>-1.2797230561387754</v>
      </c>
      <c r="H74" s="47">
        <f t="shared" si="13"/>
        <v>0</v>
      </c>
      <c r="I74" s="226">
        <f t="shared" si="13"/>
        <v>0</v>
      </c>
      <c r="J74" s="219"/>
      <c r="K74" s="220"/>
      <c r="L74" s="220"/>
      <c r="M74" s="220"/>
      <c r="N74" s="221"/>
    </row>
    <row r="77" spans="2:56" ht="18.75" x14ac:dyDescent="0.3">
      <c r="B77" s="29" t="s">
        <v>634</v>
      </c>
      <c r="P77" s="29" t="s">
        <v>633</v>
      </c>
      <c r="AD77" s="29" t="s">
        <v>632</v>
      </c>
      <c r="AR77" s="29" t="s">
        <v>631</v>
      </c>
    </row>
    <row r="79" spans="2:56" x14ac:dyDescent="0.25">
      <c r="C79" s="402" t="s">
        <v>639</v>
      </c>
      <c r="D79" s="402"/>
      <c r="E79" s="402"/>
      <c r="F79" s="402"/>
      <c r="G79" s="402"/>
      <c r="H79" s="402"/>
      <c r="I79" s="402"/>
      <c r="J79" s="402"/>
      <c r="K79" s="402"/>
      <c r="L79" s="402"/>
      <c r="M79" s="402"/>
      <c r="N79" s="402"/>
      <c r="Q79" s="402" t="s">
        <v>639</v>
      </c>
      <c r="R79" s="402"/>
      <c r="S79" s="402"/>
      <c r="T79" s="402"/>
      <c r="U79" s="402"/>
      <c r="V79" s="402"/>
      <c r="W79" s="402"/>
      <c r="X79" s="402"/>
      <c r="Y79" s="402"/>
      <c r="Z79" s="402"/>
      <c r="AA79" s="402"/>
      <c r="AB79" s="402"/>
      <c r="AE79" s="402" t="s">
        <v>639</v>
      </c>
      <c r="AF79" s="402"/>
      <c r="AG79" s="402"/>
      <c r="AH79" s="402"/>
      <c r="AI79" s="402"/>
      <c r="AJ79" s="402"/>
      <c r="AK79" s="402"/>
      <c r="AL79" s="402"/>
      <c r="AM79" s="402"/>
      <c r="AN79" s="402"/>
      <c r="AO79" s="402"/>
      <c r="AP79" s="402"/>
      <c r="AS79" s="402" t="s">
        <v>639</v>
      </c>
      <c r="AT79" s="402"/>
      <c r="AU79" s="402"/>
      <c r="AV79" s="402"/>
      <c r="AW79" s="402"/>
      <c r="AX79" s="402"/>
      <c r="AY79" s="402"/>
      <c r="AZ79" s="402"/>
      <c r="BA79" s="402"/>
      <c r="BB79" s="402"/>
      <c r="BC79" s="402"/>
      <c r="BD79" s="402"/>
    </row>
    <row r="80" spans="2:56" x14ac:dyDescent="0.25">
      <c r="B80" s="71" t="s">
        <v>334</v>
      </c>
      <c r="C80" s="72" t="s">
        <v>42</v>
      </c>
      <c r="D80" s="73" t="s">
        <v>51</v>
      </c>
      <c r="E80" s="73" t="s">
        <v>52</v>
      </c>
      <c r="F80" s="73" t="s">
        <v>53</v>
      </c>
      <c r="G80" s="73" t="s">
        <v>54</v>
      </c>
      <c r="H80" s="73" t="s">
        <v>55</v>
      </c>
      <c r="I80" s="75" t="s">
        <v>56</v>
      </c>
      <c r="J80" s="73" t="s">
        <v>60</v>
      </c>
      <c r="K80" s="73" t="s">
        <v>59</v>
      </c>
      <c r="L80" s="73" t="s">
        <v>61</v>
      </c>
      <c r="M80" s="73" t="s">
        <v>58</v>
      </c>
      <c r="N80" s="73" t="s">
        <v>57</v>
      </c>
      <c r="P80" s="71" t="s">
        <v>334</v>
      </c>
      <c r="Q80" s="72" t="s">
        <v>42</v>
      </c>
      <c r="R80" s="73" t="s">
        <v>51</v>
      </c>
      <c r="S80" s="73" t="s">
        <v>52</v>
      </c>
      <c r="T80" s="73" t="s">
        <v>53</v>
      </c>
      <c r="U80" s="73" t="s">
        <v>54</v>
      </c>
      <c r="V80" s="73" t="s">
        <v>55</v>
      </c>
      <c r="W80" s="75" t="s">
        <v>56</v>
      </c>
      <c r="X80" s="73" t="s">
        <v>60</v>
      </c>
      <c r="Y80" s="73" t="s">
        <v>59</v>
      </c>
      <c r="Z80" s="73" t="s">
        <v>61</v>
      </c>
      <c r="AA80" s="73" t="s">
        <v>58</v>
      </c>
      <c r="AB80" s="73" t="s">
        <v>57</v>
      </c>
      <c r="AD80" s="71" t="s">
        <v>334</v>
      </c>
      <c r="AE80" s="72" t="s">
        <v>42</v>
      </c>
      <c r="AF80" s="73" t="s">
        <v>51</v>
      </c>
      <c r="AG80" s="73" t="s">
        <v>52</v>
      </c>
      <c r="AH80" s="73" t="s">
        <v>53</v>
      </c>
      <c r="AI80" s="73" t="s">
        <v>54</v>
      </c>
      <c r="AJ80" s="73" t="s">
        <v>55</v>
      </c>
      <c r="AK80" s="75" t="s">
        <v>56</v>
      </c>
      <c r="AL80" s="73" t="s">
        <v>60</v>
      </c>
      <c r="AM80" s="73" t="s">
        <v>59</v>
      </c>
      <c r="AN80" s="73" t="s">
        <v>61</v>
      </c>
      <c r="AO80" s="73" t="s">
        <v>58</v>
      </c>
      <c r="AP80" s="73" t="s">
        <v>57</v>
      </c>
      <c r="AR80" s="71" t="s">
        <v>334</v>
      </c>
      <c r="AS80" s="72" t="s">
        <v>42</v>
      </c>
      <c r="AT80" s="73" t="s">
        <v>51</v>
      </c>
      <c r="AU80" s="73" t="s">
        <v>52</v>
      </c>
      <c r="AV80" s="73" t="s">
        <v>53</v>
      </c>
      <c r="AW80" s="73" t="s">
        <v>54</v>
      </c>
      <c r="AX80" s="73" t="s">
        <v>55</v>
      </c>
      <c r="AY80" s="75" t="s">
        <v>56</v>
      </c>
      <c r="AZ80" s="73" t="s">
        <v>60</v>
      </c>
      <c r="BA80" s="73" t="s">
        <v>59</v>
      </c>
      <c r="BB80" s="73" t="s">
        <v>61</v>
      </c>
      <c r="BC80" s="73" t="s">
        <v>58</v>
      </c>
      <c r="BD80" s="73" t="s">
        <v>57</v>
      </c>
    </row>
    <row r="81" spans="2:56" x14ac:dyDescent="0.25">
      <c r="B81" s="25" t="s">
        <v>42</v>
      </c>
      <c r="C81" s="48">
        <f t="shared" ref="C81:N81" si="14">IF(C12&gt;0,C63*C35/(C12),0)</f>
        <v>5.3139492075102038E-4</v>
      </c>
      <c r="D81" s="48">
        <f t="shared" si="14"/>
        <v>9.8719452345306137E-3</v>
      </c>
      <c r="E81" s="48">
        <f t="shared" si="14"/>
        <v>0</v>
      </c>
      <c r="F81" s="48">
        <f t="shared" si="14"/>
        <v>0</v>
      </c>
      <c r="G81" s="48">
        <f t="shared" si="14"/>
        <v>0.25602871539951016</v>
      </c>
      <c r="H81" s="48">
        <f t="shared" si="14"/>
        <v>0</v>
      </c>
      <c r="I81" s="228">
        <f t="shared" si="14"/>
        <v>0</v>
      </c>
      <c r="J81" s="48">
        <f t="shared" si="14"/>
        <v>0</v>
      </c>
      <c r="K81" s="48">
        <f t="shared" si="14"/>
        <v>0</v>
      </c>
      <c r="L81" s="48">
        <f t="shared" si="14"/>
        <v>0</v>
      </c>
      <c r="M81" s="48">
        <f t="shared" si="14"/>
        <v>0</v>
      </c>
      <c r="N81" s="48">
        <f t="shared" si="14"/>
        <v>0</v>
      </c>
      <c r="P81" s="25" t="s">
        <v>42</v>
      </c>
      <c r="Q81" s="48">
        <f>IF(C12&gt;0,C63*Q35/(C12),0)</f>
        <v>1.4629083814848977E-3</v>
      </c>
      <c r="R81" s="48">
        <f t="shared" ref="R81:AB81" si="15">IF(D12&gt;0,D63*R35/(D12),0)</f>
        <v>7.0082842046530605E-2</v>
      </c>
      <c r="S81" s="48">
        <f t="shared" si="15"/>
        <v>0</v>
      </c>
      <c r="T81" s="48">
        <f t="shared" si="15"/>
        <v>0</v>
      </c>
      <c r="U81" s="48">
        <f t="shared" si="15"/>
        <v>0.30036909624228564</v>
      </c>
      <c r="V81" s="48">
        <f t="shared" si="15"/>
        <v>0</v>
      </c>
      <c r="W81" s="228">
        <f t="shared" si="15"/>
        <v>0</v>
      </c>
      <c r="X81" s="48">
        <f t="shared" si="15"/>
        <v>0</v>
      </c>
      <c r="Y81" s="48">
        <f t="shared" si="15"/>
        <v>0</v>
      </c>
      <c r="Z81" s="48">
        <f t="shared" si="15"/>
        <v>0</v>
      </c>
      <c r="AA81" s="48">
        <f t="shared" si="15"/>
        <v>0</v>
      </c>
      <c r="AB81" s="48">
        <f t="shared" si="15"/>
        <v>0</v>
      </c>
      <c r="AD81" s="25" t="s">
        <v>42</v>
      </c>
      <c r="AE81" s="48">
        <f>IF(C12&gt;0,C63*AE35/(C12),0)</f>
        <v>6.2751652704489784E-3</v>
      </c>
      <c r="AF81" s="48">
        <f t="shared" ref="AF81:AP81" si="16">IF(D12&gt;0,D63*AF35/(D12),0)</f>
        <v>7.0663254119183672E-2</v>
      </c>
      <c r="AG81" s="48">
        <f t="shared" si="16"/>
        <v>0</v>
      </c>
      <c r="AH81" s="48">
        <f t="shared" si="16"/>
        <v>0</v>
      </c>
      <c r="AI81" s="48">
        <f t="shared" si="16"/>
        <v>0.45239787850938767</v>
      </c>
      <c r="AJ81" s="48">
        <f t="shared" si="16"/>
        <v>0</v>
      </c>
      <c r="AK81" s="228">
        <f t="shared" si="16"/>
        <v>0</v>
      </c>
      <c r="AL81" s="48">
        <f t="shared" si="16"/>
        <v>0</v>
      </c>
      <c r="AM81" s="48">
        <f t="shared" si="16"/>
        <v>0</v>
      </c>
      <c r="AN81" s="48">
        <f t="shared" si="16"/>
        <v>0</v>
      </c>
      <c r="AO81" s="48">
        <f t="shared" si="16"/>
        <v>0</v>
      </c>
      <c r="AP81" s="48">
        <f t="shared" si="16"/>
        <v>0</v>
      </c>
      <c r="AR81" s="25" t="s">
        <v>42</v>
      </c>
      <c r="AS81" s="48">
        <f>IF(C12&gt;0,C63*AS35/(C12),0)</f>
        <v>1.5894973661061223E-2</v>
      </c>
      <c r="AT81" s="48">
        <f t="shared" ref="AT81:BD81" si="17">IF(D12&gt;0,D63*AT35/(D12),0)</f>
        <v>0.11061082754857142</v>
      </c>
      <c r="AU81" s="48">
        <f t="shared" si="17"/>
        <v>0</v>
      </c>
      <c r="AV81" s="48">
        <f t="shared" si="17"/>
        <v>0</v>
      </c>
      <c r="AW81" s="48">
        <f t="shared" si="17"/>
        <v>0.61236238974204071</v>
      </c>
      <c r="AX81" s="48">
        <f t="shared" si="17"/>
        <v>0</v>
      </c>
      <c r="AY81" s="228">
        <f t="shared" si="17"/>
        <v>0</v>
      </c>
      <c r="AZ81" s="48">
        <f t="shared" si="17"/>
        <v>0</v>
      </c>
      <c r="BA81" s="48">
        <f t="shared" si="17"/>
        <v>0</v>
      </c>
      <c r="BB81" s="48">
        <f t="shared" si="17"/>
        <v>0</v>
      </c>
      <c r="BC81" s="48">
        <f t="shared" si="17"/>
        <v>0</v>
      </c>
      <c r="BD81" s="48">
        <f t="shared" si="17"/>
        <v>0</v>
      </c>
    </row>
    <row r="82" spans="2:56" x14ac:dyDescent="0.25">
      <c r="B82" s="25" t="s">
        <v>43</v>
      </c>
      <c r="C82" s="48">
        <f t="shared" ref="C82:N82" si="18">IF(C13&gt;0,C64*C36/(C13),0)</f>
        <v>7.912307128897958E-2</v>
      </c>
      <c r="D82" s="48">
        <f t="shared" si="18"/>
        <v>7.3889988448571448E-2</v>
      </c>
      <c r="E82" s="48">
        <f t="shared" si="18"/>
        <v>0</v>
      </c>
      <c r="F82" s="48">
        <f t="shared" si="18"/>
        <v>0</v>
      </c>
      <c r="G82" s="48">
        <f t="shared" si="18"/>
        <v>0.20709325067379591</v>
      </c>
      <c r="H82" s="48">
        <f t="shared" si="18"/>
        <v>0</v>
      </c>
      <c r="I82" s="228">
        <f t="shared" si="18"/>
        <v>0</v>
      </c>
      <c r="J82" s="48">
        <f t="shared" si="18"/>
        <v>0</v>
      </c>
      <c r="K82" s="48">
        <f t="shared" si="18"/>
        <v>0</v>
      </c>
      <c r="L82" s="48">
        <f t="shared" si="18"/>
        <v>0</v>
      </c>
      <c r="M82" s="48">
        <f t="shared" si="18"/>
        <v>0</v>
      </c>
      <c r="N82" s="48">
        <f t="shared" si="18"/>
        <v>0</v>
      </c>
      <c r="P82" s="25" t="s">
        <v>43</v>
      </c>
      <c r="Q82" s="48">
        <f t="shared" ref="Q82:Q92" si="19">IF(C13&gt;0,C64*Q36/(C13),0)</f>
        <v>8.4462964791955905E-2</v>
      </c>
      <c r="R82" s="48">
        <f t="shared" ref="R82:AB82" si="20">IF(D13&gt;0,D64*R36/(D13),0)</f>
        <v>7.4499310573061236E-2</v>
      </c>
      <c r="S82" s="48">
        <f t="shared" si="20"/>
        <v>0</v>
      </c>
      <c r="T82" s="48">
        <f t="shared" si="20"/>
        <v>0</v>
      </c>
      <c r="U82" s="48">
        <f t="shared" si="20"/>
        <v>0.23208947816865302</v>
      </c>
      <c r="V82" s="48">
        <f t="shared" si="20"/>
        <v>0</v>
      </c>
      <c r="W82" s="228">
        <f t="shared" si="20"/>
        <v>0</v>
      </c>
      <c r="X82" s="48">
        <f t="shared" si="20"/>
        <v>0</v>
      </c>
      <c r="Y82" s="48">
        <f t="shared" si="20"/>
        <v>0</v>
      </c>
      <c r="Z82" s="48">
        <f t="shared" si="20"/>
        <v>0</v>
      </c>
      <c r="AA82" s="48">
        <f t="shared" si="20"/>
        <v>0</v>
      </c>
      <c r="AB82" s="48">
        <f t="shared" si="20"/>
        <v>0</v>
      </c>
      <c r="AD82" s="25" t="s">
        <v>43</v>
      </c>
      <c r="AE82" s="48">
        <f t="shared" ref="AE82:AE92" si="21">IF(C13&gt;0,C64*AE36/(C13),0)</f>
        <v>8.8962608188816308E-2</v>
      </c>
      <c r="AF82" s="48">
        <f t="shared" ref="AF82:AP82" si="22">IF(D13&gt;0,D64*AF36/(D13),0)</f>
        <v>7.2372021426122451E-2</v>
      </c>
      <c r="AG82" s="48">
        <f t="shared" si="22"/>
        <v>0</v>
      </c>
      <c r="AH82" s="48">
        <f t="shared" si="22"/>
        <v>0</v>
      </c>
      <c r="AI82" s="48">
        <f t="shared" si="22"/>
        <v>0.36443781155346938</v>
      </c>
      <c r="AJ82" s="48">
        <f t="shared" si="22"/>
        <v>0</v>
      </c>
      <c r="AK82" s="228">
        <f t="shared" si="22"/>
        <v>0</v>
      </c>
      <c r="AL82" s="48">
        <f t="shared" si="22"/>
        <v>0</v>
      </c>
      <c r="AM82" s="48">
        <f t="shared" si="22"/>
        <v>0</v>
      </c>
      <c r="AN82" s="48">
        <f t="shared" si="22"/>
        <v>0</v>
      </c>
      <c r="AO82" s="48">
        <f t="shared" si="22"/>
        <v>0</v>
      </c>
      <c r="AP82" s="48">
        <f t="shared" si="22"/>
        <v>0</v>
      </c>
      <c r="AR82" s="25" t="s">
        <v>43</v>
      </c>
      <c r="AS82" s="48">
        <f t="shared" ref="AS82:AS92" si="23">IF(C13&gt;0,C64*AS36/(C13),0)</f>
        <v>0.10679301365542855</v>
      </c>
      <c r="AT82" s="48">
        <f t="shared" ref="AT82:BD82" si="24">IF(D13&gt;0,D64*AT36/(D13),0)</f>
        <v>8.3863865467755108E-2</v>
      </c>
      <c r="AU82" s="48">
        <f t="shared" si="24"/>
        <v>0</v>
      </c>
      <c r="AV82" s="48">
        <f t="shared" si="24"/>
        <v>0</v>
      </c>
      <c r="AW82" s="48">
        <f t="shared" si="24"/>
        <v>0.39928522174693876</v>
      </c>
      <c r="AX82" s="48">
        <f t="shared" si="24"/>
        <v>0</v>
      </c>
      <c r="AY82" s="228">
        <f t="shared" si="24"/>
        <v>0</v>
      </c>
      <c r="AZ82" s="48">
        <f t="shared" si="24"/>
        <v>0</v>
      </c>
      <c r="BA82" s="48">
        <f t="shared" si="24"/>
        <v>0</v>
      </c>
      <c r="BB82" s="48">
        <f t="shared" si="24"/>
        <v>0</v>
      </c>
      <c r="BC82" s="48">
        <f t="shared" si="24"/>
        <v>0</v>
      </c>
      <c r="BD82" s="48">
        <f t="shared" si="24"/>
        <v>0</v>
      </c>
    </row>
    <row r="83" spans="2:56" x14ac:dyDescent="0.25">
      <c r="B83" s="25" t="s">
        <v>44</v>
      </c>
      <c r="C83" s="48">
        <f t="shared" ref="C83:N83" si="25">IF(C14&gt;0,C65*C37/(C14),0)</f>
        <v>4.0075177461224486E-2</v>
      </c>
      <c r="D83" s="48">
        <f t="shared" si="25"/>
        <v>0.13312474319077552</v>
      </c>
      <c r="E83" s="48">
        <f t="shared" si="25"/>
        <v>0</v>
      </c>
      <c r="F83" s="48">
        <f t="shared" si="25"/>
        <v>0</v>
      </c>
      <c r="G83" s="48">
        <f t="shared" si="25"/>
        <v>0.4201745318014693</v>
      </c>
      <c r="H83" s="48">
        <f t="shared" si="25"/>
        <v>0</v>
      </c>
      <c r="I83" s="228">
        <f t="shared" si="25"/>
        <v>0</v>
      </c>
      <c r="J83" s="48">
        <f t="shared" si="25"/>
        <v>0</v>
      </c>
      <c r="K83" s="48">
        <f t="shared" si="25"/>
        <v>0</v>
      </c>
      <c r="L83" s="48">
        <f t="shared" si="25"/>
        <v>0</v>
      </c>
      <c r="M83" s="48">
        <f t="shared" si="25"/>
        <v>0</v>
      </c>
      <c r="N83" s="48">
        <f t="shared" si="25"/>
        <v>0</v>
      </c>
      <c r="P83" s="25" t="s">
        <v>44</v>
      </c>
      <c r="Q83" s="48">
        <f t="shared" si="19"/>
        <v>5.4586292242141225E-2</v>
      </c>
      <c r="R83" s="48">
        <f t="shared" ref="R83:AB83" si="26">IF(D14&gt;0,D65*R37/(D14),0)</f>
        <v>0.32769754259673467</v>
      </c>
      <c r="S83" s="48">
        <f t="shared" si="26"/>
        <v>0</v>
      </c>
      <c r="T83" s="48">
        <f t="shared" si="26"/>
        <v>0</v>
      </c>
      <c r="U83" s="48">
        <f t="shared" si="26"/>
        <v>0.52141098503281624</v>
      </c>
      <c r="V83" s="48">
        <f t="shared" si="26"/>
        <v>0</v>
      </c>
      <c r="W83" s="228">
        <f t="shared" si="26"/>
        <v>0</v>
      </c>
      <c r="X83" s="48">
        <f t="shared" si="26"/>
        <v>0</v>
      </c>
      <c r="Y83" s="48">
        <f t="shared" si="26"/>
        <v>0</v>
      </c>
      <c r="Z83" s="48">
        <f t="shared" si="26"/>
        <v>0</v>
      </c>
      <c r="AA83" s="48">
        <f t="shared" si="26"/>
        <v>0</v>
      </c>
      <c r="AB83" s="48">
        <f t="shared" si="26"/>
        <v>0</v>
      </c>
      <c r="AD83" s="25" t="s">
        <v>44</v>
      </c>
      <c r="AE83" s="48">
        <f t="shared" si="21"/>
        <v>8.8796577564244888E-2</v>
      </c>
      <c r="AF83" s="48">
        <f t="shared" ref="AF83:AP83" si="27">IF(D14&gt;0,D65*AF37/(D14),0)</f>
        <v>0.31940945931265308</v>
      </c>
      <c r="AG83" s="48">
        <f t="shared" si="27"/>
        <v>0</v>
      </c>
      <c r="AH83" s="48">
        <f t="shared" si="27"/>
        <v>0</v>
      </c>
      <c r="AI83" s="48">
        <f t="shared" si="27"/>
        <v>0.70613006056326522</v>
      </c>
      <c r="AJ83" s="48">
        <f t="shared" si="27"/>
        <v>0</v>
      </c>
      <c r="AK83" s="228">
        <f t="shared" si="27"/>
        <v>0</v>
      </c>
      <c r="AL83" s="48">
        <f t="shared" si="27"/>
        <v>0</v>
      </c>
      <c r="AM83" s="48">
        <f t="shared" si="27"/>
        <v>0</v>
      </c>
      <c r="AN83" s="48">
        <f t="shared" si="27"/>
        <v>0</v>
      </c>
      <c r="AO83" s="48">
        <f t="shared" si="27"/>
        <v>0</v>
      </c>
      <c r="AP83" s="48">
        <f t="shared" si="27"/>
        <v>0</v>
      </c>
      <c r="AR83" s="25" t="s">
        <v>44</v>
      </c>
      <c r="AS83" s="48">
        <f t="shared" si="23"/>
        <v>6.8023398385306119E-2</v>
      </c>
      <c r="AT83" s="48">
        <f t="shared" ref="AT83:BD83" si="28">IF(D14&gt;0,D65*AT37/(D14),0)</f>
        <v>0.32833953050530607</v>
      </c>
      <c r="AU83" s="48">
        <f t="shared" si="28"/>
        <v>0</v>
      </c>
      <c r="AV83" s="48">
        <f t="shared" si="28"/>
        <v>0</v>
      </c>
      <c r="AW83" s="48">
        <f t="shared" si="28"/>
        <v>0.86661343832081617</v>
      </c>
      <c r="AX83" s="48">
        <f t="shared" si="28"/>
        <v>0</v>
      </c>
      <c r="AY83" s="228">
        <f t="shared" si="28"/>
        <v>0</v>
      </c>
      <c r="AZ83" s="48">
        <f t="shared" si="28"/>
        <v>0</v>
      </c>
      <c r="BA83" s="48">
        <f t="shared" si="28"/>
        <v>0</v>
      </c>
      <c r="BB83" s="48">
        <f t="shared" si="28"/>
        <v>0</v>
      </c>
      <c r="BC83" s="48">
        <f t="shared" si="28"/>
        <v>0</v>
      </c>
      <c r="BD83" s="48">
        <f t="shared" si="28"/>
        <v>0</v>
      </c>
    </row>
    <row r="84" spans="2:56" x14ac:dyDescent="0.25">
      <c r="B84" s="25" t="s">
        <v>45</v>
      </c>
      <c r="C84" s="48">
        <f t="shared" ref="C84:N84" si="29">IF(C15&gt;0,C66*C38/(C15),0)</f>
        <v>2.6394989393142856E-2</v>
      </c>
      <c r="D84" s="48">
        <f t="shared" si="29"/>
        <v>4.7172193868979591E-2</v>
      </c>
      <c r="E84" s="48">
        <f t="shared" si="29"/>
        <v>0</v>
      </c>
      <c r="F84" s="48">
        <f t="shared" si="29"/>
        <v>0</v>
      </c>
      <c r="G84" s="48">
        <f t="shared" si="29"/>
        <v>0.2624676820857143</v>
      </c>
      <c r="H84" s="48">
        <f t="shared" si="29"/>
        <v>0</v>
      </c>
      <c r="I84" s="228">
        <f t="shared" si="29"/>
        <v>0</v>
      </c>
      <c r="J84" s="48">
        <f t="shared" si="29"/>
        <v>0</v>
      </c>
      <c r="K84" s="48">
        <f t="shared" si="29"/>
        <v>0</v>
      </c>
      <c r="L84" s="48">
        <f t="shared" si="29"/>
        <v>0</v>
      </c>
      <c r="M84" s="48">
        <f t="shared" si="29"/>
        <v>0</v>
      </c>
      <c r="N84" s="48">
        <f t="shared" si="29"/>
        <v>0</v>
      </c>
      <c r="P84" s="25" t="s">
        <v>45</v>
      </c>
      <c r="Q84" s="48">
        <f t="shared" si="19"/>
        <v>2.7515481547651426E-2</v>
      </c>
      <c r="R84" s="48">
        <f t="shared" ref="R84:AB84" si="30">IF(D15&gt;0,D66*R38/(D15),0)</f>
        <v>7.3693918023673463E-2</v>
      </c>
      <c r="S84" s="48">
        <f t="shared" si="30"/>
        <v>0</v>
      </c>
      <c r="T84" s="48">
        <f t="shared" si="30"/>
        <v>0</v>
      </c>
      <c r="U84" s="48">
        <f t="shared" si="30"/>
        <v>0.29116464154979593</v>
      </c>
      <c r="V84" s="48">
        <f t="shared" si="30"/>
        <v>0</v>
      </c>
      <c r="W84" s="228">
        <f t="shared" si="30"/>
        <v>0</v>
      </c>
      <c r="X84" s="48">
        <f t="shared" si="30"/>
        <v>0</v>
      </c>
      <c r="Y84" s="48">
        <f t="shared" si="30"/>
        <v>0</v>
      </c>
      <c r="Z84" s="48">
        <f t="shared" si="30"/>
        <v>0</v>
      </c>
      <c r="AA84" s="48">
        <f t="shared" si="30"/>
        <v>0</v>
      </c>
      <c r="AB84" s="48">
        <f t="shared" si="30"/>
        <v>0</v>
      </c>
      <c r="AD84" s="25" t="s">
        <v>45</v>
      </c>
      <c r="AE84" s="48">
        <f t="shared" si="21"/>
        <v>3.6984527849387751E-2</v>
      </c>
      <c r="AF84" s="48">
        <f t="shared" ref="AF84:AP84" si="31">IF(D15&gt;0,D66*AF38/(D15),0)</f>
        <v>7.4482440066122438E-2</v>
      </c>
      <c r="AG84" s="48">
        <f t="shared" si="31"/>
        <v>0</v>
      </c>
      <c r="AH84" s="48">
        <f t="shared" si="31"/>
        <v>0</v>
      </c>
      <c r="AI84" s="48">
        <f t="shared" si="31"/>
        <v>0.44348286053387753</v>
      </c>
      <c r="AJ84" s="48">
        <f t="shared" si="31"/>
        <v>0</v>
      </c>
      <c r="AK84" s="228">
        <f t="shared" si="31"/>
        <v>0</v>
      </c>
      <c r="AL84" s="48">
        <f t="shared" si="31"/>
        <v>0</v>
      </c>
      <c r="AM84" s="48">
        <f t="shared" si="31"/>
        <v>0</v>
      </c>
      <c r="AN84" s="48">
        <f t="shared" si="31"/>
        <v>0</v>
      </c>
      <c r="AO84" s="48">
        <f t="shared" si="31"/>
        <v>0</v>
      </c>
      <c r="AP84" s="48">
        <f t="shared" si="31"/>
        <v>0</v>
      </c>
      <c r="AR84" s="25" t="s">
        <v>45</v>
      </c>
      <c r="AS84" s="48">
        <f t="shared" si="23"/>
        <v>0.13291523693665305</v>
      </c>
      <c r="AT84" s="48">
        <f t="shared" ref="AT84:BD84" si="32">IF(D15&gt;0,D66*AT38/(D15),0)</f>
        <v>0.24895449689224489</v>
      </c>
      <c r="AU84" s="48">
        <f t="shared" si="32"/>
        <v>0</v>
      </c>
      <c r="AV84" s="48">
        <f t="shared" si="32"/>
        <v>0</v>
      </c>
      <c r="AW84" s="48">
        <f t="shared" si="32"/>
        <v>0.72026357762857152</v>
      </c>
      <c r="AX84" s="48">
        <f t="shared" si="32"/>
        <v>0</v>
      </c>
      <c r="AY84" s="228">
        <f t="shared" si="32"/>
        <v>0</v>
      </c>
      <c r="AZ84" s="48">
        <f t="shared" si="32"/>
        <v>0</v>
      </c>
      <c r="BA84" s="48">
        <f t="shared" si="32"/>
        <v>0</v>
      </c>
      <c r="BB84" s="48">
        <f t="shared" si="32"/>
        <v>0</v>
      </c>
      <c r="BC84" s="48">
        <f t="shared" si="32"/>
        <v>0</v>
      </c>
      <c r="BD84" s="48">
        <f t="shared" si="32"/>
        <v>0</v>
      </c>
    </row>
    <row r="85" spans="2:56" x14ac:dyDescent="0.25">
      <c r="B85" s="25" t="s">
        <v>46</v>
      </c>
      <c r="C85" s="48">
        <f t="shared" ref="C85:N85" si="33">IF(C16&gt;0,C67*C39/(C16),0)</f>
        <v>0.35866273717551017</v>
      </c>
      <c r="D85" s="48">
        <f t="shared" si="33"/>
        <v>0.37373436649281633</v>
      </c>
      <c r="E85" s="48">
        <f t="shared" si="33"/>
        <v>0</v>
      </c>
      <c r="F85" s="48">
        <f t="shared" si="33"/>
        <v>0</v>
      </c>
      <c r="G85" s="48">
        <f t="shared" si="33"/>
        <v>2.5580492221877547E-2</v>
      </c>
      <c r="H85" s="48">
        <f t="shared" si="33"/>
        <v>0</v>
      </c>
      <c r="I85" s="228">
        <f t="shared" si="33"/>
        <v>0</v>
      </c>
      <c r="J85" s="48">
        <f t="shared" si="33"/>
        <v>0</v>
      </c>
      <c r="K85" s="48">
        <f t="shared" si="33"/>
        <v>0</v>
      </c>
      <c r="L85" s="48">
        <f t="shared" si="33"/>
        <v>0</v>
      </c>
      <c r="M85" s="48">
        <f t="shared" si="33"/>
        <v>0</v>
      </c>
      <c r="N85" s="48">
        <f t="shared" si="33"/>
        <v>0</v>
      </c>
      <c r="P85" s="25" t="s">
        <v>46</v>
      </c>
      <c r="Q85" s="48">
        <f t="shared" si="19"/>
        <v>0.34280439895607262</v>
      </c>
      <c r="R85" s="48">
        <f t="shared" ref="R85:AB85" si="34">IF(D16&gt;0,D67*R39/(D16),0)</f>
        <v>0.35454430417551014</v>
      </c>
      <c r="S85" s="48">
        <f t="shared" si="34"/>
        <v>0</v>
      </c>
      <c r="T85" s="48">
        <f t="shared" si="34"/>
        <v>0</v>
      </c>
      <c r="U85" s="48">
        <f t="shared" si="34"/>
        <v>2.8242982300163266E-2</v>
      </c>
      <c r="V85" s="48">
        <f t="shared" si="34"/>
        <v>0</v>
      </c>
      <c r="W85" s="228">
        <f t="shared" si="34"/>
        <v>0</v>
      </c>
      <c r="X85" s="48">
        <f t="shared" si="34"/>
        <v>0</v>
      </c>
      <c r="Y85" s="48">
        <f t="shared" si="34"/>
        <v>0</v>
      </c>
      <c r="Z85" s="48">
        <f t="shared" si="34"/>
        <v>0</v>
      </c>
      <c r="AA85" s="48">
        <f t="shared" si="34"/>
        <v>0</v>
      </c>
      <c r="AB85" s="48">
        <f t="shared" si="34"/>
        <v>0</v>
      </c>
      <c r="AD85" s="25" t="s">
        <v>46</v>
      </c>
      <c r="AE85" s="48">
        <f t="shared" si="21"/>
        <v>0.4208814666185306</v>
      </c>
      <c r="AF85" s="48">
        <f t="shared" ref="AF85:AP85" si="35">IF(D16&gt;0,D67*AF39/(D16),0)</f>
        <v>0.4345815328081632</v>
      </c>
      <c r="AG85" s="48">
        <f t="shared" si="35"/>
        <v>0</v>
      </c>
      <c r="AH85" s="48">
        <f t="shared" si="35"/>
        <v>0</v>
      </c>
      <c r="AI85" s="48">
        <f t="shared" si="35"/>
        <v>5.2140376433469381E-2</v>
      </c>
      <c r="AJ85" s="48">
        <f t="shared" si="35"/>
        <v>0</v>
      </c>
      <c r="AK85" s="228">
        <f t="shared" si="35"/>
        <v>0</v>
      </c>
      <c r="AL85" s="48">
        <f t="shared" si="35"/>
        <v>0</v>
      </c>
      <c r="AM85" s="48">
        <f t="shared" si="35"/>
        <v>0</v>
      </c>
      <c r="AN85" s="48">
        <f t="shared" si="35"/>
        <v>0</v>
      </c>
      <c r="AO85" s="48">
        <f t="shared" si="35"/>
        <v>0</v>
      </c>
      <c r="AP85" s="48">
        <f t="shared" si="35"/>
        <v>0</v>
      </c>
      <c r="AR85" s="25" t="s">
        <v>46</v>
      </c>
      <c r="AS85" s="48">
        <f t="shared" si="23"/>
        <v>0.5095539323761632</v>
      </c>
      <c r="AT85" s="48">
        <f t="shared" ref="AT85:BD85" si="36">IF(D16&gt;0,D67*AT39/(D16),0)</f>
        <v>0.49504003838367339</v>
      </c>
      <c r="AU85" s="48">
        <f t="shared" si="36"/>
        <v>0</v>
      </c>
      <c r="AV85" s="48">
        <f t="shared" si="36"/>
        <v>0</v>
      </c>
      <c r="AW85" s="48">
        <f t="shared" si="36"/>
        <v>5.2461642981224493E-2</v>
      </c>
      <c r="AX85" s="48">
        <f t="shared" si="36"/>
        <v>0</v>
      </c>
      <c r="AY85" s="228">
        <f t="shared" si="36"/>
        <v>0</v>
      </c>
      <c r="AZ85" s="48">
        <f t="shared" si="36"/>
        <v>0</v>
      </c>
      <c r="BA85" s="48">
        <f t="shared" si="36"/>
        <v>0</v>
      </c>
      <c r="BB85" s="48">
        <f t="shared" si="36"/>
        <v>0</v>
      </c>
      <c r="BC85" s="48">
        <f t="shared" si="36"/>
        <v>0</v>
      </c>
      <c r="BD85" s="48">
        <f t="shared" si="36"/>
        <v>0</v>
      </c>
    </row>
    <row r="86" spans="2:56" x14ac:dyDescent="0.25">
      <c r="B86" s="25" t="s">
        <v>47</v>
      </c>
      <c r="C86" s="48">
        <f t="shared" ref="C86:N86" si="37">IF(C17&gt;0,C68*C40/(C17),0)</f>
        <v>0.43033997842448973</v>
      </c>
      <c r="D86" s="48">
        <f t="shared" si="37"/>
        <v>0.38875048063567347</v>
      </c>
      <c r="E86" s="48">
        <f t="shared" si="37"/>
        <v>0</v>
      </c>
      <c r="F86" s="48">
        <f t="shared" si="37"/>
        <v>0</v>
      </c>
      <c r="G86" s="48">
        <f t="shared" si="37"/>
        <v>5.4062857020408155E-3</v>
      </c>
      <c r="H86" s="48">
        <f t="shared" si="37"/>
        <v>0</v>
      </c>
      <c r="I86" s="228">
        <f t="shared" si="37"/>
        <v>0</v>
      </c>
      <c r="J86" s="48">
        <f t="shared" si="37"/>
        <v>0</v>
      </c>
      <c r="K86" s="48">
        <f t="shared" si="37"/>
        <v>0</v>
      </c>
      <c r="L86" s="48">
        <f t="shared" si="37"/>
        <v>0</v>
      </c>
      <c r="M86" s="48">
        <f t="shared" si="37"/>
        <v>0</v>
      </c>
      <c r="N86" s="48">
        <f t="shared" si="37"/>
        <v>0</v>
      </c>
      <c r="P86" s="25" t="s">
        <v>47</v>
      </c>
      <c r="Q86" s="48">
        <f t="shared" si="19"/>
        <v>0.44971681088328164</v>
      </c>
      <c r="R86" s="48">
        <f t="shared" ref="R86:AB86" si="38">IF(D17&gt;0,D68*R40/(D17),0)</f>
        <v>0.39747111220816322</v>
      </c>
      <c r="S86" s="48">
        <f t="shared" si="38"/>
        <v>0</v>
      </c>
      <c r="T86" s="48">
        <f t="shared" si="38"/>
        <v>0</v>
      </c>
      <c r="U86" s="48">
        <f t="shared" si="38"/>
        <v>1.3276116710775509E-2</v>
      </c>
      <c r="V86" s="48">
        <f t="shared" si="38"/>
        <v>0</v>
      </c>
      <c r="W86" s="228">
        <f t="shared" si="38"/>
        <v>0</v>
      </c>
      <c r="X86" s="48">
        <f t="shared" si="38"/>
        <v>0</v>
      </c>
      <c r="Y86" s="48">
        <f t="shared" si="38"/>
        <v>0</v>
      </c>
      <c r="Z86" s="48">
        <f t="shared" si="38"/>
        <v>0</v>
      </c>
      <c r="AA86" s="48">
        <f t="shared" si="38"/>
        <v>0</v>
      </c>
      <c r="AB86" s="48">
        <f t="shared" si="38"/>
        <v>0</v>
      </c>
      <c r="AD86" s="25" t="s">
        <v>47</v>
      </c>
      <c r="AE86" s="48">
        <f t="shared" si="21"/>
        <v>0.53077257774514275</v>
      </c>
      <c r="AF86" s="48">
        <f t="shared" ref="AF86:AP86" si="39">IF(D17&gt;0,D68*AF40/(D17),0)</f>
        <v>0.47612441408489786</v>
      </c>
      <c r="AG86" s="48">
        <f t="shared" si="39"/>
        <v>0</v>
      </c>
      <c r="AH86" s="48">
        <f t="shared" si="39"/>
        <v>0</v>
      </c>
      <c r="AI86" s="48">
        <f t="shared" si="39"/>
        <v>8.091788726775509E-2</v>
      </c>
      <c r="AJ86" s="48">
        <f t="shared" si="39"/>
        <v>0</v>
      </c>
      <c r="AK86" s="228">
        <f t="shared" si="39"/>
        <v>0</v>
      </c>
      <c r="AL86" s="48">
        <f t="shared" si="39"/>
        <v>0</v>
      </c>
      <c r="AM86" s="48">
        <f t="shared" si="39"/>
        <v>0</v>
      </c>
      <c r="AN86" s="48">
        <f t="shared" si="39"/>
        <v>0</v>
      </c>
      <c r="AO86" s="48">
        <f t="shared" si="39"/>
        <v>0</v>
      </c>
      <c r="AP86" s="48">
        <f t="shared" si="39"/>
        <v>0</v>
      </c>
      <c r="AR86" s="25" t="s">
        <v>47</v>
      </c>
      <c r="AS86" s="48">
        <f t="shared" si="23"/>
        <v>0.5706244224057142</v>
      </c>
      <c r="AT86" s="48">
        <f t="shared" ref="AT86:BD86" si="40">IF(D17&gt;0,D68*AT40/(D17),0)</f>
        <v>0.49327251203999994</v>
      </c>
      <c r="AU86" s="48">
        <f t="shared" si="40"/>
        <v>0</v>
      </c>
      <c r="AV86" s="48">
        <f t="shared" si="40"/>
        <v>0</v>
      </c>
      <c r="AW86" s="48">
        <f t="shared" si="40"/>
        <v>9.2502503953469387E-2</v>
      </c>
      <c r="AX86" s="48">
        <f t="shared" si="40"/>
        <v>0</v>
      </c>
      <c r="AY86" s="228">
        <f t="shared" si="40"/>
        <v>0</v>
      </c>
      <c r="AZ86" s="48">
        <f t="shared" si="40"/>
        <v>0</v>
      </c>
      <c r="BA86" s="48">
        <f t="shared" si="40"/>
        <v>0</v>
      </c>
      <c r="BB86" s="48">
        <f t="shared" si="40"/>
        <v>0</v>
      </c>
      <c r="BC86" s="48">
        <f t="shared" si="40"/>
        <v>0</v>
      </c>
      <c r="BD86" s="48">
        <f t="shared" si="40"/>
        <v>0</v>
      </c>
    </row>
    <row r="87" spans="2:56" x14ac:dyDescent="0.25">
      <c r="B87" s="25" t="s">
        <v>48</v>
      </c>
      <c r="C87" s="224">
        <f t="shared" ref="C87:N87" si="41">IF(C18&gt;0,C69*C41/(C18),0)</f>
        <v>3.840932848163265E-2</v>
      </c>
      <c r="D87" s="224">
        <f t="shared" si="41"/>
        <v>0.1136910126</v>
      </c>
      <c r="E87" s="224">
        <f t="shared" si="41"/>
        <v>0</v>
      </c>
      <c r="F87" s="224">
        <f t="shared" si="41"/>
        <v>0</v>
      </c>
      <c r="G87" s="224">
        <f t="shared" si="41"/>
        <v>0.11190237540653061</v>
      </c>
      <c r="H87" s="224">
        <f t="shared" si="41"/>
        <v>0</v>
      </c>
      <c r="I87" s="229">
        <f t="shared" si="41"/>
        <v>0</v>
      </c>
      <c r="J87" s="224">
        <f t="shared" si="41"/>
        <v>0</v>
      </c>
      <c r="K87" s="224">
        <f t="shared" si="41"/>
        <v>0</v>
      </c>
      <c r="L87" s="224">
        <f t="shared" si="41"/>
        <v>0</v>
      </c>
      <c r="M87" s="224">
        <f t="shared" si="41"/>
        <v>0</v>
      </c>
      <c r="N87" s="224">
        <f t="shared" si="41"/>
        <v>0</v>
      </c>
      <c r="P87" s="72" t="s">
        <v>48</v>
      </c>
      <c r="Q87" s="224">
        <f t="shared" si="19"/>
        <v>4.3756574224224493E-2</v>
      </c>
      <c r="R87" s="224">
        <f t="shared" ref="R87:AB87" si="42">IF(D18&gt;0,D69*R41/(D18),0)</f>
        <v>0.15648552193551019</v>
      </c>
      <c r="S87" s="224">
        <f t="shared" si="42"/>
        <v>0</v>
      </c>
      <c r="T87" s="224">
        <f t="shared" si="42"/>
        <v>0</v>
      </c>
      <c r="U87" s="224">
        <f t="shared" si="42"/>
        <v>0.12708540458832654</v>
      </c>
      <c r="V87" s="224">
        <f t="shared" si="42"/>
        <v>0</v>
      </c>
      <c r="W87" s="229">
        <f t="shared" si="42"/>
        <v>0</v>
      </c>
      <c r="X87" s="224">
        <f t="shared" si="42"/>
        <v>0</v>
      </c>
      <c r="Y87" s="224">
        <f t="shared" si="42"/>
        <v>0</v>
      </c>
      <c r="Z87" s="224">
        <f t="shared" si="42"/>
        <v>0</v>
      </c>
      <c r="AA87" s="224">
        <f t="shared" si="42"/>
        <v>0</v>
      </c>
      <c r="AB87" s="224">
        <f t="shared" si="42"/>
        <v>0</v>
      </c>
      <c r="AD87" s="72" t="s">
        <v>48</v>
      </c>
      <c r="AE87" s="224">
        <f t="shared" si="21"/>
        <v>7.0339637209959185E-2</v>
      </c>
      <c r="AF87" s="224">
        <f t="shared" ref="AF87:AP87" si="43">IF(D18&gt;0,D69*AF41/(D18),0)</f>
        <v>0.16770477250775512</v>
      </c>
      <c r="AG87" s="224">
        <f t="shared" si="43"/>
        <v>0</v>
      </c>
      <c r="AH87" s="224">
        <f t="shared" si="43"/>
        <v>0</v>
      </c>
      <c r="AI87" s="224">
        <f t="shared" si="43"/>
        <v>0.19753634171183673</v>
      </c>
      <c r="AJ87" s="224">
        <f t="shared" si="43"/>
        <v>0</v>
      </c>
      <c r="AK87" s="229">
        <f t="shared" si="43"/>
        <v>0</v>
      </c>
      <c r="AL87" s="224">
        <f t="shared" si="43"/>
        <v>0</v>
      </c>
      <c r="AM87" s="224">
        <f t="shared" si="43"/>
        <v>0</v>
      </c>
      <c r="AN87" s="224">
        <f t="shared" si="43"/>
        <v>0</v>
      </c>
      <c r="AO87" s="224">
        <f t="shared" si="43"/>
        <v>0</v>
      </c>
      <c r="AP87" s="224">
        <f t="shared" si="43"/>
        <v>0</v>
      </c>
      <c r="AR87" s="72" t="s">
        <v>48</v>
      </c>
      <c r="AS87" s="224">
        <f t="shared" si="23"/>
        <v>0.14915892730783673</v>
      </c>
      <c r="AT87" s="224">
        <f t="shared" ref="AT87:BD87" si="44">IF(D18&gt;0,D69*AT41/(D18),0)</f>
        <v>0.27510251054448981</v>
      </c>
      <c r="AU87" s="224">
        <f t="shared" si="44"/>
        <v>0</v>
      </c>
      <c r="AV87" s="224">
        <f t="shared" si="44"/>
        <v>0</v>
      </c>
      <c r="AW87" s="224">
        <f t="shared" si="44"/>
        <v>0.32436772250367346</v>
      </c>
      <c r="AX87" s="224">
        <f t="shared" si="44"/>
        <v>0</v>
      </c>
      <c r="AY87" s="229">
        <f t="shared" si="44"/>
        <v>0</v>
      </c>
      <c r="AZ87" s="224">
        <f t="shared" si="44"/>
        <v>0</v>
      </c>
      <c r="BA87" s="224">
        <f t="shared" si="44"/>
        <v>0</v>
      </c>
      <c r="BB87" s="224">
        <f t="shared" si="44"/>
        <v>0</v>
      </c>
      <c r="BC87" s="224">
        <f t="shared" si="44"/>
        <v>0</v>
      </c>
      <c r="BD87" s="224">
        <f t="shared" si="44"/>
        <v>0</v>
      </c>
    </row>
    <row r="88" spans="2:56" x14ac:dyDescent="0.25">
      <c r="B88" s="25" t="s">
        <v>523</v>
      </c>
      <c r="C88" s="48">
        <f t="shared" ref="C88:I92" si="45">IF(C19&gt;0,C70*C42/(C19),0)</f>
        <v>0.40185032629387757</v>
      </c>
      <c r="D88" s="48">
        <f t="shared" si="45"/>
        <v>0.36527082690775509</v>
      </c>
      <c r="E88" s="48">
        <f t="shared" si="45"/>
        <v>0</v>
      </c>
      <c r="F88" s="48">
        <f t="shared" si="45"/>
        <v>0</v>
      </c>
      <c r="G88" s="48">
        <f t="shared" si="45"/>
        <v>0</v>
      </c>
      <c r="H88" s="48">
        <f t="shared" si="45"/>
        <v>0</v>
      </c>
      <c r="I88" s="228">
        <f t="shared" si="45"/>
        <v>0</v>
      </c>
      <c r="J88" s="213"/>
      <c r="K88" s="214"/>
      <c r="L88" s="214"/>
      <c r="M88" s="214"/>
      <c r="N88" s="215"/>
      <c r="P88" s="25" t="s">
        <v>523</v>
      </c>
      <c r="Q88" s="48">
        <f t="shared" si="19"/>
        <v>0.40022628506555025</v>
      </c>
      <c r="R88" s="48">
        <f t="shared" ref="R88:W88" si="46">IF(D19&gt;0,D70*R42/(D19),0)</f>
        <v>0.34569346681795926</v>
      </c>
      <c r="S88" s="48">
        <f t="shared" si="46"/>
        <v>0</v>
      </c>
      <c r="T88" s="48">
        <f t="shared" si="46"/>
        <v>0</v>
      </c>
      <c r="U88" s="48">
        <f t="shared" si="46"/>
        <v>0</v>
      </c>
      <c r="V88" s="48">
        <f t="shared" si="46"/>
        <v>0</v>
      </c>
      <c r="W88" s="228">
        <f t="shared" si="46"/>
        <v>0</v>
      </c>
      <c r="X88" s="213"/>
      <c r="Y88" s="214"/>
      <c r="Z88" s="214"/>
      <c r="AA88" s="214"/>
      <c r="AB88" s="215"/>
      <c r="AD88" s="25" t="s">
        <v>523</v>
      </c>
      <c r="AE88" s="48">
        <f t="shared" si="21"/>
        <v>0.49012411804489792</v>
      </c>
      <c r="AF88" s="48">
        <f t="shared" ref="AF88:AK88" si="47">IF(D19&gt;0,D70*AF42/(D19),0)</f>
        <v>0.42997449115836739</v>
      </c>
      <c r="AG88" s="48">
        <f t="shared" si="47"/>
        <v>0</v>
      </c>
      <c r="AH88" s="48">
        <f t="shared" si="47"/>
        <v>0</v>
      </c>
      <c r="AI88" s="48">
        <f t="shared" si="47"/>
        <v>0</v>
      </c>
      <c r="AJ88" s="48">
        <f t="shared" si="47"/>
        <v>0</v>
      </c>
      <c r="AK88" s="228">
        <f t="shared" si="47"/>
        <v>0</v>
      </c>
      <c r="AL88" s="213"/>
      <c r="AM88" s="214"/>
      <c r="AN88" s="214"/>
      <c r="AO88" s="214"/>
      <c r="AP88" s="215"/>
      <c r="AR88" s="25" t="s">
        <v>523</v>
      </c>
      <c r="AS88" s="48">
        <f t="shared" si="23"/>
        <v>0.52322127523420403</v>
      </c>
      <c r="AT88" s="48">
        <f t="shared" ref="AT88:AY88" si="48">IF(D19&gt;0,D70*AT42/(D19),0)</f>
        <v>0.44548678599183678</v>
      </c>
      <c r="AU88" s="48">
        <f t="shared" si="48"/>
        <v>0</v>
      </c>
      <c r="AV88" s="48">
        <f t="shared" si="48"/>
        <v>0</v>
      </c>
      <c r="AW88" s="48">
        <f t="shared" si="48"/>
        <v>6.0750332028571434E-2</v>
      </c>
      <c r="AX88" s="48">
        <f t="shared" si="48"/>
        <v>0</v>
      </c>
      <c r="AY88" s="228">
        <f t="shared" si="48"/>
        <v>0</v>
      </c>
      <c r="AZ88" s="213"/>
      <c r="BA88" s="214"/>
      <c r="BB88" s="214"/>
      <c r="BC88" s="214"/>
      <c r="BD88" s="215"/>
    </row>
    <row r="89" spans="2:56" x14ac:dyDescent="0.25">
      <c r="B89" s="25" t="s">
        <v>524</v>
      </c>
      <c r="C89" s="48">
        <f t="shared" si="45"/>
        <v>0.46354307452244897</v>
      </c>
      <c r="D89" s="48">
        <f t="shared" si="45"/>
        <v>0.50167929463591832</v>
      </c>
      <c r="E89" s="48">
        <f t="shared" si="45"/>
        <v>0</v>
      </c>
      <c r="F89" s="48">
        <f t="shared" si="45"/>
        <v>0</v>
      </c>
      <c r="G89" s="48">
        <f t="shared" si="45"/>
        <v>0</v>
      </c>
      <c r="H89" s="48">
        <f t="shared" si="45"/>
        <v>0</v>
      </c>
      <c r="I89" s="228">
        <f t="shared" si="45"/>
        <v>0</v>
      </c>
      <c r="J89" s="216"/>
      <c r="K89" s="217"/>
      <c r="L89" s="217"/>
      <c r="M89" s="217"/>
      <c r="N89" s="218"/>
      <c r="P89" s="25" t="s">
        <v>524</v>
      </c>
      <c r="Q89" s="48">
        <f t="shared" si="19"/>
        <v>0.44981804382914364</v>
      </c>
      <c r="R89" s="48">
        <f t="shared" ref="R89:W89" si="49">IF(D20&gt;0,D71*R43/(D20),0)</f>
        <v>0.47339554143918366</v>
      </c>
      <c r="S89" s="48">
        <f t="shared" si="49"/>
        <v>0</v>
      </c>
      <c r="T89" s="48">
        <f t="shared" si="49"/>
        <v>0</v>
      </c>
      <c r="U89" s="48">
        <f t="shared" si="49"/>
        <v>0</v>
      </c>
      <c r="V89" s="48">
        <f t="shared" si="49"/>
        <v>0</v>
      </c>
      <c r="W89" s="228">
        <f t="shared" si="49"/>
        <v>0</v>
      </c>
      <c r="X89" s="216"/>
      <c r="Y89" s="217"/>
      <c r="Z89" s="217"/>
      <c r="AA89" s="217"/>
      <c r="AB89" s="218"/>
      <c r="AD89" s="25" t="s">
        <v>524</v>
      </c>
      <c r="AE89" s="48">
        <f t="shared" si="21"/>
        <v>0.57333556738946945</v>
      </c>
      <c r="AF89" s="48">
        <f t="shared" ref="AF89:AK89" si="50">IF(D20&gt;0,D71*AF43/(D20),0)</f>
        <v>0.58823108315265304</v>
      </c>
      <c r="AG89" s="48">
        <f t="shared" si="50"/>
        <v>0</v>
      </c>
      <c r="AH89" s="48">
        <f t="shared" si="50"/>
        <v>0</v>
      </c>
      <c r="AI89" s="48">
        <f t="shared" si="50"/>
        <v>0</v>
      </c>
      <c r="AJ89" s="48">
        <f t="shared" si="50"/>
        <v>0</v>
      </c>
      <c r="AK89" s="228">
        <f t="shared" si="50"/>
        <v>0</v>
      </c>
      <c r="AL89" s="216"/>
      <c r="AM89" s="217"/>
      <c r="AN89" s="217"/>
      <c r="AO89" s="217"/>
      <c r="AP89" s="218"/>
      <c r="AR89" s="25" t="s">
        <v>524</v>
      </c>
      <c r="AS89" s="48">
        <f t="shared" si="23"/>
        <v>0.68753173506285714</v>
      </c>
      <c r="AT89" s="48">
        <f t="shared" ref="AT89:AY89" si="51">IF(D20&gt;0,D71*AT43/(D20),0)</f>
        <v>0.68420361110693872</v>
      </c>
      <c r="AU89" s="48">
        <f t="shared" si="51"/>
        <v>0</v>
      </c>
      <c r="AV89" s="48">
        <f t="shared" si="51"/>
        <v>0</v>
      </c>
      <c r="AW89" s="48">
        <f t="shared" si="51"/>
        <v>0</v>
      </c>
      <c r="AX89" s="48">
        <f t="shared" si="51"/>
        <v>0</v>
      </c>
      <c r="AY89" s="228">
        <f t="shared" si="51"/>
        <v>0</v>
      </c>
      <c r="AZ89" s="216"/>
      <c r="BA89" s="217"/>
      <c r="BB89" s="217"/>
      <c r="BC89" s="217"/>
      <c r="BD89" s="218"/>
    </row>
    <row r="90" spans="2:56" x14ac:dyDescent="0.25">
      <c r="B90" s="25" t="s">
        <v>525</v>
      </c>
      <c r="C90" s="48">
        <f t="shared" si="45"/>
        <v>2.8268951371346941E-5</v>
      </c>
      <c r="D90" s="48">
        <f t="shared" si="45"/>
        <v>7.2431416514285706E-3</v>
      </c>
      <c r="E90" s="48">
        <f t="shared" si="45"/>
        <v>0</v>
      </c>
      <c r="F90" s="48">
        <f t="shared" si="45"/>
        <v>0</v>
      </c>
      <c r="G90" s="48">
        <f t="shared" si="45"/>
        <v>0.26751571939265306</v>
      </c>
      <c r="H90" s="48">
        <f t="shared" si="45"/>
        <v>0</v>
      </c>
      <c r="I90" s="228">
        <f t="shared" si="45"/>
        <v>0</v>
      </c>
      <c r="J90" s="216"/>
      <c r="K90" s="217"/>
      <c r="L90" s="222" t="s">
        <v>69</v>
      </c>
      <c r="M90" s="217"/>
      <c r="N90" s="218"/>
      <c r="P90" s="25" t="s">
        <v>525</v>
      </c>
      <c r="Q90" s="48">
        <f t="shared" si="19"/>
        <v>9.6518290368163243E-5</v>
      </c>
      <c r="R90" s="48">
        <f t="shared" ref="R90:W90" si="52">IF(D21&gt;0,D72*R44/(D21),0)</f>
        <v>3.0388689679183671E-2</v>
      </c>
      <c r="S90" s="48">
        <f t="shared" si="52"/>
        <v>0</v>
      </c>
      <c r="T90" s="48">
        <f t="shared" si="52"/>
        <v>0</v>
      </c>
      <c r="U90" s="48">
        <f t="shared" si="52"/>
        <v>0.29623577358122449</v>
      </c>
      <c r="V90" s="48">
        <f t="shared" si="52"/>
        <v>0</v>
      </c>
      <c r="W90" s="228">
        <f t="shared" si="52"/>
        <v>0</v>
      </c>
      <c r="X90" s="216"/>
      <c r="Y90" s="217"/>
      <c r="Z90" s="222" t="s">
        <v>69</v>
      </c>
      <c r="AA90" s="217"/>
      <c r="AB90" s="218"/>
      <c r="AD90" s="25" t="s">
        <v>525</v>
      </c>
      <c r="AE90" s="48">
        <f t="shared" si="21"/>
        <v>1.093705575510204E-4</v>
      </c>
      <c r="AF90" s="48">
        <f t="shared" ref="AF90:AK90" si="53">IF(D21&gt;0,D72*AF44/(D21),0)</f>
        <v>3.4260425589387751E-2</v>
      </c>
      <c r="AG90" s="48">
        <f t="shared" si="53"/>
        <v>0</v>
      </c>
      <c r="AH90" s="48">
        <f t="shared" si="53"/>
        <v>0</v>
      </c>
      <c r="AI90" s="48">
        <f t="shared" si="53"/>
        <v>0.46589449607755107</v>
      </c>
      <c r="AJ90" s="48">
        <f t="shared" si="53"/>
        <v>0</v>
      </c>
      <c r="AK90" s="228">
        <f t="shared" si="53"/>
        <v>0</v>
      </c>
      <c r="AL90" s="216"/>
      <c r="AM90" s="217"/>
      <c r="AN90" s="222" t="s">
        <v>69</v>
      </c>
      <c r="AO90" s="217"/>
      <c r="AP90" s="218"/>
      <c r="AR90" s="25" t="s">
        <v>525</v>
      </c>
      <c r="AS90" s="48">
        <f t="shared" si="23"/>
        <v>0.13841651237632652</v>
      </c>
      <c r="AT90" s="48">
        <f t="shared" ref="AT90:AY90" si="54">IF(D21&gt;0,D72*AT44/(D21),0)</f>
        <v>0.25978369649795918</v>
      </c>
      <c r="AU90" s="48">
        <f t="shared" si="54"/>
        <v>0</v>
      </c>
      <c r="AV90" s="48">
        <f t="shared" si="54"/>
        <v>0</v>
      </c>
      <c r="AW90" s="48">
        <f t="shared" si="54"/>
        <v>0.76494758374122451</v>
      </c>
      <c r="AX90" s="48">
        <f t="shared" si="54"/>
        <v>0</v>
      </c>
      <c r="AY90" s="228">
        <f t="shared" si="54"/>
        <v>0</v>
      </c>
      <c r="AZ90" s="216"/>
      <c r="BA90" s="217"/>
      <c r="BB90" s="222" t="s">
        <v>69</v>
      </c>
      <c r="BC90" s="217"/>
      <c r="BD90" s="218"/>
    </row>
    <row r="91" spans="2:56" x14ac:dyDescent="0.25">
      <c r="B91" s="25" t="s">
        <v>526</v>
      </c>
      <c r="C91" s="48">
        <f t="shared" si="45"/>
        <v>0.40185032629387757</v>
      </c>
      <c r="D91" s="48">
        <f t="shared" si="45"/>
        <v>0.36527082690775509</v>
      </c>
      <c r="E91" s="48">
        <f t="shared" si="45"/>
        <v>0</v>
      </c>
      <c r="F91" s="48">
        <f t="shared" si="45"/>
        <v>0</v>
      </c>
      <c r="G91" s="48">
        <f t="shared" si="45"/>
        <v>0</v>
      </c>
      <c r="H91" s="48">
        <f t="shared" si="45"/>
        <v>0</v>
      </c>
      <c r="I91" s="228">
        <f t="shared" si="45"/>
        <v>0</v>
      </c>
      <c r="J91" s="216"/>
      <c r="K91" s="217"/>
      <c r="L91" s="217"/>
      <c r="M91" s="217"/>
      <c r="N91" s="218"/>
      <c r="P91" s="25" t="s">
        <v>526</v>
      </c>
      <c r="Q91" s="48">
        <f t="shared" si="19"/>
        <v>0.40022628506555025</v>
      </c>
      <c r="R91" s="48">
        <f t="shared" ref="R91:W91" si="55">IF(D22&gt;0,D73*R45/(D22),0)</f>
        <v>0.34569346681795926</v>
      </c>
      <c r="S91" s="48">
        <f t="shared" si="55"/>
        <v>0</v>
      </c>
      <c r="T91" s="48">
        <f t="shared" si="55"/>
        <v>0</v>
      </c>
      <c r="U91" s="48">
        <f t="shared" si="55"/>
        <v>0</v>
      </c>
      <c r="V91" s="48">
        <f t="shared" si="55"/>
        <v>0</v>
      </c>
      <c r="W91" s="228">
        <f t="shared" si="55"/>
        <v>0</v>
      </c>
      <c r="X91" s="216"/>
      <c r="Y91" s="217"/>
      <c r="Z91" s="217"/>
      <c r="AA91" s="217"/>
      <c r="AB91" s="218"/>
      <c r="AD91" s="25" t="s">
        <v>526</v>
      </c>
      <c r="AE91" s="48">
        <f t="shared" si="21"/>
        <v>0.49012411804489792</v>
      </c>
      <c r="AF91" s="48">
        <f t="shared" ref="AF91:AK91" si="56">IF(D22&gt;0,D73*AF45/(D22),0)</f>
        <v>0.42997449115836739</v>
      </c>
      <c r="AG91" s="48">
        <f t="shared" si="56"/>
        <v>0</v>
      </c>
      <c r="AH91" s="48">
        <f t="shared" si="56"/>
        <v>0</v>
      </c>
      <c r="AI91" s="48">
        <f t="shared" si="56"/>
        <v>0</v>
      </c>
      <c r="AJ91" s="48">
        <f t="shared" si="56"/>
        <v>0</v>
      </c>
      <c r="AK91" s="228">
        <f t="shared" si="56"/>
        <v>0</v>
      </c>
      <c r="AL91" s="216"/>
      <c r="AM91" s="217"/>
      <c r="AN91" s="217"/>
      <c r="AO91" s="217"/>
      <c r="AP91" s="218"/>
      <c r="AR91" s="25" t="s">
        <v>526</v>
      </c>
      <c r="AS91" s="48">
        <f t="shared" si="23"/>
        <v>0.52322127523420403</v>
      </c>
      <c r="AT91" s="48">
        <f t="shared" ref="AT91:AY91" si="57">IF(D22&gt;0,D73*AT45/(D22),0)</f>
        <v>0.44548678599183678</v>
      </c>
      <c r="AU91" s="48">
        <f t="shared" si="57"/>
        <v>0</v>
      </c>
      <c r="AV91" s="48">
        <f t="shared" si="57"/>
        <v>0</v>
      </c>
      <c r="AW91" s="48">
        <f t="shared" si="57"/>
        <v>6.0750332028571434E-2</v>
      </c>
      <c r="AX91" s="48">
        <f t="shared" si="57"/>
        <v>0</v>
      </c>
      <c r="AY91" s="228">
        <f t="shared" si="57"/>
        <v>0</v>
      </c>
      <c r="AZ91" s="216"/>
      <c r="BA91" s="217"/>
      <c r="BB91" s="217"/>
      <c r="BC91" s="217"/>
      <c r="BD91" s="218"/>
    </row>
    <row r="92" spans="2:56" x14ac:dyDescent="0.25">
      <c r="B92" s="25" t="s">
        <v>527</v>
      </c>
      <c r="C92" s="48">
        <f t="shared" si="45"/>
        <v>0.46354307452244897</v>
      </c>
      <c r="D92" s="48">
        <f t="shared" si="45"/>
        <v>0.50167929463591832</v>
      </c>
      <c r="E92" s="48">
        <f t="shared" si="45"/>
        <v>0</v>
      </c>
      <c r="F92" s="48">
        <f t="shared" si="45"/>
        <v>0</v>
      </c>
      <c r="G92" s="48">
        <f t="shared" si="45"/>
        <v>0</v>
      </c>
      <c r="H92" s="48">
        <f t="shared" si="45"/>
        <v>0</v>
      </c>
      <c r="I92" s="228">
        <f t="shared" si="45"/>
        <v>0</v>
      </c>
      <c r="J92" s="219"/>
      <c r="K92" s="220"/>
      <c r="L92" s="220"/>
      <c r="M92" s="220"/>
      <c r="N92" s="221"/>
      <c r="P92" s="25" t="s">
        <v>527</v>
      </c>
      <c r="Q92" s="48">
        <f t="shared" si="19"/>
        <v>0.44981804382914364</v>
      </c>
      <c r="R92" s="48">
        <f t="shared" ref="R92:W92" si="58">IF(D23&gt;0,D74*R46/(D23),0)</f>
        <v>0.47339554143918366</v>
      </c>
      <c r="S92" s="48">
        <f t="shared" si="58"/>
        <v>0</v>
      </c>
      <c r="T92" s="48">
        <f t="shared" si="58"/>
        <v>0</v>
      </c>
      <c r="U92" s="48">
        <f t="shared" si="58"/>
        <v>0</v>
      </c>
      <c r="V92" s="48">
        <f t="shared" si="58"/>
        <v>0</v>
      </c>
      <c r="W92" s="228">
        <f t="shared" si="58"/>
        <v>0</v>
      </c>
      <c r="X92" s="219"/>
      <c r="Y92" s="220"/>
      <c r="Z92" s="220"/>
      <c r="AA92" s="220"/>
      <c r="AB92" s="221"/>
      <c r="AD92" s="25" t="s">
        <v>527</v>
      </c>
      <c r="AE92" s="48">
        <f t="shared" si="21"/>
        <v>0.57333556738946945</v>
      </c>
      <c r="AF92" s="48">
        <f t="shared" ref="AF92:AK92" si="59">IF(D23&gt;0,D74*AF46/(D23),0)</f>
        <v>0.58823108315265304</v>
      </c>
      <c r="AG92" s="48">
        <f t="shared" si="59"/>
        <v>0</v>
      </c>
      <c r="AH92" s="48">
        <f t="shared" si="59"/>
        <v>0</v>
      </c>
      <c r="AI92" s="48">
        <f t="shared" si="59"/>
        <v>0</v>
      </c>
      <c r="AJ92" s="48">
        <f t="shared" si="59"/>
        <v>0</v>
      </c>
      <c r="AK92" s="228">
        <f t="shared" si="59"/>
        <v>0</v>
      </c>
      <c r="AL92" s="219"/>
      <c r="AM92" s="220"/>
      <c r="AN92" s="220"/>
      <c r="AO92" s="220"/>
      <c r="AP92" s="221"/>
      <c r="AR92" s="25" t="s">
        <v>527</v>
      </c>
      <c r="AS92" s="48">
        <f t="shared" si="23"/>
        <v>0.68753173506285714</v>
      </c>
      <c r="AT92" s="48">
        <f t="shared" ref="AT92:AY92" si="60">IF(D23&gt;0,D74*AT46/(D23),0)</f>
        <v>0.68420361110693872</v>
      </c>
      <c r="AU92" s="48">
        <f t="shared" si="60"/>
        <v>0</v>
      </c>
      <c r="AV92" s="48">
        <f t="shared" si="60"/>
        <v>0</v>
      </c>
      <c r="AW92" s="48">
        <f t="shared" si="60"/>
        <v>0</v>
      </c>
      <c r="AX92" s="48">
        <f t="shared" si="60"/>
        <v>0</v>
      </c>
      <c r="AY92" s="228">
        <f t="shared" si="60"/>
        <v>0</v>
      </c>
      <c r="AZ92" s="219"/>
      <c r="BA92" s="220"/>
      <c r="BB92" s="220"/>
      <c r="BC92" s="220"/>
      <c r="BD92" s="221"/>
    </row>
    <row r="95" spans="2:56" ht="18.75" x14ac:dyDescent="0.3">
      <c r="B95" s="29" t="s">
        <v>627</v>
      </c>
      <c r="P95" s="29" t="s">
        <v>628</v>
      </c>
      <c r="AD95" s="29" t="s">
        <v>629</v>
      </c>
      <c r="AR95" s="29" t="s">
        <v>630</v>
      </c>
    </row>
    <row r="97" spans="2:56" x14ac:dyDescent="0.25">
      <c r="C97" s="402" t="s">
        <v>639</v>
      </c>
      <c r="D97" s="402"/>
      <c r="E97" s="402"/>
      <c r="F97" s="402"/>
      <c r="G97" s="402"/>
      <c r="H97" s="402"/>
      <c r="I97" s="402"/>
      <c r="J97" s="402"/>
      <c r="K97" s="402"/>
      <c r="L97" s="402"/>
      <c r="M97" s="402"/>
      <c r="N97" s="402"/>
      <c r="Q97" s="402" t="s">
        <v>639</v>
      </c>
      <c r="R97" s="402"/>
      <c r="S97" s="402"/>
      <c r="T97" s="402"/>
      <c r="U97" s="402"/>
      <c r="V97" s="402"/>
      <c r="W97" s="402"/>
      <c r="X97" s="402"/>
      <c r="Y97" s="402"/>
      <c r="Z97" s="402"/>
      <c r="AA97" s="402"/>
      <c r="AB97" s="402"/>
      <c r="AE97" s="402" t="s">
        <v>639</v>
      </c>
      <c r="AF97" s="402"/>
      <c r="AG97" s="402"/>
      <c r="AH97" s="402"/>
      <c r="AI97" s="402"/>
      <c r="AJ97" s="402"/>
      <c r="AK97" s="402"/>
      <c r="AL97" s="402"/>
      <c r="AM97" s="402"/>
      <c r="AN97" s="402"/>
      <c r="AO97" s="402"/>
      <c r="AP97" s="402"/>
      <c r="AS97" s="402" t="s">
        <v>639</v>
      </c>
      <c r="AT97" s="402"/>
      <c r="AU97" s="402"/>
      <c r="AV97" s="402"/>
      <c r="AW97" s="402"/>
      <c r="AX97" s="402"/>
      <c r="AY97" s="402"/>
      <c r="AZ97" s="402"/>
      <c r="BA97" s="402"/>
      <c r="BB97" s="402"/>
      <c r="BC97" s="402"/>
      <c r="BD97" s="402"/>
    </row>
    <row r="98" spans="2:56" x14ac:dyDescent="0.25">
      <c r="B98" s="71" t="s">
        <v>334</v>
      </c>
      <c r="C98" s="72" t="s">
        <v>42</v>
      </c>
      <c r="D98" s="73" t="s">
        <v>51</v>
      </c>
      <c r="E98" s="73" t="s">
        <v>52</v>
      </c>
      <c r="F98" s="73" t="s">
        <v>53</v>
      </c>
      <c r="G98" s="73" t="s">
        <v>54</v>
      </c>
      <c r="H98" s="73" t="s">
        <v>55</v>
      </c>
      <c r="I98" s="75" t="s">
        <v>56</v>
      </c>
      <c r="J98" s="73" t="s">
        <v>60</v>
      </c>
      <c r="K98" s="73" t="s">
        <v>59</v>
      </c>
      <c r="L98" s="73" t="s">
        <v>61</v>
      </c>
      <c r="M98" s="73" t="s">
        <v>58</v>
      </c>
      <c r="N98" s="73" t="s">
        <v>57</v>
      </c>
      <c r="P98" s="71" t="s">
        <v>334</v>
      </c>
      <c r="Q98" s="72" t="s">
        <v>42</v>
      </c>
      <c r="R98" s="73" t="s">
        <v>51</v>
      </c>
      <c r="S98" s="73" t="s">
        <v>52</v>
      </c>
      <c r="T98" s="73" t="s">
        <v>53</v>
      </c>
      <c r="U98" s="73" t="s">
        <v>54</v>
      </c>
      <c r="V98" s="73" t="s">
        <v>55</v>
      </c>
      <c r="W98" s="75" t="s">
        <v>56</v>
      </c>
      <c r="X98" s="73" t="s">
        <v>60</v>
      </c>
      <c r="Y98" s="73" t="s">
        <v>59</v>
      </c>
      <c r="Z98" s="73" t="s">
        <v>61</v>
      </c>
      <c r="AA98" s="73" t="s">
        <v>58</v>
      </c>
      <c r="AB98" s="73" t="s">
        <v>57</v>
      </c>
      <c r="AD98" s="71" t="s">
        <v>334</v>
      </c>
      <c r="AE98" s="72" t="s">
        <v>42</v>
      </c>
      <c r="AF98" s="73" t="s">
        <v>51</v>
      </c>
      <c r="AG98" s="73" t="s">
        <v>52</v>
      </c>
      <c r="AH98" s="73" t="s">
        <v>53</v>
      </c>
      <c r="AI98" s="73" t="s">
        <v>54</v>
      </c>
      <c r="AJ98" s="73" t="s">
        <v>55</v>
      </c>
      <c r="AK98" s="75" t="s">
        <v>56</v>
      </c>
      <c r="AL98" s="73" t="s">
        <v>60</v>
      </c>
      <c r="AM98" s="73" t="s">
        <v>59</v>
      </c>
      <c r="AN98" s="73" t="s">
        <v>61</v>
      </c>
      <c r="AO98" s="73" t="s">
        <v>58</v>
      </c>
      <c r="AP98" s="73" t="s">
        <v>57</v>
      </c>
      <c r="AR98" s="71" t="s">
        <v>334</v>
      </c>
      <c r="AS98" s="72" t="s">
        <v>42</v>
      </c>
      <c r="AT98" s="73" t="s">
        <v>51</v>
      </c>
      <c r="AU98" s="73" t="s">
        <v>52</v>
      </c>
      <c r="AV98" s="73" t="s">
        <v>53</v>
      </c>
      <c r="AW98" s="73" t="s">
        <v>54</v>
      </c>
      <c r="AX98" s="73" t="s">
        <v>55</v>
      </c>
      <c r="AY98" s="75" t="s">
        <v>56</v>
      </c>
      <c r="AZ98" s="73" t="s">
        <v>60</v>
      </c>
      <c r="BA98" s="73" t="s">
        <v>59</v>
      </c>
      <c r="BB98" s="73" t="s">
        <v>61</v>
      </c>
      <c r="BC98" s="73" t="s">
        <v>58</v>
      </c>
      <c r="BD98" s="73" t="s">
        <v>57</v>
      </c>
    </row>
    <row r="99" spans="2:56" x14ac:dyDescent="0.25">
      <c r="B99" s="25" t="s">
        <v>42</v>
      </c>
      <c r="C99" s="49">
        <f>1+C81</f>
        <v>1.000531394920751</v>
      </c>
      <c r="D99" s="49">
        <f t="shared" ref="D99:N99" si="61">1+D81</f>
        <v>1.0098719452345306</v>
      </c>
      <c r="E99" s="49">
        <f t="shared" si="61"/>
        <v>1</v>
      </c>
      <c r="F99" s="49">
        <f t="shared" si="61"/>
        <v>1</v>
      </c>
      <c r="G99" s="49">
        <f t="shared" si="61"/>
        <v>1.2560287153995102</v>
      </c>
      <c r="H99" s="49">
        <f t="shared" si="61"/>
        <v>1</v>
      </c>
      <c r="I99" s="230">
        <f t="shared" si="61"/>
        <v>1</v>
      </c>
      <c r="J99" s="49">
        <f t="shared" si="61"/>
        <v>1</v>
      </c>
      <c r="K99" s="49">
        <f t="shared" si="61"/>
        <v>1</v>
      </c>
      <c r="L99" s="49">
        <f t="shared" si="61"/>
        <v>1</v>
      </c>
      <c r="M99" s="49">
        <f t="shared" si="61"/>
        <v>1</v>
      </c>
      <c r="N99" s="49">
        <f t="shared" si="61"/>
        <v>1</v>
      </c>
      <c r="P99" s="25" t="s">
        <v>42</v>
      </c>
      <c r="Q99" s="49">
        <f>1+Q81</f>
        <v>1.001462908381485</v>
      </c>
      <c r="R99" s="49">
        <f t="shared" ref="R99:AB99" si="62">1+R81</f>
        <v>1.0700828420465307</v>
      </c>
      <c r="S99" s="49">
        <f t="shared" si="62"/>
        <v>1</v>
      </c>
      <c r="T99" s="49">
        <f t="shared" si="62"/>
        <v>1</v>
      </c>
      <c r="U99" s="49">
        <f t="shared" si="62"/>
        <v>1.3003690962422856</v>
      </c>
      <c r="V99" s="49">
        <f t="shared" si="62"/>
        <v>1</v>
      </c>
      <c r="W99" s="230">
        <f t="shared" si="62"/>
        <v>1</v>
      </c>
      <c r="X99" s="49">
        <f t="shared" si="62"/>
        <v>1</v>
      </c>
      <c r="Y99" s="49">
        <f t="shared" si="62"/>
        <v>1</v>
      </c>
      <c r="Z99" s="49">
        <f t="shared" si="62"/>
        <v>1</v>
      </c>
      <c r="AA99" s="49">
        <f t="shared" si="62"/>
        <v>1</v>
      </c>
      <c r="AB99" s="49">
        <f t="shared" si="62"/>
        <v>1</v>
      </c>
      <c r="AD99" s="25" t="s">
        <v>42</v>
      </c>
      <c r="AE99" s="49">
        <f>1+AE81</f>
        <v>1.0062751652704489</v>
      </c>
      <c r="AF99" s="49">
        <f t="shared" ref="AF99:AP99" si="63">1+AF81</f>
        <v>1.0706632541191836</v>
      </c>
      <c r="AG99" s="49">
        <f t="shared" si="63"/>
        <v>1</v>
      </c>
      <c r="AH99" s="49">
        <f t="shared" si="63"/>
        <v>1</v>
      </c>
      <c r="AI99" s="49">
        <f t="shared" si="63"/>
        <v>1.4523978785093876</v>
      </c>
      <c r="AJ99" s="49">
        <f t="shared" si="63"/>
        <v>1</v>
      </c>
      <c r="AK99" s="230">
        <f t="shared" si="63"/>
        <v>1</v>
      </c>
      <c r="AL99" s="49">
        <f t="shared" si="63"/>
        <v>1</v>
      </c>
      <c r="AM99" s="49">
        <f t="shared" si="63"/>
        <v>1</v>
      </c>
      <c r="AN99" s="49">
        <f t="shared" si="63"/>
        <v>1</v>
      </c>
      <c r="AO99" s="49">
        <f t="shared" si="63"/>
        <v>1</v>
      </c>
      <c r="AP99" s="49">
        <f t="shared" si="63"/>
        <v>1</v>
      </c>
      <c r="AR99" s="25" t="s">
        <v>42</v>
      </c>
      <c r="AS99" s="49">
        <f>1+AS81</f>
        <v>1.0158949736610612</v>
      </c>
      <c r="AT99" s="49">
        <f t="shared" ref="AT99:BD99" si="64">1+AT81</f>
        <v>1.1106108275485713</v>
      </c>
      <c r="AU99" s="49">
        <f t="shared" si="64"/>
        <v>1</v>
      </c>
      <c r="AV99" s="49">
        <f t="shared" si="64"/>
        <v>1</v>
      </c>
      <c r="AW99" s="49">
        <f t="shared" si="64"/>
        <v>1.6123623897420407</v>
      </c>
      <c r="AX99" s="49">
        <f t="shared" si="64"/>
        <v>1</v>
      </c>
      <c r="AY99" s="230">
        <f t="shared" si="64"/>
        <v>1</v>
      </c>
      <c r="AZ99" s="49">
        <f t="shared" si="64"/>
        <v>1</v>
      </c>
      <c r="BA99" s="49">
        <f t="shared" si="64"/>
        <v>1</v>
      </c>
      <c r="BB99" s="49">
        <f t="shared" si="64"/>
        <v>1</v>
      </c>
      <c r="BC99" s="49">
        <f t="shared" si="64"/>
        <v>1</v>
      </c>
      <c r="BD99" s="49">
        <f t="shared" si="64"/>
        <v>1</v>
      </c>
    </row>
    <row r="100" spans="2:56" x14ac:dyDescent="0.25">
      <c r="B100" s="25" t="s">
        <v>43</v>
      </c>
      <c r="C100" s="49">
        <f t="shared" ref="C100:N110" si="65">1+C82</f>
        <v>1.0791230712889797</v>
      </c>
      <c r="D100" s="49">
        <f t="shared" si="65"/>
        <v>1.0738899884485715</v>
      </c>
      <c r="E100" s="49">
        <f t="shared" si="65"/>
        <v>1</v>
      </c>
      <c r="F100" s="49">
        <f t="shared" si="65"/>
        <v>1</v>
      </c>
      <c r="G100" s="49">
        <f t="shared" si="65"/>
        <v>1.2070932506737959</v>
      </c>
      <c r="H100" s="49">
        <f t="shared" si="65"/>
        <v>1</v>
      </c>
      <c r="I100" s="230">
        <f t="shared" si="65"/>
        <v>1</v>
      </c>
      <c r="J100" s="49">
        <f t="shared" si="65"/>
        <v>1</v>
      </c>
      <c r="K100" s="49">
        <f t="shared" si="65"/>
        <v>1</v>
      </c>
      <c r="L100" s="49">
        <f t="shared" si="65"/>
        <v>1</v>
      </c>
      <c r="M100" s="49">
        <f t="shared" si="65"/>
        <v>1</v>
      </c>
      <c r="N100" s="49">
        <f t="shared" si="65"/>
        <v>1</v>
      </c>
      <c r="P100" s="25" t="s">
        <v>43</v>
      </c>
      <c r="Q100" s="49">
        <f t="shared" ref="Q100:AB110" si="66">1+Q82</f>
        <v>1.0844629647919559</v>
      </c>
      <c r="R100" s="49">
        <f t="shared" si="66"/>
        <v>1.0744993105730611</v>
      </c>
      <c r="S100" s="49">
        <f t="shared" si="66"/>
        <v>1</v>
      </c>
      <c r="T100" s="49">
        <f t="shared" si="66"/>
        <v>1</v>
      </c>
      <c r="U100" s="49">
        <f t="shared" si="66"/>
        <v>1.2320894781686531</v>
      </c>
      <c r="V100" s="49">
        <f t="shared" si="66"/>
        <v>1</v>
      </c>
      <c r="W100" s="230">
        <f t="shared" si="66"/>
        <v>1</v>
      </c>
      <c r="X100" s="49">
        <f t="shared" si="66"/>
        <v>1</v>
      </c>
      <c r="Y100" s="49">
        <f t="shared" si="66"/>
        <v>1</v>
      </c>
      <c r="Z100" s="49">
        <f t="shared" si="66"/>
        <v>1</v>
      </c>
      <c r="AA100" s="49">
        <f t="shared" si="66"/>
        <v>1</v>
      </c>
      <c r="AB100" s="49">
        <f t="shared" si="66"/>
        <v>1</v>
      </c>
      <c r="AD100" s="25" t="s">
        <v>43</v>
      </c>
      <c r="AE100" s="49">
        <f t="shared" ref="AE100:AP110" si="67">1+AE82</f>
        <v>1.0889626081888164</v>
      </c>
      <c r="AF100" s="49">
        <f t="shared" si="67"/>
        <v>1.0723720214261225</v>
      </c>
      <c r="AG100" s="49">
        <f t="shared" si="67"/>
        <v>1</v>
      </c>
      <c r="AH100" s="49">
        <f t="shared" si="67"/>
        <v>1</v>
      </c>
      <c r="AI100" s="49">
        <f t="shared" si="67"/>
        <v>1.3644378115534694</v>
      </c>
      <c r="AJ100" s="49">
        <f t="shared" si="67"/>
        <v>1</v>
      </c>
      <c r="AK100" s="230">
        <f t="shared" si="67"/>
        <v>1</v>
      </c>
      <c r="AL100" s="49">
        <f t="shared" si="67"/>
        <v>1</v>
      </c>
      <c r="AM100" s="49">
        <f t="shared" si="67"/>
        <v>1</v>
      </c>
      <c r="AN100" s="49">
        <f t="shared" si="67"/>
        <v>1</v>
      </c>
      <c r="AO100" s="49">
        <f t="shared" si="67"/>
        <v>1</v>
      </c>
      <c r="AP100" s="49">
        <f t="shared" si="67"/>
        <v>1</v>
      </c>
      <c r="AR100" s="25" t="s">
        <v>43</v>
      </c>
      <c r="AS100" s="49">
        <f t="shared" ref="AS100:BD110" si="68">1+AS82</f>
        <v>1.1067930136554285</v>
      </c>
      <c r="AT100" s="49">
        <f t="shared" si="68"/>
        <v>1.083863865467755</v>
      </c>
      <c r="AU100" s="49">
        <f t="shared" si="68"/>
        <v>1</v>
      </c>
      <c r="AV100" s="49">
        <f t="shared" si="68"/>
        <v>1</v>
      </c>
      <c r="AW100" s="49">
        <f t="shared" si="68"/>
        <v>1.3992852217469387</v>
      </c>
      <c r="AX100" s="49">
        <f t="shared" si="68"/>
        <v>1</v>
      </c>
      <c r="AY100" s="230">
        <f t="shared" si="68"/>
        <v>1</v>
      </c>
      <c r="AZ100" s="49">
        <f t="shared" si="68"/>
        <v>1</v>
      </c>
      <c r="BA100" s="49">
        <f t="shared" si="68"/>
        <v>1</v>
      </c>
      <c r="BB100" s="49">
        <f t="shared" si="68"/>
        <v>1</v>
      </c>
      <c r="BC100" s="49">
        <f t="shared" si="68"/>
        <v>1</v>
      </c>
      <c r="BD100" s="49">
        <f t="shared" si="68"/>
        <v>1</v>
      </c>
    </row>
    <row r="101" spans="2:56" x14ac:dyDescent="0.25">
      <c r="B101" s="25" t="s">
        <v>44</v>
      </c>
      <c r="C101" s="49">
        <f t="shared" si="65"/>
        <v>1.0400751774612245</v>
      </c>
      <c r="D101" s="49">
        <f t="shared" si="65"/>
        <v>1.1331247431907756</v>
      </c>
      <c r="E101" s="49">
        <f t="shared" si="65"/>
        <v>1</v>
      </c>
      <c r="F101" s="49">
        <f t="shared" si="65"/>
        <v>1</v>
      </c>
      <c r="G101" s="49">
        <f t="shared" si="65"/>
        <v>1.4201745318014694</v>
      </c>
      <c r="H101" s="49">
        <f t="shared" si="65"/>
        <v>1</v>
      </c>
      <c r="I101" s="230">
        <f t="shared" si="65"/>
        <v>1</v>
      </c>
      <c r="J101" s="49">
        <f t="shared" si="65"/>
        <v>1</v>
      </c>
      <c r="K101" s="49">
        <f t="shared" si="65"/>
        <v>1</v>
      </c>
      <c r="L101" s="49">
        <f t="shared" si="65"/>
        <v>1</v>
      </c>
      <c r="M101" s="49">
        <f t="shared" si="65"/>
        <v>1</v>
      </c>
      <c r="N101" s="49">
        <f t="shared" si="65"/>
        <v>1</v>
      </c>
      <c r="P101" s="25" t="s">
        <v>44</v>
      </c>
      <c r="Q101" s="49">
        <f t="shared" si="66"/>
        <v>1.0545862922421412</v>
      </c>
      <c r="R101" s="49">
        <f t="shared" si="66"/>
        <v>1.3276975425967348</v>
      </c>
      <c r="S101" s="49">
        <f t="shared" si="66"/>
        <v>1</v>
      </c>
      <c r="T101" s="49">
        <f t="shared" si="66"/>
        <v>1</v>
      </c>
      <c r="U101" s="49">
        <f t="shared" si="66"/>
        <v>1.5214109850328161</v>
      </c>
      <c r="V101" s="49">
        <f t="shared" si="66"/>
        <v>1</v>
      </c>
      <c r="W101" s="230">
        <f t="shared" si="66"/>
        <v>1</v>
      </c>
      <c r="X101" s="49">
        <f t="shared" si="66"/>
        <v>1</v>
      </c>
      <c r="Y101" s="49">
        <f t="shared" si="66"/>
        <v>1</v>
      </c>
      <c r="Z101" s="49">
        <f t="shared" si="66"/>
        <v>1</v>
      </c>
      <c r="AA101" s="49">
        <f t="shared" si="66"/>
        <v>1</v>
      </c>
      <c r="AB101" s="49">
        <f t="shared" si="66"/>
        <v>1</v>
      </c>
      <c r="AD101" s="25" t="s">
        <v>44</v>
      </c>
      <c r="AE101" s="49">
        <f t="shared" si="67"/>
        <v>1.088796577564245</v>
      </c>
      <c r="AF101" s="49">
        <f t="shared" si="67"/>
        <v>1.3194094593126531</v>
      </c>
      <c r="AG101" s="49">
        <f t="shared" si="67"/>
        <v>1</v>
      </c>
      <c r="AH101" s="49">
        <f t="shared" si="67"/>
        <v>1</v>
      </c>
      <c r="AI101" s="49">
        <f t="shared" si="67"/>
        <v>1.7061300605632652</v>
      </c>
      <c r="AJ101" s="49">
        <f t="shared" si="67"/>
        <v>1</v>
      </c>
      <c r="AK101" s="230">
        <f t="shared" si="67"/>
        <v>1</v>
      </c>
      <c r="AL101" s="49">
        <f t="shared" si="67"/>
        <v>1</v>
      </c>
      <c r="AM101" s="49">
        <f t="shared" si="67"/>
        <v>1</v>
      </c>
      <c r="AN101" s="49">
        <f t="shared" si="67"/>
        <v>1</v>
      </c>
      <c r="AO101" s="49">
        <f t="shared" si="67"/>
        <v>1</v>
      </c>
      <c r="AP101" s="49">
        <f t="shared" si="67"/>
        <v>1</v>
      </c>
      <c r="AR101" s="25" t="s">
        <v>44</v>
      </c>
      <c r="AS101" s="49">
        <f t="shared" si="68"/>
        <v>1.068023398385306</v>
      </c>
      <c r="AT101" s="49">
        <f t="shared" si="68"/>
        <v>1.3283395305053061</v>
      </c>
      <c r="AU101" s="49">
        <f t="shared" si="68"/>
        <v>1</v>
      </c>
      <c r="AV101" s="49">
        <f t="shared" si="68"/>
        <v>1</v>
      </c>
      <c r="AW101" s="49">
        <f t="shared" si="68"/>
        <v>1.8666134383208162</v>
      </c>
      <c r="AX101" s="49">
        <f t="shared" si="68"/>
        <v>1</v>
      </c>
      <c r="AY101" s="230">
        <f t="shared" si="68"/>
        <v>1</v>
      </c>
      <c r="AZ101" s="49">
        <f t="shared" si="68"/>
        <v>1</v>
      </c>
      <c r="BA101" s="49">
        <f t="shared" si="68"/>
        <v>1</v>
      </c>
      <c r="BB101" s="49">
        <f t="shared" si="68"/>
        <v>1</v>
      </c>
      <c r="BC101" s="49">
        <f t="shared" si="68"/>
        <v>1</v>
      </c>
      <c r="BD101" s="49">
        <f t="shared" si="68"/>
        <v>1</v>
      </c>
    </row>
    <row r="102" spans="2:56" x14ac:dyDescent="0.25">
      <c r="B102" s="25" t="s">
        <v>45</v>
      </c>
      <c r="C102" s="49">
        <f t="shared" si="65"/>
        <v>1.0263949893931428</v>
      </c>
      <c r="D102" s="49">
        <f t="shared" si="65"/>
        <v>1.0471721938689795</v>
      </c>
      <c r="E102" s="49">
        <f t="shared" si="65"/>
        <v>1</v>
      </c>
      <c r="F102" s="49">
        <f t="shared" si="65"/>
        <v>1</v>
      </c>
      <c r="G102" s="49">
        <f t="shared" si="65"/>
        <v>1.2624676820857144</v>
      </c>
      <c r="H102" s="49">
        <f t="shared" si="65"/>
        <v>1</v>
      </c>
      <c r="I102" s="230">
        <f t="shared" si="65"/>
        <v>1</v>
      </c>
      <c r="J102" s="49">
        <f t="shared" si="65"/>
        <v>1</v>
      </c>
      <c r="K102" s="49">
        <f t="shared" si="65"/>
        <v>1</v>
      </c>
      <c r="L102" s="49">
        <f t="shared" si="65"/>
        <v>1</v>
      </c>
      <c r="M102" s="49">
        <f t="shared" si="65"/>
        <v>1</v>
      </c>
      <c r="N102" s="49">
        <f t="shared" si="65"/>
        <v>1</v>
      </c>
      <c r="P102" s="25" t="s">
        <v>45</v>
      </c>
      <c r="Q102" s="49">
        <f t="shared" si="66"/>
        <v>1.0275154815476515</v>
      </c>
      <c r="R102" s="49">
        <f t="shared" si="66"/>
        <v>1.0736939180236735</v>
      </c>
      <c r="S102" s="49">
        <f t="shared" si="66"/>
        <v>1</v>
      </c>
      <c r="T102" s="49">
        <f t="shared" si="66"/>
        <v>1</v>
      </c>
      <c r="U102" s="49">
        <f t="shared" si="66"/>
        <v>1.2911646415497959</v>
      </c>
      <c r="V102" s="49">
        <f t="shared" si="66"/>
        <v>1</v>
      </c>
      <c r="W102" s="230">
        <f t="shared" si="66"/>
        <v>1</v>
      </c>
      <c r="X102" s="49">
        <f t="shared" si="66"/>
        <v>1</v>
      </c>
      <c r="Y102" s="49">
        <f t="shared" si="66"/>
        <v>1</v>
      </c>
      <c r="Z102" s="49">
        <f t="shared" si="66"/>
        <v>1</v>
      </c>
      <c r="AA102" s="49">
        <f t="shared" si="66"/>
        <v>1</v>
      </c>
      <c r="AB102" s="49">
        <f t="shared" si="66"/>
        <v>1</v>
      </c>
      <c r="AD102" s="25" t="s">
        <v>45</v>
      </c>
      <c r="AE102" s="49">
        <f t="shared" si="67"/>
        <v>1.0369845278493877</v>
      </c>
      <c r="AF102" s="49">
        <f t="shared" si="67"/>
        <v>1.0744824400661224</v>
      </c>
      <c r="AG102" s="49">
        <f t="shared" si="67"/>
        <v>1</v>
      </c>
      <c r="AH102" s="49">
        <f t="shared" si="67"/>
        <v>1</v>
      </c>
      <c r="AI102" s="49">
        <f t="shared" si="67"/>
        <v>1.4434828605338774</v>
      </c>
      <c r="AJ102" s="49">
        <f t="shared" si="67"/>
        <v>1</v>
      </c>
      <c r="AK102" s="230">
        <f t="shared" si="67"/>
        <v>1</v>
      </c>
      <c r="AL102" s="49">
        <f t="shared" si="67"/>
        <v>1</v>
      </c>
      <c r="AM102" s="49">
        <f t="shared" si="67"/>
        <v>1</v>
      </c>
      <c r="AN102" s="49">
        <f t="shared" si="67"/>
        <v>1</v>
      </c>
      <c r="AO102" s="49">
        <f t="shared" si="67"/>
        <v>1</v>
      </c>
      <c r="AP102" s="49">
        <f t="shared" si="67"/>
        <v>1</v>
      </c>
      <c r="AR102" s="25" t="s">
        <v>45</v>
      </c>
      <c r="AS102" s="49">
        <f t="shared" si="68"/>
        <v>1.1329152369366531</v>
      </c>
      <c r="AT102" s="49">
        <f t="shared" si="68"/>
        <v>1.2489544968922448</v>
      </c>
      <c r="AU102" s="49">
        <f t="shared" si="68"/>
        <v>1</v>
      </c>
      <c r="AV102" s="49">
        <f t="shared" si="68"/>
        <v>1</v>
      </c>
      <c r="AW102" s="49">
        <f t="shared" si="68"/>
        <v>1.7202635776285715</v>
      </c>
      <c r="AX102" s="49">
        <f t="shared" si="68"/>
        <v>1</v>
      </c>
      <c r="AY102" s="230">
        <f t="shared" si="68"/>
        <v>1</v>
      </c>
      <c r="AZ102" s="49">
        <f t="shared" si="68"/>
        <v>1</v>
      </c>
      <c r="BA102" s="49">
        <f t="shared" si="68"/>
        <v>1</v>
      </c>
      <c r="BB102" s="49">
        <f t="shared" si="68"/>
        <v>1</v>
      </c>
      <c r="BC102" s="49">
        <f t="shared" si="68"/>
        <v>1</v>
      </c>
      <c r="BD102" s="49">
        <f t="shared" si="68"/>
        <v>1</v>
      </c>
    </row>
    <row r="103" spans="2:56" x14ac:dyDescent="0.25">
      <c r="B103" s="25" t="s">
        <v>46</v>
      </c>
      <c r="C103" s="49">
        <f t="shared" si="65"/>
        <v>1.3586627371755102</v>
      </c>
      <c r="D103" s="49">
        <f t="shared" si="65"/>
        <v>1.3737343664928163</v>
      </c>
      <c r="E103" s="49">
        <f t="shared" si="65"/>
        <v>1</v>
      </c>
      <c r="F103" s="49">
        <f t="shared" si="65"/>
        <v>1</v>
      </c>
      <c r="G103" s="49">
        <f t="shared" si="65"/>
        <v>1.0255804922218776</v>
      </c>
      <c r="H103" s="49">
        <f t="shared" si="65"/>
        <v>1</v>
      </c>
      <c r="I103" s="230">
        <f t="shared" si="65"/>
        <v>1</v>
      </c>
      <c r="J103" s="49">
        <f t="shared" si="65"/>
        <v>1</v>
      </c>
      <c r="K103" s="49">
        <f t="shared" si="65"/>
        <v>1</v>
      </c>
      <c r="L103" s="49">
        <f t="shared" si="65"/>
        <v>1</v>
      </c>
      <c r="M103" s="49">
        <f t="shared" si="65"/>
        <v>1</v>
      </c>
      <c r="N103" s="49">
        <f t="shared" si="65"/>
        <v>1</v>
      </c>
      <c r="P103" s="25" t="s">
        <v>46</v>
      </c>
      <c r="Q103" s="49">
        <f t="shared" si="66"/>
        <v>1.3428043989560727</v>
      </c>
      <c r="R103" s="49">
        <f t="shared" si="66"/>
        <v>1.3545443041755101</v>
      </c>
      <c r="S103" s="49">
        <f t="shared" si="66"/>
        <v>1</v>
      </c>
      <c r="T103" s="49">
        <f t="shared" si="66"/>
        <v>1</v>
      </c>
      <c r="U103" s="49">
        <f t="shared" si="66"/>
        <v>1.0282429823001633</v>
      </c>
      <c r="V103" s="49">
        <f t="shared" si="66"/>
        <v>1</v>
      </c>
      <c r="W103" s="230">
        <f t="shared" si="66"/>
        <v>1</v>
      </c>
      <c r="X103" s="49">
        <f t="shared" si="66"/>
        <v>1</v>
      </c>
      <c r="Y103" s="49">
        <f t="shared" si="66"/>
        <v>1</v>
      </c>
      <c r="Z103" s="49">
        <f t="shared" si="66"/>
        <v>1</v>
      </c>
      <c r="AA103" s="49">
        <f t="shared" si="66"/>
        <v>1</v>
      </c>
      <c r="AB103" s="49">
        <f t="shared" si="66"/>
        <v>1</v>
      </c>
      <c r="AD103" s="25" t="s">
        <v>46</v>
      </c>
      <c r="AE103" s="49">
        <f t="shared" si="67"/>
        <v>1.4208814666185305</v>
      </c>
      <c r="AF103" s="49">
        <f t="shared" si="67"/>
        <v>1.4345815328081633</v>
      </c>
      <c r="AG103" s="49">
        <f t="shared" si="67"/>
        <v>1</v>
      </c>
      <c r="AH103" s="49">
        <f t="shared" si="67"/>
        <v>1</v>
      </c>
      <c r="AI103" s="49">
        <f t="shared" si="67"/>
        <v>1.0521403764334694</v>
      </c>
      <c r="AJ103" s="49">
        <f t="shared" si="67"/>
        <v>1</v>
      </c>
      <c r="AK103" s="230">
        <f t="shared" si="67"/>
        <v>1</v>
      </c>
      <c r="AL103" s="49">
        <f t="shared" si="67"/>
        <v>1</v>
      </c>
      <c r="AM103" s="49">
        <f t="shared" si="67"/>
        <v>1</v>
      </c>
      <c r="AN103" s="49">
        <f t="shared" si="67"/>
        <v>1</v>
      </c>
      <c r="AO103" s="49">
        <f t="shared" si="67"/>
        <v>1</v>
      </c>
      <c r="AP103" s="49">
        <f t="shared" si="67"/>
        <v>1</v>
      </c>
      <c r="AR103" s="25" t="s">
        <v>46</v>
      </c>
      <c r="AS103" s="49">
        <f t="shared" si="68"/>
        <v>1.5095539323761633</v>
      </c>
      <c r="AT103" s="49">
        <f t="shared" si="68"/>
        <v>1.4950400383836735</v>
      </c>
      <c r="AU103" s="49">
        <f t="shared" si="68"/>
        <v>1</v>
      </c>
      <c r="AV103" s="49">
        <f t="shared" si="68"/>
        <v>1</v>
      </c>
      <c r="AW103" s="49">
        <f t="shared" si="68"/>
        <v>1.0524616429812246</v>
      </c>
      <c r="AX103" s="49">
        <f t="shared" si="68"/>
        <v>1</v>
      </c>
      <c r="AY103" s="230">
        <f t="shared" si="68"/>
        <v>1</v>
      </c>
      <c r="AZ103" s="49">
        <f t="shared" si="68"/>
        <v>1</v>
      </c>
      <c r="BA103" s="49">
        <f t="shared" si="68"/>
        <v>1</v>
      </c>
      <c r="BB103" s="49">
        <f t="shared" si="68"/>
        <v>1</v>
      </c>
      <c r="BC103" s="49">
        <f t="shared" si="68"/>
        <v>1</v>
      </c>
      <c r="BD103" s="49">
        <f t="shared" si="68"/>
        <v>1</v>
      </c>
    </row>
    <row r="104" spans="2:56" x14ac:dyDescent="0.25">
      <c r="B104" s="25" t="s">
        <v>47</v>
      </c>
      <c r="C104" s="49">
        <f t="shared" si="65"/>
        <v>1.4303399784244897</v>
      </c>
      <c r="D104" s="49">
        <f t="shared" si="65"/>
        <v>1.3887504806356734</v>
      </c>
      <c r="E104" s="49">
        <f t="shared" si="65"/>
        <v>1</v>
      </c>
      <c r="F104" s="49">
        <f t="shared" si="65"/>
        <v>1</v>
      </c>
      <c r="G104" s="49">
        <f t="shared" si="65"/>
        <v>1.0054062857020407</v>
      </c>
      <c r="H104" s="49">
        <f t="shared" si="65"/>
        <v>1</v>
      </c>
      <c r="I104" s="230">
        <f t="shared" si="65"/>
        <v>1</v>
      </c>
      <c r="J104" s="49">
        <f t="shared" si="65"/>
        <v>1</v>
      </c>
      <c r="K104" s="49">
        <f t="shared" si="65"/>
        <v>1</v>
      </c>
      <c r="L104" s="49">
        <f t="shared" si="65"/>
        <v>1</v>
      </c>
      <c r="M104" s="49">
        <f t="shared" si="65"/>
        <v>1</v>
      </c>
      <c r="N104" s="49">
        <f t="shared" si="65"/>
        <v>1</v>
      </c>
      <c r="P104" s="25" t="s">
        <v>47</v>
      </c>
      <c r="Q104" s="49">
        <f t="shared" si="66"/>
        <v>1.4497168108832816</v>
      </c>
      <c r="R104" s="49">
        <f t="shared" si="66"/>
        <v>1.3974711122081631</v>
      </c>
      <c r="S104" s="49">
        <f t="shared" si="66"/>
        <v>1</v>
      </c>
      <c r="T104" s="49">
        <f t="shared" si="66"/>
        <v>1</v>
      </c>
      <c r="U104" s="49">
        <f t="shared" si="66"/>
        <v>1.0132761167107756</v>
      </c>
      <c r="V104" s="49">
        <f t="shared" si="66"/>
        <v>1</v>
      </c>
      <c r="W104" s="230">
        <f t="shared" si="66"/>
        <v>1</v>
      </c>
      <c r="X104" s="49">
        <f t="shared" si="66"/>
        <v>1</v>
      </c>
      <c r="Y104" s="49">
        <f t="shared" si="66"/>
        <v>1</v>
      </c>
      <c r="Z104" s="49">
        <f t="shared" si="66"/>
        <v>1</v>
      </c>
      <c r="AA104" s="49">
        <f t="shared" si="66"/>
        <v>1</v>
      </c>
      <c r="AB104" s="49">
        <f t="shared" si="66"/>
        <v>1</v>
      </c>
      <c r="AD104" s="25" t="s">
        <v>47</v>
      </c>
      <c r="AE104" s="49">
        <f t="shared" si="67"/>
        <v>1.5307725777451426</v>
      </c>
      <c r="AF104" s="49">
        <f t="shared" si="67"/>
        <v>1.4761244140848979</v>
      </c>
      <c r="AG104" s="49">
        <f t="shared" si="67"/>
        <v>1</v>
      </c>
      <c r="AH104" s="49">
        <f t="shared" si="67"/>
        <v>1</v>
      </c>
      <c r="AI104" s="49">
        <f t="shared" si="67"/>
        <v>1.0809178872677552</v>
      </c>
      <c r="AJ104" s="49">
        <f t="shared" si="67"/>
        <v>1</v>
      </c>
      <c r="AK104" s="230">
        <f t="shared" si="67"/>
        <v>1</v>
      </c>
      <c r="AL104" s="49">
        <f t="shared" si="67"/>
        <v>1</v>
      </c>
      <c r="AM104" s="49">
        <f t="shared" si="67"/>
        <v>1</v>
      </c>
      <c r="AN104" s="49">
        <f t="shared" si="67"/>
        <v>1</v>
      </c>
      <c r="AO104" s="49">
        <f t="shared" si="67"/>
        <v>1</v>
      </c>
      <c r="AP104" s="49">
        <f t="shared" si="67"/>
        <v>1</v>
      </c>
      <c r="AR104" s="25" t="s">
        <v>47</v>
      </c>
      <c r="AS104" s="49">
        <f t="shared" si="68"/>
        <v>1.5706244224057142</v>
      </c>
      <c r="AT104" s="49">
        <f t="shared" si="68"/>
        <v>1.4932725120399999</v>
      </c>
      <c r="AU104" s="49">
        <f t="shared" si="68"/>
        <v>1</v>
      </c>
      <c r="AV104" s="49">
        <f t="shared" si="68"/>
        <v>1</v>
      </c>
      <c r="AW104" s="49">
        <f t="shared" si="68"/>
        <v>1.0925025039534695</v>
      </c>
      <c r="AX104" s="49">
        <f t="shared" si="68"/>
        <v>1</v>
      </c>
      <c r="AY104" s="230">
        <f t="shared" si="68"/>
        <v>1</v>
      </c>
      <c r="AZ104" s="49">
        <f t="shared" si="68"/>
        <v>1</v>
      </c>
      <c r="BA104" s="49">
        <f t="shared" si="68"/>
        <v>1</v>
      </c>
      <c r="BB104" s="49">
        <f t="shared" si="68"/>
        <v>1</v>
      </c>
      <c r="BC104" s="49">
        <f t="shared" si="68"/>
        <v>1</v>
      </c>
      <c r="BD104" s="49">
        <f t="shared" si="68"/>
        <v>1</v>
      </c>
    </row>
    <row r="105" spans="2:56" x14ac:dyDescent="0.25">
      <c r="B105" s="25" t="s">
        <v>48</v>
      </c>
      <c r="C105" s="225">
        <f t="shared" si="65"/>
        <v>1.0384093284816327</v>
      </c>
      <c r="D105" s="225">
        <f t="shared" si="65"/>
        <v>1.1136910125999999</v>
      </c>
      <c r="E105" s="225">
        <f t="shared" si="65"/>
        <v>1</v>
      </c>
      <c r="F105" s="225">
        <f t="shared" si="65"/>
        <v>1</v>
      </c>
      <c r="G105" s="225">
        <f t="shared" si="65"/>
        <v>1.1119023754065307</v>
      </c>
      <c r="H105" s="225">
        <f t="shared" si="65"/>
        <v>1</v>
      </c>
      <c r="I105" s="231">
        <f t="shared" si="65"/>
        <v>1</v>
      </c>
      <c r="J105" s="225">
        <f t="shared" si="65"/>
        <v>1</v>
      </c>
      <c r="K105" s="225">
        <f t="shared" si="65"/>
        <v>1</v>
      </c>
      <c r="L105" s="225">
        <f t="shared" si="65"/>
        <v>1</v>
      </c>
      <c r="M105" s="225">
        <f t="shared" si="65"/>
        <v>1</v>
      </c>
      <c r="N105" s="225">
        <f t="shared" si="65"/>
        <v>1</v>
      </c>
      <c r="P105" s="72" t="s">
        <v>48</v>
      </c>
      <c r="Q105" s="225">
        <f t="shared" si="66"/>
        <v>1.0437565742242245</v>
      </c>
      <c r="R105" s="225">
        <f t="shared" si="66"/>
        <v>1.1564855219355101</v>
      </c>
      <c r="S105" s="225">
        <f t="shared" si="66"/>
        <v>1</v>
      </c>
      <c r="T105" s="225">
        <f t="shared" si="66"/>
        <v>1</v>
      </c>
      <c r="U105" s="225">
        <f t="shared" si="66"/>
        <v>1.1270854045883265</v>
      </c>
      <c r="V105" s="225">
        <f t="shared" si="66"/>
        <v>1</v>
      </c>
      <c r="W105" s="231">
        <f t="shared" si="66"/>
        <v>1</v>
      </c>
      <c r="X105" s="225">
        <f t="shared" si="66"/>
        <v>1</v>
      </c>
      <c r="Y105" s="225">
        <f t="shared" si="66"/>
        <v>1</v>
      </c>
      <c r="Z105" s="225">
        <f t="shared" si="66"/>
        <v>1</v>
      </c>
      <c r="AA105" s="225">
        <f t="shared" si="66"/>
        <v>1</v>
      </c>
      <c r="AB105" s="225">
        <f t="shared" si="66"/>
        <v>1</v>
      </c>
      <c r="AD105" s="72" t="s">
        <v>48</v>
      </c>
      <c r="AE105" s="225">
        <f t="shared" si="67"/>
        <v>1.0703396372099592</v>
      </c>
      <c r="AF105" s="225">
        <f t="shared" si="67"/>
        <v>1.1677047725077552</v>
      </c>
      <c r="AG105" s="225">
        <f t="shared" si="67"/>
        <v>1</v>
      </c>
      <c r="AH105" s="225">
        <f t="shared" si="67"/>
        <v>1</v>
      </c>
      <c r="AI105" s="225">
        <f t="shared" si="67"/>
        <v>1.1975363417118368</v>
      </c>
      <c r="AJ105" s="225">
        <f t="shared" si="67"/>
        <v>1</v>
      </c>
      <c r="AK105" s="231">
        <f t="shared" si="67"/>
        <v>1</v>
      </c>
      <c r="AL105" s="225">
        <f t="shared" si="67"/>
        <v>1</v>
      </c>
      <c r="AM105" s="225">
        <f t="shared" si="67"/>
        <v>1</v>
      </c>
      <c r="AN105" s="225">
        <f t="shared" si="67"/>
        <v>1</v>
      </c>
      <c r="AO105" s="225">
        <f t="shared" si="67"/>
        <v>1</v>
      </c>
      <c r="AP105" s="225">
        <f t="shared" si="67"/>
        <v>1</v>
      </c>
      <c r="AR105" s="72" t="s">
        <v>48</v>
      </c>
      <c r="AS105" s="225">
        <f t="shared" si="68"/>
        <v>1.1491589273078366</v>
      </c>
      <c r="AT105" s="225">
        <f t="shared" si="68"/>
        <v>1.2751025105444898</v>
      </c>
      <c r="AU105" s="225">
        <f t="shared" si="68"/>
        <v>1</v>
      </c>
      <c r="AV105" s="225">
        <f t="shared" si="68"/>
        <v>1</v>
      </c>
      <c r="AW105" s="225">
        <f t="shared" si="68"/>
        <v>1.3243677225036734</v>
      </c>
      <c r="AX105" s="225">
        <f t="shared" si="68"/>
        <v>1</v>
      </c>
      <c r="AY105" s="231">
        <f t="shared" si="68"/>
        <v>1</v>
      </c>
      <c r="AZ105" s="225">
        <f t="shared" si="68"/>
        <v>1</v>
      </c>
      <c r="BA105" s="225">
        <f t="shared" si="68"/>
        <v>1</v>
      </c>
      <c r="BB105" s="225">
        <f t="shared" si="68"/>
        <v>1</v>
      </c>
      <c r="BC105" s="225">
        <f t="shared" si="68"/>
        <v>1</v>
      </c>
      <c r="BD105" s="225">
        <f t="shared" si="68"/>
        <v>1</v>
      </c>
    </row>
    <row r="106" spans="2:56" x14ac:dyDescent="0.25">
      <c r="B106" s="25" t="s">
        <v>523</v>
      </c>
      <c r="C106" s="49">
        <f t="shared" si="65"/>
        <v>1.4018503262938775</v>
      </c>
      <c r="D106" s="49">
        <f t="shared" si="65"/>
        <v>1.3652708269077551</v>
      </c>
      <c r="E106" s="49">
        <f t="shared" si="65"/>
        <v>1</v>
      </c>
      <c r="F106" s="49">
        <f t="shared" si="65"/>
        <v>1</v>
      </c>
      <c r="G106" s="49">
        <f t="shared" si="65"/>
        <v>1</v>
      </c>
      <c r="H106" s="49">
        <f t="shared" si="65"/>
        <v>1</v>
      </c>
      <c r="I106" s="230">
        <f t="shared" si="65"/>
        <v>1</v>
      </c>
      <c r="J106" s="213"/>
      <c r="K106" s="214"/>
      <c r="L106" s="214"/>
      <c r="M106" s="214"/>
      <c r="N106" s="215"/>
      <c r="P106" s="25" t="s">
        <v>523</v>
      </c>
      <c r="Q106" s="49">
        <f t="shared" si="66"/>
        <v>1.4002262850655502</v>
      </c>
      <c r="R106" s="49">
        <f t="shared" si="66"/>
        <v>1.3456934668179592</v>
      </c>
      <c r="S106" s="49">
        <f t="shared" si="66"/>
        <v>1</v>
      </c>
      <c r="T106" s="49">
        <f t="shared" si="66"/>
        <v>1</v>
      </c>
      <c r="U106" s="49">
        <f t="shared" si="66"/>
        <v>1</v>
      </c>
      <c r="V106" s="49">
        <f t="shared" si="66"/>
        <v>1</v>
      </c>
      <c r="W106" s="230">
        <f t="shared" si="66"/>
        <v>1</v>
      </c>
      <c r="X106" s="213"/>
      <c r="Y106" s="214"/>
      <c r="Z106" s="214"/>
      <c r="AA106" s="214"/>
      <c r="AB106" s="215"/>
      <c r="AD106" s="25" t="s">
        <v>523</v>
      </c>
      <c r="AE106" s="49">
        <f t="shared" si="67"/>
        <v>1.4901241180448979</v>
      </c>
      <c r="AF106" s="49">
        <f t="shared" si="67"/>
        <v>1.4299744911583674</v>
      </c>
      <c r="AG106" s="49">
        <f t="shared" si="67"/>
        <v>1</v>
      </c>
      <c r="AH106" s="49">
        <f t="shared" si="67"/>
        <v>1</v>
      </c>
      <c r="AI106" s="49">
        <f t="shared" si="67"/>
        <v>1</v>
      </c>
      <c r="AJ106" s="49">
        <f t="shared" si="67"/>
        <v>1</v>
      </c>
      <c r="AK106" s="230">
        <f t="shared" si="67"/>
        <v>1</v>
      </c>
      <c r="AL106" s="213"/>
      <c r="AM106" s="214"/>
      <c r="AN106" s="214"/>
      <c r="AO106" s="214"/>
      <c r="AP106" s="215"/>
      <c r="AR106" s="25" t="s">
        <v>523</v>
      </c>
      <c r="AS106" s="49">
        <f t="shared" si="68"/>
        <v>1.523221275234204</v>
      </c>
      <c r="AT106" s="49">
        <f t="shared" si="68"/>
        <v>1.4454867859918368</v>
      </c>
      <c r="AU106" s="49">
        <f t="shared" si="68"/>
        <v>1</v>
      </c>
      <c r="AV106" s="49">
        <f t="shared" si="68"/>
        <v>1</v>
      </c>
      <c r="AW106" s="49">
        <f t="shared" si="68"/>
        <v>1.0607503320285714</v>
      </c>
      <c r="AX106" s="49">
        <f t="shared" si="68"/>
        <v>1</v>
      </c>
      <c r="AY106" s="230">
        <f t="shared" si="68"/>
        <v>1</v>
      </c>
      <c r="AZ106" s="213"/>
      <c r="BA106" s="214"/>
      <c r="BB106" s="214"/>
      <c r="BC106" s="214"/>
      <c r="BD106" s="215"/>
    </row>
    <row r="107" spans="2:56" x14ac:dyDescent="0.25">
      <c r="B107" s="25" t="s">
        <v>524</v>
      </c>
      <c r="C107" s="49">
        <f t="shared" si="65"/>
        <v>1.4635430745224489</v>
      </c>
      <c r="D107" s="49">
        <f t="shared" si="65"/>
        <v>1.5016792946359183</v>
      </c>
      <c r="E107" s="49">
        <f t="shared" si="65"/>
        <v>1</v>
      </c>
      <c r="F107" s="49">
        <f t="shared" si="65"/>
        <v>1</v>
      </c>
      <c r="G107" s="49">
        <f t="shared" si="65"/>
        <v>1</v>
      </c>
      <c r="H107" s="49">
        <f t="shared" si="65"/>
        <v>1</v>
      </c>
      <c r="I107" s="230">
        <f t="shared" si="65"/>
        <v>1</v>
      </c>
      <c r="J107" s="216"/>
      <c r="K107" s="217"/>
      <c r="L107" s="217"/>
      <c r="M107" s="217"/>
      <c r="N107" s="218"/>
      <c r="P107" s="25" t="s">
        <v>524</v>
      </c>
      <c r="Q107" s="49">
        <f t="shared" si="66"/>
        <v>1.4498180438291437</v>
      </c>
      <c r="R107" s="49">
        <f t="shared" si="66"/>
        <v>1.4733955414391837</v>
      </c>
      <c r="S107" s="49">
        <f t="shared" si="66"/>
        <v>1</v>
      </c>
      <c r="T107" s="49">
        <f t="shared" si="66"/>
        <v>1</v>
      </c>
      <c r="U107" s="49">
        <f t="shared" si="66"/>
        <v>1</v>
      </c>
      <c r="V107" s="49">
        <f t="shared" si="66"/>
        <v>1</v>
      </c>
      <c r="W107" s="230">
        <f t="shared" si="66"/>
        <v>1</v>
      </c>
      <c r="X107" s="216"/>
      <c r="Y107" s="217"/>
      <c r="Z107" s="217"/>
      <c r="AA107" s="217"/>
      <c r="AB107" s="218"/>
      <c r="AD107" s="25" t="s">
        <v>524</v>
      </c>
      <c r="AE107" s="49">
        <f t="shared" si="67"/>
        <v>1.5733355673894693</v>
      </c>
      <c r="AF107" s="49">
        <f t="shared" si="67"/>
        <v>1.5882310831526532</v>
      </c>
      <c r="AG107" s="49">
        <f t="shared" si="67"/>
        <v>1</v>
      </c>
      <c r="AH107" s="49">
        <f t="shared" si="67"/>
        <v>1</v>
      </c>
      <c r="AI107" s="49">
        <f t="shared" si="67"/>
        <v>1</v>
      </c>
      <c r="AJ107" s="49">
        <f t="shared" si="67"/>
        <v>1</v>
      </c>
      <c r="AK107" s="230">
        <f t="shared" si="67"/>
        <v>1</v>
      </c>
      <c r="AL107" s="216"/>
      <c r="AM107" s="217"/>
      <c r="AN107" s="217"/>
      <c r="AO107" s="217"/>
      <c r="AP107" s="218"/>
      <c r="AR107" s="25" t="s">
        <v>524</v>
      </c>
      <c r="AS107" s="49">
        <f t="shared" si="68"/>
        <v>1.6875317350628571</v>
      </c>
      <c r="AT107" s="49">
        <f t="shared" si="68"/>
        <v>1.6842036111069387</v>
      </c>
      <c r="AU107" s="49">
        <f t="shared" si="68"/>
        <v>1</v>
      </c>
      <c r="AV107" s="49">
        <f t="shared" si="68"/>
        <v>1</v>
      </c>
      <c r="AW107" s="49">
        <f t="shared" si="68"/>
        <v>1</v>
      </c>
      <c r="AX107" s="49">
        <f t="shared" si="68"/>
        <v>1</v>
      </c>
      <c r="AY107" s="230">
        <f t="shared" si="68"/>
        <v>1</v>
      </c>
      <c r="AZ107" s="216"/>
      <c r="BA107" s="217"/>
      <c r="BB107" s="217"/>
      <c r="BC107" s="217"/>
      <c r="BD107" s="218"/>
    </row>
    <row r="108" spans="2:56" x14ac:dyDescent="0.25">
      <c r="B108" s="25" t="s">
        <v>525</v>
      </c>
      <c r="C108" s="49">
        <f t="shared" si="65"/>
        <v>1.0000282689513713</v>
      </c>
      <c r="D108" s="49">
        <f t="shared" si="65"/>
        <v>1.0072431416514285</v>
      </c>
      <c r="E108" s="49">
        <f t="shared" si="65"/>
        <v>1</v>
      </c>
      <c r="F108" s="49">
        <f t="shared" si="65"/>
        <v>1</v>
      </c>
      <c r="G108" s="49">
        <f t="shared" si="65"/>
        <v>1.267515719392653</v>
      </c>
      <c r="H108" s="49">
        <f t="shared" si="65"/>
        <v>1</v>
      </c>
      <c r="I108" s="230">
        <f t="shared" si="65"/>
        <v>1</v>
      </c>
      <c r="J108" s="216"/>
      <c r="K108" s="217"/>
      <c r="L108" s="222" t="s">
        <v>69</v>
      </c>
      <c r="M108" s="217"/>
      <c r="N108" s="218"/>
      <c r="P108" s="25" t="s">
        <v>525</v>
      </c>
      <c r="Q108" s="49">
        <f t="shared" si="66"/>
        <v>1.0000965182903681</v>
      </c>
      <c r="R108" s="49">
        <f t="shared" si="66"/>
        <v>1.0303886896791836</v>
      </c>
      <c r="S108" s="49">
        <f t="shared" si="66"/>
        <v>1</v>
      </c>
      <c r="T108" s="49">
        <f t="shared" si="66"/>
        <v>1</v>
      </c>
      <c r="U108" s="49">
        <f t="shared" si="66"/>
        <v>1.2962357735812244</v>
      </c>
      <c r="V108" s="49">
        <f t="shared" si="66"/>
        <v>1</v>
      </c>
      <c r="W108" s="230">
        <f t="shared" si="66"/>
        <v>1</v>
      </c>
      <c r="X108" s="216"/>
      <c r="Y108" s="217"/>
      <c r="Z108" s="222" t="s">
        <v>69</v>
      </c>
      <c r="AA108" s="217"/>
      <c r="AB108" s="218"/>
      <c r="AD108" s="25" t="s">
        <v>525</v>
      </c>
      <c r="AE108" s="49">
        <f t="shared" si="67"/>
        <v>1.000109370557551</v>
      </c>
      <c r="AF108" s="49">
        <f t="shared" si="67"/>
        <v>1.0342604255893877</v>
      </c>
      <c r="AG108" s="49">
        <f t="shared" si="67"/>
        <v>1</v>
      </c>
      <c r="AH108" s="49">
        <f t="shared" si="67"/>
        <v>1</v>
      </c>
      <c r="AI108" s="49">
        <f t="shared" si="67"/>
        <v>1.4658944960775511</v>
      </c>
      <c r="AJ108" s="49">
        <f t="shared" si="67"/>
        <v>1</v>
      </c>
      <c r="AK108" s="230">
        <f t="shared" si="67"/>
        <v>1</v>
      </c>
      <c r="AL108" s="216"/>
      <c r="AM108" s="217"/>
      <c r="AN108" s="222" t="s">
        <v>69</v>
      </c>
      <c r="AO108" s="217"/>
      <c r="AP108" s="218"/>
      <c r="AR108" s="25" t="s">
        <v>525</v>
      </c>
      <c r="AS108" s="49">
        <f t="shared" si="68"/>
        <v>1.1384165123763266</v>
      </c>
      <c r="AT108" s="49">
        <f t="shared" si="68"/>
        <v>1.2597836964979592</v>
      </c>
      <c r="AU108" s="49">
        <f t="shared" si="68"/>
        <v>1</v>
      </c>
      <c r="AV108" s="49">
        <f t="shared" si="68"/>
        <v>1</v>
      </c>
      <c r="AW108" s="49">
        <f t="shared" si="68"/>
        <v>1.7649475837412245</v>
      </c>
      <c r="AX108" s="49">
        <f t="shared" si="68"/>
        <v>1</v>
      </c>
      <c r="AY108" s="230">
        <f t="shared" si="68"/>
        <v>1</v>
      </c>
      <c r="AZ108" s="216"/>
      <c r="BA108" s="217"/>
      <c r="BB108" s="222" t="s">
        <v>69</v>
      </c>
      <c r="BC108" s="217"/>
      <c r="BD108" s="218"/>
    </row>
    <row r="109" spans="2:56" x14ac:dyDescent="0.25">
      <c r="B109" s="25" t="s">
        <v>526</v>
      </c>
      <c r="C109" s="49">
        <f t="shared" si="65"/>
        <v>1.4018503262938775</v>
      </c>
      <c r="D109" s="49">
        <f t="shared" si="65"/>
        <v>1.3652708269077551</v>
      </c>
      <c r="E109" s="49">
        <f t="shared" si="65"/>
        <v>1</v>
      </c>
      <c r="F109" s="49">
        <f t="shared" si="65"/>
        <v>1</v>
      </c>
      <c r="G109" s="49">
        <f t="shared" si="65"/>
        <v>1</v>
      </c>
      <c r="H109" s="49">
        <f t="shared" si="65"/>
        <v>1</v>
      </c>
      <c r="I109" s="230">
        <f t="shared" si="65"/>
        <v>1</v>
      </c>
      <c r="J109" s="216"/>
      <c r="K109" s="217"/>
      <c r="L109" s="217"/>
      <c r="M109" s="217"/>
      <c r="N109" s="218"/>
      <c r="P109" s="25" t="s">
        <v>526</v>
      </c>
      <c r="Q109" s="49">
        <f t="shared" si="66"/>
        <v>1.4002262850655502</v>
      </c>
      <c r="R109" s="49">
        <f t="shared" si="66"/>
        <v>1.3456934668179592</v>
      </c>
      <c r="S109" s="49">
        <f t="shared" si="66"/>
        <v>1</v>
      </c>
      <c r="T109" s="49">
        <f t="shared" si="66"/>
        <v>1</v>
      </c>
      <c r="U109" s="49">
        <f t="shared" si="66"/>
        <v>1</v>
      </c>
      <c r="V109" s="49">
        <f t="shared" si="66"/>
        <v>1</v>
      </c>
      <c r="W109" s="230">
        <f t="shared" si="66"/>
        <v>1</v>
      </c>
      <c r="X109" s="216"/>
      <c r="Y109" s="217"/>
      <c r="Z109" s="217"/>
      <c r="AA109" s="217"/>
      <c r="AB109" s="218"/>
      <c r="AD109" s="25" t="s">
        <v>526</v>
      </c>
      <c r="AE109" s="49">
        <f t="shared" si="67"/>
        <v>1.4901241180448979</v>
      </c>
      <c r="AF109" s="49">
        <f t="shared" si="67"/>
        <v>1.4299744911583674</v>
      </c>
      <c r="AG109" s="49">
        <f t="shared" si="67"/>
        <v>1</v>
      </c>
      <c r="AH109" s="49">
        <f t="shared" si="67"/>
        <v>1</v>
      </c>
      <c r="AI109" s="49">
        <f t="shared" si="67"/>
        <v>1</v>
      </c>
      <c r="AJ109" s="49">
        <f t="shared" si="67"/>
        <v>1</v>
      </c>
      <c r="AK109" s="230">
        <f t="shared" si="67"/>
        <v>1</v>
      </c>
      <c r="AL109" s="216"/>
      <c r="AM109" s="217"/>
      <c r="AN109" s="217"/>
      <c r="AO109" s="217"/>
      <c r="AP109" s="218"/>
      <c r="AR109" s="25" t="s">
        <v>526</v>
      </c>
      <c r="AS109" s="49">
        <f t="shared" si="68"/>
        <v>1.523221275234204</v>
      </c>
      <c r="AT109" s="49">
        <f t="shared" si="68"/>
        <v>1.4454867859918368</v>
      </c>
      <c r="AU109" s="49">
        <f t="shared" si="68"/>
        <v>1</v>
      </c>
      <c r="AV109" s="49">
        <f t="shared" si="68"/>
        <v>1</v>
      </c>
      <c r="AW109" s="49">
        <f t="shared" si="68"/>
        <v>1.0607503320285714</v>
      </c>
      <c r="AX109" s="49">
        <f t="shared" si="68"/>
        <v>1</v>
      </c>
      <c r="AY109" s="230">
        <f t="shared" si="68"/>
        <v>1</v>
      </c>
      <c r="AZ109" s="216"/>
      <c r="BA109" s="217"/>
      <c r="BB109" s="217"/>
      <c r="BC109" s="217"/>
      <c r="BD109" s="218"/>
    </row>
    <row r="110" spans="2:56" x14ac:dyDescent="0.25">
      <c r="B110" s="25" t="s">
        <v>527</v>
      </c>
      <c r="C110" s="49">
        <f t="shared" si="65"/>
        <v>1.4635430745224489</v>
      </c>
      <c r="D110" s="49">
        <f t="shared" si="65"/>
        <v>1.5016792946359183</v>
      </c>
      <c r="E110" s="49">
        <f t="shared" si="65"/>
        <v>1</v>
      </c>
      <c r="F110" s="49">
        <f t="shared" si="65"/>
        <v>1</v>
      </c>
      <c r="G110" s="49">
        <f t="shared" si="65"/>
        <v>1</v>
      </c>
      <c r="H110" s="49">
        <f t="shared" si="65"/>
        <v>1</v>
      </c>
      <c r="I110" s="230">
        <f t="shared" si="65"/>
        <v>1</v>
      </c>
      <c r="J110" s="219"/>
      <c r="K110" s="220"/>
      <c r="L110" s="220"/>
      <c r="M110" s="220"/>
      <c r="N110" s="221"/>
      <c r="P110" s="25" t="s">
        <v>527</v>
      </c>
      <c r="Q110" s="49">
        <f t="shared" si="66"/>
        <v>1.4498180438291437</v>
      </c>
      <c r="R110" s="49">
        <f t="shared" si="66"/>
        <v>1.4733955414391837</v>
      </c>
      <c r="S110" s="49">
        <f t="shared" si="66"/>
        <v>1</v>
      </c>
      <c r="T110" s="49">
        <f t="shared" si="66"/>
        <v>1</v>
      </c>
      <c r="U110" s="49">
        <f t="shared" si="66"/>
        <v>1</v>
      </c>
      <c r="V110" s="49">
        <f t="shared" si="66"/>
        <v>1</v>
      </c>
      <c r="W110" s="230">
        <f t="shared" si="66"/>
        <v>1</v>
      </c>
      <c r="X110" s="219"/>
      <c r="Y110" s="220"/>
      <c r="Z110" s="220"/>
      <c r="AA110" s="220"/>
      <c r="AB110" s="221"/>
      <c r="AD110" s="25" t="s">
        <v>527</v>
      </c>
      <c r="AE110" s="49">
        <f t="shared" si="67"/>
        <v>1.5733355673894693</v>
      </c>
      <c r="AF110" s="49">
        <f t="shared" si="67"/>
        <v>1.5882310831526532</v>
      </c>
      <c r="AG110" s="49">
        <f t="shared" si="67"/>
        <v>1</v>
      </c>
      <c r="AH110" s="49">
        <f t="shared" si="67"/>
        <v>1</v>
      </c>
      <c r="AI110" s="49">
        <f t="shared" si="67"/>
        <v>1</v>
      </c>
      <c r="AJ110" s="49">
        <f t="shared" si="67"/>
        <v>1</v>
      </c>
      <c r="AK110" s="230">
        <f t="shared" si="67"/>
        <v>1</v>
      </c>
      <c r="AL110" s="219"/>
      <c r="AM110" s="220"/>
      <c r="AN110" s="220"/>
      <c r="AO110" s="220"/>
      <c r="AP110" s="221"/>
      <c r="AR110" s="25" t="s">
        <v>527</v>
      </c>
      <c r="AS110" s="49">
        <f t="shared" si="68"/>
        <v>1.6875317350628571</v>
      </c>
      <c r="AT110" s="49">
        <f t="shared" si="68"/>
        <v>1.6842036111069387</v>
      </c>
      <c r="AU110" s="49">
        <f t="shared" si="68"/>
        <v>1</v>
      </c>
      <c r="AV110" s="49">
        <f t="shared" si="68"/>
        <v>1</v>
      </c>
      <c r="AW110" s="49">
        <f t="shared" si="68"/>
        <v>1</v>
      </c>
      <c r="AX110" s="49">
        <f t="shared" si="68"/>
        <v>1</v>
      </c>
      <c r="AY110" s="230">
        <f t="shared" si="68"/>
        <v>1</v>
      </c>
      <c r="AZ110" s="219"/>
      <c r="BA110" s="220"/>
      <c r="BB110" s="220"/>
      <c r="BC110" s="220"/>
      <c r="BD110" s="221"/>
    </row>
    <row r="140" spans="2:2" x14ac:dyDescent="0.25">
      <c r="B140" s="342"/>
    </row>
  </sheetData>
  <mergeCells count="20">
    <mergeCell ref="C33:N33"/>
    <mergeCell ref="C61:N61"/>
    <mergeCell ref="C79:N79"/>
    <mergeCell ref="C97:N97"/>
    <mergeCell ref="AS33:BD33"/>
    <mergeCell ref="AS79:BD79"/>
    <mergeCell ref="AS97:BD97"/>
    <mergeCell ref="Q33:AB33"/>
    <mergeCell ref="Q79:AB79"/>
    <mergeCell ref="Q97:AB97"/>
    <mergeCell ref="D56:N56"/>
    <mergeCell ref="AE33:AP33"/>
    <mergeCell ref="AE79:AP79"/>
    <mergeCell ref="AE97:AP97"/>
    <mergeCell ref="B29:N29"/>
    <mergeCell ref="B5:N5"/>
    <mergeCell ref="B25:N25"/>
    <mergeCell ref="B27:N27"/>
    <mergeCell ref="B28:N28"/>
    <mergeCell ref="C10:N10"/>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AH88"/>
  <sheetViews>
    <sheetView topLeftCell="A43" zoomScale="85" zoomScaleNormal="85" workbookViewId="0">
      <selection activeCell="D60" sqref="D60:N60"/>
    </sheetView>
  </sheetViews>
  <sheetFormatPr defaultRowHeight="15" x14ac:dyDescent="0.25"/>
  <cols>
    <col min="2" max="2" width="25.140625" customWidth="1"/>
    <col min="3" max="3" width="13.5703125" customWidth="1"/>
    <col min="4" max="4" width="11.28515625" customWidth="1"/>
    <col min="5" max="5" width="12.42578125" customWidth="1"/>
    <col min="6" max="6" width="15.7109375" customWidth="1"/>
    <col min="7" max="7" width="26.42578125" customWidth="1"/>
    <col min="8" max="8" width="12.42578125" customWidth="1"/>
    <col min="9" max="9" width="11.28515625" customWidth="1"/>
    <col min="10" max="10" width="12.28515625" customWidth="1"/>
    <col min="11" max="11" width="15.7109375" customWidth="1"/>
  </cols>
  <sheetData>
    <row r="3" spans="2:34" ht="21" x14ac:dyDescent="0.35">
      <c r="B3" s="28" t="s">
        <v>640</v>
      </c>
      <c r="R3" s="28"/>
      <c r="AH3" s="28"/>
    </row>
    <row r="5" spans="2:34" ht="150" customHeight="1" x14ac:dyDescent="0.25">
      <c r="B5" s="398" t="s">
        <v>661</v>
      </c>
      <c r="C5" s="398"/>
      <c r="D5" s="398"/>
      <c r="E5" s="398"/>
      <c r="F5" s="398"/>
      <c r="G5" s="398"/>
      <c r="H5" s="398"/>
      <c r="I5" s="398"/>
      <c r="J5" s="398"/>
      <c r="K5" s="398"/>
      <c r="L5" s="398"/>
      <c r="M5" s="398"/>
      <c r="N5" s="398"/>
    </row>
    <row r="8" spans="2:34" ht="18.75" x14ac:dyDescent="0.3">
      <c r="B8" s="29" t="s">
        <v>641</v>
      </c>
      <c r="G8" s="29" t="s">
        <v>643</v>
      </c>
    </row>
    <row r="9" spans="2:34" ht="15" customHeight="1" x14ac:dyDescent="0.25">
      <c r="B9" s="406" t="s">
        <v>644</v>
      </c>
      <c r="C9" s="406"/>
      <c r="D9" s="406"/>
      <c r="E9" s="406"/>
      <c r="G9" s="179" t="s">
        <v>343</v>
      </c>
    </row>
    <row r="10" spans="2:34" x14ac:dyDescent="0.25">
      <c r="B10" s="377"/>
      <c r="C10" s="377"/>
      <c r="D10" s="377"/>
      <c r="E10" s="377"/>
      <c r="G10" s="241">
        <v>44</v>
      </c>
      <c r="H10" s="179" t="s">
        <v>344</v>
      </c>
    </row>
    <row r="11" spans="2:34" x14ac:dyDescent="0.25">
      <c r="G11" s="242" t="s">
        <v>345</v>
      </c>
      <c r="H11" s="179" t="s">
        <v>346</v>
      </c>
    </row>
    <row r="13" spans="2:34" x14ac:dyDescent="0.25">
      <c r="B13" s="36" t="s">
        <v>70</v>
      </c>
      <c r="C13" s="35" t="s">
        <v>3</v>
      </c>
      <c r="D13" s="35" t="s">
        <v>68</v>
      </c>
      <c r="E13" s="35" t="s">
        <v>5</v>
      </c>
      <c r="G13" s="36" t="s">
        <v>70</v>
      </c>
      <c r="H13" s="35" t="s">
        <v>3</v>
      </c>
      <c r="I13" s="35" t="s">
        <v>68</v>
      </c>
      <c r="J13" s="35" t="s">
        <v>5</v>
      </c>
    </row>
    <row r="14" spans="2:34" x14ac:dyDescent="0.25">
      <c r="B14" s="33">
        <v>7</v>
      </c>
      <c r="C14" s="240">
        <v>1034.0982658959538</v>
      </c>
      <c r="D14" s="240">
        <v>993.08823529411768</v>
      </c>
      <c r="E14" s="240">
        <v>933.38392857142856</v>
      </c>
      <c r="G14" s="33">
        <v>7</v>
      </c>
      <c r="H14" s="246">
        <f>IFERROR(100*C14/($B14*'Main Sheet'!$B$35)/$G$10,"n/a")</f>
        <v>459.92628798076584</v>
      </c>
      <c r="I14" s="246">
        <f>IFERROR(100*D14/($B14*'Main Sheet'!$B$35)/$G$10,"n/a")</f>
        <v>441.68663729501765</v>
      </c>
      <c r="J14" s="246">
        <f>IFERROR(100*E14/($B14*'Main Sheet'!$B$35)/$G$10,"n/a")</f>
        <v>415.13250692555977</v>
      </c>
    </row>
    <row r="15" spans="2:34" x14ac:dyDescent="0.25">
      <c r="B15" s="33">
        <v>8</v>
      </c>
      <c r="C15" s="240">
        <v>1171.6935483870968</v>
      </c>
      <c r="D15" s="240">
        <v>1206.7647058823529</v>
      </c>
      <c r="E15" s="240">
        <v>1199.7083333333333</v>
      </c>
      <c r="G15" s="33">
        <v>8</v>
      </c>
      <c r="H15" s="246">
        <f>IFERROR(100*C15/($B15*'Main Sheet'!$B$35)/$G$10,"n/a")</f>
        <v>455.98285662636084</v>
      </c>
      <c r="I15" s="246">
        <f>IFERROR(100*D15/($B15*'Main Sheet'!$B$35)/$G$10,"n/a")</f>
        <v>469.63134568896044</v>
      </c>
      <c r="J15" s="246">
        <f>IFERROR(100*E15/($B15*'Main Sheet'!$B$35)/$G$10,"n/a")</f>
        <v>466.88524802822752</v>
      </c>
    </row>
    <row r="16" spans="2:34" x14ac:dyDescent="0.25">
      <c r="B16" s="33">
        <v>9</v>
      </c>
      <c r="C16" s="240">
        <v>1280</v>
      </c>
      <c r="D16" s="240">
        <v>1337.5</v>
      </c>
      <c r="E16" s="240">
        <v>1016.1363636363636</v>
      </c>
      <c r="G16" s="33">
        <v>9</v>
      </c>
      <c r="H16" s="246">
        <f>IFERROR(100*C16/($B16*'Main Sheet'!$B$35)/$G$10,"n/a")</f>
        <v>442.78400442784005</v>
      </c>
      <c r="I16" s="246">
        <f>IFERROR(100*D16/($B16*'Main Sheet'!$B$35)/$G$10,"n/a")</f>
        <v>462.67469212674695</v>
      </c>
      <c r="J16" s="246">
        <f>IFERROR(100*E16/($B16*'Main Sheet'!$B$35)/$G$10,"n/a")</f>
        <v>351.50697510597888</v>
      </c>
    </row>
    <row r="17" spans="2:14" x14ac:dyDescent="0.25">
      <c r="B17" s="33">
        <v>10</v>
      </c>
      <c r="C17" s="240">
        <v>1402.2222222222222</v>
      </c>
      <c r="D17" s="240">
        <v>1260</v>
      </c>
      <c r="E17" s="240">
        <v>1245.3214285714287</v>
      </c>
      <c r="G17" s="33">
        <v>10</v>
      </c>
      <c r="H17" s="246">
        <f>IFERROR(100*C17/($B17*'Main Sheet'!$B$35)/$G$10,"n/a")</f>
        <v>436.55735436557353</v>
      </c>
      <c r="I17" s="246">
        <f>IFERROR(100*D17/($B17*'Main Sheet'!$B$35)/$G$10,"n/a")</f>
        <v>392.27895392278953</v>
      </c>
      <c r="J17" s="246">
        <f>IFERROR(100*E17/($B17*'Main Sheet'!$B$35)/$G$10,"n/a")</f>
        <v>387.7090375378047</v>
      </c>
    </row>
    <row r="18" spans="2:14" x14ac:dyDescent="0.25">
      <c r="B18" s="33">
        <v>11</v>
      </c>
      <c r="C18" s="240" t="s">
        <v>69</v>
      </c>
      <c r="D18" s="240" t="s">
        <v>69</v>
      </c>
      <c r="E18" s="240" t="s">
        <v>69</v>
      </c>
      <c r="G18" s="33">
        <v>11</v>
      </c>
      <c r="H18" s="246" t="str">
        <f>IFERROR(100*C18/($B18*'Main Sheet'!$B$35)/$G$10,"n/a")</f>
        <v>n/a</v>
      </c>
      <c r="I18" s="246" t="str">
        <f>IFERROR(100*D18/($B18*'Main Sheet'!$B$35)/$G$10,"n/a")</f>
        <v>n/a</v>
      </c>
      <c r="J18" s="246" t="str">
        <f>IFERROR(100*E18/($B18*'Main Sheet'!$B$35)/$G$10,"n/a")</f>
        <v>n/a</v>
      </c>
    </row>
    <row r="19" spans="2:14" x14ac:dyDescent="0.25">
      <c r="B19" s="33">
        <v>12</v>
      </c>
      <c r="C19" s="240">
        <v>1095</v>
      </c>
      <c r="D19" s="240">
        <v>1389</v>
      </c>
      <c r="E19" s="240">
        <v>1217.8333333333333</v>
      </c>
      <c r="G19" s="33">
        <v>12</v>
      </c>
      <c r="H19" s="246">
        <f>IFERROR(100*C19/($B19*'Main Sheet'!$B$35)/$G$10,"n/a")</f>
        <v>284.09090909090907</v>
      </c>
      <c r="I19" s="246">
        <f>IFERROR(100*D19/($B19*'Main Sheet'!$B$35)/$G$10,"n/a")</f>
        <v>360.36737235367377</v>
      </c>
      <c r="J19" s="246">
        <f>IFERROR(100*E19/($B19*'Main Sheet'!$B$35)/$G$10,"n/a")</f>
        <v>315.95925003459251</v>
      </c>
    </row>
    <row r="20" spans="2:14" x14ac:dyDescent="0.25">
      <c r="B20" s="33">
        <v>13</v>
      </c>
      <c r="C20" s="240" t="s">
        <v>69</v>
      </c>
      <c r="D20" s="240" t="s">
        <v>69</v>
      </c>
      <c r="E20" s="240">
        <v>1150</v>
      </c>
      <c r="G20" s="33">
        <v>13</v>
      </c>
      <c r="H20" s="246" t="str">
        <f>IFERROR(100*C20/($B20*'Main Sheet'!$B$35)/$G$10,"n/a")</f>
        <v>n/a</v>
      </c>
      <c r="I20" s="246" t="str">
        <f>IFERROR(100*D20/($B20*'Main Sheet'!$B$35)/$G$10,"n/a")</f>
        <v>n/a</v>
      </c>
      <c r="J20" s="246">
        <f>IFERROR(100*E20/($B20*'Main Sheet'!$B$35)/$G$10,"n/a")</f>
        <v>275.40952198486445</v>
      </c>
    </row>
    <row r="21" spans="2:14" x14ac:dyDescent="0.25">
      <c r="B21" s="33">
        <v>14</v>
      </c>
      <c r="C21" s="240">
        <v>1000</v>
      </c>
      <c r="D21" s="240">
        <v>1581.25</v>
      </c>
      <c r="E21" s="240">
        <v>1200</v>
      </c>
      <c r="G21" s="33">
        <v>14</v>
      </c>
      <c r="H21" s="246">
        <f>IFERROR(100*C21/($B21*'Main Sheet'!$B$35)/$G$10,"n/a")</f>
        <v>222.38035936666074</v>
      </c>
      <c r="I21" s="246">
        <f>IFERROR(100*D21/($B21*'Main Sheet'!$B$35)/$G$10,"n/a")</f>
        <v>351.63894324853231</v>
      </c>
      <c r="J21" s="246">
        <f>IFERROR(100*E21/($B21*'Main Sheet'!$B$35)/$G$10,"n/a")</f>
        <v>266.8564312399929</v>
      </c>
    </row>
    <row r="22" spans="2:14" x14ac:dyDescent="0.25">
      <c r="B22" s="33">
        <v>15</v>
      </c>
      <c r="C22" s="240" t="s">
        <v>69</v>
      </c>
      <c r="D22" s="240" t="s">
        <v>69</v>
      </c>
      <c r="E22" s="240">
        <v>1276</v>
      </c>
      <c r="G22" s="33">
        <v>15</v>
      </c>
      <c r="H22" s="246" t="str">
        <f>IFERROR(100*C22/($B22*'Main Sheet'!$B$35)/$G$10,"n/a")</f>
        <v>n/a</v>
      </c>
      <c r="I22" s="246" t="str">
        <f>IFERROR(100*D22/($B22*'Main Sheet'!$B$35)/$G$10,"n/a")</f>
        <v>n/a</v>
      </c>
      <c r="J22" s="246">
        <f>IFERROR(100*E22/($B22*'Main Sheet'!$B$35)/$G$10,"n/a")</f>
        <v>264.84018264840182</v>
      </c>
    </row>
    <row r="25" spans="2:14" ht="18.75" x14ac:dyDescent="0.3">
      <c r="B25" s="41" t="s">
        <v>73</v>
      </c>
      <c r="C25" s="40"/>
      <c r="D25" s="40"/>
      <c r="E25" s="40"/>
      <c r="G25" s="29" t="s">
        <v>353</v>
      </c>
    </row>
    <row r="26" spans="2:14" ht="30" customHeight="1" x14ac:dyDescent="0.25">
      <c r="B26" s="407" t="s">
        <v>348</v>
      </c>
      <c r="C26" s="407"/>
      <c r="D26" s="407"/>
      <c r="E26" s="407"/>
      <c r="G26" s="244" t="s">
        <v>347</v>
      </c>
    </row>
    <row r="27" spans="2:14" x14ac:dyDescent="0.25">
      <c r="M27" s="120"/>
      <c r="N27" s="121"/>
    </row>
    <row r="28" spans="2:14" x14ac:dyDescent="0.25">
      <c r="B28" s="36" t="s">
        <v>70</v>
      </c>
      <c r="C28" s="35" t="s">
        <v>3</v>
      </c>
      <c r="D28" s="35" t="s">
        <v>68</v>
      </c>
      <c r="E28" s="35" t="s">
        <v>5</v>
      </c>
      <c r="G28" s="36" t="s">
        <v>70</v>
      </c>
      <c r="H28" s="35" t="s">
        <v>3</v>
      </c>
      <c r="I28" s="35" t="s">
        <v>68</v>
      </c>
      <c r="J28" s="35" t="s">
        <v>5</v>
      </c>
    </row>
    <row r="29" spans="2:14" x14ac:dyDescent="0.25">
      <c r="B29" s="33">
        <v>7</v>
      </c>
      <c r="C29" s="243">
        <f>IFERROR(MIN('Main Sheet'!$B$45/C14,0.5),"n/a")</f>
        <v>0.38681043493814943</v>
      </c>
      <c r="D29" s="243">
        <f>IFERROR(MIN('Main Sheet'!$B$45/D14,0.5),"n/a")</f>
        <v>0.40278394787501848</v>
      </c>
      <c r="E29" s="243">
        <f>IFERROR(MIN('Main Sheet'!$B$45/E14,0.5),"n/a")</f>
        <v>0.42854819732348692</v>
      </c>
      <c r="G29" s="33">
        <v>7</v>
      </c>
      <c r="H29" s="247">
        <f t="shared" ref="H29:J30" si="0">IFERROR(H14*(1-C29),"n/a")</f>
        <v>282.02200048743725</v>
      </c>
      <c r="I29" s="247">
        <f t="shared" si="0"/>
        <v>263.78234980168907</v>
      </c>
      <c r="J29" s="247">
        <f t="shared" si="0"/>
        <v>237.22821943223119</v>
      </c>
      <c r="K29" s="120"/>
      <c r="L29" s="120"/>
    </row>
    <row r="30" spans="2:14" x14ac:dyDescent="0.25">
      <c r="B30" s="33">
        <v>8</v>
      </c>
      <c r="C30" s="243">
        <f>IFERROR(MIN('Main Sheet'!$B$45/C15,0.5),"n/a")</f>
        <v>0.3413861931309794</v>
      </c>
      <c r="D30" s="243">
        <f>IFERROR(MIN('Main Sheet'!$B$45/D15,0.5),"n/a")</f>
        <v>0.33146478186692663</v>
      </c>
      <c r="E30" s="243">
        <f>IFERROR(MIN('Main Sheet'!$B$45/E15,0.5),"n/a")</f>
        <v>0.33341437154864034</v>
      </c>
      <c r="G30" s="33">
        <v>8</v>
      </c>
      <c r="H30" s="247">
        <f t="shared" si="0"/>
        <v>300.31660506969831</v>
      </c>
      <c r="I30" s="247">
        <f t="shared" si="0"/>
        <v>313.96509413229796</v>
      </c>
      <c r="J30" s="247">
        <f t="shared" si="0"/>
        <v>311.21899647156494</v>
      </c>
    </row>
    <row r="31" spans="2:14" x14ac:dyDescent="0.25">
      <c r="B31" s="33">
        <v>9</v>
      </c>
      <c r="C31" s="243">
        <f>IFERROR(MIN('Main Sheet'!$B$45/C16,0.5),"n/a")</f>
        <v>0.3125</v>
      </c>
      <c r="D31" s="243">
        <f>IFERROR(MIN('Main Sheet'!$B$45/D16,0.5),"n/a")</f>
        <v>0.29906542056074764</v>
      </c>
      <c r="E31" s="243">
        <f>IFERROR(MIN('Main Sheet'!$B$45/E16,0.5),"n/a")</f>
        <v>0.39364795347796916</v>
      </c>
      <c r="G31" s="33">
        <v>9</v>
      </c>
      <c r="H31" s="246">
        <f t="shared" ref="H31:J31" si="1">IFERROR(H16*(1-C31),"n/a")</f>
        <v>304.41400304414003</v>
      </c>
      <c r="I31" s="246">
        <f t="shared" si="1"/>
        <v>324.30469074304693</v>
      </c>
      <c r="J31" s="246">
        <f t="shared" si="1"/>
        <v>213.13697372227887</v>
      </c>
    </row>
    <row r="32" spans="2:14" x14ac:dyDescent="0.25">
      <c r="B32" s="33">
        <v>10</v>
      </c>
      <c r="C32" s="243">
        <f>IFERROR(MIN('Main Sheet'!$C$45/C17,0.5),"n/a")</f>
        <v>0.28526148969889065</v>
      </c>
      <c r="D32" s="243">
        <f>IFERROR(MIN('Main Sheet'!$C$45/D17,0.5),"n/a")</f>
        <v>0.31746031746031744</v>
      </c>
      <c r="E32" s="243">
        <f>IFERROR(MIN('Main Sheet'!$C$45/E17,0.5),"n/a")</f>
        <v>0.32120221400097504</v>
      </c>
      <c r="G32" s="33">
        <v>10</v>
      </c>
      <c r="H32" s="246">
        <f t="shared" ref="H32:J32" si="2">IFERROR(H17*(1-C32),"n/a")</f>
        <v>312.02435312024352</v>
      </c>
      <c r="I32" s="246">
        <f t="shared" si="2"/>
        <v>267.74595267745951</v>
      </c>
      <c r="J32" s="246">
        <f t="shared" si="2"/>
        <v>263.17603629247469</v>
      </c>
    </row>
    <row r="33" spans="2:10" x14ac:dyDescent="0.25">
      <c r="B33" s="33">
        <v>11</v>
      </c>
      <c r="C33" s="243" t="str">
        <f>IFERROR(MIN('Main Sheet'!$C$45/C18,0.5),"n/a")</f>
        <v>n/a</v>
      </c>
      <c r="D33" s="243" t="str">
        <f>IFERROR(MIN('Main Sheet'!$C$45/D18,0.5),"n/a")</f>
        <v>n/a</v>
      </c>
      <c r="E33" s="243" t="str">
        <f>IFERROR(MIN('Main Sheet'!$C$45/E18,0.5),"n/a")</f>
        <v>n/a</v>
      </c>
      <c r="G33" s="33">
        <v>11</v>
      </c>
      <c r="H33" s="246" t="str">
        <f t="shared" ref="H33:J33" si="3">IFERROR(H18*(1-C33),"n/a")</f>
        <v>n/a</v>
      </c>
      <c r="I33" s="246" t="str">
        <f t="shared" si="3"/>
        <v>n/a</v>
      </c>
      <c r="J33" s="246" t="str">
        <f t="shared" si="3"/>
        <v>n/a</v>
      </c>
    </row>
    <row r="34" spans="2:10" x14ac:dyDescent="0.25">
      <c r="B34" s="33">
        <v>12</v>
      </c>
      <c r="C34" s="243">
        <f>IFERROR(MIN('Main Sheet'!$C$45/C19,0.5),"n/a")</f>
        <v>0.36529680365296802</v>
      </c>
      <c r="D34" s="243">
        <f>IFERROR(MIN('Main Sheet'!$C$45/D19,0.5),"n/a")</f>
        <v>0.28797696184305255</v>
      </c>
      <c r="E34" s="243">
        <f>IFERROR(MIN('Main Sheet'!$C$45/E19,0.5),"n/a")</f>
        <v>0.32845216915286712</v>
      </c>
      <c r="G34" s="33">
        <v>12</v>
      </c>
      <c r="H34" s="246">
        <f t="shared" ref="H34:J34" si="4">IFERROR(H19*(1-C34),"n/a")</f>
        <v>180.31340805313408</v>
      </c>
      <c r="I34" s="246">
        <f t="shared" si="4"/>
        <v>256.58987131589873</v>
      </c>
      <c r="J34" s="246">
        <f t="shared" si="4"/>
        <v>212.1817489968175</v>
      </c>
    </row>
    <row r="35" spans="2:10" x14ac:dyDescent="0.25">
      <c r="B35" s="33">
        <v>13</v>
      </c>
      <c r="C35" s="243" t="str">
        <f>IFERROR(MIN('Main Sheet'!$C$45/C20,0.5),"n/a")</f>
        <v>n/a</v>
      </c>
      <c r="D35" s="243" t="str">
        <f>IFERROR(MIN('Main Sheet'!$C$45/D20,0.5),"n/a")</f>
        <v>n/a</v>
      </c>
      <c r="E35" s="243">
        <f>IFERROR(MIN('Main Sheet'!$C$45/E20,0.5),"n/a")</f>
        <v>0.34782608695652173</v>
      </c>
      <c r="G35" s="33">
        <v>13</v>
      </c>
      <c r="H35" s="246" t="str">
        <f t="shared" ref="H35:J35" si="5">IFERROR(H20*(1-C35),"n/a")</f>
        <v>n/a</v>
      </c>
      <c r="I35" s="246" t="str">
        <f t="shared" si="5"/>
        <v>n/a</v>
      </c>
      <c r="J35" s="246">
        <f t="shared" si="5"/>
        <v>179.61490564230292</v>
      </c>
    </row>
    <row r="36" spans="2:10" x14ac:dyDescent="0.25">
      <c r="B36" s="33">
        <v>14</v>
      </c>
      <c r="C36" s="243">
        <f>IFERROR(MIN('Main Sheet'!$C$45/C21,0.5),"n/a")</f>
        <v>0.4</v>
      </c>
      <c r="D36" s="243">
        <f>IFERROR(MIN('Main Sheet'!$C$45/D21,0.5),"n/a")</f>
        <v>0.25296442687747034</v>
      </c>
      <c r="E36" s="243">
        <f>IFERROR(MIN('Main Sheet'!$C$45/E21,0.5),"n/a")</f>
        <v>0.33333333333333331</v>
      </c>
      <c r="G36" s="33">
        <v>14</v>
      </c>
      <c r="H36" s="246">
        <f t="shared" ref="H36:J36" si="6">IFERROR(H21*(1-C36),"n/a")</f>
        <v>133.42821561999645</v>
      </c>
      <c r="I36" s="246">
        <f t="shared" si="6"/>
        <v>262.68679950186799</v>
      </c>
      <c r="J36" s="246">
        <f t="shared" si="6"/>
        <v>177.90428749332861</v>
      </c>
    </row>
    <row r="37" spans="2:10" x14ac:dyDescent="0.25">
      <c r="B37" s="33">
        <v>15</v>
      </c>
      <c r="C37" s="243" t="str">
        <f>IFERROR(MIN('Main Sheet'!$C$45/C22,0.5),"n/a")</f>
        <v>n/a</v>
      </c>
      <c r="D37" s="243" t="str">
        <f>IFERROR(MIN('Main Sheet'!$C$45/D22,0.5),"n/a")</f>
        <v>n/a</v>
      </c>
      <c r="E37" s="243">
        <f>IFERROR(MIN('Main Sheet'!$C$45/E22,0.5),"n/a")</f>
        <v>0.31347962382445144</v>
      </c>
      <c r="G37" s="33">
        <v>15</v>
      </c>
      <c r="H37" s="246" t="str">
        <f t="shared" ref="H37:J37" si="7">IFERROR(H22*(1-C37),"n/a")</f>
        <v>n/a</v>
      </c>
      <c r="I37" s="246" t="str">
        <f t="shared" si="7"/>
        <v>n/a</v>
      </c>
      <c r="J37" s="246">
        <f t="shared" si="7"/>
        <v>181.81818181818178</v>
      </c>
    </row>
    <row r="40" spans="2:10" ht="18.75" x14ac:dyDescent="0.3">
      <c r="B40" s="41" t="s">
        <v>74</v>
      </c>
      <c r="C40" s="40"/>
      <c r="D40" s="40"/>
      <c r="E40" s="40"/>
      <c r="G40" s="29" t="s">
        <v>354</v>
      </c>
    </row>
    <row r="41" spans="2:10" ht="30" customHeight="1" x14ac:dyDescent="0.25">
      <c r="B41" s="407" t="s">
        <v>349</v>
      </c>
      <c r="C41" s="407"/>
      <c r="D41" s="407"/>
      <c r="E41" s="407"/>
      <c r="G41" s="244" t="s">
        <v>347</v>
      </c>
    </row>
    <row r="43" spans="2:10" x14ac:dyDescent="0.25">
      <c r="B43" s="36" t="s">
        <v>70</v>
      </c>
      <c r="C43" s="35" t="s">
        <v>3</v>
      </c>
      <c r="D43" s="35" t="s">
        <v>68</v>
      </c>
      <c r="E43" s="35" t="s">
        <v>5</v>
      </c>
      <c r="G43" s="36" t="s">
        <v>70</v>
      </c>
      <c r="H43" s="35" t="s">
        <v>3</v>
      </c>
      <c r="I43" s="35" t="s">
        <v>68</v>
      </c>
      <c r="J43" s="35" t="s">
        <v>5</v>
      </c>
    </row>
    <row r="44" spans="2:10" x14ac:dyDescent="0.25">
      <c r="B44" s="33">
        <v>7</v>
      </c>
      <c r="C44" s="243">
        <f>IFERROR(MIN('Main Sheet'!$B$46/C14,0.5),"n/a")</f>
        <v>0.38681043493814943</v>
      </c>
      <c r="D44" s="243">
        <f>IFERROR(MIN('Main Sheet'!$B$46/D14,0.5),"n/a")</f>
        <v>0.40278394787501848</v>
      </c>
      <c r="E44" s="243">
        <f>IFERROR(MIN('Main Sheet'!$B$46/E14,0.5),"n/a")</f>
        <v>0.42854819732348692</v>
      </c>
      <c r="G44" s="33">
        <v>7</v>
      </c>
      <c r="H44" s="247">
        <f>IFERROR(H14*(1-C44),"n/a")</f>
        <v>282.02200048743725</v>
      </c>
      <c r="I44" s="247">
        <f t="shared" ref="I44" si="8">IFERROR(I14*(1-D44),"n/a")</f>
        <v>263.78234980168907</v>
      </c>
      <c r="J44" s="247">
        <f>IFERROR(J14*(1-E44),"n/a")</f>
        <v>237.22821943223119</v>
      </c>
    </row>
    <row r="45" spans="2:10" x14ac:dyDescent="0.25">
      <c r="B45" s="33">
        <v>8</v>
      </c>
      <c r="C45" s="243">
        <f>IFERROR(MIN('Main Sheet'!$B$46/C15,0.5),"n/a")</f>
        <v>0.3413861931309794</v>
      </c>
      <c r="D45" s="243">
        <f>IFERROR(MIN('Main Sheet'!$B$46/D15,0.5),"n/a")</f>
        <v>0.33146478186692663</v>
      </c>
      <c r="E45" s="243">
        <f>IFERROR(MIN('Main Sheet'!$B$46/E15,0.5),"n/a")</f>
        <v>0.33341437154864034</v>
      </c>
      <c r="G45" s="33">
        <v>8</v>
      </c>
      <c r="H45" s="246">
        <f t="shared" ref="H45:J45" si="9">IFERROR(H15*(1-C45),"n/a")</f>
        <v>300.31660506969831</v>
      </c>
      <c r="I45" s="246">
        <f t="shared" si="9"/>
        <v>313.96509413229796</v>
      </c>
      <c r="J45" s="246">
        <f t="shared" si="9"/>
        <v>311.21899647156494</v>
      </c>
    </row>
    <row r="46" spans="2:10" x14ac:dyDescent="0.25">
      <c r="B46" s="33">
        <v>9</v>
      </c>
      <c r="C46" s="243">
        <f>IFERROR(MIN('Main Sheet'!$B$46/C16,0.5),"n/a")</f>
        <v>0.3125</v>
      </c>
      <c r="D46" s="243">
        <f>IFERROR(MIN('Main Sheet'!$B$46/D16,0.5),"n/a")</f>
        <v>0.29906542056074764</v>
      </c>
      <c r="E46" s="243">
        <f>IFERROR(MIN('Main Sheet'!$B$46/E16,0.5),"n/a")</f>
        <v>0.39364795347796916</v>
      </c>
      <c r="G46" s="33">
        <v>9</v>
      </c>
      <c r="H46" s="246">
        <f t="shared" ref="H46:J46" si="10">IFERROR(H16*(1-C46),"n/a")</f>
        <v>304.41400304414003</v>
      </c>
      <c r="I46" s="246">
        <f t="shared" si="10"/>
        <v>324.30469074304693</v>
      </c>
      <c r="J46" s="246">
        <f t="shared" si="10"/>
        <v>213.13697372227887</v>
      </c>
    </row>
    <row r="47" spans="2:10" x14ac:dyDescent="0.25">
      <c r="B47" s="33">
        <v>10</v>
      </c>
      <c r="C47" s="243">
        <f>IFERROR(MIN('Main Sheet'!$C$46/C17,0.5),"n/a")</f>
        <v>0.28526148969889065</v>
      </c>
      <c r="D47" s="243">
        <f>IFERROR(MIN('Main Sheet'!$C$46/D17,0.5),"n/a")</f>
        <v>0.31746031746031744</v>
      </c>
      <c r="E47" s="243">
        <f>IFERROR(MIN('Main Sheet'!$C$46/E17,0.5),"n/a")</f>
        <v>0.32120221400097504</v>
      </c>
      <c r="G47" s="33">
        <v>10</v>
      </c>
      <c r="H47" s="246">
        <f t="shared" ref="H47:J47" si="11">IFERROR(H17*(1-C47),"n/a")</f>
        <v>312.02435312024352</v>
      </c>
      <c r="I47" s="246">
        <f t="shared" si="11"/>
        <v>267.74595267745951</v>
      </c>
      <c r="J47" s="246">
        <f t="shared" si="11"/>
        <v>263.17603629247469</v>
      </c>
    </row>
    <row r="48" spans="2:10" x14ac:dyDescent="0.25">
      <c r="B48" s="33">
        <v>11</v>
      </c>
      <c r="C48" s="243" t="str">
        <f>IFERROR(MIN('Main Sheet'!$C$46/C18,0.5),"n/a")</f>
        <v>n/a</v>
      </c>
      <c r="D48" s="243" t="str">
        <f>IFERROR(MIN('Main Sheet'!$C$46/D18,0.5),"n/a")</f>
        <v>n/a</v>
      </c>
      <c r="E48" s="243" t="str">
        <f>IFERROR(MIN('Main Sheet'!$C$46/E18,0.5),"n/a")</f>
        <v>n/a</v>
      </c>
      <c r="G48" s="33">
        <v>11</v>
      </c>
      <c r="H48" s="246" t="str">
        <f t="shared" ref="H48:J48" si="12">IFERROR(H18*(1-C48),"n/a")</f>
        <v>n/a</v>
      </c>
      <c r="I48" s="246" t="str">
        <f t="shared" si="12"/>
        <v>n/a</v>
      </c>
      <c r="J48" s="246" t="str">
        <f t="shared" si="12"/>
        <v>n/a</v>
      </c>
    </row>
    <row r="49" spans="2:14" x14ac:dyDescent="0.25">
      <c r="B49" s="33">
        <v>12</v>
      </c>
      <c r="C49" s="243">
        <f>IFERROR(MIN('Main Sheet'!$C$46/C19,0.5),"n/a")</f>
        <v>0.36529680365296802</v>
      </c>
      <c r="D49" s="243">
        <f>IFERROR(MIN('Main Sheet'!$C$46/D19,0.5),"n/a")</f>
        <v>0.28797696184305255</v>
      </c>
      <c r="E49" s="243">
        <f>IFERROR(MIN('Main Sheet'!$C$46/E19,0.5),"n/a")</f>
        <v>0.32845216915286712</v>
      </c>
      <c r="G49" s="33">
        <v>12</v>
      </c>
      <c r="H49" s="246">
        <f t="shared" ref="H49:J49" si="13">IFERROR(H19*(1-C49),"n/a")</f>
        <v>180.31340805313408</v>
      </c>
      <c r="I49" s="246">
        <f t="shared" si="13"/>
        <v>256.58987131589873</v>
      </c>
      <c r="J49" s="246">
        <f t="shared" si="13"/>
        <v>212.1817489968175</v>
      </c>
    </row>
    <row r="50" spans="2:14" x14ac:dyDescent="0.25">
      <c r="B50" s="33">
        <v>13</v>
      </c>
      <c r="C50" s="243" t="str">
        <f>IFERROR(MIN('Main Sheet'!$C$46/C20,0.5),"n/a")</f>
        <v>n/a</v>
      </c>
      <c r="D50" s="243" t="str">
        <f>IFERROR(MIN('Main Sheet'!$C$46/D20,0.5),"n/a")</f>
        <v>n/a</v>
      </c>
      <c r="E50" s="243">
        <f>IFERROR(MIN('Main Sheet'!$C$46/E20,0.5),"n/a")</f>
        <v>0.34782608695652173</v>
      </c>
      <c r="G50" s="33">
        <v>13</v>
      </c>
      <c r="H50" s="246" t="str">
        <f t="shared" ref="H50:J50" si="14">IFERROR(H20*(1-C50),"n/a")</f>
        <v>n/a</v>
      </c>
      <c r="I50" s="246" t="str">
        <f t="shared" si="14"/>
        <v>n/a</v>
      </c>
      <c r="J50" s="246">
        <f t="shared" si="14"/>
        <v>179.61490564230292</v>
      </c>
    </row>
    <row r="51" spans="2:14" x14ac:dyDescent="0.25">
      <c r="B51" s="33">
        <v>14</v>
      </c>
      <c r="C51" s="243">
        <f>IFERROR(MIN('Main Sheet'!$C$46/C21,0.5),"n/a")</f>
        <v>0.4</v>
      </c>
      <c r="D51" s="243">
        <f>IFERROR(MIN('Main Sheet'!$C$46/D21,0.5),"n/a")</f>
        <v>0.25296442687747034</v>
      </c>
      <c r="E51" s="243">
        <f>IFERROR(MIN('Main Sheet'!$C$46/E21,0.5),"n/a")</f>
        <v>0.33333333333333331</v>
      </c>
      <c r="G51" s="33">
        <v>14</v>
      </c>
      <c r="H51" s="246">
        <f t="shared" ref="H51:J51" si="15">IFERROR(H21*(1-C51),"n/a")</f>
        <v>133.42821561999645</v>
      </c>
      <c r="I51" s="246">
        <f t="shared" si="15"/>
        <v>262.68679950186799</v>
      </c>
      <c r="J51" s="246">
        <f t="shared" si="15"/>
        <v>177.90428749332861</v>
      </c>
    </row>
    <row r="52" spans="2:14" x14ac:dyDescent="0.25">
      <c r="B52" s="33">
        <v>15</v>
      </c>
      <c r="C52" s="243" t="str">
        <f>IFERROR(MIN('Main Sheet'!$C$46/C22,0.5),"n/a")</f>
        <v>n/a</v>
      </c>
      <c r="D52" s="243" t="str">
        <f>IFERROR(MIN('Main Sheet'!$C$46/D22,0.5),"n/a")</f>
        <v>n/a</v>
      </c>
      <c r="E52" s="243">
        <f>IFERROR(MIN('Main Sheet'!$C$46/E22,0.5),"n/a")</f>
        <v>0.31347962382445144</v>
      </c>
      <c r="G52" s="33">
        <v>15</v>
      </c>
      <c r="H52" s="246" t="str">
        <f t="shared" ref="H52:J52" si="16">IFERROR(H22*(1-C52),"n/a")</f>
        <v>n/a</v>
      </c>
      <c r="I52" s="246" t="str">
        <f t="shared" si="16"/>
        <v>n/a</v>
      </c>
      <c r="J52" s="246">
        <f t="shared" si="16"/>
        <v>181.81818181818178</v>
      </c>
    </row>
    <row r="55" spans="2:14" ht="18.75" x14ac:dyDescent="0.3">
      <c r="B55" s="29" t="s">
        <v>645</v>
      </c>
    </row>
    <row r="56" spans="2:14" ht="30" customHeight="1" x14ac:dyDescent="0.25">
      <c r="B56" s="30" t="s">
        <v>63</v>
      </c>
      <c r="C56" s="90">
        <f>SUM('Main Sheet'!B11:B13)*6*2</f>
        <v>8388</v>
      </c>
      <c r="D56" s="401" t="s">
        <v>529</v>
      </c>
      <c r="E56" s="401"/>
      <c r="F56" s="401"/>
      <c r="G56" s="401"/>
      <c r="H56" s="401"/>
      <c r="I56" s="401"/>
      <c r="J56" s="401"/>
      <c r="K56" s="401"/>
      <c r="L56" s="401"/>
      <c r="M56" s="401"/>
      <c r="N56" s="401"/>
    </row>
    <row r="57" spans="2:14" x14ac:dyDescent="0.25">
      <c r="B57" s="30" t="s">
        <v>64</v>
      </c>
      <c r="C57" s="90">
        <f>2*0.049*1600000</f>
        <v>156800</v>
      </c>
      <c r="D57" s="377" t="s">
        <v>561</v>
      </c>
      <c r="E57" s="377"/>
      <c r="F57" s="377"/>
      <c r="G57" s="377"/>
      <c r="H57" s="377"/>
      <c r="I57" s="377"/>
      <c r="J57" s="377"/>
      <c r="K57" s="377"/>
      <c r="L57" s="377"/>
      <c r="M57" s="377"/>
      <c r="N57" s="377"/>
    </row>
    <row r="58" spans="2:14" x14ac:dyDescent="0.25">
      <c r="B58" s="30" t="s">
        <v>62</v>
      </c>
      <c r="C58" s="27">
        <f>C56/C57</f>
        <v>5.3494897959183677E-2</v>
      </c>
      <c r="D58" s="403" t="s">
        <v>342</v>
      </c>
      <c r="E58" s="377"/>
      <c r="F58" s="377"/>
      <c r="G58" s="377"/>
      <c r="H58" s="377"/>
      <c r="I58" s="377"/>
      <c r="J58" s="377"/>
      <c r="K58" s="377"/>
      <c r="L58" s="377"/>
      <c r="M58" s="377"/>
      <c r="N58" s="377"/>
    </row>
    <row r="59" spans="2:14" ht="30" x14ac:dyDescent="0.25">
      <c r="B59" s="43" t="s">
        <v>76</v>
      </c>
      <c r="C59" s="356">
        <f>61398/2080/3</f>
        <v>9.8394230769230777</v>
      </c>
      <c r="D59" s="378" t="s">
        <v>666</v>
      </c>
      <c r="E59" s="378"/>
      <c r="F59" s="378"/>
      <c r="G59" s="378"/>
      <c r="H59" s="378"/>
      <c r="I59" s="378"/>
      <c r="J59" s="378"/>
      <c r="K59" s="378"/>
      <c r="L59" s="378"/>
      <c r="M59" s="378"/>
      <c r="N59" s="378"/>
    </row>
    <row r="60" spans="2:14" x14ac:dyDescent="0.25">
      <c r="B60" s="43" t="s">
        <v>65</v>
      </c>
      <c r="C60" s="91">
        <v>-3.2000000000000001E-2</v>
      </c>
      <c r="D60" s="377" t="s">
        <v>350</v>
      </c>
      <c r="E60" s="377"/>
      <c r="F60" s="377"/>
      <c r="G60" s="377"/>
      <c r="H60" s="377"/>
      <c r="I60" s="377"/>
      <c r="J60" s="377"/>
      <c r="K60" s="377"/>
      <c r="L60" s="377"/>
      <c r="M60" s="377"/>
      <c r="N60" s="377"/>
    </row>
    <row r="61" spans="2:14" ht="30" customHeight="1" x14ac:dyDescent="0.25">
      <c r="B61" s="43" t="s">
        <v>351</v>
      </c>
      <c r="C61" s="245">
        <f>(C60/VOT)*0.6</f>
        <v>-1.9513339196716502E-3</v>
      </c>
      <c r="D61" s="404" t="s">
        <v>352</v>
      </c>
      <c r="E61" s="405"/>
      <c r="F61" s="405"/>
      <c r="G61" s="405"/>
      <c r="H61" s="405"/>
      <c r="I61" s="405"/>
      <c r="J61" s="405"/>
      <c r="K61" s="405"/>
      <c r="L61" s="405"/>
      <c r="M61" s="405"/>
      <c r="N61" s="405"/>
    </row>
    <row r="64" spans="2:14" x14ac:dyDescent="0.25">
      <c r="B64" s="36" t="s">
        <v>70</v>
      </c>
      <c r="C64" s="35" t="s">
        <v>3</v>
      </c>
      <c r="D64" s="35" t="s">
        <v>68</v>
      </c>
      <c r="E64" s="35" t="s">
        <v>5</v>
      </c>
    </row>
    <row r="65" spans="2:5" x14ac:dyDescent="0.25">
      <c r="B65" s="33">
        <v>7</v>
      </c>
      <c r="C65" s="44">
        <f t="shared" ref="C65:C73" si="17">IFERROR(ccost*H14*(1-$C$58),"n/a")</f>
        <v>-0.84945971271664256</v>
      </c>
      <c r="D65" s="44">
        <f t="shared" ref="D65:D73" si="18">IFERROR(ccost*I14*(1-$C$58),"n/a")</f>
        <v>-0.81577203528556796</v>
      </c>
      <c r="E65" s="44">
        <f t="shared" ref="E65:E73" si="19">IFERROR(ccost*J14*(1-$C$58),"n/a")</f>
        <v>-0.76672795029944674</v>
      </c>
    </row>
    <row r="66" spans="2:5" x14ac:dyDescent="0.25">
      <c r="B66" s="33">
        <v>8</v>
      </c>
      <c r="C66" s="44">
        <f t="shared" si="17"/>
        <v>-0.84217640199279298</v>
      </c>
      <c r="D66" s="44">
        <f t="shared" si="18"/>
        <v>-0.86738444489252164</v>
      </c>
      <c r="E66" s="44">
        <f t="shared" si="19"/>
        <v>-0.86231254665374213</v>
      </c>
    </row>
    <row r="67" spans="2:5" x14ac:dyDescent="0.25">
      <c r="B67" s="33">
        <v>9</v>
      </c>
      <c r="C67" s="44">
        <f t="shared" si="17"/>
        <v>-0.81779881477991812</v>
      </c>
      <c r="D67" s="44">
        <f t="shared" si="18"/>
        <v>-0.85453587091260974</v>
      </c>
      <c r="E67" s="44">
        <f t="shared" si="19"/>
        <v>-0.64921493268483921</v>
      </c>
    </row>
    <row r="68" spans="2:5" x14ac:dyDescent="0.25">
      <c r="B68" s="33">
        <v>10</v>
      </c>
      <c r="C68" s="44">
        <f>IFERROR(ccost*H17*(1-$C$58),"n/a")</f>
        <v>-0.80629851894707549</v>
      </c>
      <c r="D68" s="44">
        <f t="shared" si="18"/>
        <v>-0.72451863746908363</v>
      </c>
      <c r="E68" s="44">
        <f t="shared" si="19"/>
        <v>-0.7160782417774797</v>
      </c>
    </row>
    <row r="69" spans="2:5" x14ac:dyDescent="0.25">
      <c r="B69" s="33">
        <v>11</v>
      </c>
      <c r="C69" s="44" t="str">
        <f t="shared" si="17"/>
        <v>n/a</v>
      </c>
      <c r="D69" s="44" t="str">
        <f t="shared" si="18"/>
        <v>n/a</v>
      </c>
      <c r="E69" s="44" t="str">
        <f t="shared" si="19"/>
        <v>n/a</v>
      </c>
    </row>
    <row r="70" spans="2:5" x14ac:dyDescent="0.25">
      <c r="B70" s="33">
        <v>12</v>
      </c>
      <c r="C70" s="44">
        <f t="shared" si="17"/>
        <v>-0.52470099737344345</v>
      </c>
      <c r="D70" s="44">
        <f t="shared" si="18"/>
        <v>-0.66557962132576554</v>
      </c>
      <c r="E70" s="44">
        <f t="shared" si="19"/>
        <v>-0.58356015035125608</v>
      </c>
    </row>
    <row r="71" spans="2:5" x14ac:dyDescent="0.25">
      <c r="B71" s="33">
        <v>13</v>
      </c>
      <c r="C71" s="44" t="str">
        <f t="shared" si="17"/>
        <v>n/a</v>
      </c>
      <c r="D71" s="44" t="str">
        <f t="shared" si="18"/>
        <v>n/a</v>
      </c>
      <c r="E71" s="44">
        <f t="shared" si="19"/>
        <v>-0.50866693106803795</v>
      </c>
    </row>
    <row r="72" spans="2:5" x14ac:dyDescent="0.25">
      <c r="B72" s="33">
        <v>14</v>
      </c>
      <c r="C72" s="44">
        <f t="shared" si="17"/>
        <v>-0.41072485117294993</v>
      </c>
      <c r="D72" s="44">
        <f t="shared" si="18"/>
        <v>-0.6494586709172272</v>
      </c>
      <c r="E72" s="44">
        <f t="shared" si="19"/>
        <v>-0.49286982140753993</v>
      </c>
    </row>
    <row r="73" spans="2:5" x14ac:dyDescent="0.25">
      <c r="B73" s="33">
        <v>15</v>
      </c>
      <c r="C73" s="44" t="str">
        <f t="shared" si="17"/>
        <v>n/a</v>
      </c>
      <c r="D73" s="44" t="str">
        <f t="shared" si="18"/>
        <v>n/a</v>
      </c>
      <c r="E73" s="44">
        <f t="shared" si="19"/>
        <v>-0.4891459160902385</v>
      </c>
    </row>
    <row r="76" spans="2:5" ht="18.75" x14ac:dyDescent="0.3">
      <c r="B76" s="29" t="s">
        <v>646</v>
      </c>
    </row>
    <row r="77" spans="2:5" x14ac:dyDescent="0.25">
      <c r="B77" t="s">
        <v>77</v>
      </c>
    </row>
    <row r="79" spans="2:5" x14ac:dyDescent="0.25">
      <c r="B79" s="36" t="s">
        <v>70</v>
      </c>
      <c r="C79" s="35" t="s">
        <v>3</v>
      </c>
      <c r="D79" s="35" t="s">
        <v>68</v>
      </c>
      <c r="E79" s="35" t="s">
        <v>5</v>
      </c>
    </row>
    <row r="80" spans="2:5" x14ac:dyDescent="0.25">
      <c r="B80" s="33">
        <v>7</v>
      </c>
      <c r="C80" s="42">
        <f>IFERROR(C65*(H44-H29)/H29,0)</f>
        <v>0</v>
      </c>
      <c r="D80" s="243">
        <f>IFERROR(D65*(I44-I29)/I29,0)</f>
        <v>0</v>
      </c>
      <c r="E80" s="243">
        <f>IFERROR(E65*(J44-J29)/J29,0)</f>
        <v>0</v>
      </c>
    </row>
    <row r="81" spans="2:5" x14ac:dyDescent="0.25">
      <c r="B81" s="33">
        <v>8</v>
      </c>
      <c r="C81" s="42">
        <f t="shared" ref="C81:C87" si="20">IFERROR(C66*(H45-H30)/H30,0)</f>
        <v>0</v>
      </c>
      <c r="D81" s="243">
        <f t="shared" ref="D81:E81" si="21">IFERROR(D66*(I45-I30)/I30,0)</f>
        <v>0</v>
      </c>
      <c r="E81" s="243">
        <f t="shared" si="21"/>
        <v>0</v>
      </c>
    </row>
    <row r="82" spans="2:5" x14ac:dyDescent="0.25">
      <c r="B82" s="33">
        <v>9</v>
      </c>
      <c r="C82" s="42">
        <f t="shared" si="20"/>
        <v>0</v>
      </c>
      <c r="D82" s="243">
        <f t="shared" ref="D82:E82" si="22">IFERROR(D67*(I46-I31)/I31,0)</f>
        <v>0</v>
      </c>
      <c r="E82" s="243">
        <f t="shared" si="22"/>
        <v>0</v>
      </c>
    </row>
    <row r="83" spans="2:5" x14ac:dyDescent="0.25">
      <c r="B83" s="33">
        <v>10</v>
      </c>
      <c r="C83" s="42">
        <f t="shared" si="20"/>
        <v>0</v>
      </c>
      <c r="D83" s="243">
        <f t="shared" ref="D83:E83" si="23">IFERROR(D68*(I47-I32)/I32,0)</f>
        <v>0</v>
      </c>
      <c r="E83" s="243">
        <f t="shared" si="23"/>
        <v>0</v>
      </c>
    </row>
    <row r="84" spans="2:5" x14ac:dyDescent="0.25">
      <c r="B84" s="33">
        <v>11</v>
      </c>
      <c r="C84" s="42">
        <f t="shared" si="20"/>
        <v>0</v>
      </c>
      <c r="D84" s="243">
        <f t="shared" ref="D84:E84" si="24">IFERROR(D69*(I48-I33)/I33,0)</f>
        <v>0</v>
      </c>
      <c r="E84" s="243">
        <f t="shared" si="24"/>
        <v>0</v>
      </c>
    </row>
    <row r="85" spans="2:5" x14ac:dyDescent="0.25">
      <c r="B85" s="33">
        <v>12</v>
      </c>
      <c r="C85" s="42">
        <f t="shared" si="20"/>
        <v>0</v>
      </c>
      <c r="D85" s="243">
        <f t="shared" ref="D85" si="25">IFERROR(D70*(I49-I34)/I34,0)</f>
        <v>0</v>
      </c>
      <c r="E85" s="243">
        <f>IFERROR(E70*(J49-J34)/J34,0)</f>
        <v>0</v>
      </c>
    </row>
    <row r="86" spans="2:5" x14ac:dyDescent="0.25">
      <c r="B86" s="33">
        <v>13</v>
      </c>
      <c r="C86" s="42">
        <f t="shared" si="20"/>
        <v>0</v>
      </c>
      <c r="D86" s="243">
        <f t="shared" ref="D86:E86" si="26">IFERROR(D71*(I50-I35)/I35,0)</f>
        <v>0</v>
      </c>
      <c r="E86" s="243">
        <f t="shared" si="26"/>
        <v>0</v>
      </c>
    </row>
    <row r="87" spans="2:5" x14ac:dyDescent="0.25">
      <c r="B87" s="33">
        <v>14</v>
      </c>
      <c r="C87" s="42">
        <f t="shared" si="20"/>
        <v>0</v>
      </c>
      <c r="D87" s="243">
        <f t="shared" ref="D87:E87" si="27">IFERROR(D72*(I51-I36)/I36,0)</f>
        <v>0</v>
      </c>
      <c r="E87" s="243">
        <f t="shared" si="27"/>
        <v>0</v>
      </c>
    </row>
    <row r="88" spans="2:5" x14ac:dyDescent="0.25">
      <c r="B88" s="33">
        <v>15</v>
      </c>
      <c r="C88" s="42">
        <f>IFERROR(C73*(H52-H37)/H37,0)</f>
        <v>0</v>
      </c>
      <c r="D88" s="243">
        <f t="shared" ref="D88:E88" si="28">IFERROR(D73*(I52-I37)/I37,0)</f>
        <v>0</v>
      </c>
      <c r="E88" s="243">
        <f t="shared" si="28"/>
        <v>0</v>
      </c>
    </row>
  </sheetData>
  <mergeCells count="10">
    <mergeCell ref="B5:N5"/>
    <mergeCell ref="B9:E10"/>
    <mergeCell ref="B26:E26"/>
    <mergeCell ref="B41:E41"/>
    <mergeCell ref="D56:N56"/>
    <mergeCell ref="D57:N57"/>
    <mergeCell ref="D58:N58"/>
    <mergeCell ref="D59:N59"/>
    <mergeCell ref="D60:N60"/>
    <mergeCell ref="D61:N61"/>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Use Notes</vt:lpstr>
      <vt:lpstr>References</vt:lpstr>
      <vt:lpstr>Main Sheet</vt:lpstr>
      <vt:lpstr>Vanpool Demand - Employment</vt:lpstr>
      <vt:lpstr>Vanpool ODs</vt:lpstr>
      <vt:lpstr>SANDAG MSAs</vt:lpstr>
      <vt:lpstr>Vanpool Demand - ML (Non-Mil)</vt:lpstr>
      <vt:lpstr>Vanpool Demand - ML (Mil)</vt:lpstr>
      <vt:lpstr>Vanpool Demand - Subsidy</vt:lpstr>
      <vt:lpstr>Employment Forecast SANDAG</vt:lpstr>
      <vt:lpstr>Employment Forecast SCAG</vt:lpstr>
      <vt:lpstr>ZipCode Coordinates</vt:lpstr>
      <vt:lpstr>External Gateways</vt:lpstr>
      <vt:lpstr>Emission Factors</vt:lpstr>
      <vt:lpstr>ccost</vt:lpstr>
      <vt:lpstr>'Vanpool Demand - ML (Mil)'!civt</vt:lpstr>
      <vt:lpstr>'Vanpool Demand - ML (Non-Mil)'!civt</vt:lpstr>
      <vt:lpstr>'Vanpool Demand - ML (Mil)'!probvp</vt:lpstr>
      <vt:lpstr>'Vanpool Demand - ML (Non-Mil)'!probvp</vt:lpstr>
      <vt:lpstr>'Main Sheet'!subsidy_b</vt:lpstr>
      <vt:lpstr>VOT</vt:lpstr>
    </vt:vector>
  </TitlesOfParts>
  <Company>ICFI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Dix, Brenda</dc:creator>
  <cp:lastModifiedBy>John Helsel</cp:lastModifiedBy>
  <cp:lastPrinted>2017-02-06T14:26:28Z</cp:lastPrinted>
  <dcterms:created xsi:type="dcterms:W3CDTF">2017-02-06T14:19:29Z</dcterms:created>
  <dcterms:modified xsi:type="dcterms:W3CDTF">2018-09-19T23:27:27Z</dcterms:modified>
</cp:coreProperties>
</file>