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wsponline-my.sharepoint.com/personal/john_helsel_wsp_com/Documents/SANDAG/RTP 2019/off_model_calculators/qaqc_scenarios/"/>
    </mc:Choice>
  </mc:AlternateContent>
  <bookViews>
    <workbookView xWindow="0" yWindow="0" windowWidth="28800" windowHeight="11616" tabRatio="771"/>
  </bookViews>
  <sheets>
    <sheet name="Use Notes" sheetId="67" r:id="rId1"/>
    <sheet name="Main Sheet" sheetId="70" r:id="rId2"/>
    <sheet name="Community-Based Coverage Areas" sheetId="66" r:id="rId3"/>
    <sheet name="CBTP Case Studies" sheetId="69" r:id="rId4"/>
    <sheet name="Emission Factors" sheetId="7" r:id="rId5"/>
  </sheets>
  <calcPr calcId="171027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70" l="1"/>
  <c r="D30" i="70"/>
  <c r="E30" i="70"/>
  <c r="F30" i="70"/>
  <c r="B30" i="70"/>
  <c r="F29" i="70" l="1"/>
  <c r="E29" i="70"/>
  <c r="D29" i="70"/>
  <c r="C29" i="70"/>
  <c r="B29" i="70"/>
  <c r="D19" i="70" l="1"/>
  <c r="E5" i="7" l="1"/>
  <c r="B4" i="7"/>
  <c r="F6" i="7" l="1"/>
  <c r="D6" i="7"/>
  <c r="C6" i="7"/>
  <c r="B6" i="7"/>
  <c r="E6" i="7"/>
  <c r="F12" i="7"/>
  <c r="D7" i="7" l="1"/>
  <c r="C8" i="7"/>
  <c r="B9" i="7"/>
  <c r="F9" i="7"/>
  <c r="E10" i="7"/>
  <c r="D11" i="7"/>
  <c r="C12" i="7"/>
  <c r="E7" i="7"/>
  <c r="D8" i="7"/>
  <c r="C9" i="7"/>
  <c r="B10" i="7"/>
  <c r="F10" i="7"/>
  <c r="E11" i="7"/>
  <c r="D12" i="7"/>
  <c r="B7" i="7"/>
  <c r="B26" i="70" s="1"/>
  <c r="B27" i="70" s="1"/>
  <c r="F7" i="7"/>
  <c r="F26" i="70" s="1"/>
  <c r="F27" i="70" s="1"/>
  <c r="E8" i="7"/>
  <c r="D9" i="7"/>
  <c r="C10" i="7"/>
  <c r="B11" i="7"/>
  <c r="F11" i="7"/>
  <c r="E12" i="7"/>
  <c r="C7" i="7"/>
  <c r="C26" i="70" s="1"/>
  <c r="C27" i="70" s="1"/>
  <c r="B8" i="7"/>
  <c r="F8" i="7"/>
  <c r="E9" i="7"/>
  <c r="D10" i="7"/>
  <c r="C11" i="7"/>
  <c r="B12" i="7"/>
  <c r="E26" i="70" l="1"/>
  <c r="E27" i="70" s="1"/>
  <c r="D26" i="70"/>
  <c r="D27" i="70" s="1"/>
  <c r="G9" i="69"/>
  <c r="G8" i="69"/>
  <c r="F9" i="69"/>
  <c r="F8" i="69"/>
  <c r="F7" i="69"/>
  <c r="G7" i="69" s="1"/>
  <c r="G4" i="69" l="1"/>
  <c r="H15" i="69"/>
  <c r="F13" i="69" l="1"/>
  <c r="E13" i="69"/>
  <c r="D13" i="69"/>
  <c r="C13" i="69"/>
  <c r="B13" i="69"/>
  <c r="F3" i="69"/>
  <c r="G3" i="69" s="1"/>
  <c r="G13" i="69" l="1"/>
  <c r="B11" i="70" l="1"/>
  <c r="B13" i="70" l="1"/>
  <c r="B12" i="70"/>
  <c r="C20" i="70" s="1"/>
  <c r="F11" i="69"/>
  <c r="G11" i="69" s="1"/>
  <c r="F10" i="69"/>
  <c r="G10" i="69" s="1"/>
  <c r="F6" i="69"/>
  <c r="G6" i="69" s="1"/>
  <c r="F5" i="69"/>
  <c r="G5" i="69" s="1"/>
  <c r="F21" i="70" l="1"/>
  <c r="F20" i="70"/>
  <c r="B20" i="70"/>
  <c r="B21" i="70" l="1"/>
  <c r="C21" i="70"/>
  <c r="B32" i="70"/>
  <c r="F31" i="70" l="1"/>
  <c r="F32" i="70" l="1"/>
  <c r="F33" i="70" s="1"/>
  <c r="B31" i="70"/>
  <c r="B33" i="70" s="1"/>
  <c r="C31" i="70"/>
  <c r="C32" i="70"/>
  <c r="F34" i="70" l="1"/>
  <c r="F35" i="70" s="1"/>
  <c r="B34" i="70"/>
  <c r="B35" i="70" s="1"/>
  <c r="C33" i="70"/>
  <c r="C34" i="70" l="1"/>
  <c r="C35" i="70" s="1"/>
  <c r="E13" i="66"/>
  <c r="E19" i="70" s="1"/>
  <c r="E7" i="66"/>
  <c r="E20" i="70" l="1"/>
  <c r="E21" i="70"/>
  <c r="D20" i="70"/>
  <c r="D21" i="70"/>
  <c r="D32" i="70" l="1"/>
  <c r="D31" i="70"/>
  <c r="E32" i="70"/>
  <c r="E31" i="70"/>
  <c r="D33" i="70" l="1"/>
  <c r="E33" i="70"/>
  <c r="E34" i="70" l="1"/>
  <c r="E35" i="70" s="1"/>
  <c r="D34" i="70"/>
  <c r="D35" i="70" s="1"/>
</calcChain>
</file>

<file path=xl/comments1.xml><?xml version="1.0" encoding="utf-8"?>
<comments xmlns="http://schemas.openxmlformats.org/spreadsheetml/2006/main">
  <authors>
    <author>John Helsel</author>
    <author>Ayala, Krystal</author>
  </authors>
  <commentList>
    <comment ref="E9" authorId="0" shapeId="0">
      <text>
        <r>
          <rPr>
            <b/>
            <sz val="9"/>
            <color indexed="81"/>
            <rFont val="Tahoma"/>
            <family val="2"/>
          </rPr>
          <t>John Helsel:</t>
        </r>
        <r>
          <rPr>
            <sz val="9"/>
            <color indexed="81"/>
            <rFont val="Tahoma"/>
            <family val="2"/>
          </rPr>
          <t xml:space="preserve">
The scenario data is hard coded to 2035_E
</t>
        </r>
      </text>
    </comment>
    <comment ref="G14" authorId="1" shapeId="0">
      <text>
        <r>
          <rPr>
            <b/>
            <sz val="9"/>
            <color indexed="81"/>
            <rFont val="Tahoma"/>
            <family val="2"/>
          </rPr>
          <t>Ayala, Krystal:</t>
        </r>
        <r>
          <rPr>
            <sz val="9"/>
            <color indexed="81"/>
            <rFont val="Tahoma"/>
            <family val="2"/>
          </rPr>
          <t xml:space="preserve">
Value to be updated by Ying from input from the model. Temporarily based on 2016 Household Travel Survey
</t>
        </r>
        <r>
          <rPr>
            <b/>
            <sz val="9"/>
            <color indexed="81"/>
            <rFont val="Tahoma"/>
            <family val="2"/>
          </rPr>
          <t xml:space="preserve">JWH: Resolved. One way driving trips is currently hard coded to scenario E. Please let me know if you would like this value added to a lookup table below or would like to keep the hard code
</t>
        </r>
      </text>
    </comment>
    <comment ref="D15" authorId="1" shapeId="0">
      <text>
        <r>
          <rPr>
            <b/>
            <sz val="9"/>
            <color indexed="81"/>
            <rFont val="Tahoma"/>
            <family val="2"/>
          </rPr>
          <t>Ayala, Krystal (9/7/18):</t>
        </r>
        <r>
          <rPr>
            <sz val="9"/>
            <color indexed="81"/>
            <rFont val="Tahoma"/>
            <family val="2"/>
          </rPr>
          <t xml:space="preserve">
John-
Trip model data needs to be provided by Ying. Please coordinate with Ying on this value.
Resolved</t>
        </r>
      </text>
    </comment>
    <comment ref="G15" authorId="1" shapeId="0">
      <text>
        <r>
          <rPr>
            <b/>
            <sz val="9"/>
            <color indexed="81"/>
            <rFont val="Tahoma"/>
            <family val="2"/>
          </rPr>
          <t>Ayala, Krystal:</t>
        </r>
        <r>
          <rPr>
            <sz val="9"/>
            <color indexed="81"/>
            <rFont val="Tahoma"/>
            <family val="2"/>
          </rPr>
          <t xml:space="preserve">
Value to be updated by Ying from input from the model. Temporarily based on 2018 Commute Behavior Survey results
</t>
        </r>
        <r>
          <rPr>
            <b/>
            <sz val="9"/>
            <color indexed="81"/>
            <rFont val="Tahoma"/>
            <family val="2"/>
          </rPr>
          <t>JWH: Resolved. One way driving trips is currently hard coded to scenario E. Please let me know if you would like this value added to a lookup table below or would like to keep the hard code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John Helsel:</t>
        </r>
        <r>
          <rPr>
            <sz val="9"/>
            <color indexed="81"/>
            <rFont val="Tahoma"/>
            <family val="2"/>
          </rPr>
          <t xml:space="preserve">
As requested by Ying, I've hard coded the population and deleted Model Data.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John Helsel:</t>
        </r>
        <r>
          <rPr>
            <sz val="9"/>
            <color indexed="81"/>
            <rFont val="Tahoma"/>
            <charset val="1"/>
          </rPr>
          <t xml:space="preserve">
Moved CO2 emissions to Main Sheet</t>
        </r>
      </text>
    </comment>
  </commentList>
</comments>
</file>

<file path=xl/comments2.xml><?xml version="1.0" encoding="utf-8"?>
<comments xmlns="http://schemas.openxmlformats.org/spreadsheetml/2006/main">
  <authors>
    <author>John Helsel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>John Helsel:</t>
        </r>
        <r>
          <rPr>
            <sz val="9"/>
            <color indexed="81"/>
            <rFont val="Tahoma"/>
            <family val="2"/>
          </rPr>
          <t xml:space="preserve">
Removed column "Sustained Change from CBTP" after direction from Krystal.</t>
        </r>
      </text>
    </comment>
  </commentList>
</comments>
</file>

<file path=xl/sharedStrings.xml><?xml version="1.0" encoding="utf-8"?>
<sst xmlns="http://schemas.openxmlformats.org/spreadsheetml/2006/main" count="180" uniqueCount="130">
  <si>
    <t>Effectiveness of programs</t>
  </si>
  <si>
    <t>Eligible population</t>
  </si>
  <si>
    <t>Variable</t>
  </si>
  <si>
    <t>Year</t>
  </si>
  <si>
    <t>total_households</t>
  </si>
  <si>
    <t>Total daily vehicle trip reductions - households</t>
  </si>
  <si>
    <t>Total daily VMT reductions - households</t>
  </si>
  <si>
    <t>N/A</t>
  </si>
  <si>
    <t>NCC, Travel Encinitas, 2014</t>
  </si>
  <si>
    <t>King County Metro Transit, Renton in Motion, 2014</t>
  </si>
  <si>
    <t>King County Metro Transit, Burien in Motion, 2014</t>
  </si>
  <si>
    <t>Commuity Transit, Curb @ Home, 2017</t>
  </si>
  <si>
    <t>King County Metro Transit, Green Lake in Motion, 2015</t>
  </si>
  <si>
    <t>Livermore Amador Valley Transit Authority, Smart Trips Pleasanton, 2016</t>
  </si>
  <si>
    <t>City of Issaquah &amp; King County Metro Transit, Salmon Friendly Trips, 2017</t>
  </si>
  <si>
    <t>Notes</t>
  </si>
  <si>
    <t>VMT and GHG Reduction Calculations</t>
  </si>
  <si>
    <t>Inputs / Assumptions</t>
  </si>
  <si>
    <t>Households within community-based TDM outreach coverage areas</t>
  </si>
  <si>
    <t>Name</t>
  </si>
  <si>
    <t>OppArea</t>
  </si>
  <si>
    <t>ShedType</t>
  </si>
  <si>
    <t>yr</t>
  </si>
  <si>
    <t>Mid-Coast</t>
  </si>
  <si>
    <t>Drive</t>
  </si>
  <si>
    <t>Barrio Logan Transit Station</t>
  </si>
  <si>
    <t>Other</t>
  </si>
  <si>
    <t>Bike</t>
  </si>
  <si>
    <t>City Heights Mid-City Centerline</t>
  </si>
  <si>
    <t>Iris Trolley - Coronado Ave</t>
  </si>
  <si>
    <t>South Bay Rapid</t>
  </si>
  <si>
    <t>Total</t>
  </si>
  <si>
    <t>Coastal Rail Trail</t>
  </si>
  <si>
    <t>Inland Rail Trail</t>
  </si>
  <si>
    <t>8th Street Station</t>
  </si>
  <si>
    <t>Grantville Trolley Station</t>
  </si>
  <si>
    <t xml:space="preserve">Source: SANDAG Preliminary Draft Series 14 Regional Growth Forecast (14.1.1) </t>
  </si>
  <si>
    <t>Prepared on: August 2, 2018</t>
  </si>
  <si>
    <t xml:space="preserve">NOTE: These data represent a first preliminary draft and should only be used for information purposes. </t>
  </si>
  <si>
    <t>VMT and GHG Reduction Results</t>
  </si>
  <si>
    <t>GHG reduction due to cold starts (short tons)</t>
  </si>
  <si>
    <t>= vehicle trip reduction * trip starts GHG emission factor</t>
  </si>
  <si>
    <t>GHG reduction due to VMT (short tons)</t>
  </si>
  <si>
    <t>= VMT reduction * running GHG emission factor</t>
  </si>
  <si>
    <t>Per capita GHG reduction (lbs/person)</t>
  </si>
  <si>
    <t xml:space="preserve">= GHG emissions (in tons) * 2000 lbs per ton / population </t>
  </si>
  <si>
    <t>Per capita GHG reduction, relative to baseline</t>
  </si>
  <si>
    <t>= percent change in per capita GHG reduction</t>
  </si>
  <si>
    <t>EMFAC CO2 Emission Factors</t>
  </si>
  <si>
    <t>Scenario ID</t>
  </si>
  <si>
    <t>SB375 CO2 Total Running Emissions (RunEx) (short tons)</t>
  </si>
  <si>
    <t>Regional VMT</t>
  </si>
  <si>
    <t>SB375 CO2 RunEx Emission Factor (EF) (tons/mile)</t>
  </si>
  <si>
    <t>SB375 CO2 Trip Start Emissions (StartEx) (tons)</t>
  </si>
  <si>
    <t>Regional Vehicle Trips</t>
  </si>
  <si>
    <t>SB375 CO2 StartEx Emission Factor (EF) (tons/trip)</t>
  </si>
  <si>
    <t>CALCULATOR DATA and PLAN/POLICY INPUTS</t>
  </si>
  <si>
    <t>Data Item</t>
  </si>
  <si>
    <t>Source</t>
  </si>
  <si>
    <t>Location</t>
  </si>
  <si>
    <t>Required Input Data</t>
  </si>
  <si>
    <t>For each scenario year:</t>
  </si>
  <si>
    <t>Population forecast</t>
  </si>
  <si>
    <t>For each scenario year</t>
  </si>
  <si>
    <t xml:space="preserve">Average daily one-way driving trips per household </t>
  </si>
  <si>
    <t>Average daily one-way driving trips</t>
  </si>
  <si>
    <t>Main Sheet</t>
  </si>
  <si>
    <t>Emission factors</t>
  </si>
  <si>
    <t>Emission Factors</t>
  </si>
  <si>
    <t>Trips (cold starts) regional emissions (ton)</t>
  </si>
  <si>
    <t>Running CO2 regional emissions (ton)</t>
  </si>
  <si>
    <t>Regional vmt</t>
  </si>
  <si>
    <t>Regional trips</t>
  </si>
  <si>
    <t>Total households who participated in outreach</t>
  </si>
  <si>
    <t>Projected households within community-based outreach areas</t>
  </si>
  <si>
    <t>Total GHG reduction (short tons)</t>
  </si>
  <si>
    <t>= trip + VMT GHG emission reduction</t>
  </si>
  <si>
    <t>Regional Population</t>
  </si>
  <si>
    <t>Outreach Cost</t>
  </si>
  <si>
    <t>=participating households* avg. SOV reduction*avg. daily driving trips per household*years for which behavior persists</t>
  </si>
  <si>
    <t>Average reduction in SOV for participating households</t>
  </si>
  <si>
    <t xml:space="preserve">=daily vehicle trip reductions *  avg. one-way trip length for driving trips </t>
  </si>
  <si>
    <t>Portland SmartTrips</t>
  </si>
  <si>
    <t>Average participation rate</t>
  </si>
  <si>
    <t>Average daily one-way driving trips per household *</t>
  </si>
  <si>
    <t>Average one-way trip length for driving trips (miles) *</t>
  </si>
  <si>
    <t>* Pending data from the SANDAG model</t>
  </si>
  <si>
    <t>EMFAC</t>
  </si>
  <si>
    <t>EMFAC Year</t>
  </si>
  <si>
    <t>2035 Scenario Name</t>
  </si>
  <si>
    <t>2035nb</t>
  </si>
  <si>
    <t>2025nb</t>
  </si>
  <si>
    <t>SB375 CO2 RunEx</t>
  </si>
  <si>
    <t>SB375 VMT</t>
  </si>
  <si>
    <t>SB375 CO2 RunEx EF
(tons per mile)</t>
  </si>
  <si>
    <t>SB375 CO2 StartEx</t>
  </si>
  <si>
    <t>SB375 Vehicle Trips</t>
  </si>
  <si>
    <t>SB375 CO2 StartEx EF
(tons per trip)</t>
  </si>
  <si>
    <t>Total CBTP Outreach Cost</t>
  </si>
  <si>
    <t>Cost per households targeted for CBTP</t>
  </si>
  <si>
    <t>Cost per households participating in CBTP</t>
  </si>
  <si>
    <t>Steer</t>
  </si>
  <si>
    <t>Average cost per household targeted for CBTP</t>
  </si>
  <si>
    <t xml:space="preserve">Based on CBTP consultant feedback, 68% of households that participated in CBTP sustained the change after three years, with nearly all of the drop-off happening within the first three months.  </t>
  </si>
  <si>
    <t>See CBTP Case Studies sheet</t>
  </si>
  <si>
    <t>All CBTP Sources</t>
  </si>
  <si>
    <t>CBTP participation rate</t>
  </si>
  <si>
    <t>Number of households targeted to participate in CBTP</t>
  </si>
  <si>
    <t>Community-based travel planning outreach case studies</t>
  </si>
  <si>
    <t>Based on MTC Targeted Transportation Alternatives calculator sources</t>
  </si>
  <si>
    <t>Provided to SANDAG by CBTP consultant</t>
  </si>
  <si>
    <t>Decrease in SOV trips for households participating in CBTP</t>
  </si>
  <si>
    <t>Per ABM 14.0.0</t>
  </si>
  <si>
    <t>EMFAC Values Lookup Table</t>
  </si>
  <si>
    <t>EMFAC 2014, SANDAG ABM 14.0.0</t>
  </si>
  <si>
    <t>Value</t>
  </si>
  <si>
    <t>Will be specified by SANDAG. Can only take 2014 or 2017.</t>
  </si>
  <si>
    <t>Only 1 scenario for each model year can be specified per worksheet. Scenario names can be specified as any string, assuming that same name is applied to the Emissions Factors tab.</t>
  </si>
  <si>
    <t>2035_D</t>
  </si>
  <si>
    <t>2035_E_minus</t>
  </si>
  <si>
    <t>2035_F</t>
  </si>
  <si>
    <t>From ABM 14.0.0, 2016, 2020, and 2025 data from no-build scenario, 2035 is from Scenario E (hard coded)</t>
  </si>
  <si>
    <t>2035_E</t>
  </si>
  <si>
    <t>Draft Series 14: 2050 Regional Growth Forecast/San Diego Forward: The Regional Plan in ABM 14.0.0</t>
  </si>
  <si>
    <t>Per SANDAG ABM 14.0.0</t>
  </si>
  <si>
    <t>Plan CO2 Emisions</t>
  </si>
  <si>
    <t>Daily CO2 emissions (short tons)</t>
  </si>
  <si>
    <r>
      <t xml:space="preserve">Daily emissions per capita (lbs) </t>
    </r>
    <r>
      <rPr>
        <sz val="11"/>
        <color theme="1"/>
        <rFont val="Calibri"/>
        <family val="2"/>
        <scheme val="minor"/>
      </rPr>
      <t/>
    </r>
  </si>
  <si>
    <t>= Sum of running emissions and trip start emissions trip start emissions</t>
  </si>
  <si>
    <t>= Daily emissions (short tons) / regional population * 2000 lbs / 1 short 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</si>
</sst>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&quot;$&quot;#,##0"/>
    <numFmt numFmtId="167" formatCode="_(&quot;$&quot;* #,##0_);_(&quot;$&quot;* \(#,##0\);_(&quot;$&quot;* &quot;-&quot;??_);_(@_)"/>
    <numFmt numFmtId="168" formatCode="#,##0.0"/>
    <numFmt numFmtId="169" formatCode="0.00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rgb="FFAEAAAA"/>
      <name val="Calibri"/>
      <family val="2"/>
    </font>
    <font>
      <sz val="10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  <scheme val="minor"/>
    </font>
    <font>
      <sz val="11"/>
      <name val="Calibri"/>
      <family val="2"/>
    </font>
    <font>
      <i/>
      <sz val="1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7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6" applyNumberFormat="0" applyFill="0" applyAlignment="0" applyProtection="0"/>
    <xf numFmtId="0" fontId="7" fillId="0" borderId="7" applyNumberFormat="0" applyFill="0" applyAlignment="0" applyProtection="0"/>
    <xf numFmtId="0" fontId="8" fillId="0" borderId="8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9" applyNumberFormat="0" applyAlignment="0" applyProtection="0"/>
    <xf numFmtId="0" fontId="13" fillId="6" borderId="10" applyNumberFormat="0" applyAlignment="0" applyProtection="0"/>
    <xf numFmtId="0" fontId="14" fillId="6" borderId="9" applyNumberFormat="0" applyAlignment="0" applyProtection="0"/>
    <xf numFmtId="0" fontId="15" fillId="0" borderId="11" applyNumberFormat="0" applyFill="0" applyAlignment="0" applyProtection="0"/>
    <xf numFmtId="0" fontId="16" fillId="7" borderId="12" applyNumberFormat="0" applyAlignment="0" applyProtection="0"/>
    <xf numFmtId="0" fontId="17" fillId="0" borderId="0" applyNumberFormat="0" applyFill="0" applyBorder="0" applyAlignment="0" applyProtection="0"/>
    <xf numFmtId="0" fontId="1" fillId="8" borderId="13" applyNumberFormat="0" applyFont="0" applyAlignment="0" applyProtection="0"/>
    <xf numFmtId="0" fontId="18" fillId="0" borderId="0" applyNumberFormat="0" applyFill="0" applyBorder="0" applyAlignment="0" applyProtection="0"/>
    <xf numFmtId="0" fontId="4" fillId="0" borderId="14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40">
    <xf numFmtId="0" fontId="0" fillId="0" borderId="0" xfId="0"/>
    <xf numFmtId="0" fontId="2" fillId="0" borderId="0" xfId="0" applyFont="1"/>
    <xf numFmtId="0" fontId="0" fillId="0" borderId="0" xfId="0"/>
    <xf numFmtId="0" fontId="4" fillId="0" borderId="0" xfId="0" applyFont="1"/>
    <xf numFmtId="0" fontId="0" fillId="0" borderId="0" xfId="0"/>
    <xf numFmtId="10" fontId="2" fillId="0" borderId="0" xfId="1" applyNumberFormat="1" applyFont="1"/>
    <xf numFmtId="0" fontId="2" fillId="0" borderId="0" xfId="0" applyFont="1" applyFill="1"/>
    <xf numFmtId="0" fontId="2" fillId="0" borderId="0" xfId="0" applyFont="1" applyFill="1" applyAlignment="1">
      <alignment horizontal="left" indent="1"/>
    </xf>
    <xf numFmtId="165" fontId="2" fillId="0" borderId="0" xfId="0" applyNumberFormat="1" applyFont="1" applyFill="1"/>
    <xf numFmtId="9" fontId="2" fillId="0" borderId="0" xfId="0" applyNumberFormat="1" applyFont="1" applyFill="1"/>
    <xf numFmtId="1" fontId="2" fillId="0" borderId="0" xfId="0" applyNumberFormat="1" applyFont="1" applyFill="1"/>
    <xf numFmtId="164" fontId="2" fillId="0" borderId="0" xfId="2" applyNumberFormat="1" applyFont="1" applyFill="1"/>
    <xf numFmtId="0" fontId="0" fillId="0" borderId="0" xfId="0"/>
    <xf numFmtId="0" fontId="2" fillId="0" borderId="0" xfId="0" applyFont="1" applyFill="1" applyAlignment="1">
      <alignment horizontal="left"/>
    </xf>
    <xf numFmtId="167" fontId="2" fillId="0" borderId="0" xfId="0" applyNumberFormat="1" applyFont="1" applyFill="1"/>
    <xf numFmtId="0" fontId="26" fillId="0" borderId="0" xfId="0" applyFont="1" applyFill="1"/>
    <xf numFmtId="0" fontId="27" fillId="0" borderId="0" xfId="0" applyFont="1" applyFill="1" applyAlignment="1">
      <alignment horizontal="left"/>
    </xf>
    <xf numFmtId="0" fontId="27" fillId="0" borderId="0" xfId="0" applyFont="1" applyFill="1"/>
    <xf numFmtId="164" fontId="27" fillId="0" borderId="0" xfId="2" applyNumberFormat="1" applyFont="1" applyFill="1"/>
    <xf numFmtId="164" fontId="27" fillId="0" borderId="0" xfId="0" applyNumberFormat="1" applyFont="1" applyFill="1"/>
    <xf numFmtId="10" fontId="27" fillId="0" borderId="0" xfId="1" applyNumberFormat="1" applyFont="1" applyFill="1" applyBorder="1"/>
    <xf numFmtId="43" fontId="2" fillId="0" borderId="0" xfId="2" applyNumberFormat="1" applyFont="1" applyFill="1"/>
    <xf numFmtId="0" fontId="0" fillId="0" borderId="17" xfId="0" applyBorder="1"/>
    <xf numFmtId="0" fontId="0" fillId="0" borderId="19" xfId="0" applyBorder="1"/>
    <xf numFmtId="0" fontId="0" fillId="0" borderId="1" xfId="0" applyBorder="1"/>
    <xf numFmtId="1" fontId="25" fillId="0" borderId="0" xfId="0" applyNumberFormat="1" applyFont="1" applyFill="1"/>
    <xf numFmtId="0" fontId="2" fillId="0" borderId="0" xfId="0" applyFont="1" applyAlignment="1">
      <alignment vertical="center"/>
    </xf>
    <xf numFmtId="0" fontId="16" fillId="34" borderId="0" xfId="0" applyFont="1" applyFill="1" applyAlignment="1">
      <alignment horizontal="center"/>
    </xf>
    <xf numFmtId="0" fontId="16" fillId="34" borderId="0" xfId="0" applyFont="1" applyFill="1"/>
    <xf numFmtId="0" fontId="28" fillId="0" borderId="0" xfId="0" applyFont="1" applyBorder="1" applyAlignment="1">
      <alignment horizontal="left"/>
    </xf>
    <xf numFmtId="0" fontId="29" fillId="0" borderId="0" xfId="0" applyFont="1" applyBorder="1" applyAlignment="1">
      <alignment horizontal="left"/>
    </xf>
    <xf numFmtId="0" fontId="30" fillId="0" borderId="0" xfId="0" applyFont="1" applyBorder="1" applyAlignment="1">
      <alignment wrapText="1"/>
    </xf>
    <xf numFmtId="0" fontId="4" fillId="33" borderId="0" xfId="0" applyFont="1" applyFill="1"/>
    <xf numFmtId="0" fontId="2" fillId="0" borderId="0" xfId="0" applyFont="1" applyFill="1" applyAlignment="1"/>
    <xf numFmtId="0" fontId="29" fillId="0" borderId="0" xfId="0" applyFont="1" applyFill="1" applyBorder="1" applyAlignment="1">
      <alignment horizontal="left"/>
    </xf>
    <xf numFmtId="0" fontId="16" fillId="34" borderId="0" xfId="0" applyFont="1" applyFill="1" applyBorder="1" applyAlignment="1">
      <alignment horizontal="center"/>
    </xf>
    <xf numFmtId="168" fontId="2" fillId="0" borderId="0" xfId="0" applyNumberFormat="1" applyFont="1" applyFill="1" applyBorder="1"/>
    <xf numFmtId="0" fontId="21" fillId="0" borderId="0" xfId="0" quotePrefix="1" applyFont="1" applyAlignment="1">
      <alignment vertical="center"/>
    </xf>
    <xf numFmtId="168" fontId="2" fillId="0" borderId="0" xfId="2" applyNumberFormat="1" applyFont="1" applyFill="1" applyBorder="1"/>
    <xf numFmtId="169" fontId="2" fillId="0" borderId="0" xfId="1" applyNumberFormat="1" applyFont="1" applyFill="1"/>
    <xf numFmtId="0" fontId="2" fillId="0" borderId="0" xfId="0" quotePrefix="1" applyFont="1" applyAlignment="1">
      <alignment vertical="center"/>
    </xf>
    <xf numFmtId="0" fontId="2" fillId="0" borderId="0" xfId="0" applyFont="1" applyAlignment="1">
      <alignment horizontal="left"/>
    </xf>
    <xf numFmtId="0" fontId="32" fillId="0" borderId="0" xfId="0" applyFont="1" applyFill="1" applyBorder="1"/>
    <xf numFmtId="0" fontId="33" fillId="0" borderId="0" xfId="0" applyFont="1" applyFill="1" applyBorder="1"/>
    <xf numFmtId="0" fontId="33" fillId="0" borderId="2" xfId="0" applyFont="1" applyFill="1" applyBorder="1"/>
    <xf numFmtId="0" fontId="35" fillId="0" borderId="2" xfId="0" applyFont="1" applyFill="1" applyBorder="1"/>
    <xf numFmtId="0" fontId="34" fillId="0" borderId="2" xfId="0" applyFont="1" applyFill="1" applyBorder="1" applyAlignment="1">
      <alignment wrapText="1"/>
    </xf>
    <xf numFmtId="0" fontId="29" fillId="0" borderId="0" xfId="0" applyFont="1"/>
    <xf numFmtId="0" fontId="4" fillId="35" borderId="4" xfId="0" applyFont="1" applyFill="1" applyBorder="1" applyAlignment="1">
      <alignment vertical="center"/>
    </xf>
    <xf numFmtId="0" fontId="4" fillId="35" borderId="5" xfId="0" applyFont="1" applyFill="1" applyBorder="1" applyAlignment="1">
      <alignment vertical="center"/>
    </xf>
    <xf numFmtId="0" fontId="4" fillId="35" borderId="3" xfId="0" applyFont="1" applyFill="1" applyBorder="1" applyAlignment="1">
      <alignment vertical="center"/>
    </xf>
    <xf numFmtId="0" fontId="0" fillId="0" borderId="15" xfId="0" applyBorder="1"/>
    <xf numFmtId="0" fontId="0" fillId="0" borderId="21" xfId="0" applyBorder="1"/>
    <xf numFmtId="0" fontId="22" fillId="0" borderId="21" xfId="66" applyBorder="1"/>
    <xf numFmtId="0" fontId="0" fillId="0" borderId="16" xfId="0" applyBorder="1"/>
    <xf numFmtId="0" fontId="0" fillId="0" borderId="0" xfId="0" applyBorder="1"/>
    <xf numFmtId="0" fontId="0" fillId="0" borderId="18" xfId="0" applyBorder="1" applyAlignment="1">
      <alignment horizontal="left" indent="2"/>
    </xf>
    <xf numFmtId="0" fontId="0" fillId="0" borderId="15" xfId="0" applyBorder="1" applyAlignment="1">
      <alignment wrapText="1"/>
    </xf>
    <xf numFmtId="0" fontId="0" fillId="0" borderId="20" xfId="0" applyBorder="1" applyAlignment="1">
      <alignment horizontal="left" wrapText="1" indent="2"/>
    </xf>
    <xf numFmtId="0" fontId="22" fillId="0" borderId="15" xfId="66" applyBorder="1"/>
    <xf numFmtId="0" fontId="0" fillId="35" borderId="15" xfId="0" applyFill="1" applyBorder="1" applyAlignment="1">
      <alignment vertical="top"/>
    </xf>
    <xf numFmtId="0" fontId="0" fillId="35" borderId="21" xfId="0" applyFill="1" applyBorder="1" applyAlignment="1">
      <alignment vertical="top"/>
    </xf>
    <xf numFmtId="0" fontId="22" fillId="35" borderId="21" xfId="66" applyFill="1" applyBorder="1" applyAlignment="1">
      <alignment vertical="top"/>
    </xf>
    <xf numFmtId="0" fontId="0" fillId="35" borderId="16" xfId="0" applyFill="1" applyBorder="1" applyAlignment="1">
      <alignment horizontal="left" vertical="top"/>
    </xf>
    <xf numFmtId="0" fontId="0" fillId="35" borderId="17" xfId="0" applyFill="1" applyBorder="1" applyAlignment="1">
      <alignment vertical="top"/>
    </xf>
    <xf numFmtId="0" fontId="0" fillId="35" borderId="0" xfId="0" applyFill="1" applyBorder="1" applyAlignment="1">
      <alignment vertical="top"/>
    </xf>
    <xf numFmtId="0" fontId="22" fillId="35" borderId="0" xfId="66" applyFill="1" applyBorder="1" applyAlignment="1">
      <alignment vertical="top"/>
    </xf>
    <xf numFmtId="0" fontId="0" fillId="35" borderId="18" xfId="0" applyFill="1" applyBorder="1" applyAlignment="1">
      <alignment horizontal="left" vertical="top" indent="2"/>
    </xf>
    <xf numFmtId="0" fontId="0" fillId="35" borderId="19" xfId="0" applyFill="1" applyBorder="1" applyAlignment="1">
      <alignment vertical="top"/>
    </xf>
    <xf numFmtId="0" fontId="0" fillId="35" borderId="1" xfId="0" applyFill="1" applyBorder="1" applyAlignment="1">
      <alignment vertical="top"/>
    </xf>
    <xf numFmtId="0" fontId="0" fillId="35" borderId="20" xfId="0" applyFill="1" applyBorder="1" applyAlignment="1">
      <alignment horizontal="left" vertical="top" indent="2"/>
    </xf>
    <xf numFmtId="0" fontId="3" fillId="0" borderId="0" xfId="0" applyNumberFormat="1" applyFont="1" applyFill="1" applyAlignment="1">
      <alignment horizontal="center"/>
    </xf>
    <xf numFmtId="166" fontId="2" fillId="0" borderId="0" xfId="65" applyNumberFormat="1" applyFont="1" applyFill="1"/>
    <xf numFmtId="1" fontId="2" fillId="0" borderId="0" xfId="2" applyNumberFormat="1" applyFont="1" applyFill="1"/>
    <xf numFmtId="0" fontId="21" fillId="0" borderId="0" xfId="0" quotePrefix="1" applyFont="1" applyFill="1"/>
    <xf numFmtId="43" fontId="2" fillId="33" borderId="0" xfId="2" applyNumberFormat="1" applyFont="1" applyFill="1"/>
    <xf numFmtId="165" fontId="36" fillId="33" borderId="0" xfId="0" applyNumberFormat="1" applyFont="1" applyFill="1"/>
    <xf numFmtId="9" fontId="36" fillId="33" borderId="0" xfId="0" applyNumberFormat="1" applyFont="1" applyFill="1"/>
    <xf numFmtId="165" fontId="0" fillId="0" borderId="0" xfId="0" applyNumberFormat="1"/>
    <xf numFmtId="0" fontId="2" fillId="0" borderId="0" xfId="0" applyFont="1" applyAlignment="1">
      <alignment horizontal="right"/>
    </xf>
    <xf numFmtId="0" fontId="0" fillId="0" borderId="2" xfId="0" applyBorder="1"/>
    <xf numFmtId="0" fontId="4" fillId="0" borderId="2" xfId="0" applyFont="1" applyBorder="1"/>
    <xf numFmtId="0" fontId="37" fillId="0" borderId="2" xfId="0" applyFont="1" applyBorder="1"/>
    <xf numFmtId="1" fontId="37" fillId="0" borderId="2" xfId="0" applyNumberFormat="1" applyFont="1" applyBorder="1"/>
    <xf numFmtId="1" fontId="31" fillId="0" borderId="22" xfId="0" applyNumberFormat="1" applyFont="1" applyBorder="1"/>
    <xf numFmtId="168" fontId="31" fillId="0" borderId="22" xfId="0" applyNumberFormat="1" applyFont="1" applyBorder="1"/>
    <xf numFmtId="0" fontId="4" fillId="0" borderId="2" xfId="0" applyFont="1" applyBorder="1" applyAlignment="1">
      <alignment wrapText="1"/>
    </xf>
    <xf numFmtId="1" fontId="4" fillId="36" borderId="2" xfId="0" applyNumberFormat="1" applyFont="1" applyFill="1" applyBorder="1"/>
    <xf numFmtId="0" fontId="4" fillId="36" borderId="2" xfId="0" applyFont="1" applyFill="1" applyBorder="1"/>
    <xf numFmtId="1" fontId="4" fillId="37" borderId="2" xfId="0" applyNumberFormat="1" applyFont="1" applyFill="1" applyBorder="1"/>
    <xf numFmtId="0" fontId="4" fillId="37" borderId="2" xfId="0" applyFont="1" applyFill="1" applyBorder="1"/>
    <xf numFmtId="168" fontId="31" fillId="38" borderId="22" xfId="0" applyNumberFormat="1" applyFont="1" applyFill="1" applyBorder="1"/>
    <xf numFmtId="0" fontId="4" fillId="0" borderId="2" xfId="0" applyFont="1" applyFill="1" applyBorder="1"/>
    <xf numFmtId="0" fontId="0" fillId="0" borderId="0" xfId="0" applyFont="1" applyBorder="1" applyAlignment="1">
      <alignment horizontal="left" wrapText="1"/>
    </xf>
    <xf numFmtId="9" fontId="4" fillId="0" borderId="0" xfId="1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0" xfId="0" applyNumberFormat="1" applyFont="1" applyBorder="1" applyAlignment="1">
      <alignment horizont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wrapText="1"/>
    </xf>
    <xf numFmtId="9" fontId="0" fillId="0" borderId="0" xfId="1" applyFont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166" fontId="0" fillId="0" borderId="0" xfId="0" applyNumberFormat="1" applyFont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9" fontId="4" fillId="33" borderId="0" xfId="1" applyFont="1" applyFill="1"/>
    <xf numFmtId="165" fontId="4" fillId="33" borderId="0" xfId="0" applyNumberFormat="1" applyFont="1" applyFill="1"/>
    <xf numFmtId="37" fontId="4" fillId="33" borderId="0" xfId="2" applyNumberFormat="1" applyFont="1" applyFill="1"/>
    <xf numFmtId="166" fontId="4" fillId="33" borderId="0" xfId="0" applyNumberFormat="1" applyFont="1" applyFill="1"/>
    <xf numFmtId="0" fontId="4" fillId="0" borderId="0" xfId="0" applyFont="1" applyFill="1" applyBorder="1" applyAlignment="1">
      <alignment horizontal="center" wrapText="1"/>
    </xf>
    <xf numFmtId="0" fontId="0" fillId="33" borderId="0" xfId="0" applyFill="1" applyBorder="1"/>
    <xf numFmtId="9" fontId="0" fillId="0" borderId="0" xfId="0" applyNumberFormat="1" applyAlignment="1">
      <alignment horizontal="right"/>
    </xf>
    <xf numFmtId="10" fontId="4" fillId="33" borderId="0" xfId="1" applyNumberFormat="1" applyFont="1" applyFill="1"/>
    <xf numFmtId="0" fontId="28" fillId="0" borderId="0" xfId="0" applyFont="1"/>
    <xf numFmtId="0" fontId="0" fillId="0" borderId="0" xfId="0" applyAlignment="1">
      <alignment wrapText="1"/>
    </xf>
    <xf numFmtId="9" fontId="0" fillId="0" borderId="0" xfId="0" applyNumberFormat="1" applyFont="1" applyBorder="1" applyAlignment="1">
      <alignment horizontal="right"/>
    </xf>
    <xf numFmtId="0" fontId="0" fillId="0" borderId="21" xfId="0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8" fillId="39" borderId="0" xfId="0" applyFont="1" applyFill="1" applyBorder="1" applyAlignment="1">
      <alignment horizontal="center"/>
    </xf>
    <xf numFmtId="0" fontId="38" fillId="39" borderId="0" xfId="0" applyFont="1" applyFill="1"/>
    <xf numFmtId="0" fontId="2" fillId="0" borderId="0" xfId="0" applyFont="1" applyAlignment="1">
      <alignment wrapText="1"/>
    </xf>
    <xf numFmtId="0" fontId="4" fillId="0" borderId="2" xfId="0" applyFont="1" applyBorder="1" applyAlignment="1">
      <alignment horizontal="right"/>
    </xf>
    <xf numFmtId="0" fontId="2" fillId="33" borderId="0" xfId="0" applyFont="1" applyFill="1"/>
    <xf numFmtId="0" fontId="0" fillId="0" borderId="0" xfId="0" applyFill="1"/>
    <xf numFmtId="0" fontId="16" fillId="0" borderId="0" xfId="0" applyFont="1" applyFill="1" applyBorder="1" applyAlignment="1">
      <alignment horizontal="center"/>
    </xf>
    <xf numFmtId="0" fontId="16" fillId="0" borderId="0" xfId="0" applyFont="1" applyFill="1"/>
    <xf numFmtId="0" fontId="39" fillId="0" borderId="0" xfId="0" applyFont="1" applyFill="1" applyBorder="1" applyAlignment="1">
      <alignment horizontal="left" vertical="top"/>
    </xf>
    <xf numFmtId="0" fontId="36" fillId="0" borderId="17" xfId="0" applyFont="1" applyBorder="1" applyAlignment="1">
      <alignment wrapText="1"/>
    </xf>
    <xf numFmtId="0" fontId="36" fillId="0" borderId="0" xfId="0" applyFont="1" applyFill="1" applyBorder="1" applyAlignment="1">
      <alignment horizontal="left" vertical="top"/>
    </xf>
    <xf numFmtId="2" fontId="42" fillId="0" borderId="0" xfId="0" applyNumberFormat="1" applyFont="1" applyFill="1" applyBorder="1"/>
    <xf numFmtId="3" fontId="43" fillId="0" borderId="0" xfId="0" applyNumberFormat="1" applyFont="1" applyFill="1" applyBorder="1" applyAlignment="1">
      <alignment horizontal="right" vertical="center"/>
    </xf>
    <xf numFmtId="3" fontId="43" fillId="33" borderId="0" xfId="0" applyNumberFormat="1" applyFont="1" applyFill="1" applyBorder="1" applyAlignment="1">
      <alignment horizontal="right" vertical="center"/>
    </xf>
    <xf numFmtId="0" fontId="44" fillId="0" borderId="0" xfId="0" quotePrefix="1" applyFont="1" applyFill="1" applyAlignment="1">
      <alignment vertical="top"/>
    </xf>
    <xf numFmtId="0" fontId="44" fillId="0" borderId="0" xfId="0" quotePrefix="1" applyFont="1" applyFill="1" applyAlignment="1">
      <alignment wrapText="1"/>
    </xf>
    <xf numFmtId="2" fontId="42" fillId="33" borderId="0" xfId="0" applyNumberFormat="1" applyFont="1" applyFill="1"/>
    <xf numFmtId="0" fontId="4" fillId="33" borderId="0" xfId="0" applyFont="1" applyFill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67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2" builtinId="3"/>
    <cellStyle name="Currency" xfId="65" builtinId="4"/>
    <cellStyle name="Explanatory Text" xfId="18" builtinId="53" customBuilti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66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76200</xdr:colOff>
      <xdr:row>0</xdr:row>
      <xdr:rowOff>95250</xdr:rowOff>
    </xdr:from>
    <xdr:to>
      <xdr:col>16</xdr:col>
      <xdr:colOff>246943</xdr:colOff>
      <xdr:row>40</xdr:row>
      <xdr:rowOff>8583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725FA4-6A55-41BA-9490-D3AB7D935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5" y="95250"/>
          <a:ext cx="5657143" cy="7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21"/>
  <sheetViews>
    <sheetView tabSelected="1" zoomScale="85" zoomScaleNormal="85" workbookViewId="0">
      <selection activeCell="D7" sqref="D7"/>
    </sheetView>
  </sheetViews>
  <sheetFormatPr defaultRowHeight="14.4" x14ac:dyDescent="0.3"/>
  <cols>
    <col min="2" max="2" width="39.6640625" customWidth="1"/>
    <col min="3" max="3" width="62.5546875" customWidth="1"/>
    <col min="4" max="4" width="31.5546875" customWidth="1"/>
    <col min="5" max="5" width="60.6640625" customWidth="1"/>
  </cols>
  <sheetData>
    <row r="4" spans="2:5" ht="15.6" x14ac:dyDescent="0.3">
      <c r="B4" s="47" t="s">
        <v>56</v>
      </c>
      <c r="C4" s="12"/>
      <c r="D4" s="12"/>
      <c r="E4" s="12"/>
    </row>
    <row r="5" spans="2:5" x14ac:dyDescent="0.3">
      <c r="B5" s="12"/>
      <c r="C5" s="12"/>
      <c r="D5" s="12"/>
      <c r="E5" s="12"/>
    </row>
    <row r="6" spans="2:5" x14ac:dyDescent="0.3">
      <c r="B6" s="48" t="s">
        <v>57</v>
      </c>
      <c r="C6" s="49" t="s">
        <v>58</v>
      </c>
      <c r="D6" s="49" t="s">
        <v>59</v>
      </c>
      <c r="E6" s="50" t="s">
        <v>60</v>
      </c>
    </row>
    <row r="7" spans="2:5" ht="28.8" x14ac:dyDescent="0.3">
      <c r="B7" s="51" t="s">
        <v>62</v>
      </c>
      <c r="C7" s="117" t="s">
        <v>123</v>
      </c>
      <c r="D7" s="59" t="s">
        <v>66</v>
      </c>
      <c r="E7" s="54" t="s">
        <v>63</v>
      </c>
    </row>
    <row r="8" spans="2:5" x14ac:dyDescent="0.3">
      <c r="B8" s="22"/>
      <c r="C8" s="55"/>
      <c r="D8" s="55"/>
      <c r="E8" s="56"/>
    </row>
    <row r="9" spans="2:5" x14ac:dyDescent="0.3">
      <c r="B9" s="57" t="s">
        <v>65</v>
      </c>
      <c r="C9" s="52" t="s">
        <v>124</v>
      </c>
      <c r="D9" s="53" t="s">
        <v>66</v>
      </c>
      <c r="E9" s="54" t="s">
        <v>61</v>
      </c>
    </row>
    <row r="10" spans="2:5" x14ac:dyDescent="0.3">
      <c r="B10" s="22"/>
      <c r="C10" s="55"/>
      <c r="D10" s="55"/>
      <c r="E10" s="56"/>
    </row>
    <row r="11" spans="2:5" x14ac:dyDescent="0.3">
      <c r="B11" s="22"/>
      <c r="C11" s="55"/>
      <c r="D11" s="55"/>
      <c r="E11" s="56"/>
    </row>
    <row r="12" spans="2:5" x14ac:dyDescent="0.3">
      <c r="B12" s="23"/>
      <c r="C12" s="24"/>
      <c r="D12" s="24"/>
      <c r="E12" s="58"/>
    </row>
    <row r="13" spans="2:5" ht="28.8" x14ac:dyDescent="0.3">
      <c r="B13" s="57" t="s">
        <v>64</v>
      </c>
      <c r="C13" s="52" t="s">
        <v>124</v>
      </c>
      <c r="D13" s="53" t="s">
        <v>66</v>
      </c>
      <c r="E13" s="54" t="s">
        <v>61</v>
      </c>
    </row>
    <row r="14" spans="2:5" x14ac:dyDescent="0.3">
      <c r="B14" s="22"/>
      <c r="C14" s="55"/>
      <c r="D14" s="55"/>
      <c r="E14" s="56"/>
    </row>
    <row r="15" spans="2:5" x14ac:dyDescent="0.3">
      <c r="B15" s="22"/>
      <c r="C15" s="55"/>
      <c r="D15" s="55"/>
      <c r="E15" s="56"/>
    </row>
    <row r="16" spans="2:5" x14ac:dyDescent="0.3">
      <c r="B16" s="23"/>
      <c r="C16" s="24"/>
      <c r="D16" s="24"/>
      <c r="E16" s="58"/>
    </row>
    <row r="17" spans="2:5" x14ac:dyDescent="0.3">
      <c r="B17" s="60" t="s">
        <v>67</v>
      </c>
      <c r="C17" s="61" t="s">
        <v>114</v>
      </c>
      <c r="D17" s="62" t="s">
        <v>68</v>
      </c>
      <c r="E17" s="63" t="s">
        <v>61</v>
      </c>
    </row>
    <row r="18" spans="2:5" x14ac:dyDescent="0.3">
      <c r="B18" s="64"/>
      <c r="C18" s="65"/>
      <c r="D18" s="66"/>
      <c r="E18" s="67" t="s">
        <v>69</v>
      </c>
    </row>
    <row r="19" spans="2:5" x14ac:dyDescent="0.3">
      <c r="B19" s="64"/>
      <c r="C19" s="65"/>
      <c r="D19" s="65"/>
      <c r="E19" s="67" t="s">
        <v>70</v>
      </c>
    </row>
    <row r="20" spans="2:5" x14ac:dyDescent="0.3">
      <c r="B20" s="64"/>
      <c r="C20" s="65"/>
      <c r="D20" s="65"/>
      <c r="E20" s="67" t="s">
        <v>71</v>
      </c>
    </row>
    <row r="21" spans="2:5" x14ac:dyDescent="0.3">
      <c r="B21" s="68"/>
      <c r="C21" s="69"/>
      <c r="D21" s="69"/>
      <c r="E21" s="70" t="s">
        <v>72</v>
      </c>
    </row>
  </sheetData>
  <hyperlinks>
    <hyperlink ref="D9" location="'Main Sheet'!A1" display="Main Sheet"/>
    <hyperlink ref="D7" location="'Main Sheet'!A1" display="Main Sheet"/>
    <hyperlink ref="D13" location="'Main Sheet'!A1" display="Main Sheet"/>
    <hyperlink ref="D17" location="'Emission Factors'!A1" display="Emission Factors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9"/>
  <sheetViews>
    <sheetView zoomScaleNormal="100" zoomScalePageLayoutView="90" workbookViewId="0">
      <selection activeCell="B30" sqref="B30:F30"/>
    </sheetView>
  </sheetViews>
  <sheetFormatPr defaultColWidth="8.6640625" defaultRowHeight="13.8" x14ac:dyDescent="0.3"/>
  <cols>
    <col min="1" max="1" width="53.33203125" style="6" customWidth="1"/>
    <col min="2" max="2" width="13.44140625" style="6" bestFit="1" customWidth="1"/>
    <col min="3" max="6" width="13.44140625" style="6" customWidth="1"/>
    <col min="7" max="7" width="94.33203125" style="6" bestFit="1" customWidth="1"/>
    <col min="8" max="16384" width="8.6640625" style="6"/>
  </cols>
  <sheetData>
    <row r="1" spans="1:7" x14ac:dyDescent="0.3">
      <c r="G1" s="6" t="s">
        <v>86</v>
      </c>
    </row>
    <row r="2" spans="1:7" ht="18" x14ac:dyDescent="0.35">
      <c r="A2" s="29" t="s">
        <v>16</v>
      </c>
    </row>
    <row r="3" spans="1:7" x14ac:dyDescent="0.3">
      <c r="G3" s="14"/>
    </row>
    <row r="4" spans="1:7" ht="15.6" x14ac:dyDescent="0.3">
      <c r="A4" s="30" t="s">
        <v>17</v>
      </c>
      <c r="B4" s="1"/>
      <c r="C4" s="1"/>
      <c r="D4" s="1"/>
      <c r="E4" s="118"/>
      <c r="F4" s="118"/>
      <c r="G4" s="1"/>
    </row>
    <row r="5" spans="1:7" x14ac:dyDescent="0.3">
      <c r="A5" s="119" t="s">
        <v>2</v>
      </c>
      <c r="B5" s="119" t="s">
        <v>115</v>
      </c>
      <c r="C5" s="119"/>
      <c r="D5" s="119"/>
      <c r="E5" s="119"/>
      <c r="F5" s="119"/>
      <c r="G5" s="120" t="s">
        <v>15</v>
      </c>
    </row>
    <row r="6" spans="1:7" ht="15.6" x14ac:dyDescent="0.3">
      <c r="A6" s="30" t="s">
        <v>88</v>
      </c>
      <c r="B6" s="1">
        <v>2014</v>
      </c>
      <c r="C6" s="1"/>
      <c r="D6" s="1"/>
      <c r="E6" s="118"/>
      <c r="F6" s="118"/>
      <c r="G6" s="1" t="s">
        <v>116</v>
      </c>
    </row>
    <row r="7" spans="1:7" ht="27.6" x14ac:dyDescent="0.3">
      <c r="A7" s="30" t="s">
        <v>89</v>
      </c>
      <c r="B7" s="79" t="s">
        <v>119</v>
      </c>
      <c r="C7" s="1"/>
      <c r="D7" s="1"/>
      <c r="E7" s="118"/>
      <c r="F7" s="118"/>
      <c r="G7" s="121" t="s">
        <v>117</v>
      </c>
    </row>
    <row r="8" spans="1:7" ht="15.6" x14ac:dyDescent="0.3">
      <c r="A8" s="30"/>
    </row>
    <row r="9" spans="1:7" ht="14.4" x14ac:dyDescent="0.3">
      <c r="A9" s="27" t="s">
        <v>2</v>
      </c>
      <c r="B9" s="27">
        <v>2016</v>
      </c>
      <c r="C9" s="27">
        <v>2020</v>
      </c>
      <c r="D9" s="27">
        <v>2025</v>
      </c>
      <c r="E9" s="27" t="s">
        <v>122</v>
      </c>
      <c r="F9" s="27"/>
      <c r="G9" s="27" t="s">
        <v>15</v>
      </c>
    </row>
    <row r="10" spans="1:7" x14ac:dyDescent="0.3">
      <c r="A10" s="31" t="s">
        <v>0</v>
      </c>
    </row>
    <row r="11" spans="1:7" x14ac:dyDescent="0.3">
      <c r="A11" s="7" t="s">
        <v>102</v>
      </c>
      <c r="B11" s="76">
        <f>'CBTP Case Studies'!F13</f>
        <v>20.555048209322802</v>
      </c>
      <c r="C11" s="8"/>
      <c r="D11" s="8"/>
      <c r="E11" s="8"/>
      <c r="F11" s="8"/>
      <c r="G11" s="6" t="s">
        <v>104</v>
      </c>
    </row>
    <row r="12" spans="1:7" ht="14.85" customHeight="1" x14ac:dyDescent="0.3">
      <c r="A12" s="7" t="s">
        <v>83</v>
      </c>
      <c r="B12" s="77">
        <f>'CBTP Case Studies'!C13</f>
        <v>0.17352065322611779</v>
      </c>
      <c r="C12" s="124"/>
      <c r="D12" s="124"/>
      <c r="E12" s="124"/>
      <c r="F12" s="124"/>
      <c r="G12" s="6" t="s">
        <v>104</v>
      </c>
    </row>
    <row r="13" spans="1:7" x14ac:dyDescent="0.3">
      <c r="A13" s="7" t="s">
        <v>80</v>
      </c>
      <c r="B13" s="77">
        <f>'CBTP Case Studies'!B13</f>
        <v>0.11983673469387755</v>
      </c>
      <c r="C13" s="9"/>
      <c r="D13" s="9"/>
      <c r="E13" s="9"/>
      <c r="F13" s="9"/>
      <c r="G13" s="6" t="s">
        <v>104</v>
      </c>
    </row>
    <row r="14" spans="1:7" ht="13.5" customHeight="1" x14ac:dyDescent="0.3">
      <c r="A14" s="7" t="s">
        <v>84</v>
      </c>
      <c r="B14" s="135">
        <v>7.8807710000000002</v>
      </c>
      <c r="C14" s="135">
        <v>7.8497079999999997</v>
      </c>
      <c r="D14" s="135">
        <v>7.7908210000000002</v>
      </c>
      <c r="E14" s="135">
        <v>7.3438489999999996</v>
      </c>
      <c r="F14" s="123"/>
      <c r="G14" s="6" t="s">
        <v>121</v>
      </c>
    </row>
    <row r="15" spans="1:7" s="12" customFormat="1" ht="14.4" x14ac:dyDescent="0.3">
      <c r="A15" s="33" t="s">
        <v>85</v>
      </c>
      <c r="B15" s="75">
        <v>7.1884079999999999</v>
      </c>
      <c r="C15" s="75">
        <v>7.0701150000000004</v>
      </c>
      <c r="D15" s="75">
        <v>7.0206860000000004</v>
      </c>
      <c r="E15" s="75">
        <v>6.8360779999999997</v>
      </c>
      <c r="F15" s="75"/>
      <c r="G15" s="6" t="s">
        <v>121</v>
      </c>
    </row>
    <row r="16" spans="1:7" x14ac:dyDescent="0.3">
      <c r="A16" s="7"/>
      <c r="B16" s="25"/>
      <c r="C16" s="10"/>
      <c r="D16" s="10"/>
      <c r="E16" s="10"/>
      <c r="F16" s="10"/>
    </row>
    <row r="17" spans="1:7" x14ac:dyDescent="0.3">
      <c r="A17" s="31" t="s">
        <v>1</v>
      </c>
      <c r="B17" s="71">
        <v>2016</v>
      </c>
      <c r="C17" s="71">
        <v>2020</v>
      </c>
      <c r="D17" s="71">
        <v>2025</v>
      </c>
      <c r="E17" s="71">
        <v>2035</v>
      </c>
      <c r="F17" s="71">
        <v>2050</v>
      </c>
    </row>
    <row r="18" spans="1:7" ht="14.4" x14ac:dyDescent="0.3">
      <c r="A18" s="129" t="s">
        <v>77</v>
      </c>
      <c r="B18" s="132">
        <v>3272238</v>
      </c>
      <c r="C18" s="132">
        <v>3375011</v>
      </c>
      <c r="D18" s="132">
        <v>3496453</v>
      </c>
      <c r="E18" s="132">
        <v>3703205</v>
      </c>
      <c r="F18" s="132">
        <v>0</v>
      </c>
      <c r="G18" s="26" t="s">
        <v>123</v>
      </c>
    </row>
    <row r="19" spans="1:7" x14ac:dyDescent="0.3">
      <c r="A19" s="33" t="s">
        <v>74</v>
      </c>
      <c r="B19" s="11">
        <v>0</v>
      </c>
      <c r="C19" s="11">
        <v>0</v>
      </c>
      <c r="D19" s="11">
        <f>SUM('Community-Based Coverage Areas'!E7)</f>
        <v>88659</v>
      </c>
      <c r="E19" s="11">
        <f>SUM('Community-Based Coverage Areas'!E13)</f>
        <v>37039</v>
      </c>
      <c r="F19" s="11">
        <v>0</v>
      </c>
      <c r="G19" s="6" t="s">
        <v>18</v>
      </c>
    </row>
    <row r="20" spans="1:7" x14ac:dyDescent="0.3">
      <c r="A20" s="13" t="s">
        <v>73</v>
      </c>
      <c r="B20" s="73">
        <f>B19*$B$12</f>
        <v>0</v>
      </c>
      <c r="C20" s="73">
        <f>C19*$B$12</f>
        <v>0</v>
      </c>
      <c r="D20" s="73">
        <f>D19*$B$12</f>
        <v>15384.167594374378</v>
      </c>
      <c r="E20" s="73">
        <f>E19*$B$12</f>
        <v>6427.031474842177</v>
      </c>
      <c r="F20" s="73">
        <f>F19*$B$12</f>
        <v>0</v>
      </c>
    </row>
    <row r="21" spans="1:7" x14ac:dyDescent="0.3">
      <c r="A21" s="13" t="s">
        <v>78</v>
      </c>
      <c r="B21" s="72">
        <f>B19*$B$11</f>
        <v>0</v>
      </c>
      <c r="C21" s="72">
        <f>C19*$B$11</f>
        <v>0</v>
      </c>
      <c r="D21" s="72">
        <f>D19*$B$11</f>
        <v>1822390.0191903503</v>
      </c>
      <c r="E21" s="72">
        <f>E19*$B$11</f>
        <v>761338.43062510726</v>
      </c>
      <c r="F21" s="72">
        <f>F19*$B$11</f>
        <v>0</v>
      </c>
    </row>
    <row r="23" spans="1:7" ht="15.6" x14ac:dyDescent="0.3">
      <c r="A23" s="34" t="s">
        <v>39</v>
      </c>
    </row>
    <row r="24" spans="1:7" s="12" customFormat="1" ht="14.4" x14ac:dyDescent="0.3">
      <c r="A24" s="35" t="s">
        <v>2</v>
      </c>
      <c r="B24" s="27">
        <v>2016</v>
      </c>
      <c r="C24" s="27">
        <v>2020</v>
      </c>
      <c r="D24" s="27">
        <v>2025</v>
      </c>
      <c r="E24" s="27" t="s">
        <v>122</v>
      </c>
      <c r="F24" s="27">
        <v>2050</v>
      </c>
      <c r="G24" s="28"/>
    </row>
    <row r="25" spans="1:7" s="12" customFormat="1" ht="14.4" x14ac:dyDescent="0.3">
      <c r="A25" s="127" t="s">
        <v>125</v>
      </c>
      <c r="B25" s="126"/>
      <c r="C25" s="126"/>
      <c r="D25" s="126"/>
      <c r="E25" s="126"/>
      <c r="F25" s="126"/>
      <c r="G25" s="126"/>
    </row>
    <row r="26" spans="1:7" s="12" customFormat="1" ht="14.4" x14ac:dyDescent="0.3">
      <c r="A26" s="128" t="s">
        <v>126</v>
      </c>
      <c r="B26" s="131">
        <f>SUM('Emission Factors'!B7,'Emission Factors'!B10)</f>
        <v>37488.92710117867</v>
      </c>
      <c r="C26" s="131">
        <f>SUM('Emission Factors'!C7,'Emission Factors'!C10)</f>
        <v>37590.432572651349</v>
      </c>
      <c r="D26" s="131">
        <f>SUM('Emission Factors'!D7,'Emission Factors'!D10)</f>
        <v>38625.48763595421</v>
      </c>
      <c r="E26" s="131">
        <f>SUM('Emission Factors'!E7,'Emission Factors'!E10)</f>
        <v>38897.620283462515</v>
      </c>
      <c r="F26" s="131">
        <f>SUM('Emission Factors'!F7,'Emission Factors'!F10)</f>
        <v>0</v>
      </c>
      <c r="G26" s="133" t="s">
        <v>128</v>
      </c>
    </row>
    <row r="27" spans="1:7" s="12" customFormat="1" ht="14.4" x14ac:dyDescent="0.3">
      <c r="A27" s="128" t="s">
        <v>127</v>
      </c>
      <c r="B27" s="130">
        <f>B26/B18*2000</f>
        <v>22.913325437317621</v>
      </c>
      <c r="C27" s="130">
        <f>C26/C18*2000</f>
        <v>22.275739292494958</v>
      </c>
      <c r="D27" s="130">
        <f>D26/D18*2000</f>
        <v>22.094098010729279</v>
      </c>
      <c r="E27" s="130">
        <f>E26/E18*2000</f>
        <v>21.007543618818033</v>
      </c>
      <c r="F27" s="130" t="e">
        <f>F26/F18*2000</f>
        <v>#DIV/0!</v>
      </c>
      <c r="G27" s="134" t="s">
        <v>129</v>
      </c>
    </row>
    <row r="28" spans="1:7" s="12" customFormat="1" ht="14.4" x14ac:dyDescent="0.3">
      <c r="A28" s="125"/>
      <c r="B28" s="126"/>
      <c r="C28" s="126"/>
      <c r="D28" s="126"/>
      <c r="E28" s="126"/>
      <c r="F28" s="126"/>
      <c r="G28" s="126"/>
    </row>
    <row r="29" spans="1:7" x14ac:dyDescent="0.3">
      <c r="A29" s="13" t="s">
        <v>5</v>
      </c>
      <c r="B29" s="11">
        <f>B20*$B$13*B14</f>
        <v>0</v>
      </c>
      <c r="C29" s="11">
        <f t="shared" ref="C29:F29" si="0">C20*$B$13*C14</f>
        <v>0</v>
      </c>
      <c r="D29" s="11">
        <f t="shared" si="0"/>
        <v>14363.067303826972</v>
      </c>
      <c r="E29" s="11">
        <f t="shared" si="0"/>
        <v>5656.1918568823457</v>
      </c>
      <c r="F29" s="11">
        <f t="shared" si="0"/>
        <v>0</v>
      </c>
      <c r="G29" s="74" t="s">
        <v>79</v>
      </c>
    </row>
    <row r="30" spans="1:7" x14ac:dyDescent="0.3">
      <c r="A30" s="13" t="s">
        <v>6</v>
      </c>
      <c r="B30" s="21">
        <f>B29*B15</f>
        <v>0</v>
      </c>
      <c r="C30" s="21">
        <f t="shared" ref="C30:F30" si="1">C29*C15</f>
        <v>0</v>
      </c>
      <c r="D30" s="21">
        <f t="shared" si="1"/>
        <v>100838.58553703577</v>
      </c>
      <c r="E30" s="21">
        <f t="shared" si="1"/>
        <v>38666.168716612548</v>
      </c>
      <c r="F30" s="21">
        <f t="shared" si="1"/>
        <v>0</v>
      </c>
      <c r="G30" s="74" t="s">
        <v>81</v>
      </c>
    </row>
    <row r="31" spans="1:7" x14ac:dyDescent="0.3">
      <c r="A31" s="13" t="s">
        <v>40</v>
      </c>
      <c r="B31" s="36">
        <f>B29*'Emission Factors'!B12</f>
        <v>0</v>
      </c>
      <c r="C31" s="36">
        <f>C29*'Emission Factors'!C12</f>
        <v>0</v>
      </c>
      <c r="D31" s="36">
        <f>D29*'Emission Factors'!D12</f>
        <v>1.3424891839101147</v>
      </c>
      <c r="E31" s="36">
        <f>E29*'Emission Factors'!E12</f>
        <v>0.52584402552428788</v>
      </c>
      <c r="F31" s="36">
        <f>F29*'Emission Factors'!F12</f>
        <v>0</v>
      </c>
      <c r="G31" s="37" t="s">
        <v>41</v>
      </c>
    </row>
    <row r="32" spans="1:7" x14ac:dyDescent="0.3">
      <c r="A32" s="13" t="s">
        <v>42</v>
      </c>
      <c r="B32" s="38">
        <f>B30*'Emission Factors'!B9</f>
        <v>0</v>
      </c>
      <c r="C32" s="38">
        <f>C30*'Emission Factors'!C9</f>
        <v>0</v>
      </c>
      <c r="D32" s="38">
        <f>D30*'Emission Factors'!D9</f>
        <v>46.775015664441405</v>
      </c>
      <c r="E32" s="38">
        <f>E30*'Emission Factors'!E9</f>
        <v>17.660265162514683</v>
      </c>
      <c r="F32" s="38">
        <f>F30*'Emission Factors'!F9</f>
        <v>0</v>
      </c>
      <c r="G32" s="37" t="s">
        <v>43</v>
      </c>
    </row>
    <row r="33" spans="1:7" x14ac:dyDescent="0.3">
      <c r="A33" s="13" t="s">
        <v>75</v>
      </c>
      <c r="B33" s="38">
        <f>B31+B32</f>
        <v>0</v>
      </c>
      <c r="C33" s="38">
        <f t="shared" ref="C33:E33" si="2">C31+C32</f>
        <v>0</v>
      </c>
      <c r="D33" s="38">
        <f>D31+D32</f>
        <v>48.117504848351523</v>
      </c>
      <c r="E33" s="38">
        <f t="shared" si="2"/>
        <v>18.186109188038973</v>
      </c>
      <c r="F33" s="38">
        <f>F31+F32</f>
        <v>0</v>
      </c>
      <c r="G33" s="37" t="s">
        <v>76</v>
      </c>
    </row>
    <row r="34" spans="1:7" s="1" customFormat="1" ht="20.100000000000001" customHeight="1" x14ac:dyDescent="0.3">
      <c r="A34" s="13" t="s">
        <v>44</v>
      </c>
      <c r="B34" s="39">
        <f>-1*B33*2000/B18</f>
        <v>0</v>
      </c>
      <c r="C34" s="39">
        <f>-1*C33*2000/C18</f>
        <v>0</v>
      </c>
      <c r="D34" s="39">
        <f>-1*D33*2000/D18</f>
        <v>-2.7523610269236578E-2</v>
      </c>
      <c r="E34" s="39">
        <f>-1*E33*2000/E18</f>
        <v>-9.821821469801954E-3</v>
      </c>
      <c r="F34" s="39" t="e">
        <f>-1*F33*2000/F18</f>
        <v>#DIV/0!</v>
      </c>
      <c r="G34" s="40" t="s">
        <v>45</v>
      </c>
    </row>
    <row r="35" spans="1:7" s="1" customFormat="1" ht="20.100000000000001" customHeight="1" x14ac:dyDescent="0.3">
      <c r="A35" s="41" t="s">
        <v>46</v>
      </c>
      <c r="B35" s="5">
        <f>(B34)/B27</f>
        <v>0</v>
      </c>
      <c r="C35" s="5">
        <f>(C34)/C27</f>
        <v>0</v>
      </c>
      <c r="D35" s="5">
        <f>(D34)/D27</f>
        <v>-1.2457449159440966E-3</v>
      </c>
      <c r="E35" s="5">
        <f>(E34)/E27</f>
        <v>-4.6753783536137997E-4</v>
      </c>
      <c r="F35" s="5" t="e">
        <f>(F34)/F27</f>
        <v>#DIV/0!</v>
      </c>
      <c r="G35" s="37" t="s">
        <v>47</v>
      </c>
    </row>
    <row r="36" spans="1:7" s="12" customFormat="1" ht="14.4" x14ac:dyDescent="0.3"/>
    <row r="37" spans="1:7" s="12" customFormat="1" ht="14.4" x14ac:dyDescent="0.3"/>
    <row r="38" spans="1:7" s="12" customFormat="1" ht="14.4" x14ac:dyDescent="0.3"/>
    <row r="39" spans="1:7" s="12" customFormat="1" ht="14.4" x14ac:dyDescent="0.3"/>
    <row r="40" spans="1:7" s="12" customFormat="1" ht="14.4" x14ac:dyDescent="0.3"/>
    <row r="41" spans="1:7" s="12" customFormat="1" ht="14.4" x14ac:dyDescent="0.3"/>
    <row r="42" spans="1:7" s="12" customFormat="1" ht="14.4" x14ac:dyDescent="0.3"/>
    <row r="43" spans="1:7" s="12" customFormat="1" ht="14.4" x14ac:dyDescent="0.3"/>
    <row r="44" spans="1:7" s="12" customFormat="1" ht="14.4" x14ac:dyDescent="0.3"/>
    <row r="45" spans="1:7" s="12" customFormat="1" ht="14.4" x14ac:dyDescent="0.3"/>
    <row r="46" spans="1:7" s="12" customFormat="1" ht="14.4" x14ac:dyDescent="0.3"/>
    <row r="47" spans="1:7" s="12" customFormat="1" ht="14.4" x14ac:dyDescent="0.3"/>
    <row r="48" spans="1:7" s="12" customFormat="1" ht="14.4" x14ac:dyDescent="0.3"/>
    <row r="49" s="12" customFormat="1" ht="14.4" x14ac:dyDescent="0.3"/>
    <row r="50" s="12" customFormat="1" ht="14.4" x14ac:dyDescent="0.3"/>
    <row r="51" s="12" customFormat="1" ht="14.4" x14ac:dyDescent="0.3"/>
    <row r="52" s="12" customFormat="1" ht="14.4" x14ac:dyDescent="0.3"/>
    <row r="53" s="12" customFormat="1" ht="14.4" x14ac:dyDescent="0.3"/>
    <row r="54" s="12" customFormat="1" ht="14.4" x14ac:dyDescent="0.3"/>
    <row r="55" s="12" customFormat="1" ht="14.4" x14ac:dyDescent="0.3"/>
    <row r="56" s="12" customFormat="1" ht="14.4" x14ac:dyDescent="0.3"/>
    <row r="57" s="12" customFormat="1" ht="14.4" x14ac:dyDescent="0.3"/>
    <row r="58" s="12" customFormat="1" ht="14.4" x14ac:dyDescent="0.3"/>
    <row r="59" s="12" customFormat="1" ht="14.4" x14ac:dyDescent="0.3"/>
    <row r="60" s="12" customFormat="1" ht="14.4" x14ac:dyDescent="0.3"/>
    <row r="61" s="12" customFormat="1" ht="14.4" x14ac:dyDescent="0.3"/>
    <row r="62" s="12" customFormat="1" ht="14.4" x14ac:dyDescent="0.3"/>
    <row r="63" s="12" customFormat="1" ht="14.4" x14ac:dyDescent="0.3"/>
    <row r="64" s="12" customFormat="1" ht="14.4" x14ac:dyDescent="0.3"/>
    <row r="65" s="12" customFormat="1" ht="14.4" x14ac:dyDescent="0.3"/>
    <row r="66" s="12" customFormat="1" ht="14.4" x14ac:dyDescent="0.3"/>
    <row r="67" s="12" customFormat="1" ht="14.4" x14ac:dyDescent="0.3"/>
    <row r="68" s="12" customFormat="1" ht="14.4" x14ac:dyDescent="0.3"/>
    <row r="69" s="12" customFormat="1" ht="14.4" x14ac:dyDescent="0.3"/>
    <row r="70" s="12" customFormat="1" ht="14.4" x14ac:dyDescent="0.3"/>
    <row r="71" s="12" customFormat="1" ht="14.4" x14ac:dyDescent="0.3"/>
    <row r="72" s="12" customFormat="1" ht="14.4" x14ac:dyDescent="0.3"/>
    <row r="73" s="12" customFormat="1" ht="14.4" x14ac:dyDescent="0.3"/>
    <row r="74" s="12" customFormat="1" ht="14.4" x14ac:dyDescent="0.3"/>
    <row r="75" s="12" customFormat="1" ht="14.4" x14ac:dyDescent="0.3"/>
    <row r="76" s="12" customFormat="1" ht="14.4" x14ac:dyDescent="0.3"/>
    <row r="77" s="12" customFormat="1" ht="14.4" x14ac:dyDescent="0.3"/>
    <row r="78" s="12" customFormat="1" ht="14.4" x14ac:dyDescent="0.3"/>
    <row r="79" s="12" customFormat="1" ht="14.4" x14ac:dyDescent="0.3"/>
    <row r="80" s="12" customFormat="1" ht="14.4" x14ac:dyDescent="0.3"/>
    <row r="81" s="12" customFormat="1" ht="14.4" x14ac:dyDescent="0.3"/>
    <row r="82" s="12" customFormat="1" ht="14.4" x14ac:dyDescent="0.3"/>
    <row r="83" s="12" customFormat="1" ht="14.4" x14ac:dyDescent="0.3"/>
    <row r="84" s="12" customFormat="1" ht="14.4" x14ac:dyDescent="0.3"/>
    <row r="85" s="12" customFormat="1" ht="14.4" x14ac:dyDescent="0.3"/>
    <row r="86" s="12" customFormat="1" ht="14.4" x14ac:dyDescent="0.3"/>
    <row r="87" s="12" customFormat="1" ht="14.4" x14ac:dyDescent="0.3"/>
    <row r="88" s="12" customFormat="1" ht="14.4" x14ac:dyDescent="0.3"/>
    <row r="89" s="12" customFormat="1" ht="14.4" x14ac:dyDescent="0.3"/>
    <row r="90" s="12" customFormat="1" ht="14.4" x14ac:dyDescent="0.3"/>
    <row r="91" s="12" customFormat="1" ht="14.4" x14ac:dyDescent="0.3"/>
    <row r="92" s="12" customFormat="1" ht="14.4" x14ac:dyDescent="0.3"/>
    <row r="93" s="12" customFormat="1" ht="14.4" x14ac:dyDescent="0.3"/>
    <row r="94" s="12" customFormat="1" ht="14.4" x14ac:dyDescent="0.3"/>
    <row r="95" s="12" customFormat="1" ht="14.4" x14ac:dyDescent="0.3"/>
    <row r="96" s="12" customFormat="1" ht="14.4" x14ac:dyDescent="0.3"/>
    <row r="97" s="12" customFormat="1" ht="14.4" x14ac:dyDescent="0.3"/>
    <row r="98" s="12" customFormat="1" ht="14.4" x14ac:dyDescent="0.3"/>
    <row r="99" s="12" customFormat="1" ht="14.4" x14ac:dyDescent="0.3"/>
    <row r="100" s="12" customFormat="1" ht="14.4" x14ac:dyDescent="0.3"/>
    <row r="101" s="12" customFormat="1" ht="14.4" x14ac:dyDescent="0.3"/>
    <row r="102" s="12" customFormat="1" ht="14.4" x14ac:dyDescent="0.3"/>
    <row r="103" s="12" customFormat="1" ht="14.4" x14ac:dyDescent="0.3"/>
    <row r="104" s="12" customFormat="1" ht="14.4" x14ac:dyDescent="0.3"/>
    <row r="105" s="12" customFormat="1" ht="14.4" x14ac:dyDescent="0.3"/>
    <row r="106" s="12" customFormat="1" ht="14.4" x14ac:dyDescent="0.3"/>
    <row r="107" s="12" customFormat="1" ht="14.4" x14ac:dyDescent="0.3"/>
    <row r="108" s="12" customFormat="1" ht="14.4" x14ac:dyDescent="0.3"/>
    <row r="109" s="12" customFormat="1" ht="14.4" x14ac:dyDescent="0.3"/>
    <row r="110" s="12" customFormat="1" ht="14.4" x14ac:dyDescent="0.3"/>
    <row r="111" s="12" customFormat="1" ht="14.4" x14ac:dyDescent="0.3"/>
    <row r="112" s="12" customFormat="1" ht="14.4" x14ac:dyDescent="0.3"/>
    <row r="113" spans="1:6" s="12" customFormat="1" ht="14.4" x14ac:dyDescent="0.3"/>
    <row r="114" spans="1:6" s="12" customFormat="1" ht="14.4" x14ac:dyDescent="0.3"/>
    <row r="115" spans="1:6" s="12" customFormat="1" ht="14.4" x14ac:dyDescent="0.3"/>
    <row r="116" spans="1:6" s="12" customFormat="1" ht="14.4" x14ac:dyDescent="0.3"/>
    <row r="117" spans="1:6" s="12" customFormat="1" ht="14.4" x14ac:dyDescent="0.3"/>
    <row r="118" spans="1:6" s="15" customFormat="1" x14ac:dyDescent="0.3">
      <c r="A118" s="16"/>
      <c r="B118" s="17"/>
      <c r="C118" s="18"/>
      <c r="D118" s="18"/>
      <c r="E118" s="19"/>
      <c r="F118" s="19"/>
    </row>
    <row r="119" spans="1:6" s="15" customFormat="1" x14ac:dyDescent="0.3">
      <c r="A119" s="16"/>
      <c r="B119" s="17"/>
      <c r="C119" s="20"/>
      <c r="D119" s="20"/>
      <c r="E119" s="20"/>
      <c r="F119" s="20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Normal="100" workbookViewId="0">
      <selection activeCell="A18" sqref="A18"/>
    </sheetView>
  </sheetViews>
  <sheetFormatPr defaultRowHeight="14.4" x14ac:dyDescent="0.3"/>
  <cols>
    <col min="1" max="1" width="30.109375" bestFit="1" customWidth="1"/>
    <col min="2" max="2" width="15.5546875" bestFit="1" customWidth="1"/>
    <col min="3" max="3" width="9.6640625" bestFit="1" customWidth="1"/>
    <col min="4" max="4" width="5" bestFit="1" customWidth="1"/>
    <col min="5" max="5" width="16.5546875" bestFit="1" customWidth="1"/>
  </cols>
  <sheetData>
    <row r="1" spans="1:6" x14ac:dyDescent="0.3">
      <c r="A1" s="3" t="s">
        <v>19</v>
      </c>
      <c r="B1" s="3" t="s">
        <v>20</v>
      </c>
      <c r="C1" s="3" t="s">
        <v>21</v>
      </c>
      <c r="D1" s="3" t="s">
        <v>22</v>
      </c>
      <c r="E1" s="3" t="s">
        <v>4</v>
      </c>
    </row>
    <row r="2" spans="1:6" x14ac:dyDescent="0.3">
      <c r="A2" s="12" t="s">
        <v>23</v>
      </c>
      <c r="B2" s="12" t="s">
        <v>23</v>
      </c>
      <c r="C2" s="12" t="s">
        <v>24</v>
      </c>
      <c r="D2" s="12">
        <v>2025</v>
      </c>
      <c r="E2" s="12">
        <v>35479</v>
      </c>
      <c r="F2" s="12"/>
    </row>
    <row r="3" spans="1:6" x14ac:dyDescent="0.3">
      <c r="A3" s="12" t="s">
        <v>25</v>
      </c>
      <c r="B3" s="12" t="s">
        <v>26</v>
      </c>
      <c r="C3" s="12" t="s">
        <v>27</v>
      </c>
      <c r="D3" s="12">
        <v>2025</v>
      </c>
      <c r="E3" s="12">
        <v>1849</v>
      </c>
      <c r="F3" s="12"/>
    </row>
    <row r="4" spans="1:6" x14ac:dyDescent="0.3">
      <c r="A4" s="12" t="s">
        <v>28</v>
      </c>
      <c r="B4" s="12" t="s">
        <v>26</v>
      </c>
      <c r="C4" s="12" t="s">
        <v>27</v>
      </c>
      <c r="D4" s="12">
        <v>2025</v>
      </c>
      <c r="E4" s="12">
        <v>11389</v>
      </c>
      <c r="F4" s="12"/>
    </row>
    <row r="5" spans="1:6" x14ac:dyDescent="0.3">
      <c r="A5" s="12" t="s">
        <v>29</v>
      </c>
      <c r="B5" s="12" t="s">
        <v>26</v>
      </c>
      <c r="C5" s="12" t="s">
        <v>27</v>
      </c>
      <c r="D5" s="12">
        <v>2025</v>
      </c>
      <c r="E5" s="12">
        <v>14654</v>
      </c>
      <c r="F5" s="12"/>
    </row>
    <row r="6" spans="1:6" x14ac:dyDescent="0.3">
      <c r="A6" s="12" t="s">
        <v>30</v>
      </c>
      <c r="B6" s="12" t="s">
        <v>30</v>
      </c>
      <c r="C6" s="12" t="s">
        <v>27</v>
      </c>
      <c r="D6" s="12">
        <v>2025</v>
      </c>
      <c r="E6" s="12">
        <v>25288</v>
      </c>
      <c r="F6" s="12"/>
    </row>
    <row r="7" spans="1:6" x14ac:dyDescent="0.3">
      <c r="A7" s="136" t="s">
        <v>31</v>
      </c>
      <c r="B7" s="136"/>
      <c r="C7" s="136"/>
      <c r="D7" s="136"/>
      <c r="E7" s="32">
        <f>SUM(E2:E6)</f>
        <v>88659</v>
      </c>
    </row>
    <row r="8" spans="1:6" x14ac:dyDescent="0.3">
      <c r="A8" s="12"/>
      <c r="B8" s="12"/>
      <c r="C8" s="12"/>
      <c r="D8" s="12"/>
      <c r="E8" s="12"/>
    </row>
    <row r="9" spans="1:6" x14ac:dyDescent="0.3">
      <c r="A9" s="12" t="s">
        <v>32</v>
      </c>
      <c r="B9" s="12" t="s">
        <v>32</v>
      </c>
      <c r="C9" s="12" t="s">
        <v>27</v>
      </c>
      <c r="D9" s="12">
        <v>2035</v>
      </c>
      <c r="E9" s="12">
        <v>6391</v>
      </c>
      <c r="F9" s="12"/>
    </row>
    <row r="10" spans="1:6" x14ac:dyDescent="0.3">
      <c r="A10" s="12" t="s">
        <v>33</v>
      </c>
      <c r="B10" s="12" t="s">
        <v>33</v>
      </c>
      <c r="C10" s="12" t="s">
        <v>27</v>
      </c>
      <c r="D10" s="12">
        <v>2035</v>
      </c>
      <c r="E10" s="12">
        <v>23318</v>
      </c>
      <c r="F10" s="12"/>
    </row>
    <row r="11" spans="1:6" x14ac:dyDescent="0.3">
      <c r="A11" s="12" t="s">
        <v>34</v>
      </c>
      <c r="B11" s="12" t="s">
        <v>26</v>
      </c>
      <c r="C11" s="12" t="s">
        <v>27</v>
      </c>
      <c r="D11" s="12">
        <v>2035</v>
      </c>
      <c r="E11" s="12">
        <v>1921</v>
      </c>
      <c r="F11" s="12"/>
    </row>
    <row r="12" spans="1:6" x14ac:dyDescent="0.3">
      <c r="A12" s="12" t="s">
        <v>35</v>
      </c>
      <c r="B12" s="12" t="s">
        <v>26</v>
      </c>
      <c r="C12" s="12" t="s">
        <v>27</v>
      </c>
      <c r="D12" s="12">
        <v>2035</v>
      </c>
      <c r="E12" s="12">
        <v>5409</v>
      </c>
      <c r="F12" s="12"/>
    </row>
    <row r="13" spans="1:6" x14ac:dyDescent="0.3">
      <c r="A13" s="136" t="s">
        <v>31</v>
      </c>
      <c r="B13" s="136"/>
      <c r="C13" s="136"/>
      <c r="D13" s="136"/>
      <c r="E13" s="32">
        <f>SUM(E9:E12)</f>
        <v>37039</v>
      </c>
    </row>
    <row r="15" spans="1:6" x14ac:dyDescent="0.3">
      <c r="A15" s="12" t="s">
        <v>36</v>
      </c>
      <c r="B15" s="12"/>
      <c r="C15" s="12"/>
    </row>
    <row r="16" spans="1:6" x14ac:dyDescent="0.3">
      <c r="A16" s="12" t="s">
        <v>37</v>
      </c>
      <c r="B16" s="12"/>
      <c r="C16" s="12"/>
    </row>
    <row r="17" spans="1:3" x14ac:dyDescent="0.3">
      <c r="A17" s="12" t="s">
        <v>38</v>
      </c>
      <c r="B17" s="12"/>
      <c r="C17" s="12"/>
    </row>
  </sheetData>
  <mergeCells count="2">
    <mergeCell ref="A7:D7"/>
    <mergeCell ref="A13:D1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"/>
  <sheetViews>
    <sheetView topLeftCell="B1" zoomScaleNormal="100" workbookViewId="0">
      <selection activeCell="H2" sqref="H2"/>
    </sheetView>
  </sheetViews>
  <sheetFormatPr defaultRowHeight="14.4" x14ac:dyDescent="0.3"/>
  <cols>
    <col min="1" max="1" width="34.109375" customWidth="1"/>
    <col min="2" max="4" width="24" style="105" customWidth="1"/>
    <col min="5" max="5" width="21.44140625" style="105" customWidth="1"/>
    <col min="6" max="7" width="24" style="105" customWidth="1"/>
    <col min="8" max="8" width="80.5546875" customWidth="1"/>
  </cols>
  <sheetData>
    <row r="1" spans="1:8" s="12" customFormat="1" ht="18" x14ac:dyDescent="0.35">
      <c r="A1" s="114" t="s">
        <v>108</v>
      </c>
      <c r="B1" s="105"/>
      <c r="C1" s="105"/>
      <c r="D1" s="105"/>
      <c r="E1" s="105"/>
      <c r="F1" s="105"/>
      <c r="G1" s="105"/>
    </row>
    <row r="2" spans="1:8" ht="43.2" x14ac:dyDescent="0.3">
      <c r="A2" s="93"/>
      <c r="B2" s="94" t="s">
        <v>111</v>
      </c>
      <c r="C2" s="95" t="s">
        <v>106</v>
      </c>
      <c r="D2" s="96" t="s">
        <v>107</v>
      </c>
      <c r="E2" s="95" t="s">
        <v>98</v>
      </c>
      <c r="F2" s="95" t="s">
        <v>99</v>
      </c>
      <c r="G2" s="95" t="s">
        <v>100</v>
      </c>
      <c r="H2" s="110" t="s">
        <v>15</v>
      </c>
    </row>
    <row r="3" spans="1:8" x14ac:dyDescent="0.3">
      <c r="A3" s="97" t="s">
        <v>82</v>
      </c>
      <c r="B3" s="99">
        <v>0.10885714285714286</v>
      </c>
      <c r="C3" s="99">
        <v>0.28666666666666701</v>
      </c>
      <c r="D3" s="100">
        <v>20033.333333333299</v>
      </c>
      <c r="E3" s="101">
        <v>217271.25</v>
      </c>
      <c r="F3" s="102">
        <f>E3/D3</f>
        <v>10.845486688851931</v>
      </c>
      <c r="G3" s="102">
        <f t="shared" ref="G3" si="0">IF(C3 = "N/A", "N/A", F3/C3)</f>
        <v>37.833093100646224</v>
      </c>
      <c r="H3" t="s">
        <v>109</v>
      </c>
    </row>
    <row r="4" spans="1:8" ht="28.8" x14ac:dyDescent="0.3">
      <c r="A4" s="97" t="s">
        <v>101</v>
      </c>
      <c r="B4" s="103" t="s">
        <v>7</v>
      </c>
      <c r="C4" s="103" t="s">
        <v>7</v>
      </c>
      <c r="D4" s="103" t="s">
        <v>7</v>
      </c>
      <c r="E4" s="103" t="s">
        <v>7</v>
      </c>
      <c r="F4" s="103" t="s">
        <v>7</v>
      </c>
      <c r="G4" s="103" t="str">
        <f>IF(C4 = "N/A", "N/A", F4/C4)</f>
        <v>N/A</v>
      </c>
      <c r="H4" s="98" t="s">
        <v>103</v>
      </c>
    </row>
    <row r="5" spans="1:8" ht="28.8" x14ac:dyDescent="0.3">
      <c r="A5" s="98" t="s">
        <v>14</v>
      </c>
      <c r="B5" s="99">
        <v>0.13</v>
      </c>
      <c r="C5" s="99">
        <v>0.21987951807228914</v>
      </c>
      <c r="D5" s="100">
        <v>2324</v>
      </c>
      <c r="E5" s="101">
        <v>100000</v>
      </c>
      <c r="F5" s="102">
        <f t="shared" ref="F5:F11" si="1">E5/D5</f>
        <v>43.029259896729776</v>
      </c>
      <c r="G5" s="102">
        <f t="shared" ref="G5:G11" si="2">IF(C5 = "N/A", "N/A", F5/C5)</f>
        <v>195.69471624266146</v>
      </c>
      <c r="H5" t="s">
        <v>110</v>
      </c>
    </row>
    <row r="6" spans="1:8" ht="28.8" x14ac:dyDescent="0.3">
      <c r="A6" s="98" t="s">
        <v>13</v>
      </c>
      <c r="B6" s="103" t="s">
        <v>7</v>
      </c>
      <c r="C6" s="99">
        <v>0.10007600709399544</v>
      </c>
      <c r="D6" s="100">
        <v>3947</v>
      </c>
      <c r="E6" s="101">
        <v>130000</v>
      </c>
      <c r="F6" s="102">
        <f t="shared" si="1"/>
        <v>32.936407398023817</v>
      </c>
      <c r="G6" s="102">
        <f t="shared" si="2"/>
        <v>329.11392405063293</v>
      </c>
      <c r="H6" s="12" t="s">
        <v>110</v>
      </c>
    </row>
    <row r="7" spans="1:8" s="12" customFormat="1" ht="28.8" x14ac:dyDescent="0.3">
      <c r="A7" s="115" t="s">
        <v>12</v>
      </c>
      <c r="B7" s="116">
        <v>0.04</v>
      </c>
      <c r="C7" s="99">
        <v>0.22886133032694475</v>
      </c>
      <c r="D7" s="100">
        <v>6728</v>
      </c>
      <c r="E7" s="101">
        <v>125000</v>
      </c>
      <c r="F7" s="102">
        <f t="shared" si="1"/>
        <v>18.579072532699168</v>
      </c>
      <c r="G7" s="102">
        <f t="shared" si="2"/>
        <v>81.180479490168295</v>
      </c>
    </row>
    <row r="8" spans="1:8" s="12" customFormat="1" ht="28.8" x14ac:dyDescent="0.3">
      <c r="A8" s="98" t="s">
        <v>9</v>
      </c>
      <c r="B8" s="116">
        <v>0.08</v>
      </c>
      <c r="C8" s="99">
        <v>0.13928630159513239</v>
      </c>
      <c r="D8" s="100">
        <v>6081</v>
      </c>
      <c r="E8" s="101">
        <v>140000</v>
      </c>
      <c r="F8" s="102">
        <f t="shared" si="1"/>
        <v>23.022529189278078</v>
      </c>
      <c r="G8" s="102">
        <f t="shared" si="2"/>
        <v>165.28925619834709</v>
      </c>
    </row>
    <row r="9" spans="1:8" s="12" customFormat="1" ht="28.8" x14ac:dyDescent="0.3">
      <c r="A9" s="98" t="s">
        <v>10</v>
      </c>
      <c r="B9" s="99">
        <v>0.13</v>
      </c>
      <c r="C9" s="99">
        <v>8.1516227180527381E-2</v>
      </c>
      <c r="D9" s="100">
        <v>7888</v>
      </c>
      <c r="E9" s="101">
        <v>175000</v>
      </c>
      <c r="F9" s="102">
        <f t="shared" si="1"/>
        <v>22.185598377281949</v>
      </c>
      <c r="G9" s="102">
        <f t="shared" si="2"/>
        <v>272.16174183514778</v>
      </c>
      <c r="H9" s="12" t="s">
        <v>110</v>
      </c>
    </row>
    <row r="10" spans="1:8" x14ac:dyDescent="0.3">
      <c r="A10" s="98" t="s">
        <v>11</v>
      </c>
      <c r="B10" s="99">
        <v>0.25</v>
      </c>
      <c r="C10" s="99">
        <v>0.17340922951819476</v>
      </c>
      <c r="D10" s="100">
        <v>4919</v>
      </c>
      <c r="E10" s="101">
        <v>145000</v>
      </c>
      <c r="F10" s="102">
        <f t="shared" si="1"/>
        <v>29.477536084570033</v>
      </c>
      <c r="G10" s="102">
        <f t="shared" si="2"/>
        <v>169.98827667057444</v>
      </c>
      <c r="H10" s="12" t="s">
        <v>110</v>
      </c>
    </row>
    <row r="11" spans="1:8" x14ac:dyDescent="0.3">
      <c r="A11" s="93" t="s">
        <v>8</v>
      </c>
      <c r="B11" s="99">
        <v>0.1</v>
      </c>
      <c r="C11" s="99">
        <v>0.15846994535519127</v>
      </c>
      <c r="D11" s="100">
        <v>732</v>
      </c>
      <c r="E11" s="101">
        <v>50000</v>
      </c>
      <c r="F11" s="102">
        <f t="shared" si="1"/>
        <v>68.306010928961754</v>
      </c>
      <c r="G11" s="102">
        <f t="shared" si="2"/>
        <v>431.0344827586207</v>
      </c>
      <c r="H11" s="12" t="s">
        <v>110</v>
      </c>
    </row>
    <row r="12" spans="1:8" x14ac:dyDescent="0.3">
      <c r="A12" s="93"/>
      <c r="B12" s="99"/>
      <c r="C12" s="103"/>
      <c r="D12" s="104"/>
      <c r="E12" s="103"/>
      <c r="F12" s="103"/>
      <c r="G12" s="103"/>
    </row>
    <row r="13" spans="1:8" x14ac:dyDescent="0.3">
      <c r="A13" s="32" t="s">
        <v>105</v>
      </c>
      <c r="B13" s="113">
        <f>AVERAGE(B3:B11)</f>
        <v>0.11983673469387755</v>
      </c>
      <c r="C13" s="106">
        <f>AVERAGE(C3:C11)</f>
        <v>0.17352065322611779</v>
      </c>
      <c r="D13" s="108">
        <f>AVERAGE(D3:D11)</f>
        <v>6581.5416666666624</v>
      </c>
      <c r="E13" s="109">
        <f>AVERAGE(E3:E11)</f>
        <v>135283.90625</v>
      </c>
      <c r="F13" s="107">
        <f>SUM(E3:E11)/SUM(D3:D11)</f>
        <v>20.555048209322802</v>
      </c>
      <c r="G13" s="107">
        <f>IF(C13 = "N/A", "N/A", F13/C13)</f>
        <v>118.45879915249719</v>
      </c>
      <c r="H13" s="111"/>
    </row>
    <row r="15" spans="1:8" x14ac:dyDescent="0.3">
      <c r="B15" s="112"/>
      <c r="H15" s="78">
        <f>E3/D3*C3</f>
        <v>3.1090395174708907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sqref="A1:XFD13"/>
    </sheetView>
  </sheetViews>
  <sheetFormatPr defaultColWidth="8.6640625" defaultRowHeight="14.4" x14ac:dyDescent="0.3"/>
  <cols>
    <col min="1" max="1" width="50.6640625" customWidth="1"/>
    <col min="2" max="12" width="12.6640625" customWidth="1"/>
  </cols>
  <sheetData>
    <row r="1" spans="1:12" s="4" customFormat="1" x14ac:dyDescent="0.3">
      <c r="A1"/>
      <c r="B1"/>
      <c r="C1"/>
      <c r="D1"/>
      <c r="E1"/>
      <c r="F1"/>
      <c r="G1"/>
    </row>
    <row r="2" spans="1:12" s="2" customFormat="1" ht="18" x14ac:dyDescent="0.35">
      <c r="A2" s="42" t="s">
        <v>48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s="2" customFormat="1" x14ac:dyDescent="0.3">
      <c r="A3" s="43" t="s">
        <v>112</v>
      </c>
      <c r="B3" s="137" t="s">
        <v>87</v>
      </c>
      <c r="C3" s="138"/>
      <c r="D3" s="138"/>
      <c r="E3" s="138"/>
      <c r="F3" s="139"/>
      <c r="G3" s="43"/>
      <c r="H3" s="43"/>
      <c r="I3" s="43"/>
      <c r="J3" s="43"/>
      <c r="K3" s="43"/>
      <c r="L3" s="43"/>
    </row>
    <row r="4" spans="1:12" s="2" customFormat="1" x14ac:dyDescent="0.3">
      <c r="A4" s="43"/>
      <c r="B4" s="137">
        <f>'Main Sheet'!B6</f>
        <v>2014</v>
      </c>
      <c r="C4" s="138"/>
      <c r="D4" s="138"/>
      <c r="E4" s="138"/>
      <c r="F4" s="139"/>
      <c r="G4" s="43"/>
    </row>
    <row r="5" spans="1:12" s="3" customFormat="1" x14ac:dyDescent="0.3">
      <c r="A5" s="44" t="s">
        <v>3</v>
      </c>
      <c r="B5" s="81">
        <v>2016</v>
      </c>
      <c r="C5" s="81">
        <v>2020</v>
      </c>
      <c r="D5" s="122" t="s">
        <v>91</v>
      </c>
      <c r="E5" s="122" t="str">
        <f>'Main Sheet'!B7</f>
        <v>2035_E_minus</v>
      </c>
      <c r="F5" s="81">
        <v>2050</v>
      </c>
      <c r="G5" s="43"/>
    </row>
    <row r="6" spans="1:12" s="3" customFormat="1" x14ac:dyDescent="0.3">
      <c r="A6" s="45" t="s">
        <v>49</v>
      </c>
      <c r="B6" s="82">
        <f>HLOOKUP(B$5,$C$17:$J$18,2, FALSE)</f>
        <v>89</v>
      </c>
      <c r="C6" s="82">
        <f>HLOOKUP(C$5,$C$17:$J$18,2, FALSE)</f>
        <v>101</v>
      </c>
      <c r="D6" s="82">
        <f>HLOOKUP(D$5,$C$17:$J$18,2, FALSE)</f>
        <v>102</v>
      </c>
      <c r="E6" s="82">
        <f>HLOOKUP(E$5,$C$17:$J$18,2, FALSE)</f>
        <v>108</v>
      </c>
      <c r="F6" s="82">
        <f>HLOOKUP(F$5,$C$17:$J$18,2, FALSE)</f>
        <v>0</v>
      </c>
      <c r="G6" s="43"/>
    </row>
    <row r="7" spans="1:12" s="3" customFormat="1" x14ac:dyDescent="0.3">
      <c r="A7" s="44" t="s">
        <v>50</v>
      </c>
      <c r="B7" s="91">
        <f>IF($B$4=2014,HLOOKUP(B$5,$C$17:$J$24,3,FALSE),HLOOKUP(B$5,$C$17:$J$30,9,FALSE))</f>
        <v>36182.995559782001</v>
      </c>
      <c r="C7" s="91">
        <f>IF($B$4=2014,HLOOKUP(C$5,$C$17:$J$24,3,FALSE),HLOOKUP(C$5,$C$17:$J$30,9,FALSE))</f>
        <v>36272.901770769102</v>
      </c>
      <c r="D7" s="91">
        <f>IF($B$4=2014,HLOOKUP(D$5,$C$17:$J$24,3,FALSE),HLOOKUP(D$5,$C$17:$J$30,9,FALSE))</f>
        <v>37203.5531373255</v>
      </c>
      <c r="E7" s="91">
        <f>IF($B$4=2014,HLOOKUP(E$5,$C$17:$J$24,3,FALSE),HLOOKUP(E$5,$C$17:$J$30,9,FALSE))</f>
        <v>37323.261307387802</v>
      </c>
      <c r="F7" s="91">
        <f>IF($B$4=2014,HLOOKUP(F$5,$C$17:$J$24,3,FALSE),HLOOKUP(F$5,$C$17:$J$30,9,FALSE))</f>
        <v>0</v>
      </c>
      <c r="G7" s="43"/>
    </row>
    <row r="8" spans="1:12" s="3" customFormat="1" x14ac:dyDescent="0.3">
      <c r="A8" s="44" t="s">
        <v>51</v>
      </c>
      <c r="B8" s="91">
        <f>IF($B$4=2014,HLOOKUP(B$5,$C$17:$J$24,4,FALSE),HLOOKUP(B$5,$C$17:$J$30,10,FALSE))</f>
        <v>76918574.477191597</v>
      </c>
      <c r="C8" s="91">
        <f>IF($B$4=2014,HLOOKUP(C$5,$C$17:$J$24,4,FALSE),HLOOKUP(C$5,$C$17:$J$30,10,FALSE))</f>
        <v>77604533.0420921</v>
      </c>
      <c r="D8" s="91">
        <f>IF($B$4=2014,HLOOKUP(D$5,$C$17:$J$24,4,FALSE),HLOOKUP(D$5,$C$17:$J$30,10,FALSE))</f>
        <v>80204220.608563095</v>
      </c>
      <c r="E8" s="91">
        <f>IF($B$4=2014,HLOOKUP(E$5,$C$17:$J$24,4,FALSE),HLOOKUP(E$5,$C$17:$J$30,10,FALSE))</f>
        <v>81717205.573383406</v>
      </c>
      <c r="F8" s="91">
        <f>IF($B$4=2014,HLOOKUP(F$5,$C$17:$J$24,4,FALSE),HLOOKUP(F$5,$C$17:$J$30,10,FALSE))</f>
        <v>0</v>
      </c>
      <c r="G8" s="43"/>
    </row>
    <row r="9" spans="1:12" s="3" customFormat="1" x14ac:dyDescent="0.3">
      <c r="A9" s="46" t="s">
        <v>52</v>
      </c>
      <c r="B9" s="92">
        <f>IF($B$4=2014,HLOOKUP(B$5,$C$17:$J$24,5,FALSE),HLOOKUP(B$5,$C$17:$J$30,11,FALSE))</f>
        <v>4.7040647601329663E-4</v>
      </c>
      <c r="C9" s="92">
        <f>IF($B$4=2014,HLOOKUP(C$5,$C$17:$J$24,5,FALSE),HLOOKUP(C$5,$C$17:$J$30,11,FALSE))</f>
        <v>4.6740699736051451E-4</v>
      </c>
      <c r="D9" s="92">
        <f>IF($B$4=2014,HLOOKUP(D$5,$C$17:$J$24,5,FALSE),HLOOKUP(D$5,$C$17:$J$30,11,FALSE))</f>
        <v>4.6386029132927474E-4</v>
      </c>
      <c r="E9" s="92">
        <f>IF($B$4=2014,HLOOKUP(E$5,$C$17:$J$24,5,FALSE),HLOOKUP(E$5,$C$17:$J$30,11,FALSE))</f>
        <v>4.5673687744829811E-4</v>
      </c>
      <c r="F9" s="92">
        <f>IF($B$4=2014,HLOOKUP(F$5,$C$17:$J$24,5,FALSE),HLOOKUP(F$5,$C$17:$J$30,11,FALSE))</f>
        <v>0</v>
      </c>
      <c r="G9" s="43"/>
    </row>
    <row r="10" spans="1:12" s="2" customFormat="1" x14ac:dyDescent="0.3">
      <c r="A10" s="44" t="s">
        <v>53</v>
      </c>
      <c r="B10" s="91">
        <f>IF($B$4=2014,HLOOKUP(B$5,$C$17:$J$24,6,FALSE),HLOOKUP(B$5,$C$17:$J$30,12,FALSE))</f>
        <v>1305.9315413966699</v>
      </c>
      <c r="C10" s="91">
        <f>IF($B$4=2014,HLOOKUP(C$5,$C$17:$J$24,6,FALSE),HLOOKUP(C$5,$C$17:$J$30,12,FALSE))</f>
        <v>1317.53080188225</v>
      </c>
      <c r="D10" s="91">
        <f>IF($B$4=2014,HLOOKUP(D$5,$C$17:$J$24,6,FALSE),HLOOKUP(D$5,$C$17:$J$30,12,FALSE))</f>
        <v>1421.9344986287099</v>
      </c>
      <c r="E10" s="91">
        <f>IF($B$4=2014,HLOOKUP(E$5,$C$17:$J$24,6,FALSE),HLOOKUP(E$5,$C$17:$J$30,12,FALSE))</f>
        <v>1574.35897607471</v>
      </c>
      <c r="F10" s="91">
        <f>IF($B$4=2014,HLOOKUP(F$5,$C$17:$J$24,6,FALSE),HLOOKUP(F$5,$C$17:$J$30,12,FALSE))</f>
        <v>0</v>
      </c>
      <c r="G10" s="43"/>
    </row>
    <row r="11" spans="1:12" x14ac:dyDescent="0.3">
      <c r="A11" s="44" t="s">
        <v>54</v>
      </c>
      <c r="B11" s="91">
        <f>IF($B$4=2014,HLOOKUP(B$5,$C$17:$J$24,7,FALSE),HLOOKUP(B$5,$C$17:$J$30,13,FALSE))</f>
        <v>13712199.844203601</v>
      </c>
      <c r="C11" s="91">
        <f>IF($B$4=2014,HLOOKUP(C$5,$C$17:$J$24,7,FALSE),HLOOKUP(C$5,$C$17:$J$30,13,FALSE))</f>
        <v>13966884.2808196</v>
      </c>
      <c r="D11" s="91">
        <f>IF($B$4=2014,HLOOKUP(D$5,$C$17:$J$24,7,FALSE),HLOOKUP(D$5,$C$17:$J$30,13,FALSE))</f>
        <v>15213039.442115201</v>
      </c>
      <c r="E11" s="91">
        <f>IF($B$4=2014,HLOOKUP(E$5,$C$17:$J$24,7,FALSE),HLOOKUP(E$5,$C$17:$J$30,13,FALSE))</f>
        <v>16934444.4132552</v>
      </c>
      <c r="F11" s="91">
        <f>IF($B$4=2014,HLOOKUP(F$5,$C$17:$J$24,7,FALSE),HLOOKUP(F$5,$C$17:$J$30,13,FALSE))</f>
        <v>0</v>
      </c>
      <c r="G11" s="43"/>
    </row>
    <row r="12" spans="1:12" x14ac:dyDescent="0.3">
      <c r="A12" s="46" t="s">
        <v>55</v>
      </c>
      <c r="B12" s="92">
        <f>IF($B$4=2014,HLOOKUP(B$5,$C$17:$J$24,8,FALSE),HLOOKUP(B$5,$C$17:$J$30,14,FALSE))</f>
        <v>9.5238660188336682E-5</v>
      </c>
      <c r="C12" s="92">
        <f>IF($B$4=2014,HLOOKUP(C$5,$C$17:$J$24,8,FALSE),HLOOKUP(C$5,$C$17:$J$30,14,FALSE))</f>
        <v>9.4332477837708194E-5</v>
      </c>
      <c r="D12" s="92">
        <f>IF($B$4=2014,HLOOKUP(D$5,$C$17:$J$24,8,FALSE),HLOOKUP(D$5,$C$17:$J$30,14,FALSE))</f>
        <v>9.3468139883492343E-5</v>
      </c>
      <c r="E12" s="92">
        <f>IF($B$4=2014,HLOOKUP(E$5,$C$17:$J$24,8,FALSE),HLOOKUP(E$5,$C$17:$J$30,14,FALSE))</f>
        <v>9.296785519827284E-5</v>
      </c>
      <c r="F12" s="92">
        <f>IF($B$4=2014,HLOOKUP(F$5,$C$17:$J$24,8,FALSE),HLOOKUP(F$5,$C$17:$J$30,14,FALSE))</f>
        <v>0</v>
      </c>
      <c r="G12" s="43"/>
    </row>
    <row r="13" spans="1:12" x14ac:dyDescent="0.3">
      <c r="A13" s="43"/>
      <c r="B13" s="12"/>
      <c r="C13" s="12"/>
      <c r="D13" s="12"/>
      <c r="E13" s="12"/>
      <c r="F13" s="12"/>
      <c r="G13" s="43"/>
      <c r="H13" s="43"/>
      <c r="I13" s="43"/>
      <c r="J13" s="43"/>
      <c r="K13" s="43"/>
      <c r="L13" s="43"/>
    </row>
    <row r="14" spans="1:12" x14ac:dyDescent="0.3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</row>
    <row r="16" spans="1:12" x14ac:dyDescent="0.3">
      <c r="A16" s="3" t="s">
        <v>113</v>
      </c>
      <c r="B16" s="24"/>
      <c r="C16" s="3"/>
      <c r="D16" s="3"/>
      <c r="E16" s="12"/>
      <c r="F16" s="12"/>
      <c r="G16" s="12"/>
      <c r="H16" s="12"/>
      <c r="I16" s="12"/>
      <c r="J16" s="12"/>
    </row>
    <row r="17" spans="1:10" x14ac:dyDescent="0.3">
      <c r="A17" s="80" t="s">
        <v>3</v>
      </c>
      <c r="B17" s="81" t="s">
        <v>88</v>
      </c>
      <c r="C17" s="81">
        <v>2016</v>
      </c>
      <c r="D17" s="81">
        <v>2020</v>
      </c>
      <c r="E17" s="81" t="s">
        <v>91</v>
      </c>
      <c r="F17" s="81" t="s">
        <v>90</v>
      </c>
      <c r="G17" s="81" t="s">
        <v>118</v>
      </c>
      <c r="H17" s="81" t="s">
        <v>119</v>
      </c>
      <c r="I17" s="81" t="s">
        <v>120</v>
      </c>
      <c r="J17" s="81">
        <v>2050</v>
      </c>
    </row>
    <row r="18" spans="1:10" x14ac:dyDescent="0.3">
      <c r="A18" s="82" t="s">
        <v>49</v>
      </c>
      <c r="B18" s="83"/>
      <c r="C18" s="82">
        <v>89</v>
      </c>
      <c r="D18" s="82">
        <v>101</v>
      </c>
      <c r="E18" s="82">
        <v>102</v>
      </c>
      <c r="F18" s="82">
        <v>109</v>
      </c>
      <c r="G18" s="82">
        <v>104</v>
      </c>
      <c r="H18" s="82">
        <v>108</v>
      </c>
      <c r="I18" s="82">
        <v>103</v>
      </c>
      <c r="J18" s="82"/>
    </row>
    <row r="19" spans="1:10" x14ac:dyDescent="0.3">
      <c r="A19" s="80" t="s">
        <v>92</v>
      </c>
      <c r="B19" s="84">
        <v>2014</v>
      </c>
      <c r="C19" s="85">
        <v>36182.995559782001</v>
      </c>
      <c r="D19" s="85">
        <v>36272.901770769102</v>
      </c>
      <c r="E19" s="85">
        <v>37203.5531373255</v>
      </c>
      <c r="F19" s="85">
        <v>39978.766415218801</v>
      </c>
      <c r="G19" s="85">
        <v>40194.597889476201</v>
      </c>
      <c r="H19" s="85">
        <v>37323.261307387802</v>
      </c>
      <c r="I19" s="85">
        <v>39938.4555809882</v>
      </c>
      <c r="J19" s="85"/>
    </row>
    <row r="20" spans="1:10" x14ac:dyDescent="0.3">
      <c r="A20" s="80" t="s">
        <v>93</v>
      </c>
      <c r="B20" s="84">
        <v>2014</v>
      </c>
      <c r="C20" s="85">
        <v>76918574.477191597</v>
      </c>
      <c r="D20" s="85">
        <v>77604533.0420921</v>
      </c>
      <c r="E20" s="85">
        <v>80204220.608563095</v>
      </c>
      <c r="F20" s="85">
        <v>86675927.170268297</v>
      </c>
      <c r="G20" s="85">
        <v>86912523.131122604</v>
      </c>
      <c r="H20" s="85">
        <v>81717205.573383406</v>
      </c>
      <c r="I20" s="85">
        <v>86375999.198431298</v>
      </c>
      <c r="J20" s="85"/>
    </row>
    <row r="21" spans="1:10" ht="28.8" x14ac:dyDescent="0.3">
      <c r="A21" s="86" t="s">
        <v>94</v>
      </c>
      <c r="B21" s="87">
        <v>2014</v>
      </c>
      <c r="C21" s="88">
        <v>4.7040647601329663E-4</v>
      </c>
      <c r="D21" s="88">
        <v>4.6740699736051451E-4</v>
      </c>
      <c r="E21" s="88">
        <v>4.6386029132927474E-4</v>
      </c>
      <c r="F21" s="88">
        <v>4.6124417379099438E-4</v>
      </c>
      <c r="G21" s="88">
        <v>4.6247187909659098E-4</v>
      </c>
      <c r="H21" s="88">
        <v>4.5673687744829811E-4</v>
      </c>
      <c r="I21" s="88">
        <v>4.6237908622321944E-4</v>
      </c>
      <c r="J21" s="88"/>
    </row>
    <row r="22" spans="1:10" x14ac:dyDescent="0.3">
      <c r="A22" s="80" t="s">
        <v>95</v>
      </c>
      <c r="B22" s="84">
        <v>2014</v>
      </c>
      <c r="C22" s="85">
        <v>1305.9315413966699</v>
      </c>
      <c r="D22" s="85">
        <v>1317.53080188225</v>
      </c>
      <c r="E22" s="85">
        <v>1421.9344986287099</v>
      </c>
      <c r="F22" s="85">
        <v>1669.89342076304</v>
      </c>
      <c r="G22" s="85">
        <v>1674.45166491793</v>
      </c>
      <c r="H22" s="85">
        <v>1574.35897607471</v>
      </c>
      <c r="I22" s="85">
        <v>1664.11502573183</v>
      </c>
      <c r="J22" s="85"/>
    </row>
    <row r="23" spans="1:10" x14ac:dyDescent="0.3">
      <c r="A23" s="80" t="s">
        <v>96</v>
      </c>
      <c r="B23" s="84">
        <v>2014</v>
      </c>
      <c r="C23" s="85">
        <v>13712199.844203601</v>
      </c>
      <c r="D23" s="85">
        <v>13966884.2808196</v>
      </c>
      <c r="E23" s="85">
        <v>15213039.442115201</v>
      </c>
      <c r="F23" s="85">
        <v>17962051.691967402</v>
      </c>
      <c r="G23" s="85">
        <v>18011082.016969301</v>
      </c>
      <c r="H23" s="12">
        <v>16934444.4132552</v>
      </c>
      <c r="I23" s="85">
        <v>17899896.928702999</v>
      </c>
      <c r="J23" s="85"/>
    </row>
    <row r="24" spans="1:10" ht="28.8" x14ac:dyDescent="0.3">
      <c r="A24" s="86" t="s">
        <v>97</v>
      </c>
      <c r="B24" s="89">
        <v>2014</v>
      </c>
      <c r="C24" s="90">
        <v>9.5238660188336682E-5</v>
      </c>
      <c r="D24" s="90">
        <v>9.4332477837708194E-5</v>
      </c>
      <c r="E24" s="90">
        <v>9.3468139883492343E-5</v>
      </c>
      <c r="F24" s="90">
        <v>9.2967855198290825E-5</v>
      </c>
      <c r="G24" s="90">
        <v>9.2967855198279061E-5</v>
      </c>
      <c r="H24" s="90">
        <v>9.296785519827284E-5</v>
      </c>
      <c r="I24" s="90">
        <v>9.2967855198281826E-5</v>
      </c>
      <c r="J24" s="90"/>
    </row>
    <row r="25" spans="1:10" x14ac:dyDescent="0.3">
      <c r="A25" s="80" t="s">
        <v>92</v>
      </c>
      <c r="B25" s="84">
        <v>2017</v>
      </c>
      <c r="C25" s="85"/>
      <c r="D25" s="85"/>
      <c r="E25" s="85"/>
      <c r="F25" s="85"/>
      <c r="G25" s="85"/>
      <c r="H25" s="85"/>
      <c r="I25" s="85"/>
      <c r="J25" s="85"/>
    </row>
    <row r="26" spans="1:10" x14ac:dyDescent="0.3">
      <c r="A26" s="80" t="s">
        <v>93</v>
      </c>
      <c r="B26" s="84">
        <v>2017</v>
      </c>
      <c r="C26" s="85"/>
      <c r="D26" s="85"/>
      <c r="E26" s="85"/>
      <c r="F26" s="85"/>
      <c r="G26" s="85"/>
      <c r="H26" s="85"/>
      <c r="I26" s="85"/>
      <c r="J26" s="85"/>
    </row>
    <row r="27" spans="1:10" ht="28.8" x14ac:dyDescent="0.3">
      <c r="A27" s="86" t="s">
        <v>94</v>
      </c>
      <c r="B27" s="87">
        <v>2017</v>
      </c>
      <c r="C27" s="88"/>
      <c r="D27" s="88"/>
      <c r="E27" s="88"/>
      <c r="F27" s="88"/>
      <c r="G27" s="88"/>
      <c r="H27" s="88"/>
      <c r="I27" s="88"/>
      <c r="J27" s="88"/>
    </row>
    <row r="28" spans="1:10" x14ac:dyDescent="0.3">
      <c r="A28" s="80" t="s">
        <v>95</v>
      </c>
      <c r="B28" s="84">
        <v>2017</v>
      </c>
      <c r="C28" s="85"/>
      <c r="D28" s="85"/>
      <c r="E28" s="85"/>
      <c r="F28" s="85"/>
      <c r="G28" s="85"/>
      <c r="H28" s="85"/>
      <c r="I28" s="85"/>
      <c r="J28" s="85"/>
    </row>
    <row r="29" spans="1:10" x14ac:dyDescent="0.3">
      <c r="A29" s="80" t="s">
        <v>96</v>
      </c>
      <c r="B29" s="84">
        <v>2017</v>
      </c>
      <c r="C29" s="85"/>
      <c r="D29" s="85"/>
      <c r="E29" s="85"/>
      <c r="F29" s="85"/>
      <c r="G29" s="85"/>
      <c r="H29" s="85"/>
      <c r="I29" s="85"/>
      <c r="J29" s="85"/>
    </row>
    <row r="30" spans="1:10" ht="28.8" x14ac:dyDescent="0.3">
      <c r="A30" s="86" t="s">
        <v>97</v>
      </c>
      <c r="B30" s="89">
        <v>2017</v>
      </c>
      <c r="C30" s="90"/>
      <c r="D30" s="90"/>
      <c r="E30" s="90"/>
      <c r="F30" s="90"/>
      <c r="G30" s="90"/>
      <c r="H30" s="90"/>
      <c r="I30" s="90"/>
      <c r="J30" s="90"/>
    </row>
  </sheetData>
  <mergeCells count="2">
    <mergeCell ref="B4:F4"/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 Notes</vt:lpstr>
      <vt:lpstr>Main Sheet</vt:lpstr>
      <vt:lpstr>Community-Based Coverage Areas</vt:lpstr>
      <vt:lpstr>CBTP Case Studies</vt:lpstr>
      <vt:lpstr>Emission Factors</vt:lpstr>
    </vt:vector>
  </TitlesOfParts>
  <Company>ICF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Eliot Rose</dc:creator>
  <cp:lastModifiedBy>John Helsel</cp:lastModifiedBy>
  <dcterms:created xsi:type="dcterms:W3CDTF">2015-07-01T17:27:15Z</dcterms:created>
  <dcterms:modified xsi:type="dcterms:W3CDTF">2018-09-25T16:45:15Z</dcterms:modified>
</cp:coreProperties>
</file>