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https://wsponline-my.sharepoint.com/personal/john_helsel_wsp_com/Documents/SANDAG/RTP 2019/off_model_calculators/qaqc_scenarios/"/>
    </mc:Choice>
  </mc:AlternateContent>
  <bookViews>
    <workbookView xWindow="0" yWindow="0" windowWidth="23040" windowHeight="8952" tabRatio="812" activeTab="6"/>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John Helsel</author>
    <author>Ayala, Krystal</author>
  </authors>
  <commentList>
    <comment ref="G7" authorId="0" shapeId="0">
      <text>
        <r>
          <rPr>
            <b/>
            <sz val="9"/>
            <color indexed="81"/>
            <rFont val="Tahoma"/>
            <family val="2"/>
          </rPr>
          <t>John Helsel:</t>
        </r>
        <r>
          <rPr>
            <sz val="9"/>
            <color indexed="81"/>
            <rFont val="Tahoma"/>
            <family val="2"/>
          </rPr>
          <t xml:space="preserve">
For now, changing scenarios also requires manually changing the inputs in Vanpool - Demand ML (Non-Mil) and Vanpool - Demand ML (Mil)</t>
        </r>
      </text>
    </comment>
    <comment ref="A10" authorId="1"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1"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0"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<sst xmlns="http://schemas.openxmlformats.org/spreadsheetml/2006/main" count="7578" uniqueCount="674">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</sst>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2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0" fillId="0" borderId="0" xfId="0" applyAlignment="1"/>
    <xf numFmtId="0" fontId="0" fillId="0" borderId="0" xfId="0" applyAlignment="1">
      <alignmen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Border="1" applyAlignment="1">
      <alignment horizontal="left" wrapText="1"/>
    </xf>
    <xf numFmtId="0" fontId="0" fillId="0" borderId="11" xfId="0" applyBorder="1" applyAlignment="1">
      <alignment horizontal="left" wrapText="1"/>
    </xf>
    <xf numFmtId="1" fontId="0" fillId="3" borderId="0" xfId="0" quotePrefix="1" applyNumberFormat="1" applyFill="1" applyAlignment="1">
      <alignment horizontal="center" vertical="center"/>
    </xf>
    <xf numFmtId="166" fontId="0" fillId="3" borderId="0" xfId="3" applyNumberFormat="1" applyFont="1" applyFill="1" applyBorder="1" applyAlignment="1">
      <alignment horizontal="center" vertical="center"/>
    </xf>
    <xf numFmtId="166" fontId="0" fillId="3" borderId="14" xfId="3" applyNumberFormat="1" applyFont="1" applyFill="1" applyBorder="1" applyAlignment="1">
      <alignment horizontal="center" vertical="center"/>
    </xf>
    <xf numFmtId="166" fontId="0" fillId="3" borderId="13" xfId="3" applyNumberFormat="1" applyFont="1" applyFill="1" applyBorder="1" applyAlignment="1">
      <alignment horizontal="center" vertical="center"/>
    </xf>
    <xf numFmtId="166" fontId="0" fillId="3" borderId="15" xfId="3" applyNumberFormat="1" applyFont="1" applyFill="1" applyBorder="1" applyAlignment="1">
      <alignment horizontal="center" vertical="center"/>
    </xf>
    <xf numFmtId="166" fontId="0" fillId="3" borderId="17" xfId="3" applyNumberFormat="1" applyFont="1" applyFill="1" applyBorder="1" applyAlignment="1">
      <alignment horizontal="center" vertic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zoomScale="85" zoomScaleNormal="85" workbookViewId="0">
      <selection activeCell="C24" sqref="C24"/>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405" t="s">
        <v>669</v>
      </c>
      <c r="D7" s="99" t="s">
        <v>100</v>
      </c>
      <c r="E7" s="100" t="s">
        <v>92</v>
      </c>
    </row>
    <row r="8" spans="2:22" x14ac:dyDescent="0.3">
      <c r="B8" s="101"/>
      <c r="C8" s="406"/>
      <c r="D8" s="68"/>
      <c r="E8" s="102" t="s">
        <v>93</v>
      </c>
    </row>
    <row r="9" spans="2:22" x14ac:dyDescent="0.3">
      <c r="B9" s="101"/>
      <c r="C9" s="412" t="s">
        <v>388</v>
      </c>
      <c r="D9" s="103" t="s">
        <v>101</v>
      </c>
      <c r="E9" s="104" t="s">
        <v>102</v>
      </c>
      <c r="J9" s="363"/>
      <c r="K9" s="363"/>
      <c r="L9" s="363"/>
      <c r="M9" s="363"/>
      <c r="N9" s="363"/>
      <c r="O9" s="363"/>
      <c r="P9" s="363"/>
      <c r="Q9" s="363"/>
      <c r="R9" s="363"/>
      <c r="S9" s="363"/>
      <c r="T9" s="363"/>
      <c r="U9" s="363"/>
      <c r="V9" s="363"/>
    </row>
    <row r="10" spans="2:22" x14ac:dyDescent="0.3">
      <c r="B10" s="105"/>
      <c r="C10" s="413"/>
      <c r="D10" s="106"/>
      <c r="E10" s="107" t="s">
        <v>103</v>
      </c>
      <c r="J10" s="364"/>
      <c r="K10" s="364"/>
      <c r="L10" s="364"/>
      <c r="M10" s="364"/>
      <c r="N10" s="364"/>
      <c r="O10" s="364"/>
      <c r="P10" s="364"/>
      <c r="Q10" s="364"/>
      <c r="R10" s="364"/>
      <c r="S10" s="364"/>
      <c r="T10" s="364"/>
      <c r="U10" s="364"/>
      <c r="V10" s="364"/>
    </row>
    <row r="11" spans="2:22" ht="28.8" x14ac:dyDescent="0.3">
      <c r="B11" s="404" t="s">
        <v>668</v>
      </c>
      <c r="C11" s="405" t="s">
        <v>669</v>
      </c>
      <c r="D11" s="103" t="s">
        <v>126</v>
      </c>
      <c r="E11" s="102"/>
      <c r="J11" s="363"/>
      <c r="K11" s="363"/>
      <c r="L11" s="363"/>
      <c r="M11" s="363"/>
      <c r="N11" s="363"/>
      <c r="O11" s="363"/>
      <c r="P11" s="363"/>
      <c r="Q11" s="363"/>
      <c r="R11" s="363"/>
      <c r="S11" s="363"/>
      <c r="T11" s="363"/>
      <c r="U11" s="363"/>
      <c r="V11" s="363"/>
    </row>
    <row r="12" spans="2:22" ht="43.2" x14ac:dyDescent="0.3">
      <c r="B12" s="109" t="s">
        <v>138</v>
      </c>
      <c r="C12" s="333" t="s">
        <v>670</v>
      </c>
      <c r="D12" s="99" t="s">
        <v>106</v>
      </c>
      <c r="E12" s="100" t="s">
        <v>104</v>
      </c>
    </row>
    <row r="13" spans="2:22" x14ac:dyDescent="0.3">
      <c r="B13" s="101"/>
      <c r="C13" s="406"/>
      <c r="D13" s="68"/>
      <c r="E13" s="102" t="s">
        <v>110</v>
      </c>
    </row>
    <row r="14" spans="2:22" x14ac:dyDescent="0.3">
      <c r="B14" s="101"/>
      <c r="C14" s="406"/>
      <c r="D14" s="68"/>
      <c r="E14" s="102" t="s">
        <v>111</v>
      </c>
    </row>
    <row r="15" spans="2:22" ht="28.8" x14ac:dyDescent="0.3">
      <c r="B15" s="105"/>
      <c r="C15" s="407"/>
      <c r="D15" s="106"/>
      <c r="E15" s="108" t="s">
        <v>108</v>
      </c>
    </row>
    <row r="16" spans="2:22" ht="28.8" x14ac:dyDescent="0.3">
      <c r="B16" s="109" t="s">
        <v>139</v>
      </c>
      <c r="C16" s="333" t="s">
        <v>670</v>
      </c>
      <c r="D16" s="99" t="s">
        <v>105</v>
      </c>
      <c r="E16" s="100" t="s">
        <v>104</v>
      </c>
    </row>
    <row r="17" spans="2:5" x14ac:dyDescent="0.3">
      <c r="B17" s="101"/>
      <c r="C17" s="406"/>
      <c r="D17" s="68"/>
      <c r="E17" s="102" t="s">
        <v>110</v>
      </c>
    </row>
    <row r="18" spans="2:5" x14ac:dyDescent="0.3">
      <c r="B18" s="101"/>
      <c r="C18" s="406"/>
      <c r="D18" s="68"/>
      <c r="E18" s="102" t="s">
        <v>111</v>
      </c>
    </row>
    <row r="19" spans="2:5" ht="28.8" x14ac:dyDescent="0.3">
      <c r="B19" s="105"/>
      <c r="C19" s="407"/>
      <c r="D19" s="106"/>
      <c r="E19" s="108" t="s">
        <v>109</v>
      </c>
    </row>
    <row r="20" spans="2:5" x14ac:dyDescent="0.3">
      <c r="B20" s="97" t="s">
        <v>122</v>
      </c>
      <c r="C20" s="405" t="s">
        <v>387</v>
      </c>
      <c r="D20" s="99" t="s">
        <v>126</v>
      </c>
      <c r="E20" s="100" t="s">
        <v>125</v>
      </c>
    </row>
    <row r="21" spans="2:5" x14ac:dyDescent="0.3">
      <c r="B21" s="101"/>
      <c r="C21" s="406"/>
      <c r="D21" s="68"/>
      <c r="E21" s="102" t="s">
        <v>123</v>
      </c>
    </row>
    <row r="22" spans="2:5" x14ac:dyDescent="0.3">
      <c r="B22" s="105"/>
      <c r="C22" s="407"/>
      <c r="D22" s="106"/>
      <c r="E22" s="107" t="s">
        <v>124</v>
      </c>
    </row>
    <row r="23" spans="2:5" x14ac:dyDescent="0.3">
      <c r="B23" s="90" t="s">
        <v>134</v>
      </c>
      <c r="C23" s="408" t="s">
        <v>670</v>
      </c>
      <c r="D23" s="91" t="s">
        <v>137</v>
      </c>
      <c r="E23" s="92" t="s">
        <v>104</v>
      </c>
    </row>
    <row r="24" spans="2:5" x14ac:dyDescent="0.3">
      <c r="B24" s="93"/>
      <c r="C24" s="409"/>
      <c r="D24" s="282"/>
      <c r="E24" s="283" t="s">
        <v>377</v>
      </c>
    </row>
    <row r="25" spans="2:5" x14ac:dyDescent="0.3">
      <c r="B25" s="93"/>
      <c r="C25" s="409"/>
      <c r="D25" s="94"/>
      <c r="E25" s="283" t="s">
        <v>378</v>
      </c>
    </row>
    <row r="26" spans="2:5" x14ac:dyDescent="0.3">
      <c r="B26" s="93"/>
      <c r="C26" s="409"/>
      <c r="D26" s="94"/>
      <c r="E26" s="283" t="s">
        <v>379</v>
      </c>
    </row>
    <row r="27" spans="2:5" x14ac:dyDescent="0.3">
      <c r="B27" s="95"/>
      <c r="C27" s="410"/>
      <c r="D27" s="96"/>
      <c r="E27" s="284" t="s">
        <v>380</v>
      </c>
    </row>
    <row r="28" spans="2:5" x14ac:dyDescent="0.3">
      <c r="C28" s="362"/>
    </row>
    <row r="29" spans="2:5" x14ac:dyDescent="0.3">
      <c r="B29" s="1" t="s">
        <v>88</v>
      </c>
      <c r="C29" s="362"/>
    </row>
    <row r="30" spans="2:5" x14ac:dyDescent="0.3">
      <c r="C30" s="362"/>
    </row>
    <row r="31" spans="2:5" x14ac:dyDescent="0.3">
      <c r="B31" s="65" t="s">
        <v>89</v>
      </c>
      <c r="C31" s="411" t="s">
        <v>85</v>
      </c>
      <c r="D31" s="66" t="s">
        <v>86</v>
      </c>
      <c r="E31" s="67" t="s">
        <v>90</v>
      </c>
    </row>
    <row r="32" spans="2:5" ht="86.4" x14ac:dyDescent="0.3">
      <c r="B32" s="110" t="s">
        <v>381</v>
      </c>
      <c r="C32" s="333" t="s">
        <v>587</v>
      </c>
      <c r="D32" s="112" t="s">
        <v>382</v>
      </c>
      <c r="E32" s="113" t="s">
        <v>383</v>
      </c>
    </row>
    <row r="33" spans="2:5" ht="43.2" x14ac:dyDescent="0.3">
      <c r="B33" s="110" t="s">
        <v>113</v>
      </c>
      <c r="C33" s="111" t="s">
        <v>671</v>
      </c>
      <c r="D33" s="111" t="s">
        <v>127</v>
      </c>
      <c r="E33" s="113" t="s">
        <v>546</v>
      </c>
    </row>
    <row r="34" spans="2:5" ht="45" customHeight="1" x14ac:dyDescent="0.3">
      <c r="B34" s="110" t="s">
        <v>128</v>
      </c>
      <c r="C34" s="111" t="s">
        <v>649</v>
      </c>
      <c r="D34" s="114" t="s">
        <v>118</v>
      </c>
      <c r="E34" s="113" t="s">
        <v>651</v>
      </c>
    </row>
    <row r="35" spans="2:5" ht="43.2" x14ac:dyDescent="0.3">
      <c r="B35" s="110" t="s">
        <v>544</v>
      </c>
      <c r="C35" s="111" t="s">
        <v>545</v>
      </c>
      <c r="D35" s="111" t="s">
        <v>127</v>
      </c>
      <c r="E35" s="113" t="s">
        <v>548</v>
      </c>
    </row>
    <row r="36" spans="2:5" ht="45" customHeight="1" x14ac:dyDescent="0.3">
      <c r="B36" s="110" t="s">
        <v>114</v>
      </c>
      <c r="C36" s="111" t="s">
        <v>547</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549</v>
      </c>
      <c r="D41" s="114" t="s">
        <v>126</v>
      </c>
      <c r="E41" s="113" t="s">
        <v>131</v>
      </c>
    </row>
    <row r="42" spans="2:5" ht="43.2" x14ac:dyDescent="0.3">
      <c r="B42" s="110" t="s">
        <v>550</v>
      </c>
      <c r="C42" s="114" t="s">
        <v>556</v>
      </c>
      <c r="D42" s="112" t="s">
        <v>551</v>
      </c>
      <c r="E42" s="113" t="s">
        <v>552</v>
      </c>
    </row>
    <row r="43" spans="2:5" ht="86.4" x14ac:dyDescent="0.3">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zoomScale="85" zoomScaleNormal="85" workbookViewId="0">
      <selection activeCell="E30" sqref="E30:AJ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B30" s="24">
        <v>708</v>
      </c>
      <c r="C30" s="24">
        <v>0</v>
      </c>
      <c r="D30" s="24" t="s">
        <v>42</v>
      </c>
    </row>
    <row r="31" spans="1:36" s="24" customFormat="1" x14ac:dyDescent="0.3">
      <c r="A31" s="24">
        <v>2050</v>
      </c>
      <c r="B31" s="24">
        <v>708</v>
      </c>
      <c r="C31" s="24">
        <v>1</v>
      </c>
      <c r="D31" s="24" t="s">
        <v>43</v>
      </c>
    </row>
    <row r="32" spans="1:36" s="24" customFormat="1" x14ac:dyDescent="0.3">
      <c r="A32" s="24">
        <v>2050</v>
      </c>
      <c r="B32" s="24">
        <v>708</v>
      </c>
      <c r="C32" s="24">
        <v>2</v>
      </c>
      <c r="D32" s="24" t="s">
        <v>44</v>
      </c>
    </row>
    <row r="33" spans="1:4" s="24" customFormat="1" x14ac:dyDescent="0.3">
      <c r="A33" s="24">
        <v>2050</v>
      </c>
      <c r="B33" s="24">
        <v>708</v>
      </c>
      <c r="C33" s="24">
        <v>3</v>
      </c>
      <c r="D33" s="24" t="s">
        <v>45</v>
      </c>
    </row>
    <row r="34" spans="1:4" s="24" customFormat="1" x14ac:dyDescent="0.3">
      <c r="A34" s="24">
        <v>2050</v>
      </c>
      <c r="B34" s="24">
        <v>708</v>
      </c>
      <c r="C34" s="24">
        <v>4</v>
      </c>
      <c r="D34" s="24" t="s">
        <v>46</v>
      </c>
    </row>
    <row r="35" spans="1:4" s="24" customFormat="1" x14ac:dyDescent="0.3">
      <c r="A35" s="24">
        <v>2050</v>
      </c>
      <c r="B35" s="24">
        <v>708</v>
      </c>
      <c r="C35" s="24">
        <v>5</v>
      </c>
      <c r="D35" s="24" t="s">
        <v>47</v>
      </c>
    </row>
    <row r="36" spans="1:4" s="24" customFormat="1" x14ac:dyDescent="0.3">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64" t="s">
        <v>115</v>
      </c>
      <c r="B33" s="363"/>
      <c r="C33" s="363"/>
      <c r="D33" s="363"/>
      <c r="E33" s="363"/>
      <c r="F33" s="363"/>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379" t="s">
        <v>558</v>
      </c>
      <c r="D3" s="379"/>
      <c r="E3" s="379"/>
      <c r="F3" s="379"/>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C18" sqref="C18:J24"/>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644</v>
      </c>
      <c r="B3" s="376" t="s">
        <v>560</v>
      </c>
      <c r="C3" s="377"/>
      <c r="D3" s="377"/>
      <c r="E3" s="377"/>
      <c r="F3" s="378"/>
    </row>
    <row r="4" spans="1:6" x14ac:dyDescent="0.3">
      <c r="B4" s="376">
        <f>'Main Sheet'!B6</f>
        <v>2014</v>
      </c>
      <c r="C4" s="377"/>
      <c r="D4" s="377"/>
      <c r="E4" s="377"/>
      <c r="F4" s="378"/>
    </row>
    <row r="5" spans="1:6" x14ac:dyDescent="0.3">
      <c r="A5" s="56" t="s">
        <v>0</v>
      </c>
      <c r="B5" s="57">
        <v>2016</v>
      </c>
      <c r="C5" s="57">
        <v>2020</v>
      </c>
      <c r="D5" s="347" t="s">
        <v>565</v>
      </c>
      <c r="E5" s="347" t="str">
        <f>'Main Sheet'!B7</f>
        <v>2035_D</v>
      </c>
      <c r="F5" s="57">
        <v>2050</v>
      </c>
    </row>
    <row r="6" spans="1:6" x14ac:dyDescent="0.3">
      <c r="A6" s="58" t="s">
        <v>79</v>
      </c>
      <c r="B6" s="58">
        <f>HLOOKUP(B$5,$C$17:$J$18,2, FALSE)</f>
        <v>89</v>
      </c>
      <c r="C6" s="58">
        <f>HLOOKUP(C$5,$C$17:$J$18,2, FALSE)</f>
        <v>101</v>
      </c>
      <c r="D6" s="58">
        <f>HLOOKUP(D$5,$C$17:$J$18,2, FALSE)</f>
        <v>102</v>
      </c>
      <c r="E6" s="58">
        <f>HLOOKUP(E$5,$C$17:$J$18,2, FALSE)</f>
        <v>104</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40194.597889476201</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86912523.131122604</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4.6247187909659098E-4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1674.45166491793</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18011082.016969301</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9.2967855198279061E-5</v>
      </c>
      <c r="F12" s="319">
        <f>IF($B$4=2014,HLOOKUP(F$5,$C$17:$J$24,8,FALSE),HLOOKUP(F$5,$C$17:$J$30,14,FALSE))</f>
        <v>0</v>
      </c>
    </row>
    <row r="16" spans="1:6" x14ac:dyDescent="0.3">
      <c r="A16" s="1" t="s">
        <v>564</v>
      </c>
      <c r="B16" s="106"/>
      <c r="C16" s="1"/>
      <c r="D16" s="1"/>
    </row>
    <row r="17" spans="1:10" x14ac:dyDescent="0.3">
      <c r="A17" s="56" t="s">
        <v>0</v>
      </c>
      <c r="B17" s="57" t="s">
        <v>561</v>
      </c>
      <c r="C17" s="57">
        <v>2016</v>
      </c>
      <c r="D17" s="57">
        <v>2020</v>
      </c>
      <c r="E17" s="57" t="s">
        <v>565</v>
      </c>
      <c r="F17" s="57" t="s">
        <v>563</v>
      </c>
      <c r="G17" s="57" t="s">
        <v>655</v>
      </c>
      <c r="H17" s="57" t="s">
        <v>656</v>
      </c>
      <c r="I17" s="57" t="s">
        <v>657</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566</v>
      </c>
      <c r="B25" s="340">
        <v>2017</v>
      </c>
      <c r="C25" s="341"/>
      <c r="D25" s="341"/>
      <c r="E25" s="341"/>
      <c r="F25" s="341"/>
      <c r="G25" s="341"/>
      <c r="H25" s="341"/>
      <c r="I25" s="341"/>
      <c r="J25" s="341"/>
    </row>
    <row r="26" spans="1:10" x14ac:dyDescent="0.3">
      <c r="A26" s="56" t="s">
        <v>567</v>
      </c>
      <c r="B26" s="340">
        <v>2017</v>
      </c>
      <c r="C26" s="341"/>
      <c r="D26" s="341"/>
      <c r="E26" s="341"/>
      <c r="F26" s="341"/>
      <c r="G26" s="341"/>
      <c r="H26" s="341"/>
      <c r="I26" s="341"/>
      <c r="J26" s="341"/>
    </row>
    <row r="27" spans="1:10" ht="28.8" x14ac:dyDescent="0.3">
      <c r="A27" s="313" t="s">
        <v>568</v>
      </c>
      <c r="B27" s="342">
        <v>2017</v>
      </c>
      <c r="C27" s="343"/>
      <c r="D27" s="343"/>
      <c r="E27" s="343"/>
      <c r="F27" s="343"/>
      <c r="G27" s="343"/>
      <c r="H27" s="343"/>
      <c r="I27" s="343"/>
      <c r="J27" s="343"/>
    </row>
    <row r="28" spans="1:10" x14ac:dyDescent="0.3">
      <c r="A28" s="56" t="s">
        <v>569</v>
      </c>
      <c r="B28" s="340">
        <v>2017</v>
      </c>
      <c r="C28" s="341"/>
      <c r="D28" s="341"/>
      <c r="E28" s="341"/>
      <c r="F28" s="341"/>
      <c r="G28" s="341"/>
      <c r="H28" s="341"/>
      <c r="I28" s="341"/>
      <c r="J28" s="341"/>
    </row>
    <row r="29" spans="1:10" x14ac:dyDescent="0.3">
      <c r="A29" s="56" t="s">
        <v>570</v>
      </c>
      <c r="B29" s="340">
        <v>2017</v>
      </c>
      <c r="C29" s="341"/>
      <c r="D29" s="341"/>
      <c r="E29" s="341"/>
      <c r="F29" s="341"/>
      <c r="G29" s="341"/>
      <c r="H29" s="341"/>
      <c r="I29" s="341"/>
      <c r="J29" s="341"/>
    </row>
    <row r="30" spans="1:10" ht="28.8" x14ac:dyDescent="0.3">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403" t="s">
        <v>559</v>
      </c>
      <c r="E5" s="206" t="s">
        <v>666</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zoomScale="85" zoomScaleNormal="85" workbookViewId="0">
      <selection activeCell="G14" sqref="G14:G18"/>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652</v>
      </c>
      <c r="C5" s="352"/>
      <c r="D5" s="352"/>
      <c r="E5" s="352"/>
      <c r="F5" s="352"/>
      <c r="G5" s="353" t="s">
        <v>361</v>
      </c>
    </row>
    <row r="6" spans="1:7" ht="15.6" x14ac:dyDescent="0.3">
      <c r="A6" s="20" t="s">
        <v>561</v>
      </c>
      <c r="B6" s="4">
        <v>2014</v>
      </c>
      <c r="E6" s="5"/>
      <c r="F6" s="5"/>
      <c r="G6" s="4" t="s">
        <v>653</v>
      </c>
    </row>
    <row r="7" spans="1:7" ht="41.4" x14ac:dyDescent="0.3">
      <c r="A7" s="20" t="s">
        <v>562</v>
      </c>
      <c r="B7" s="338" t="s">
        <v>655</v>
      </c>
      <c r="E7" s="5"/>
      <c r="F7" s="5"/>
      <c r="G7" s="354" t="s">
        <v>654</v>
      </c>
    </row>
    <row r="8" spans="1:7" ht="15.6" x14ac:dyDescent="0.3">
      <c r="A8" s="20"/>
      <c r="E8" s="5"/>
      <c r="F8" s="5"/>
    </row>
    <row r="9" spans="1:7" x14ac:dyDescent="0.3">
      <c r="A9" s="272" t="s">
        <v>1</v>
      </c>
      <c r="B9" s="272"/>
      <c r="C9" s="272"/>
      <c r="D9" s="272"/>
      <c r="E9" s="272"/>
      <c r="F9" s="272"/>
      <c r="G9" s="272" t="s">
        <v>361</v>
      </c>
    </row>
    <row r="10" spans="1:7" x14ac:dyDescent="0.3">
      <c r="A10" s="21" t="s">
        <v>648</v>
      </c>
      <c r="B10" s="14"/>
      <c r="C10" s="14"/>
      <c r="D10" s="14"/>
      <c r="E10" s="7"/>
      <c r="F10" s="7"/>
      <c r="G10" s="365" t="s">
        <v>587</v>
      </c>
    </row>
    <row r="11" spans="1:7" ht="15" customHeight="1" x14ac:dyDescent="0.3">
      <c r="A11" s="11" t="s">
        <v>3</v>
      </c>
      <c r="B11" s="7">
        <f>COUNTIF('Vanpool ODs'!L:L,"Military")</f>
        <v>251</v>
      </c>
      <c r="C11" s="7"/>
      <c r="D11" s="7"/>
      <c r="E11" s="7"/>
      <c r="F11" s="7"/>
      <c r="G11" s="365"/>
    </row>
    <row r="12" spans="1:7" ht="15" customHeight="1" x14ac:dyDescent="0.3">
      <c r="A12" s="11" t="s">
        <v>4</v>
      </c>
      <c r="B12" s="7">
        <f>COUNTIF('Vanpool ODs'!L:L,"Federal")</f>
        <v>109</v>
      </c>
      <c r="C12" s="7"/>
      <c r="D12" s="7"/>
      <c r="E12" s="7"/>
      <c r="F12" s="7"/>
      <c r="G12" s="365"/>
    </row>
    <row r="13" spans="1:7" ht="15" customHeight="1" x14ac:dyDescent="0.3">
      <c r="A13" s="247" t="s">
        <v>5</v>
      </c>
      <c r="B13" s="248">
        <f>COUNTIF('Vanpool ODs'!L:L,"Non-Federal")</f>
        <v>339</v>
      </c>
      <c r="C13" s="248"/>
      <c r="D13" s="248"/>
      <c r="E13" s="248"/>
      <c r="F13" s="248"/>
      <c r="G13" s="366"/>
    </row>
    <row r="14" spans="1:7" x14ac:dyDescent="0.3">
      <c r="A14" s="22" t="s">
        <v>6</v>
      </c>
      <c r="B14" s="7"/>
      <c r="C14" s="7"/>
      <c r="D14" s="7"/>
      <c r="E14" s="7"/>
      <c r="F14" s="7"/>
      <c r="G14" s="370" t="s">
        <v>573</v>
      </c>
    </row>
    <row r="15" spans="1:7" ht="15" customHeight="1" x14ac:dyDescent="0.3">
      <c r="A15" s="11" t="s">
        <v>575</v>
      </c>
      <c r="B15" s="7"/>
      <c r="C15" s="7"/>
      <c r="D15" s="7"/>
      <c r="E15" s="7"/>
      <c r="F15" s="7"/>
      <c r="G15" s="365"/>
    </row>
    <row r="16" spans="1:7" ht="15" customHeight="1" x14ac:dyDescent="0.3">
      <c r="A16" s="13" t="s">
        <v>3</v>
      </c>
      <c r="B16" s="285">
        <f>AVERAGEIF('Vanpool ODs'!L:L,"Military",'Vanpool ODs'!H:H)</f>
        <v>125.29880478087649</v>
      </c>
      <c r="C16" s="7"/>
      <c r="D16" s="7"/>
      <c r="E16" s="7"/>
      <c r="F16" s="7"/>
      <c r="G16" s="365"/>
    </row>
    <row r="17" spans="1:7" ht="15" customHeight="1" x14ac:dyDescent="0.3">
      <c r="A17" s="13" t="s">
        <v>4</v>
      </c>
      <c r="B17" s="285">
        <f>AVERAGEIF('Vanpool ODs'!L:L,"Federal",'Vanpool ODs'!H:H)</f>
        <v>133.8440366972477</v>
      </c>
      <c r="C17" s="7"/>
      <c r="D17" s="7"/>
      <c r="E17" s="7"/>
      <c r="F17" s="7"/>
      <c r="G17" s="365"/>
    </row>
    <row r="18" spans="1:7" ht="15" customHeight="1" x14ac:dyDescent="0.3">
      <c r="A18" s="249" t="s">
        <v>5</v>
      </c>
      <c r="B18" s="286">
        <f>AVERAGEIF('Vanpool ODs'!L:L,"Non-Federal",'Vanpool ODs'!H:H)</f>
        <v>103.77286135693215</v>
      </c>
      <c r="C18" s="248"/>
      <c r="D18" s="248"/>
      <c r="E18" s="248"/>
      <c r="F18" s="248"/>
      <c r="G18" s="366"/>
    </row>
    <row r="19" spans="1:7" ht="27.6" x14ac:dyDescent="0.3">
      <c r="A19" s="11" t="s">
        <v>574</v>
      </c>
      <c r="B19" s="7"/>
      <c r="C19" s="7"/>
      <c r="D19" s="7"/>
      <c r="E19" s="7"/>
      <c r="F19" s="7"/>
      <c r="G19" s="370" t="s">
        <v>576</v>
      </c>
    </row>
    <row r="20" spans="1:7" ht="15" customHeight="1" x14ac:dyDescent="0.3">
      <c r="A20" s="13" t="s">
        <v>3</v>
      </c>
      <c r="B20" s="285">
        <f>AVERAGEIF('Vanpool ODs'!L:L,"Military",'Vanpool ODs'!W:W)</f>
        <v>107.77636639692423</v>
      </c>
      <c r="C20" s="7"/>
      <c r="D20" s="7"/>
      <c r="E20" s="7"/>
      <c r="F20" s="7"/>
      <c r="G20" s="371"/>
    </row>
    <row r="21" spans="1:7" ht="15" customHeight="1" x14ac:dyDescent="0.3">
      <c r="A21" s="13" t="s">
        <v>4</v>
      </c>
      <c r="B21" s="285">
        <f>AVERAGEIF('Vanpool ODs'!L:L,"Federal",'Vanpool ODs'!W:W)</f>
        <v>122.02303248345888</v>
      </c>
      <c r="C21" s="7"/>
      <c r="D21" s="7"/>
      <c r="E21" s="7"/>
      <c r="F21" s="7"/>
      <c r="G21" s="371"/>
    </row>
    <row r="22" spans="1:7" ht="15" customHeight="1" x14ac:dyDescent="0.3">
      <c r="A22" s="249" t="s">
        <v>5</v>
      </c>
      <c r="B22" s="286">
        <f>AVERAGEIF('Vanpool ODs'!L:L,"Non-Federal",'Vanpool ODs'!W:W)</f>
        <v>88.226204317803408</v>
      </c>
      <c r="C22" s="248"/>
      <c r="D22" s="248"/>
      <c r="E22" s="248"/>
      <c r="F22" s="248"/>
      <c r="G22" s="366"/>
    </row>
    <row r="23" spans="1:7" x14ac:dyDescent="0.3">
      <c r="A23" s="11" t="s">
        <v>363</v>
      </c>
      <c r="B23" s="7"/>
      <c r="C23" s="7"/>
      <c r="D23" s="7"/>
      <c r="E23" s="7"/>
      <c r="F23" s="7"/>
      <c r="G23" s="365" t="s">
        <v>572</v>
      </c>
    </row>
    <row r="24" spans="1:7" x14ac:dyDescent="0.3">
      <c r="A24" s="13" t="s">
        <v>3</v>
      </c>
      <c r="B24" s="15">
        <f>COUNTIFS('Vanpool ODs'!L:L,"Military",'Vanpool ODs'!J:J,"&lt;="&amp;9)/B11</f>
        <v>0.93625498007968122</v>
      </c>
      <c r="C24" s="15"/>
      <c r="D24" s="15"/>
      <c r="E24" s="7"/>
      <c r="F24" s="7"/>
      <c r="G24" s="365"/>
    </row>
    <row r="25" spans="1:7" x14ac:dyDescent="0.3">
      <c r="A25" s="13" t="s">
        <v>4</v>
      </c>
      <c r="B25" s="15">
        <f>COUNTIFS('Vanpool ODs'!L:L,"Federal",'Vanpool ODs'!J:J,"&lt;="&amp;9)/B12</f>
        <v>0.85321100917431192</v>
      </c>
      <c r="C25" s="15"/>
      <c r="D25" s="15"/>
      <c r="E25" s="7"/>
      <c r="F25" s="7"/>
      <c r="G25" s="365"/>
    </row>
    <row r="26" spans="1:7" x14ac:dyDescent="0.3">
      <c r="A26" s="249" t="s">
        <v>5</v>
      </c>
      <c r="B26" s="250">
        <f>COUNTIFS('Vanpool ODs'!L:L,"Non-Federal",'Vanpool ODs'!J:J,"&lt;="&amp;9)/B13</f>
        <v>0.80530973451327437</v>
      </c>
      <c r="C26" s="250"/>
      <c r="D26" s="250"/>
      <c r="E26" s="248"/>
      <c r="F26" s="248"/>
      <c r="G26" s="366"/>
    </row>
    <row r="27" spans="1:7" x14ac:dyDescent="0.3">
      <c r="A27" s="11" t="s">
        <v>577</v>
      </c>
      <c r="B27" s="15"/>
      <c r="C27" s="15"/>
      <c r="D27" s="15"/>
      <c r="E27" s="7"/>
      <c r="F27" s="7"/>
      <c r="G27" s="365" t="s">
        <v>572</v>
      </c>
    </row>
    <row r="28" spans="1:7" x14ac:dyDescent="0.3">
      <c r="A28" s="13" t="s">
        <v>3</v>
      </c>
      <c r="B28" s="76">
        <f>AVERAGEIF('Vanpool ODs'!L:L,"Military",'Vanpool ODs'!J:J)</f>
        <v>7.4661354581673303</v>
      </c>
      <c r="C28" s="15"/>
      <c r="D28" s="15"/>
      <c r="E28" s="7"/>
      <c r="F28" s="7"/>
      <c r="G28" s="365"/>
    </row>
    <row r="29" spans="1:7" x14ac:dyDescent="0.3">
      <c r="A29" s="13" t="s">
        <v>4</v>
      </c>
      <c r="B29" s="76">
        <f>AVERAGEIF('Vanpool ODs'!L:L,"Federal",'Vanpool ODs'!J:J)</f>
        <v>7.8623853211009171</v>
      </c>
      <c r="C29" s="15"/>
      <c r="D29" s="15"/>
      <c r="E29" s="7"/>
      <c r="F29" s="7"/>
      <c r="G29" s="365"/>
    </row>
    <row r="30" spans="1:7" x14ac:dyDescent="0.3">
      <c r="A30" s="249" t="s">
        <v>5</v>
      </c>
      <c r="B30" s="256">
        <f>AVERAGEIF('Vanpool ODs'!L:L,"Non-Federal",'Vanpool ODs'!J:J)</f>
        <v>8.0973451327433636</v>
      </c>
      <c r="C30" s="250"/>
      <c r="D30" s="250"/>
      <c r="E30" s="248"/>
      <c r="F30" s="248"/>
      <c r="G30" s="366"/>
    </row>
    <row r="31" spans="1:7" ht="12.75" customHeight="1" x14ac:dyDescent="0.3">
      <c r="A31" s="11" t="s">
        <v>578</v>
      </c>
      <c r="B31" s="7"/>
      <c r="C31" s="7"/>
      <c r="D31" s="7"/>
      <c r="E31" s="7"/>
      <c r="F31" s="7"/>
      <c r="G31" s="370" t="s">
        <v>579</v>
      </c>
    </row>
    <row r="32" spans="1:7" ht="15" customHeight="1" x14ac:dyDescent="0.3">
      <c r="A32" s="13" t="s">
        <v>3</v>
      </c>
      <c r="B32" s="15"/>
      <c r="C32" s="15"/>
      <c r="D32" s="15"/>
      <c r="E32" s="7"/>
      <c r="F32" s="7"/>
      <c r="G32" s="371"/>
    </row>
    <row r="33" spans="1:7" ht="15" customHeight="1" x14ac:dyDescent="0.3">
      <c r="A33" s="13" t="s">
        <v>4</v>
      </c>
      <c r="B33" s="15"/>
      <c r="C33" s="15"/>
      <c r="D33" s="15"/>
      <c r="E33" s="7"/>
      <c r="F33" s="7"/>
      <c r="G33" s="371"/>
    </row>
    <row r="34" spans="1:7" ht="15" customHeight="1" x14ac:dyDescent="0.3">
      <c r="A34" s="13" t="s">
        <v>5</v>
      </c>
      <c r="B34" s="15"/>
      <c r="C34" s="15"/>
      <c r="D34" s="15"/>
      <c r="E34" s="7"/>
      <c r="F34" s="7"/>
      <c r="G34" s="371"/>
    </row>
    <row r="35" spans="1:7" ht="15" customHeight="1" x14ac:dyDescent="0.3">
      <c r="A35" s="249" t="s">
        <v>78</v>
      </c>
      <c r="B35" s="251">
        <v>0.73</v>
      </c>
      <c r="C35" s="252"/>
      <c r="D35" s="252"/>
      <c r="E35" s="253"/>
      <c r="F35" s="253"/>
      <c r="G35" s="366"/>
    </row>
    <row r="36" spans="1:7" s="18" customFormat="1" ht="15" customHeight="1" x14ac:dyDescent="0.3">
      <c r="A36" s="275" t="s">
        <v>366</v>
      </c>
      <c r="B36" s="38"/>
      <c r="C36" s="16"/>
      <c r="D36" s="16"/>
      <c r="E36" s="17"/>
      <c r="F36" s="17"/>
      <c r="G36" s="336" t="s">
        <v>582</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581</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583</v>
      </c>
      <c r="B44" s="39" t="s">
        <v>71</v>
      </c>
      <c r="C44" s="39" t="s">
        <v>72</v>
      </c>
      <c r="D44" s="16"/>
      <c r="E44" s="17"/>
      <c r="F44" s="17"/>
      <c r="G44" s="19"/>
    </row>
    <row r="45" spans="1:7" x14ac:dyDescent="0.3">
      <c r="A45" s="13">
        <v>2016</v>
      </c>
      <c r="B45" s="77">
        <v>400</v>
      </c>
      <c r="C45" s="77">
        <v>400</v>
      </c>
      <c r="D45" s="15"/>
      <c r="E45" s="7"/>
      <c r="F45" s="7"/>
      <c r="G45" s="4" t="s">
        <v>580</v>
      </c>
    </row>
    <row r="46" spans="1:7" ht="27.6" x14ac:dyDescent="0.3">
      <c r="A46" s="249" t="s">
        <v>75</v>
      </c>
      <c r="B46" s="257">
        <v>400</v>
      </c>
      <c r="C46" s="257">
        <v>400</v>
      </c>
      <c r="D46" s="250"/>
      <c r="E46" s="248"/>
      <c r="F46" s="248"/>
      <c r="G46" s="255" t="s">
        <v>584</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72" t="s">
        <v>632</v>
      </c>
      <c r="B49" s="372"/>
      <c r="C49" s="372"/>
      <c r="D49" s="372"/>
      <c r="E49" s="372"/>
      <c r="F49" s="372"/>
      <c r="G49" s="372"/>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631</v>
      </c>
      <c r="B52" s="258"/>
      <c r="C52" s="259"/>
      <c r="D52" s="259"/>
      <c r="E52" s="259"/>
      <c r="F52" s="259"/>
      <c r="G52" s="260"/>
    </row>
    <row r="53" spans="1:7" ht="30" customHeight="1" x14ac:dyDescent="0.3">
      <c r="A53" s="12"/>
      <c r="B53" s="374" t="s">
        <v>635</v>
      </c>
      <c r="C53" s="375"/>
      <c r="D53" s="375"/>
      <c r="E53" s="375"/>
      <c r="F53" s="375"/>
      <c r="G53" s="373" t="s">
        <v>362</v>
      </c>
    </row>
    <row r="54" spans="1:7" ht="12.75" customHeight="1" x14ac:dyDescent="0.3">
      <c r="A54" s="78" t="s">
        <v>107</v>
      </c>
      <c r="B54" s="60">
        <v>2016</v>
      </c>
      <c r="C54" s="60">
        <v>2020</v>
      </c>
      <c r="D54" s="60">
        <v>2025</v>
      </c>
      <c r="E54" s="60">
        <v>2035</v>
      </c>
      <c r="F54" s="60">
        <v>2050</v>
      </c>
      <c r="G54" s="373"/>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73"/>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73"/>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73"/>
    </row>
    <row r="58" spans="1:7" ht="12.75" customHeight="1" x14ac:dyDescent="0.3">
      <c r="A58" s="81" t="s">
        <v>66</v>
      </c>
      <c r="B58" s="45">
        <f>SUM(B55:B57)</f>
        <v>699</v>
      </c>
      <c r="C58" s="45">
        <f>SUM(C55:C57)</f>
        <v>700</v>
      </c>
      <c r="D58" s="317">
        <f>SUM(D55:D57)</f>
        <v>713</v>
      </c>
      <c r="E58" s="45">
        <f>SUM(E55:E57)</f>
        <v>763</v>
      </c>
      <c r="F58" s="45">
        <f>SUM(F55:F57)</f>
        <v>18</v>
      </c>
      <c r="G58" s="373"/>
    </row>
    <row r="59" spans="1:7" x14ac:dyDescent="0.3">
      <c r="A59" s="11"/>
      <c r="B59" s="45"/>
      <c r="C59" s="45"/>
      <c r="D59" s="45"/>
      <c r="E59" s="45"/>
      <c r="F59" s="45"/>
    </row>
    <row r="60" spans="1:7" ht="15" customHeight="1" x14ac:dyDescent="0.3">
      <c r="A60" s="261" t="s">
        <v>589</v>
      </c>
      <c r="B60" s="261"/>
      <c r="C60" s="259"/>
      <c r="D60" s="259"/>
      <c r="E60" s="259"/>
      <c r="F60" s="259"/>
      <c r="G60" s="262"/>
    </row>
    <row r="61" spans="1:7" ht="30" customHeight="1" x14ac:dyDescent="0.3">
      <c r="A61" s="11"/>
      <c r="B61" s="374" t="s">
        <v>636</v>
      </c>
      <c r="C61" s="375"/>
      <c r="D61" s="375"/>
      <c r="E61" s="375"/>
      <c r="F61" s="375"/>
      <c r="G61" s="373" t="s">
        <v>633</v>
      </c>
    </row>
    <row r="62" spans="1:7" ht="12.75" customHeight="1" x14ac:dyDescent="0.3">
      <c r="A62" s="78" t="s">
        <v>107</v>
      </c>
      <c r="B62" s="23">
        <v>2016</v>
      </c>
      <c r="C62" s="23">
        <v>2020</v>
      </c>
      <c r="D62" s="23">
        <v>2025</v>
      </c>
      <c r="E62" s="23">
        <v>2035</v>
      </c>
      <c r="F62" s="23">
        <v>2050</v>
      </c>
      <c r="G62" s="373"/>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259.19746642948331</v>
      </c>
      <c r="F63" s="45">
        <f>SUMPRODUCT('Vanpool Demand - Employment'!C103:N114,'Vanpool Demand - ML (Mil)'!AS99:BD110)</f>
        <v>9</v>
      </c>
      <c r="G63" s="373"/>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126.79876588722678</v>
      </c>
      <c r="F64" s="45">
        <f>SUMPRODUCT('Vanpool Demand - Employment'!S103:AD114,'Vanpool Demand - ML (Non-Mil)'!AS101:BD112)</f>
        <v>7</v>
      </c>
      <c r="G64" s="373"/>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387.84707530125138</v>
      </c>
      <c r="F65" s="45">
        <f>SUMPRODUCT('Vanpool Demand - Employment'!AI103:AT114,'Vanpool Demand - ML (Non-Mil)'!AS101:BD112)</f>
        <v>2</v>
      </c>
      <c r="G65" s="373"/>
    </row>
    <row r="66" spans="1:7" ht="12.75" customHeight="1" x14ac:dyDescent="0.3">
      <c r="A66" s="81" t="s">
        <v>66</v>
      </c>
      <c r="B66" s="45">
        <f>SUM(B63:B65)</f>
        <v>699</v>
      </c>
      <c r="C66" s="45">
        <f>SUM(C63:C65)</f>
        <v>700</v>
      </c>
      <c r="D66" s="45">
        <f>SUM(D63:D65)</f>
        <v>713</v>
      </c>
      <c r="E66" s="45">
        <f>SUM(E63:E65)</f>
        <v>773.8433076179615</v>
      </c>
      <c r="F66" s="45">
        <f>SUM(F63:F65)</f>
        <v>18</v>
      </c>
      <c r="G66" s="373"/>
    </row>
    <row r="67" spans="1:7" x14ac:dyDescent="0.3">
      <c r="A67" s="11"/>
      <c r="B67" s="45"/>
      <c r="C67" s="45"/>
      <c r="D67" s="45"/>
      <c r="E67" s="45"/>
      <c r="F67" s="45"/>
    </row>
    <row r="68" spans="1:7" ht="15" customHeight="1" x14ac:dyDescent="0.3">
      <c r="A68" s="261" t="s">
        <v>590</v>
      </c>
      <c r="B68" s="261"/>
      <c r="C68" s="259"/>
      <c r="D68" s="259"/>
      <c r="E68" s="259"/>
      <c r="F68" s="259"/>
      <c r="G68" s="262"/>
    </row>
    <row r="69" spans="1:7" ht="30" customHeight="1" x14ac:dyDescent="0.3">
      <c r="A69" s="11"/>
      <c r="B69" s="367" t="s">
        <v>637</v>
      </c>
      <c r="C69" s="368"/>
      <c r="D69" s="368"/>
      <c r="E69" s="368"/>
      <c r="F69" s="368"/>
      <c r="G69" s="369" t="s">
        <v>634</v>
      </c>
    </row>
    <row r="70" spans="1:7" ht="12.75" customHeight="1" x14ac:dyDescent="0.3">
      <c r="A70" s="78" t="s">
        <v>107</v>
      </c>
      <c r="B70" s="23">
        <v>2016</v>
      </c>
      <c r="C70" s="23">
        <v>2020</v>
      </c>
      <c r="D70" s="23">
        <v>2025</v>
      </c>
      <c r="E70" s="23">
        <v>2035</v>
      </c>
      <c r="F70" s="23">
        <v>2050</v>
      </c>
      <c r="G70" s="369"/>
    </row>
    <row r="71" spans="1:7" ht="12.75" customHeight="1" x14ac:dyDescent="0.3">
      <c r="A71" s="11" t="s">
        <v>3</v>
      </c>
      <c r="B71" s="70"/>
      <c r="C71" s="70"/>
      <c r="D71" s="70"/>
      <c r="E71" s="70"/>
      <c r="F71" s="70"/>
      <c r="G71" s="369"/>
    </row>
    <row r="72" spans="1:7" ht="12.75" customHeight="1" x14ac:dyDescent="0.3">
      <c r="A72" s="13" t="s">
        <v>364</v>
      </c>
      <c r="B72" s="268">
        <v>0</v>
      </c>
      <c r="C72" s="268">
        <v>0</v>
      </c>
      <c r="D72" s="268">
        <v>0</v>
      </c>
      <c r="E72" s="268">
        <v>0</v>
      </c>
      <c r="F72" s="268">
        <v>0</v>
      </c>
      <c r="G72" s="369"/>
    </row>
    <row r="73" spans="1:7" ht="12.75" customHeight="1" x14ac:dyDescent="0.3">
      <c r="A73" s="13" t="s">
        <v>365</v>
      </c>
      <c r="B73" s="268">
        <v>0</v>
      </c>
      <c r="C73" s="268">
        <v>0</v>
      </c>
      <c r="D73" s="268">
        <v>0</v>
      </c>
      <c r="E73" s="268">
        <v>0</v>
      </c>
      <c r="F73" s="268">
        <v>0</v>
      </c>
      <c r="G73" s="369"/>
    </row>
    <row r="74" spans="1:7" ht="12.75" customHeight="1" x14ac:dyDescent="0.3">
      <c r="A74" s="11" t="s">
        <v>4</v>
      </c>
      <c r="B74" s="70"/>
      <c r="C74" s="263"/>
      <c r="D74" s="51"/>
      <c r="E74" s="51"/>
      <c r="F74" s="51"/>
      <c r="G74" s="369"/>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69"/>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69"/>
    </row>
    <row r="77" spans="1:7" ht="12.75" customHeight="1" x14ac:dyDescent="0.3">
      <c r="A77" s="11" t="s">
        <v>5</v>
      </c>
      <c r="B77" s="70"/>
      <c r="C77" s="51"/>
      <c r="D77" s="51"/>
      <c r="E77" s="51"/>
      <c r="F77" s="51"/>
      <c r="G77" s="369"/>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69"/>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69"/>
    </row>
    <row r="80" spans="1:7" ht="30" customHeight="1" x14ac:dyDescent="0.3">
      <c r="A80" s="12"/>
      <c r="B80" s="367" t="s">
        <v>638</v>
      </c>
      <c r="C80" s="368"/>
      <c r="D80" s="368"/>
      <c r="E80" s="368"/>
      <c r="F80" s="368"/>
      <c r="G80" s="369"/>
    </row>
    <row r="81" spans="1:7" x14ac:dyDescent="0.3">
      <c r="A81" s="12"/>
      <c r="B81" s="60">
        <v>2016</v>
      </c>
      <c r="C81" s="60">
        <v>2020</v>
      </c>
      <c r="D81" s="60">
        <v>2025</v>
      </c>
      <c r="E81" s="60">
        <v>2035</v>
      </c>
      <c r="F81" s="60">
        <v>2050</v>
      </c>
      <c r="G81" s="369"/>
    </row>
    <row r="82" spans="1:7" x14ac:dyDescent="0.3">
      <c r="A82" s="11" t="s">
        <v>3</v>
      </c>
      <c r="B82" s="70"/>
      <c r="C82" s="70"/>
      <c r="D82" s="70"/>
      <c r="E82" s="70"/>
      <c r="F82" s="70"/>
      <c r="G82" s="369"/>
    </row>
    <row r="83" spans="1:7" x14ac:dyDescent="0.3">
      <c r="A83" s="13" t="s">
        <v>364</v>
      </c>
      <c r="B83" s="269">
        <f>B63*$B24*B72</f>
        <v>0</v>
      </c>
      <c r="C83" s="269">
        <f>C63*$B24*C72</f>
        <v>0</v>
      </c>
      <c r="D83" s="269">
        <f>D63*$B24*D72</f>
        <v>0</v>
      </c>
      <c r="E83" s="269">
        <f>E63*$B24*E72</f>
        <v>0</v>
      </c>
      <c r="F83" s="269">
        <f>F63*$B24*F72</f>
        <v>0</v>
      </c>
      <c r="G83" s="369"/>
    </row>
    <row r="84" spans="1:7" x14ac:dyDescent="0.3">
      <c r="A84" s="13" t="s">
        <v>365</v>
      </c>
      <c r="B84" s="269">
        <f>B63*(1-$B24)*B73</f>
        <v>0</v>
      </c>
      <c r="C84" s="269">
        <f>C63*(1-$B24)*C73</f>
        <v>0</v>
      </c>
      <c r="D84" s="269">
        <f>D63*(1-$B24)*D73</f>
        <v>0</v>
      </c>
      <c r="E84" s="269">
        <f>E63*(1-$B24)*E73</f>
        <v>0</v>
      </c>
      <c r="F84" s="269">
        <f>F63*(1-$B24)*F73</f>
        <v>0</v>
      </c>
      <c r="G84" s="369"/>
    </row>
    <row r="85" spans="1:7" x14ac:dyDescent="0.3">
      <c r="A85" s="11" t="s">
        <v>4</v>
      </c>
      <c r="B85" s="70"/>
      <c r="C85" s="54"/>
      <c r="D85" s="54"/>
      <c r="E85" s="54"/>
      <c r="F85" s="54"/>
      <c r="G85" s="369"/>
    </row>
    <row r="86" spans="1:7" x14ac:dyDescent="0.3">
      <c r="A86" s="13" t="s">
        <v>364</v>
      </c>
      <c r="B86" s="265">
        <f>B64*$B25*B75</f>
        <v>0</v>
      </c>
      <c r="C86" s="265">
        <f>C64*$B25*C75</f>
        <v>0</v>
      </c>
      <c r="D86" s="265">
        <f>D64*$B25*D75</f>
        <v>0</v>
      </c>
      <c r="E86" s="265">
        <f>E64*$B25*E75</f>
        <v>0</v>
      </c>
      <c r="F86" s="265">
        <f>F64*$B25*F75</f>
        <v>0</v>
      </c>
      <c r="G86" s="369"/>
    </row>
    <row r="87" spans="1:7" x14ac:dyDescent="0.3">
      <c r="A87" s="13" t="s">
        <v>365</v>
      </c>
      <c r="B87" s="265">
        <f>B64*(1-$B25)*B76</f>
        <v>0</v>
      </c>
      <c r="C87" s="265">
        <f>C64*(1-$B25)*C76</f>
        <v>0</v>
      </c>
      <c r="D87" s="265">
        <f>D64*(1-$B25)*D76</f>
        <v>0</v>
      </c>
      <c r="E87" s="265">
        <f>E64*(1-$B25)*E76</f>
        <v>0</v>
      </c>
      <c r="F87" s="265">
        <f>F64*(1-$B25)*F76</f>
        <v>0</v>
      </c>
      <c r="G87" s="369"/>
    </row>
    <row r="88" spans="1:7" x14ac:dyDescent="0.3">
      <c r="A88" s="11" t="s">
        <v>5</v>
      </c>
      <c r="B88" s="70"/>
      <c r="C88" s="265"/>
      <c r="D88" s="265"/>
      <c r="E88" s="265"/>
      <c r="F88" s="265"/>
      <c r="G88" s="369"/>
    </row>
    <row r="89" spans="1:7" x14ac:dyDescent="0.3">
      <c r="A89" s="13" t="s">
        <v>364</v>
      </c>
      <c r="B89" s="265">
        <f>B57*$B26*B78</f>
        <v>0</v>
      </c>
      <c r="C89" s="265">
        <f>C57*$B26*C78</f>
        <v>0</v>
      </c>
      <c r="D89" s="265">
        <f>D57*$B26*D78</f>
        <v>0</v>
      </c>
      <c r="E89" s="265">
        <f>E57*$B26*E78</f>
        <v>0</v>
      </c>
      <c r="F89" s="265">
        <f>F57*$B26*F78</f>
        <v>0</v>
      </c>
      <c r="G89" s="369"/>
    </row>
    <row r="90" spans="1:7" x14ac:dyDescent="0.3">
      <c r="A90" s="13" t="s">
        <v>365</v>
      </c>
      <c r="B90" s="265">
        <f>B57*(1-$B26)*B79</f>
        <v>0</v>
      </c>
      <c r="C90" s="265">
        <f>C57*(1-$B26)*C79</f>
        <v>0</v>
      </c>
      <c r="D90" s="265">
        <f>D57*(1-$B26)*D79</f>
        <v>0</v>
      </c>
      <c r="E90" s="265">
        <f>E57*(1-$B26)*E79</f>
        <v>0</v>
      </c>
      <c r="F90" s="265">
        <f>F57*(1-$B26)*F79</f>
        <v>0</v>
      </c>
      <c r="G90" s="369"/>
    </row>
    <row r="91" spans="1:7" x14ac:dyDescent="0.3">
      <c r="A91" s="11"/>
      <c r="B91" s="53"/>
      <c r="C91" s="54"/>
      <c r="D91" s="54"/>
      <c r="E91" s="54"/>
      <c r="F91" s="54"/>
      <c r="G91" s="52"/>
    </row>
    <row r="92" spans="1:7" ht="14.4" x14ac:dyDescent="0.3">
      <c r="A92" s="261" t="s">
        <v>639</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259.19746642948331</v>
      </c>
      <c r="F94" s="80">
        <f>F63+F83+F84</f>
        <v>9</v>
      </c>
      <c r="G94" s="349"/>
    </row>
    <row r="95" spans="1:7" ht="12.75" customHeight="1" x14ac:dyDescent="0.3">
      <c r="A95" s="11" t="s">
        <v>4</v>
      </c>
      <c r="B95" s="80">
        <f>B64+B86+B87</f>
        <v>109</v>
      </c>
      <c r="C95" s="80">
        <f>C64+C86+C87</f>
        <v>109</v>
      </c>
      <c r="D95" s="80">
        <f>D64+D86+D87</f>
        <v>112</v>
      </c>
      <c r="E95" s="80">
        <f>E64+E86+E87</f>
        <v>126.79876588722678</v>
      </c>
      <c r="F95" s="80">
        <f>F64+F86+F87</f>
        <v>7</v>
      </c>
      <c r="G95" s="349"/>
    </row>
    <row r="96" spans="1:7" ht="12.75" customHeight="1" x14ac:dyDescent="0.3">
      <c r="A96" s="11" t="s">
        <v>5</v>
      </c>
      <c r="B96" s="80">
        <f>B65+B89+B90</f>
        <v>339</v>
      </c>
      <c r="C96" s="80">
        <f>C65+C89+C90</f>
        <v>339.99999999999994</v>
      </c>
      <c r="D96" s="80">
        <f>D65+D89+D90</f>
        <v>349.00000000000006</v>
      </c>
      <c r="E96" s="80">
        <f>E65+E89+E90</f>
        <v>387.84707530125138</v>
      </c>
      <c r="F96" s="80">
        <f>F65+F89+F90</f>
        <v>2</v>
      </c>
      <c r="G96" s="349"/>
    </row>
    <row r="97" spans="1:7" ht="14.4" x14ac:dyDescent="0.3">
      <c r="A97" s="81" t="s">
        <v>66</v>
      </c>
      <c r="B97" s="79">
        <f>SUM(B94:B96)</f>
        <v>699</v>
      </c>
      <c r="C97" s="79">
        <f>SUM(C94:C96)</f>
        <v>700</v>
      </c>
      <c r="D97" s="79">
        <f>SUM(D94:D96)</f>
        <v>713</v>
      </c>
      <c r="E97" s="79">
        <f>SUM(E94:E96)</f>
        <v>773.8433076179615</v>
      </c>
      <c r="F97" s="79">
        <f>SUM(F94:F96)</f>
        <v>18</v>
      </c>
      <c r="G97" s="59"/>
    </row>
    <row r="98" spans="1:7" s="9" customFormat="1" x14ac:dyDescent="0.3">
      <c r="A98" s="8"/>
      <c r="B98" s="7"/>
      <c r="C98" s="7"/>
      <c r="D98" s="7"/>
      <c r="E98" s="7"/>
      <c r="F98" s="7"/>
    </row>
    <row r="99" spans="1:7" s="9" customFormat="1" ht="21" customHeight="1" x14ac:dyDescent="0.3">
      <c r="A99" s="273" t="s">
        <v>640</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658</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41869.049554394129</v>
      </c>
      <c r="F103" s="318">
        <f>SUM('Emission Factors'!F7,'Emission Factors'!F10)</f>
        <v>0</v>
      </c>
      <c r="G103" s="360" t="s">
        <v>661</v>
      </c>
    </row>
    <row r="104" spans="1:7" s="9" customFormat="1" ht="14.4" x14ac:dyDescent="0.3">
      <c r="A104" s="359" t="s">
        <v>660</v>
      </c>
      <c r="B104" s="245">
        <f>B103/B102*2000</f>
        <v>22.913325437317621</v>
      </c>
      <c r="C104" s="245">
        <f>C103/C102*2000</f>
        <v>22.275739292494958</v>
      </c>
      <c r="D104" s="245">
        <f>D103/D102*2000</f>
        <v>22.094098010729279</v>
      </c>
      <c r="E104" s="245">
        <f>E103/E102*2000</f>
        <v>22.612331509810627</v>
      </c>
      <c r="F104" s="245" t="e">
        <f>F103/F102*2000</f>
        <v>#DIV/0!</v>
      </c>
      <c r="G104" s="361" t="s">
        <v>662</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7318.4200204412555</v>
      </c>
      <c r="F105" s="318">
        <f>SUMPRODUCT(F94:F96,$B$41:$B$43)*2</f>
        <v>166.1028456895807</v>
      </c>
      <c r="G105" s="276" t="s">
        <v>541</v>
      </c>
    </row>
    <row r="106" spans="1:7" ht="20.100000000000001" customHeight="1" x14ac:dyDescent="0.3">
      <c r="A106" s="395" t="s">
        <v>369</v>
      </c>
      <c r="B106" s="318">
        <f>SUMPRODUCT(B94:B96,$B$41:$B$43,$B$16:$B$18)</f>
        <v>381872.68694458826</v>
      </c>
      <c r="C106" s="318">
        <f>SUMPRODUCT(C94:C96,$B$41:$B$43,$B$16:$B$18)</f>
        <v>382382.3218951195</v>
      </c>
      <c r="D106" s="318">
        <f>SUMPRODUCT(D94:D96,$B$41:$B$43,$B$16:$B$18)</f>
        <v>389429.72908785881</v>
      </c>
      <c r="E106" s="318">
        <f>SUMPRODUCT(E94:E96,$B$41:$B$43,$B$16:$B$18)</f>
        <v>422628.70425799373</v>
      </c>
      <c r="F106" s="318">
        <f>SUMPRODUCT(F94:F96,$B$41:$B$43,$B$16:$B$18)</f>
        <v>10478.316890729504</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365700.15348867036</v>
      </c>
      <c r="F107" s="7">
        <f>SUMPRODUCT(F94:F96,$B$41:$B$43,$B$20:$B$22)</f>
        <v>9231.6150987966212</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0.68037781274056908</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169.12603716981712</v>
      </c>
      <c r="F109" s="280">
        <f>F107*'Emission Factors'!F$9</f>
        <v>0</v>
      </c>
      <c r="G109" s="278" t="s">
        <v>373</v>
      </c>
    </row>
    <row r="110" spans="1:7" ht="20.100000000000001" customHeight="1" x14ac:dyDescent="0.3">
      <c r="A110" s="395" t="s">
        <v>374</v>
      </c>
      <c r="B110" s="280">
        <f>B108+B109</f>
        <v>156.00828252823791</v>
      </c>
      <c r="C110" s="280">
        <f>C108+C109</f>
        <v>155.2149931547068</v>
      </c>
      <c r="D110" s="280">
        <f>D108+D109</f>
        <v>156.88411726389205</v>
      </c>
      <c r="E110" s="280">
        <f>E108+E109</f>
        <v>169.8064149825577</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-9.1707812547540693E-2</v>
      </c>
      <c r="F111" s="281" t="e">
        <f>-1*F110*2000/F102</f>
        <v>#DIV/0!</v>
      </c>
      <c r="G111" s="277" t="s">
        <v>376</v>
      </c>
    </row>
    <row r="112" spans="1:7" ht="20.100000000000001" customHeight="1" x14ac:dyDescent="0.3">
      <c r="A112" s="89" t="s">
        <v>641</v>
      </c>
      <c r="B112" s="10">
        <f>(B111)/'Main Sheet'!B104</f>
        <v>-4.1614496490440496E-3</v>
      </c>
      <c r="C112" s="10">
        <f>(C111)/'Main Sheet'!C104</f>
        <v>-4.1291089921543589E-3</v>
      </c>
      <c r="D112" s="10">
        <f>(D111)/'Main Sheet'!D104</f>
        <v>-4.0616734406702425E-3</v>
      </c>
      <c r="E112" s="10">
        <f>(E111)/'Main Sheet'!E104</f>
        <v>-4.0556548760906043E-3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591</v>
      </c>
      <c r="R3" s="28"/>
      <c r="AH3" s="28"/>
    </row>
    <row r="5" spans="2:48" ht="61.5" customHeight="1" x14ac:dyDescent="0.3">
      <c r="B5" s="379" t="s">
        <v>585</v>
      </c>
      <c r="C5" s="380"/>
      <c r="D5" s="380"/>
      <c r="E5" s="380"/>
      <c r="F5" s="380"/>
      <c r="G5" s="380"/>
      <c r="H5" s="380"/>
      <c r="I5" s="380"/>
      <c r="J5" s="380"/>
      <c r="K5" s="380"/>
      <c r="L5" s="380"/>
      <c r="M5" s="380"/>
      <c r="N5" s="380"/>
    </row>
    <row r="7" spans="2:48" ht="18" x14ac:dyDescent="0.35">
      <c r="B7" s="29" t="s">
        <v>592</v>
      </c>
      <c r="R7" s="29" t="s">
        <v>593</v>
      </c>
      <c r="AH7" s="29" t="s">
        <v>594</v>
      </c>
    </row>
    <row r="9" spans="2:48" x14ac:dyDescent="0.3">
      <c r="B9" s="97"/>
      <c r="C9" s="381" t="s">
        <v>50</v>
      </c>
      <c r="D9" s="381"/>
      <c r="E9" s="381"/>
      <c r="F9" s="381"/>
      <c r="G9" s="381"/>
      <c r="H9" s="381"/>
      <c r="I9" s="381"/>
      <c r="J9" s="381"/>
      <c r="K9" s="381"/>
      <c r="L9" s="381"/>
      <c r="M9" s="381"/>
      <c r="N9" s="382"/>
      <c r="O9" s="155"/>
      <c r="P9" s="148"/>
      <c r="R9" s="97"/>
      <c r="S9" s="381" t="s">
        <v>50</v>
      </c>
      <c r="T9" s="381"/>
      <c r="U9" s="381"/>
      <c r="V9" s="381"/>
      <c r="W9" s="381"/>
      <c r="X9" s="381"/>
      <c r="Y9" s="381"/>
      <c r="Z9" s="381"/>
      <c r="AA9" s="381"/>
      <c r="AB9" s="381"/>
      <c r="AC9" s="381"/>
      <c r="AD9" s="382"/>
      <c r="AE9" s="148"/>
      <c r="AF9" s="182"/>
      <c r="AH9" s="97"/>
      <c r="AI9" s="381" t="s">
        <v>50</v>
      </c>
      <c r="AJ9" s="381"/>
      <c r="AK9" s="381"/>
      <c r="AL9" s="381"/>
      <c r="AM9" s="381"/>
      <c r="AN9" s="381"/>
      <c r="AO9" s="381"/>
      <c r="AP9" s="381"/>
      <c r="AQ9" s="381"/>
      <c r="AR9" s="381"/>
      <c r="AS9" s="381"/>
      <c r="AT9" s="381"/>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586</v>
      </c>
      <c r="R25" s="129" t="s">
        <v>586</v>
      </c>
      <c r="AH25" s="129" t="s">
        <v>586</v>
      </c>
    </row>
    <row r="27" spans="2:48" x14ac:dyDescent="0.3">
      <c r="B27" s="34" t="s">
        <v>95</v>
      </c>
      <c r="R27" s="34" t="s">
        <v>599</v>
      </c>
      <c r="AH27" s="34" t="s">
        <v>96</v>
      </c>
    </row>
    <row r="28" spans="2:48" x14ac:dyDescent="0.3">
      <c r="B28" s="244" t="s">
        <v>330</v>
      </c>
      <c r="R28" s="244" t="s">
        <v>331</v>
      </c>
      <c r="AH28" s="244" t="s">
        <v>332</v>
      </c>
    </row>
    <row r="29" spans="2:48" x14ac:dyDescent="0.3">
      <c r="B29" s="97"/>
      <c r="C29" s="381" t="s">
        <v>50</v>
      </c>
      <c r="D29" s="381"/>
      <c r="E29" s="381"/>
      <c r="F29" s="381"/>
      <c r="G29" s="381"/>
      <c r="H29" s="381"/>
      <c r="I29" s="381"/>
      <c r="J29" s="381"/>
      <c r="K29" s="381"/>
      <c r="L29" s="381"/>
      <c r="M29" s="381"/>
      <c r="N29" s="382"/>
      <c r="R29" s="172"/>
      <c r="S29" s="377" t="s">
        <v>50</v>
      </c>
      <c r="T29" s="377"/>
      <c r="U29" s="377"/>
      <c r="V29" s="377"/>
      <c r="W29" s="377"/>
      <c r="X29" s="377"/>
      <c r="Y29" s="377"/>
      <c r="Z29" s="377"/>
      <c r="AA29" s="377"/>
      <c r="AB29" s="377"/>
      <c r="AC29" s="377"/>
      <c r="AD29" s="378"/>
      <c r="AH29" s="174"/>
      <c r="AI29" s="383" t="s">
        <v>50</v>
      </c>
      <c r="AJ29" s="383"/>
      <c r="AK29" s="383"/>
      <c r="AL29" s="383"/>
      <c r="AM29" s="383"/>
      <c r="AN29" s="383"/>
      <c r="AO29" s="383"/>
      <c r="AP29" s="383"/>
      <c r="AQ29" s="383"/>
      <c r="AR29" s="383"/>
      <c r="AS29" s="383"/>
      <c r="AT29" s="384"/>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672</v>
      </c>
      <c r="R36" s="129" t="s">
        <v>672</v>
      </c>
      <c r="AH36" s="129" t="s">
        <v>672</v>
      </c>
    </row>
    <row r="38" spans="2:48" ht="18" x14ac:dyDescent="0.35">
      <c r="B38" s="29" t="s">
        <v>595</v>
      </c>
      <c r="R38" s="29" t="s">
        <v>600</v>
      </c>
      <c r="AH38" s="29" t="s">
        <v>604</v>
      </c>
    </row>
    <row r="39" spans="2:48" x14ac:dyDescent="0.3">
      <c r="B39" s="175" t="s">
        <v>588</v>
      </c>
      <c r="R39" s="175" t="s">
        <v>588</v>
      </c>
      <c r="AH39" s="175" t="s">
        <v>588</v>
      </c>
    </row>
    <row r="40" spans="2:48" x14ac:dyDescent="0.3">
      <c r="B40" s="175"/>
    </row>
    <row r="41" spans="2:48" x14ac:dyDescent="0.3">
      <c r="B41" s="97"/>
      <c r="C41" s="381" t="s">
        <v>50</v>
      </c>
      <c r="D41" s="381"/>
      <c r="E41" s="381"/>
      <c r="F41" s="381"/>
      <c r="G41" s="381"/>
      <c r="H41" s="381"/>
      <c r="I41" s="381"/>
      <c r="J41" s="381"/>
      <c r="K41" s="381"/>
      <c r="L41" s="381"/>
      <c r="M41" s="381"/>
      <c r="N41" s="381"/>
      <c r="O41" s="176"/>
      <c r="P41" s="100"/>
      <c r="R41" s="97"/>
      <c r="S41" s="381" t="s">
        <v>50</v>
      </c>
      <c r="T41" s="381"/>
      <c r="U41" s="381"/>
      <c r="V41" s="381"/>
      <c r="W41" s="381"/>
      <c r="X41" s="381"/>
      <c r="Y41" s="381"/>
      <c r="Z41" s="381"/>
      <c r="AA41" s="381"/>
      <c r="AB41" s="381"/>
      <c r="AC41" s="381"/>
      <c r="AD41" s="381"/>
      <c r="AE41" s="98"/>
      <c r="AF41" s="100"/>
      <c r="AH41" s="97"/>
      <c r="AI41" s="381" t="s">
        <v>50</v>
      </c>
      <c r="AJ41" s="381"/>
      <c r="AK41" s="381"/>
      <c r="AL41" s="381"/>
      <c r="AM41" s="381"/>
      <c r="AN41" s="381"/>
      <c r="AO41" s="381"/>
      <c r="AP41" s="381"/>
      <c r="AQ41" s="381"/>
      <c r="AR41" s="381"/>
      <c r="AS41" s="381"/>
      <c r="AT41" s="381"/>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596</v>
      </c>
      <c r="R58" s="29" t="s">
        <v>601</v>
      </c>
      <c r="AH58" s="29" t="s">
        <v>605</v>
      </c>
    </row>
    <row r="59" spans="2:48" x14ac:dyDescent="0.3">
      <c r="B59" s="175" t="s">
        <v>588</v>
      </c>
      <c r="R59" s="175" t="s">
        <v>588</v>
      </c>
      <c r="AH59" s="175" t="s">
        <v>588</v>
      </c>
    </row>
    <row r="61" spans="2:48" x14ac:dyDescent="0.3">
      <c r="B61" s="97"/>
      <c r="C61" s="381" t="s">
        <v>50</v>
      </c>
      <c r="D61" s="381"/>
      <c r="E61" s="381"/>
      <c r="F61" s="381"/>
      <c r="G61" s="381"/>
      <c r="H61" s="381"/>
      <c r="I61" s="381"/>
      <c r="J61" s="381"/>
      <c r="K61" s="381"/>
      <c r="L61" s="381"/>
      <c r="M61" s="381"/>
      <c r="N61" s="381"/>
      <c r="O61" s="176"/>
      <c r="P61" s="100"/>
      <c r="R61" s="97"/>
      <c r="S61" s="381" t="s">
        <v>50</v>
      </c>
      <c r="T61" s="381"/>
      <c r="U61" s="381"/>
      <c r="V61" s="381"/>
      <c r="W61" s="381"/>
      <c r="X61" s="381"/>
      <c r="Y61" s="381"/>
      <c r="Z61" s="381"/>
      <c r="AA61" s="381"/>
      <c r="AB61" s="381"/>
      <c r="AC61" s="381"/>
      <c r="AD61" s="381"/>
      <c r="AE61" s="176"/>
      <c r="AF61" s="100"/>
      <c r="AH61" s="97"/>
      <c r="AI61" s="381" t="s">
        <v>50</v>
      </c>
      <c r="AJ61" s="381"/>
      <c r="AK61" s="381"/>
      <c r="AL61" s="381"/>
      <c r="AM61" s="381"/>
      <c r="AN61" s="381"/>
      <c r="AO61" s="381"/>
      <c r="AP61" s="381"/>
      <c r="AQ61" s="381"/>
      <c r="AR61" s="381"/>
      <c r="AS61" s="381"/>
      <c r="AT61" s="381"/>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597</v>
      </c>
      <c r="R78" s="29" t="s">
        <v>602</v>
      </c>
      <c r="AH78" s="29" t="s">
        <v>606</v>
      </c>
    </row>
    <row r="79" spans="2:48" x14ac:dyDescent="0.3">
      <c r="B79" s="175" t="s">
        <v>588</v>
      </c>
      <c r="R79" s="175" t="s">
        <v>588</v>
      </c>
      <c r="AH79" s="175" t="s">
        <v>588</v>
      </c>
    </row>
    <row r="81" spans="2:48" x14ac:dyDescent="0.3">
      <c r="B81" s="97"/>
      <c r="C81" s="381" t="s">
        <v>50</v>
      </c>
      <c r="D81" s="381"/>
      <c r="E81" s="381"/>
      <c r="F81" s="381"/>
      <c r="G81" s="381"/>
      <c r="H81" s="381"/>
      <c r="I81" s="381"/>
      <c r="J81" s="381"/>
      <c r="K81" s="381"/>
      <c r="L81" s="381"/>
      <c r="M81" s="381"/>
      <c r="N81" s="381"/>
      <c r="O81" s="176"/>
      <c r="P81" s="100"/>
      <c r="R81" s="97"/>
      <c r="S81" s="381" t="s">
        <v>50</v>
      </c>
      <c r="T81" s="381"/>
      <c r="U81" s="381"/>
      <c r="V81" s="381"/>
      <c r="W81" s="381"/>
      <c r="X81" s="381"/>
      <c r="Y81" s="381"/>
      <c r="Z81" s="381"/>
      <c r="AA81" s="381"/>
      <c r="AB81" s="381"/>
      <c r="AC81" s="381"/>
      <c r="AD81" s="381"/>
      <c r="AE81" s="176"/>
      <c r="AF81" s="100"/>
      <c r="AH81" s="97"/>
      <c r="AI81" s="381" t="s">
        <v>50</v>
      </c>
      <c r="AJ81" s="381"/>
      <c r="AK81" s="381"/>
      <c r="AL81" s="381"/>
      <c r="AM81" s="381"/>
      <c r="AN81" s="381"/>
      <c r="AO81" s="381"/>
      <c r="AP81" s="381"/>
      <c r="AQ81" s="381"/>
      <c r="AR81" s="381"/>
      <c r="AS81" s="381"/>
      <c r="AT81" s="381"/>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598</v>
      </c>
      <c r="R98" s="29" t="s">
        <v>603</v>
      </c>
      <c r="AH98" s="29" t="s">
        <v>607</v>
      </c>
    </row>
    <row r="99" spans="2:48" x14ac:dyDescent="0.3">
      <c r="B99" s="175" t="s">
        <v>588</v>
      </c>
      <c r="R99" s="175" t="s">
        <v>588</v>
      </c>
      <c r="AH99" s="175" t="s">
        <v>588</v>
      </c>
    </row>
    <row r="101" spans="2:48" x14ac:dyDescent="0.3">
      <c r="B101" s="97"/>
      <c r="C101" s="381" t="s">
        <v>50</v>
      </c>
      <c r="D101" s="381"/>
      <c r="E101" s="381"/>
      <c r="F101" s="381"/>
      <c r="G101" s="381"/>
      <c r="H101" s="381"/>
      <c r="I101" s="381"/>
      <c r="J101" s="381"/>
      <c r="K101" s="381"/>
      <c r="L101" s="381"/>
      <c r="M101" s="381"/>
      <c r="N101" s="381"/>
      <c r="O101" s="176"/>
      <c r="P101" s="100"/>
      <c r="R101" s="97"/>
      <c r="S101" s="381" t="s">
        <v>50</v>
      </c>
      <c r="T101" s="381"/>
      <c r="U101" s="381"/>
      <c r="V101" s="381"/>
      <c r="W101" s="381"/>
      <c r="X101" s="381"/>
      <c r="Y101" s="381"/>
      <c r="Z101" s="381"/>
      <c r="AA101" s="381"/>
      <c r="AB101" s="381"/>
      <c r="AC101" s="381"/>
      <c r="AD101" s="381"/>
      <c r="AE101" s="176"/>
      <c r="AF101" s="100"/>
      <c r="AH101" s="97"/>
      <c r="AI101" s="381" t="s">
        <v>50</v>
      </c>
      <c r="AJ101" s="381"/>
      <c r="AK101" s="381"/>
      <c r="AL101" s="381"/>
      <c r="AM101" s="381"/>
      <c r="AN101" s="381"/>
      <c r="AO101" s="381"/>
      <c r="AP101" s="381"/>
      <c r="AQ101" s="381"/>
      <c r="AR101" s="381"/>
      <c r="AS101" s="381"/>
      <c r="AT101" s="381"/>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586</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abSelected="1" topLeftCell="AC14" zoomScale="85" zoomScaleNormal="85" workbookViewId="0">
      <selection activeCell="AL52" sqref="AL52"/>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643</v>
      </c>
    </row>
    <row r="4" spans="2:14" ht="21" x14ac:dyDescent="0.4">
      <c r="B4" s="28"/>
    </row>
    <row r="5" spans="2:14" ht="137.25" customHeight="1" x14ac:dyDescent="0.3">
      <c r="B5" s="387" t="s">
        <v>647</v>
      </c>
      <c r="C5" s="388"/>
      <c r="D5" s="388"/>
      <c r="E5" s="388"/>
      <c r="F5" s="388"/>
      <c r="G5" s="388"/>
      <c r="H5" s="388"/>
      <c r="I5" s="388"/>
      <c r="J5" s="388"/>
      <c r="K5" s="388"/>
      <c r="L5" s="388"/>
      <c r="M5" s="388"/>
      <c r="N5" s="388"/>
    </row>
    <row r="8" spans="2:14" ht="18" x14ac:dyDescent="0.35">
      <c r="B8" s="29" t="s">
        <v>626</v>
      </c>
    </row>
    <row r="10" spans="2:14" x14ac:dyDescent="0.3">
      <c r="B10" s="68"/>
      <c r="C10" s="385" t="s">
        <v>334</v>
      </c>
      <c r="D10" s="385"/>
      <c r="E10" s="385"/>
      <c r="F10" s="385"/>
      <c r="G10" s="385"/>
      <c r="H10" s="385"/>
      <c r="I10" s="385"/>
      <c r="J10" s="385"/>
      <c r="K10" s="385"/>
      <c r="L10" s="385"/>
      <c r="M10" s="385"/>
      <c r="N10" s="385"/>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99">
        <v>15.420596406315401</v>
      </c>
      <c r="D12" s="399">
        <v>28.6673893228647</v>
      </c>
      <c r="E12" s="399">
        <v>23.632076911501301</v>
      </c>
      <c r="F12" s="399">
        <v>29.1476169338071</v>
      </c>
      <c r="G12" s="399">
        <v>47.730433866924301</v>
      </c>
      <c r="H12" s="399">
        <v>52.387363174812997</v>
      </c>
      <c r="I12" s="400">
        <v>81.346259003401997</v>
      </c>
      <c r="J12" s="399">
        <v>58.804223465643297</v>
      </c>
      <c r="K12" s="399">
        <v>63.039357693499099</v>
      </c>
      <c r="L12" s="399">
        <v>72.3060237413208</v>
      </c>
      <c r="M12" s="399">
        <v>81.346259003401997</v>
      </c>
      <c r="N12" s="399">
        <v>58.804223465643297</v>
      </c>
    </row>
    <row r="13" spans="2:14" x14ac:dyDescent="0.3">
      <c r="B13" s="25" t="s">
        <v>43</v>
      </c>
      <c r="C13" s="399">
        <v>29.4451704563295</v>
      </c>
      <c r="D13" s="399">
        <v>25.8739623262009</v>
      </c>
      <c r="E13" s="399">
        <v>39.848116036428799</v>
      </c>
      <c r="F13" s="399">
        <v>36.029186850630097</v>
      </c>
      <c r="G13" s="399">
        <v>41.465209764588501</v>
      </c>
      <c r="H13" s="399">
        <v>43.932833121346299</v>
      </c>
      <c r="I13" s="400">
        <v>83.217502574599905</v>
      </c>
      <c r="J13" s="399">
        <v>50.809888729755301</v>
      </c>
      <c r="K13" s="399">
        <v>56.894912067511903</v>
      </c>
      <c r="L13" s="399">
        <v>79.689720229647506</v>
      </c>
      <c r="M13" s="399">
        <v>83.217502574599905</v>
      </c>
      <c r="N13" s="399">
        <v>50.809888729755301</v>
      </c>
    </row>
    <row r="14" spans="2:14" x14ac:dyDescent="0.3">
      <c r="B14" s="25" t="s">
        <v>44</v>
      </c>
      <c r="C14" s="399">
        <v>28.053568823587501</v>
      </c>
      <c r="D14" s="399">
        <v>42.771502439857002</v>
      </c>
      <c r="E14" s="399">
        <v>16.1035412051089</v>
      </c>
      <c r="F14" s="399">
        <v>36.583441622742498</v>
      </c>
      <c r="G14" s="399">
        <v>63.076439091237503</v>
      </c>
      <c r="H14" s="399">
        <v>65.423085952401294</v>
      </c>
      <c r="I14" s="400">
        <v>88.227660468791399</v>
      </c>
      <c r="J14" s="399">
        <v>71.555158136246007</v>
      </c>
      <c r="K14" s="399">
        <v>78.465345634298103</v>
      </c>
      <c r="L14" s="399">
        <v>79.112138269302704</v>
      </c>
      <c r="M14" s="399">
        <v>88.227660468791399</v>
      </c>
      <c r="N14" s="399">
        <v>71.555158136246007</v>
      </c>
    </row>
    <row r="15" spans="2:14" x14ac:dyDescent="0.3">
      <c r="B15" s="25" t="s">
        <v>45</v>
      </c>
      <c r="C15" s="399">
        <v>34.239216991727602</v>
      </c>
      <c r="D15" s="399">
        <v>40.504157220158902</v>
      </c>
      <c r="E15" s="399">
        <v>39.256211725500798</v>
      </c>
      <c r="F15" s="399">
        <v>24.981813434737902</v>
      </c>
      <c r="G15" s="399">
        <v>60.2845001324172</v>
      </c>
      <c r="H15" s="399">
        <v>59.412066391108603</v>
      </c>
      <c r="I15" s="400">
        <v>69.158018294144796</v>
      </c>
      <c r="J15" s="399">
        <v>65.926565809202899</v>
      </c>
      <c r="K15" s="399">
        <v>75.285071607880994</v>
      </c>
      <c r="L15" s="399">
        <v>62.956059188091103</v>
      </c>
      <c r="M15" s="399">
        <v>69.158018294144796</v>
      </c>
      <c r="N15" s="399">
        <v>65.926565809202899</v>
      </c>
    </row>
    <row r="16" spans="2:14" x14ac:dyDescent="0.3">
      <c r="B16" s="25" t="s">
        <v>46</v>
      </c>
      <c r="C16" s="399">
        <v>54.138154792450301</v>
      </c>
      <c r="D16" s="399">
        <v>47.680089150713201</v>
      </c>
      <c r="E16" s="399">
        <v>65.540003425757803</v>
      </c>
      <c r="F16" s="399">
        <v>61.627850949239502</v>
      </c>
      <c r="G16" s="399">
        <v>21.334947324723601</v>
      </c>
      <c r="H16" s="399">
        <v>35.043140854218201</v>
      </c>
      <c r="I16" s="400">
        <v>101.329864362477</v>
      </c>
      <c r="J16" s="399">
        <v>48.935352517725001</v>
      </c>
      <c r="K16" s="399">
        <v>31.665793609619101</v>
      </c>
      <c r="L16" s="399">
        <v>108.039089419977</v>
      </c>
      <c r="M16" s="399">
        <v>101.329864362477</v>
      </c>
      <c r="N16" s="399">
        <v>48.935352517725001</v>
      </c>
    </row>
    <row r="17" spans="2:56" x14ac:dyDescent="0.3">
      <c r="B17" s="25" t="s">
        <v>47</v>
      </c>
      <c r="C17" s="399">
        <v>59.317141629148601</v>
      </c>
      <c r="D17" s="399">
        <v>50.179765040194397</v>
      </c>
      <c r="E17" s="399">
        <v>68.600505757692702</v>
      </c>
      <c r="F17" s="399">
        <v>62.1984902124996</v>
      </c>
      <c r="G17" s="399">
        <v>37.976759241036802</v>
      </c>
      <c r="H17" s="399">
        <v>24.751642108715298</v>
      </c>
      <c r="I17" s="400">
        <v>90.849779254239195</v>
      </c>
      <c r="J17" s="399">
        <v>28.1255434387664</v>
      </c>
      <c r="K17" s="399">
        <v>47.107279541489802</v>
      </c>
      <c r="L17" s="399">
        <v>109.476458448946</v>
      </c>
      <c r="M17" s="399">
        <v>90.849779254239195</v>
      </c>
      <c r="N17" s="399">
        <v>28.1255434387664</v>
      </c>
    </row>
    <row r="18" spans="2:56" x14ac:dyDescent="0.3">
      <c r="B18" s="72" t="s">
        <v>48</v>
      </c>
      <c r="C18" s="401">
        <v>85.913719991714999</v>
      </c>
      <c r="D18" s="401">
        <v>89.948558128009097</v>
      </c>
      <c r="E18" s="401">
        <v>91.110186151156199</v>
      </c>
      <c r="F18" s="401">
        <v>70.5512682795015</v>
      </c>
      <c r="G18" s="401">
        <v>103.368454822464</v>
      </c>
      <c r="H18" s="401">
        <v>90.534165651693996</v>
      </c>
      <c r="I18" s="402">
        <v>58.481253321319898</v>
      </c>
      <c r="J18" s="401">
        <v>90.279903319146896</v>
      </c>
      <c r="K18" s="401">
        <v>118.02442153294901</v>
      </c>
      <c r="L18" s="401">
        <v>67.0185921423965</v>
      </c>
      <c r="M18" s="401">
        <v>58.481253321319898</v>
      </c>
      <c r="N18" s="401">
        <v>90.279903319146896</v>
      </c>
    </row>
    <row r="19" spans="2:56" x14ac:dyDescent="0.3">
      <c r="B19" s="25" t="s">
        <v>513</v>
      </c>
      <c r="C19" s="399">
        <v>63.133626654341398</v>
      </c>
      <c r="D19" s="399">
        <v>54.270504073641597</v>
      </c>
      <c r="E19" s="399">
        <v>72.295359891526203</v>
      </c>
      <c r="F19" s="399">
        <v>66.354885641577198</v>
      </c>
      <c r="G19" s="399">
        <v>49.2772930021208</v>
      </c>
      <c r="H19" s="399">
        <v>27.429048641408102</v>
      </c>
      <c r="I19" s="400">
        <v>91.403211686346296</v>
      </c>
      <c r="J19" s="399" t="s">
        <v>663</v>
      </c>
      <c r="K19" s="399" t="s">
        <v>663</v>
      </c>
      <c r="L19" s="399" t="s">
        <v>663</v>
      </c>
      <c r="M19" s="399" t="s">
        <v>663</v>
      </c>
      <c r="N19" s="399" t="s">
        <v>663</v>
      </c>
    </row>
    <row r="20" spans="2:56" x14ac:dyDescent="0.3">
      <c r="B20" s="25" t="s">
        <v>514</v>
      </c>
      <c r="C20" s="399">
        <v>69.653430445313901</v>
      </c>
      <c r="D20" s="399">
        <v>63.303873619549798</v>
      </c>
      <c r="E20" s="399">
        <v>81.179222707545506</v>
      </c>
      <c r="F20" s="399">
        <v>77.175138886926206</v>
      </c>
      <c r="G20" s="399">
        <v>32.696620779890402</v>
      </c>
      <c r="H20" s="399">
        <v>46.513446460685799</v>
      </c>
      <c r="I20" s="400">
        <v>116.616197374132</v>
      </c>
      <c r="J20" s="399" t="s">
        <v>663</v>
      </c>
      <c r="K20" s="399" t="s">
        <v>663</v>
      </c>
      <c r="L20" s="399" t="s">
        <v>663</v>
      </c>
      <c r="M20" s="399" t="s">
        <v>663</v>
      </c>
      <c r="N20" s="399" t="s">
        <v>663</v>
      </c>
    </row>
    <row r="21" spans="2:56" x14ac:dyDescent="0.3">
      <c r="B21" s="25" t="s">
        <v>515</v>
      </c>
      <c r="C21" s="399">
        <v>75.642517616389796</v>
      </c>
      <c r="D21" s="399">
        <v>83.014700728429702</v>
      </c>
      <c r="E21" s="399">
        <v>81.655562445457903</v>
      </c>
      <c r="F21" s="399">
        <v>63.208540418465098</v>
      </c>
      <c r="G21" s="399">
        <v>104.564772939294</v>
      </c>
      <c r="H21" s="399">
        <v>105.859696086583</v>
      </c>
      <c r="I21" s="400">
        <v>67.342785603470304</v>
      </c>
      <c r="J21" s="399" t="s">
        <v>663</v>
      </c>
      <c r="K21" s="399" t="s">
        <v>663</v>
      </c>
      <c r="L21" s="399" t="s">
        <v>663</v>
      </c>
      <c r="M21" s="399" t="s">
        <v>663</v>
      </c>
      <c r="N21" s="399" t="s">
        <v>663</v>
      </c>
    </row>
    <row r="22" spans="2:56" x14ac:dyDescent="0.3">
      <c r="B22" s="25" t="s">
        <v>516</v>
      </c>
      <c r="C22" s="399">
        <v>85.913719991714999</v>
      </c>
      <c r="D22" s="399">
        <v>89.948558128009097</v>
      </c>
      <c r="E22" s="399">
        <v>91.110186151156199</v>
      </c>
      <c r="F22" s="399">
        <v>70.5512682795015</v>
      </c>
      <c r="G22" s="399">
        <v>103.368454822464</v>
      </c>
      <c r="H22" s="399">
        <v>90.534165651693996</v>
      </c>
      <c r="I22" s="400">
        <v>58.481253321319898</v>
      </c>
      <c r="J22" s="399" t="s">
        <v>663</v>
      </c>
      <c r="K22" s="399" t="s">
        <v>663</v>
      </c>
      <c r="L22" s="399" t="s">
        <v>663</v>
      </c>
      <c r="M22" s="399" t="s">
        <v>663</v>
      </c>
      <c r="N22" s="399" t="s">
        <v>663</v>
      </c>
    </row>
    <row r="23" spans="2:56" x14ac:dyDescent="0.3">
      <c r="B23" s="25" t="s">
        <v>517</v>
      </c>
      <c r="C23" s="399">
        <v>63.133626654341398</v>
      </c>
      <c r="D23" s="399">
        <v>54.270504073641597</v>
      </c>
      <c r="E23" s="399">
        <v>72.295359891526203</v>
      </c>
      <c r="F23" s="399">
        <v>66.354885641577198</v>
      </c>
      <c r="G23" s="399">
        <v>49.2772930021208</v>
      </c>
      <c r="H23" s="399">
        <v>27.429048641408102</v>
      </c>
      <c r="I23" s="400">
        <v>91.403211686346296</v>
      </c>
      <c r="J23" s="399" t="s">
        <v>663</v>
      </c>
      <c r="K23" s="399" t="s">
        <v>663</v>
      </c>
      <c r="L23" s="399" t="s">
        <v>663</v>
      </c>
      <c r="M23" s="399" t="s">
        <v>663</v>
      </c>
      <c r="N23" s="399" t="s">
        <v>663</v>
      </c>
    </row>
    <row r="25" spans="2:56" x14ac:dyDescent="0.3">
      <c r="B25" s="363" t="s">
        <v>99</v>
      </c>
      <c r="C25" s="363"/>
      <c r="D25" s="363"/>
      <c r="E25" s="363"/>
      <c r="F25" s="363"/>
      <c r="G25" s="363"/>
      <c r="H25" s="363"/>
      <c r="I25" s="363"/>
      <c r="J25" s="363"/>
      <c r="K25" s="363"/>
      <c r="L25" s="363"/>
      <c r="M25" s="363"/>
      <c r="N25" s="363"/>
    </row>
    <row r="26" spans="2:56" x14ac:dyDescent="0.3">
      <c r="B26" s="244" t="s">
        <v>587</v>
      </c>
      <c r="C26" s="350"/>
      <c r="D26" s="350"/>
      <c r="E26" s="350"/>
      <c r="F26" s="350"/>
      <c r="G26" s="350"/>
      <c r="H26" s="350"/>
      <c r="I26" s="350"/>
      <c r="J26" s="350"/>
      <c r="K26" s="350"/>
      <c r="L26" s="350"/>
      <c r="M26" s="350"/>
      <c r="N26" s="350"/>
    </row>
    <row r="27" spans="2:56" x14ac:dyDescent="0.3">
      <c r="B27" s="363" t="s">
        <v>673</v>
      </c>
      <c r="C27" s="363"/>
      <c r="D27" s="363"/>
      <c r="E27" s="363"/>
      <c r="F27" s="363"/>
      <c r="G27" s="363"/>
      <c r="H27" s="363"/>
      <c r="I27" s="363"/>
      <c r="J27" s="363"/>
      <c r="K27" s="363"/>
      <c r="L27" s="363"/>
      <c r="M27" s="363"/>
      <c r="N27" s="363"/>
    </row>
    <row r="28" spans="2:56" ht="30" customHeight="1" x14ac:dyDescent="0.3">
      <c r="B28" s="364" t="s">
        <v>608</v>
      </c>
      <c r="C28" s="364"/>
      <c r="D28" s="364"/>
      <c r="E28" s="364"/>
      <c r="F28" s="364"/>
      <c r="G28" s="364"/>
      <c r="H28" s="364"/>
      <c r="I28" s="364"/>
      <c r="J28" s="364"/>
      <c r="K28" s="364"/>
      <c r="L28" s="364"/>
      <c r="M28" s="364"/>
      <c r="N28" s="364"/>
    </row>
    <row r="29" spans="2:56" x14ac:dyDescent="0.3">
      <c r="B29" s="363" t="s">
        <v>112</v>
      </c>
      <c r="C29" s="363"/>
      <c r="D29" s="363"/>
      <c r="E29" s="363"/>
      <c r="F29" s="363"/>
      <c r="G29" s="363"/>
      <c r="H29" s="363"/>
      <c r="I29" s="363"/>
      <c r="J29" s="363"/>
      <c r="K29" s="363"/>
      <c r="L29" s="363"/>
      <c r="M29" s="363"/>
      <c r="N29" s="363"/>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619</v>
      </c>
      <c r="P32" s="29" t="s">
        <v>620</v>
      </c>
      <c r="Q32" s="29"/>
      <c r="AD32" s="29" t="s">
        <v>621</v>
      </c>
      <c r="AR32" s="29" t="s">
        <v>622</v>
      </c>
      <c r="AS32" s="29"/>
    </row>
    <row r="34" spans="2:56" x14ac:dyDescent="0.3">
      <c r="C34" s="385" t="s">
        <v>334</v>
      </c>
      <c r="D34" s="385"/>
      <c r="E34" s="385"/>
      <c r="F34" s="385"/>
      <c r="G34" s="385"/>
      <c r="H34" s="385"/>
      <c r="I34" s="385"/>
      <c r="J34" s="385"/>
      <c r="K34" s="385"/>
      <c r="L34" s="385"/>
      <c r="M34" s="385"/>
      <c r="N34" s="385"/>
      <c r="P34" s="68"/>
      <c r="Q34" s="385" t="s">
        <v>334</v>
      </c>
      <c r="R34" s="385"/>
      <c r="S34" s="385"/>
      <c r="T34" s="385"/>
      <c r="U34" s="385"/>
      <c r="V34" s="385"/>
      <c r="W34" s="385"/>
      <c r="X34" s="385"/>
      <c r="Y34" s="385"/>
      <c r="Z34" s="385"/>
      <c r="AA34" s="385"/>
      <c r="AB34" s="385"/>
      <c r="AD34" s="68"/>
      <c r="AE34" s="385" t="s">
        <v>334</v>
      </c>
      <c r="AF34" s="385"/>
      <c r="AG34" s="385"/>
      <c r="AH34" s="385"/>
      <c r="AI34" s="385"/>
      <c r="AJ34" s="385"/>
      <c r="AK34" s="385"/>
      <c r="AL34" s="385"/>
      <c r="AM34" s="385"/>
      <c r="AN34" s="385"/>
      <c r="AO34" s="385"/>
      <c r="AP34" s="385"/>
      <c r="AR34" s="68"/>
      <c r="AS34" s="385" t="s">
        <v>334</v>
      </c>
      <c r="AT34" s="385"/>
      <c r="AU34" s="385"/>
      <c r="AV34" s="385"/>
      <c r="AW34" s="385"/>
      <c r="AX34" s="385"/>
      <c r="AY34" s="385"/>
      <c r="AZ34" s="385"/>
      <c r="BA34" s="385"/>
      <c r="BB34" s="385"/>
      <c r="BC34" s="385"/>
      <c r="BD34" s="385"/>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419">
        <v>-1.39936863788748E-2</v>
      </c>
      <c r="AF36" s="419">
        <v>-0.386806341403922</v>
      </c>
      <c r="AG36" s="419">
        <v>-0.58674296450227104</v>
      </c>
      <c r="AH36" s="419">
        <v>-4.2055337414353702E-2</v>
      </c>
      <c r="AI36" s="419">
        <v>-3.1181497996264799E-2</v>
      </c>
      <c r="AJ36" s="419">
        <v>-0.31022864010183998</v>
      </c>
      <c r="AK36" s="416">
        <v>-4.4076923442304397E-3</v>
      </c>
      <c r="AL36" s="415">
        <v>-0.31735232437899402</v>
      </c>
      <c r="AM36" s="415">
        <v>0</v>
      </c>
      <c r="AN36" s="415">
        <v>0</v>
      </c>
      <c r="AO36" s="415">
        <v>-4.4076923442304397E-3</v>
      </c>
      <c r="AP36" s="415">
        <v>-0.31735232437899402</v>
      </c>
      <c r="AR36" s="25" t="s">
        <v>42</v>
      </c>
      <c r="AS36" s="83"/>
      <c r="AT36" s="83"/>
      <c r="AU36" s="83"/>
      <c r="AV36" s="83"/>
      <c r="AW36" s="83"/>
      <c r="AX36" s="83"/>
      <c r="AY36" s="85"/>
      <c r="AZ36" s="50"/>
      <c r="BA36" s="50"/>
      <c r="BB36" s="50"/>
      <c r="BC36" s="50"/>
      <c r="BD36" s="50"/>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415">
        <v>-0.20518521152640901</v>
      </c>
      <c r="AF37" s="415">
        <v>-0.327624259235204</v>
      </c>
      <c r="AG37" s="415">
        <v>-0.74974733497644097</v>
      </c>
      <c r="AH37" s="415">
        <v>-0.20372931811943601</v>
      </c>
      <c r="AI37" s="415">
        <v>-0.254738561679623</v>
      </c>
      <c r="AJ37" s="415">
        <v>-4.1413577499668001E-2</v>
      </c>
      <c r="AK37" s="416">
        <v>-0.108267618905685</v>
      </c>
      <c r="AL37" s="415">
        <v>-2.29239985198646E-2</v>
      </c>
      <c r="AM37" s="415">
        <v>-0.243924370342882</v>
      </c>
      <c r="AN37" s="415">
        <v>-0.19324978018849501</v>
      </c>
      <c r="AO37" s="415">
        <v>-0.108267618905685</v>
      </c>
      <c r="AP37" s="415">
        <v>-2.29239985198646E-2</v>
      </c>
      <c r="AR37" s="25" t="s">
        <v>43</v>
      </c>
      <c r="AS37" s="50"/>
      <c r="AT37" s="50"/>
      <c r="AU37" s="50"/>
      <c r="AV37" s="50"/>
      <c r="AW37" s="50"/>
      <c r="AX37" s="50"/>
      <c r="AY37" s="85"/>
      <c r="AZ37" s="50"/>
      <c r="BA37" s="50"/>
      <c r="BB37" s="50"/>
      <c r="BC37" s="50"/>
      <c r="BD37" s="50"/>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415">
        <v>-2.3311429303820299</v>
      </c>
      <c r="AF38" s="415">
        <v>-3.2746054277621299</v>
      </c>
      <c r="AG38" s="415">
        <v>-0.91072469230580899</v>
      </c>
      <c r="AH38" s="415">
        <v>-3.6733723133592999</v>
      </c>
      <c r="AI38" s="415">
        <v>-2.3733523003961401</v>
      </c>
      <c r="AJ38" s="415">
        <v>-3.6859591177048099</v>
      </c>
      <c r="AK38" s="416">
        <v>-2.5042864630408301</v>
      </c>
      <c r="AL38" s="415">
        <v>-3.7183554304406998</v>
      </c>
      <c r="AM38" s="415">
        <v>-2.2663582010472001</v>
      </c>
      <c r="AN38" s="415">
        <v>-1.9753169120626199</v>
      </c>
      <c r="AO38" s="415">
        <v>-2.5042864630408301</v>
      </c>
      <c r="AP38" s="415">
        <v>-3.7183554304406998</v>
      </c>
      <c r="AR38" s="25" t="s">
        <v>44</v>
      </c>
      <c r="AS38" s="50"/>
      <c r="AT38" s="50"/>
      <c r="AU38" s="50"/>
      <c r="AV38" s="50"/>
      <c r="AW38" s="50"/>
      <c r="AX38" s="50"/>
      <c r="AY38" s="85"/>
      <c r="AZ38" s="50"/>
      <c r="BA38" s="50"/>
      <c r="BB38" s="50"/>
      <c r="BC38" s="50"/>
      <c r="BD38" s="50"/>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415">
        <v>-0.121647042338793</v>
      </c>
      <c r="AF39" s="415">
        <v>-0.49005039439506198</v>
      </c>
      <c r="AG39" s="415">
        <v>-2.9414705053638599</v>
      </c>
      <c r="AH39" s="415">
        <v>-0.187843543475818</v>
      </c>
      <c r="AI39" s="415">
        <v>-0.106997415106498</v>
      </c>
      <c r="AJ39" s="415">
        <v>-0.119904704390684</v>
      </c>
      <c r="AK39" s="416">
        <v>-3.4317746897116301E-2</v>
      </c>
      <c r="AL39" s="415">
        <v>-0.12046645779915401</v>
      </c>
      <c r="AM39" s="415">
        <v>-9.6594195060546895E-2</v>
      </c>
      <c r="AN39" s="415">
        <v>-1.7374095071126298E-2</v>
      </c>
      <c r="AO39" s="415">
        <v>-3.4317746897116301E-2</v>
      </c>
      <c r="AP39" s="415">
        <v>-0.12046645779915401</v>
      </c>
      <c r="AR39" s="25" t="s">
        <v>45</v>
      </c>
      <c r="AS39" s="50"/>
      <c r="AT39" s="50"/>
      <c r="AU39" s="50"/>
      <c r="AV39" s="50"/>
      <c r="AW39" s="50"/>
      <c r="AX39" s="50"/>
      <c r="AY39" s="85"/>
      <c r="AZ39" s="50"/>
      <c r="BA39" s="50"/>
      <c r="BB39" s="50"/>
      <c r="BC39" s="50"/>
      <c r="BD39" s="50"/>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415">
        <v>-1.65051925378495</v>
      </c>
      <c r="AF40" s="415">
        <v>-1.79091824006991</v>
      </c>
      <c r="AG40" s="415">
        <v>-1.8678371415322099</v>
      </c>
      <c r="AH40" s="415">
        <v>-1.4508261482260301</v>
      </c>
      <c r="AI40" s="415">
        <v>-4.4704013488825502E-3</v>
      </c>
      <c r="AJ40" s="415">
        <v>-2.3343511585949298E-6</v>
      </c>
      <c r="AK40" s="416">
        <v>-0.71109911070929899</v>
      </c>
      <c r="AL40" s="415">
        <v>0</v>
      </c>
      <c r="AM40" s="415">
        <v>-2.10323178671246E-3</v>
      </c>
      <c r="AN40" s="415">
        <v>-1.6441281698583601</v>
      </c>
      <c r="AO40" s="415">
        <v>-0.71109911070929899</v>
      </c>
      <c r="AP40" s="415">
        <v>0</v>
      </c>
      <c r="AR40" s="25" t="s">
        <v>46</v>
      </c>
      <c r="AS40" s="50"/>
      <c r="AT40" s="50"/>
      <c r="AU40" s="50"/>
      <c r="AV40" s="50"/>
      <c r="AW40" s="50"/>
      <c r="AX40" s="50"/>
      <c r="AY40" s="85"/>
      <c r="AZ40" s="50"/>
      <c r="BA40" s="50"/>
      <c r="BB40" s="50"/>
      <c r="BC40" s="50"/>
      <c r="BD40" s="50"/>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415">
        <v>-0.30055051404914901</v>
      </c>
      <c r="AF41" s="415">
        <v>-0.41906478847782602</v>
      </c>
      <c r="AG41" s="415">
        <v>-0.477292180845652</v>
      </c>
      <c r="AH41" s="415">
        <v>-0.103324776036615</v>
      </c>
      <c r="AI41" s="415">
        <v>-3.4560696668961602E-5</v>
      </c>
      <c r="AJ41" s="415">
        <v>0</v>
      </c>
      <c r="AK41" s="416">
        <v>-5.6250565736220899E-2</v>
      </c>
      <c r="AL41" s="415">
        <v>0</v>
      </c>
      <c r="AM41" s="415">
        <v>0</v>
      </c>
      <c r="AN41" s="415">
        <v>-0.14859861486098699</v>
      </c>
      <c r="AO41" s="415">
        <v>-5.6250565736220899E-2</v>
      </c>
      <c r="AP41" s="415">
        <v>0</v>
      </c>
      <c r="AR41" s="25" t="s">
        <v>47</v>
      </c>
      <c r="AS41" s="50"/>
      <c r="AT41" s="50"/>
      <c r="AU41" s="50"/>
      <c r="AV41" s="50"/>
      <c r="AW41" s="50"/>
      <c r="AX41" s="50"/>
      <c r="AY41" s="85"/>
      <c r="AZ41" s="50"/>
      <c r="BA41" s="50"/>
      <c r="BB41" s="50"/>
      <c r="BC41" s="50"/>
      <c r="BD41" s="50"/>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417">
        <v>-4.9717493013247301E-2</v>
      </c>
      <c r="AF42" s="417">
        <v>-0.39139414405043699</v>
      </c>
      <c r="AG42" s="417">
        <v>-2.3608767532569601</v>
      </c>
      <c r="AH42" s="417">
        <v>-3.50913264807673E-2</v>
      </c>
      <c r="AI42" s="417">
        <v>-4.3694593503715903E-3</v>
      </c>
      <c r="AJ42" s="417">
        <v>0</v>
      </c>
      <c r="AK42" s="418">
        <v>0</v>
      </c>
      <c r="AL42" s="417">
        <v>0</v>
      </c>
      <c r="AM42" s="417">
        <v>0</v>
      </c>
      <c r="AN42" s="417">
        <v>0</v>
      </c>
      <c r="AO42" s="417">
        <v>0</v>
      </c>
      <c r="AP42" s="417">
        <v>0</v>
      </c>
      <c r="AR42" s="72" t="s">
        <v>48</v>
      </c>
      <c r="AS42" s="75"/>
      <c r="AT42" s="75"/>
      <c r="AU42" s="75"/>
      <c r="AV42" s="75"/>
      <c r="AW42" s="75"/>
      <c r="AX42" s="75"/>
      <c r="AY42" s="86"/>
      <c r="AZ42" s="75"/>
      <c r="BA42" s="75"/>
      <c r="BB42" s="75"/>
      <c r="BC42" s="75"/>
      <c r="BD42" s="75"/>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415">
        <v>0</v>
      </c>
      <c r="AF43" s="415">
        <v>-0.175410560774758</v>
      </c>
      <c r="AG43" s="415">
        <v>-0.234554420633515</v>
      </c>
      <c r="AH43" s="415">
        <v>-4.4877752294638596E-3</v>
      </c>
      <c r="AI43" s="415">
        <v>0</v>
      </c>
      <c r="AJ43" s="415">
        <v>0</v>
      </c>
      <c r="AK43" s="416">
        <v>0</v>
      </c>
      <c r="AL43" s="415" t="s">
        <v>663</v>
      </c>
      <c r="AM43" s="415" t="s">
        <v>663</v>
      </c>
      <c r="AN43" s="415" t="s">
        <v>663</v>
      </c>
      <c r="AO43" s="415" t="s">
        <v>663</v>
      </c>
      <c r="AP43" s="415" t="s">
        <v>663</v>
      </c>
      <c r="AR43" s="25" t="s">
        <v>513</v>
      </c>
      <c r="AS43" s="50"/>
      <c r="AT43" s="50"/>
      <c r="AU43" s="50"/>
      <c r="AV43" s="50"/>
      <c r="AW43" s="50"/>
      <c r="AX43" s="50"/>
      <c r="AY43" s="85"/>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415">
        <v>-1.8472095953451599</v>
      </c>
      <c r="AF44" s="415">
        <v>-1.9225846853692401</v>
      </c>
      <c r="AG44" s="415">
        <v>-2.0817648055705602</v>
      </c>
      <c r="AH44" s="415">
        <v>-1.6378567888231701</v>
      </c>
      <c r="AI44" s="415">
        <v>0</v>
      </c>
      <c r="AJ44" s="415">
        <v>0</v>
      </c>
      <c r="AK44" s="416">
        <v>-0.79532655080160497</v>
      </c>
      <c r="AL44" s="415" t="s">
        <v>663</v>
      </c>
      <c r="AM44" s="415" t="s">
        <v>663</v>
      </c>
      <c r="AN44" s="415" t="s">
        <v>663</v>
      </c>
      <c r="AO44" s="415" t="s">
        <v>663</v>
      </c>
      <c r="AP44" s="415" t="s">
        <v>663</v>
      </c>
      <c r="AR44" s="25" t="s">
        <v>514</v>
      </c>
      <c r="AS44" s="50"/>
      <c r="AT44" s="50"/>
      <c r="AU44" s="50"/>
      <c r="AV44" s="50"/>
      <c r="AW44" s="50"/>
      <c r="AX44" s="50"/>
      <c r="AY44" s="85"/>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415">
        <v>0</v>
      </c>
      <c r="AF45" s="415">
        <v>-0.437159126842943</v>
      </c>
      <c r="AG45" s="415">
        <v>-1.3049595122641799</v>
      </c>
      <c r="AH45" s="415">
        <v>-2.49764954515257E-2</v>
      </c>
      <c r="AI45" s="415">
        <v>-9.9873364456328807E-3</v>
      </c>
      <c r="AJ45" s="415">
        <v>0</v>
      </c>
      <c r="AK45" s="416">
        <v>0</v>
      </c>
      <c r="AL45" s="415" t="s">
        <v>663</v>
      </c>
      <c r="AM45" s="415" t="s">
        <v>663</v>
      </c>
      <c r="AN45" s="399" t="s">
        <v>663</v>
      </c>
      <c r="AO45" s="415" t="s">
        <v>663</v>
      </c>
      <c r="AP45" s="415" t="s">
        <v>663</v>
      </c>
      <c r="AR45" s="25" t="s">
        <v>515</v>
      </c>
      <c r="AS45" s="50"/>
      <c r="AT45" s="50"/>
      <c r="AU45" s="50"/>
      <c r="AV45" s="50"/>
      <c r="AW45" s="50"/>
      <c r="AX45" s="50"/>
      <c r="AY45" s="85"/>
      <c r="AZ45" s="50"/>
      <c r="BA45" s="50"/>
      <c r="BB45" s="208"/>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415">
        <v>-4.9717493013247301E-2</v>
      </c>
      <c r="AF46" s="415">
        <v>-0.39139414405043699</v>
      </c>
      <c r="AG46" s="415">
        <v>-2.3608767532569601</v>
      </c>
      <c r="AH46" s="415">
        <v>-3.50913264807673E-2</v>
      </c>
      <c r="AI46" s="415">
        <v>-4.3694593503715903E-3</v>
      </c>
      <c r="AJ46" s="415">
        <v>0</v>
      </c>
      <c r="AK46" s="416">
        <v>0</v>
      </c>
      <c r="AL46" s="415" t="s">
        <v>663</v>
      </c>
      <c r="AM46" s="415" t="s">
        <v>663</v>
      </c>
      <c r="AN46" s="415" t="s">
        <v>663</v>
      </c>
      <c r="AO46" s="415" t="s">
        <v>663</v>
      </c>
      <c r="AP46" s="415" t="s">
        <v>663</v>
      </c>
      <c r="AR46" s="25" t="s">
        <v>516</v>
      </c>
      <c r="AS46" s="50"/>
      <c r="AT46" s="50"/>
      <c r="AU46" s="50"/>
      <c r="AV46" s="50"/>
      <c r="AW46" s="50"/>
      <c r="AX46" s="50"/>
      <c r="AY46" s="85"/>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415">
        <v>0</v>
      </c>
      <c r="AF47" s="415">
        <v>-0.175410560774758</v>
      </c>
      <c r="AG47" s="415">
        <v>-0.234554420633515</v>
      </c>
      <c r="AH47" s="415">
        <v>-4.4877752294638596E-3</v>
      </c>
      <c r="AI47" s="415">
        <v>0</v>
      </c>
      <c r="AJ47" s="415">
        <v>0</v>
      </c>
      <c r="AK47" s="416">
        <v>0</v>
      </c>
      <c r="AL47" s="415" t="s">
        <v>663</v>
      </c>
      <c r="AM47" s="415" t="s">
        <v>663</v>
      </c>
      <c r="AN47" s="415" t="s">
        <v>663</v>
      </c>
      <c r="AO47" s="415" t="s">
        <v>663</v>
      </c>
      <c r="AP47" s="415" t="s">
        <v>663</v>
      </c>
      <c r="AR47" s="25" t="s">
        <v>517</v>
      </c>
      <c r="AS47" s="50"/>
      <c r="AT47" s="50"/>
      <c r="AU47" s="50"/>
      <c r="AV47" s="50"/>
      <c r="AW47" s="50"/>
      <c r="AX47" s="50"/>
      <c r="AY47" s="85"/>
      <c r="AZ47" s="50"/>
      <c r="BA47" s="50"/>
      <c r="BB47" s="50"/>
      <c r="BC47" s="50"/>
      <c r="BD47" s="50"/>
    </row>
    <row r="49" spans="2:69" x14ac:dyDescent="0.3">
      <c r="B49" t="s">
        <v>99</v>
      </c>
      <c r="P49" t="s">
        <v>99</v>
      </c>
      <c r="AD49" t="s">
        <v>99</v>
      </c>
      <c r="AR49" t="s">
        <v>99</v>
      </c>
    </row>
    <row r="50" spans="2:69" x14ac:dyDescent="0.3">
      <c r="B50" t="s">
        <v>664</v>
      </c>
      <c r="P50" t="s">
        <v>664</v>
      </c>
      <c r="AD50" t="s">
        <v>664</v>
      </c>
      <c r="AR50" t="s">
        <v>664</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610</v>
      </c>
    </row>
    <row r="57" spans="2:69" ht="18" x14ac:dyDescent="0.35">
      <c r="B57" s="29"/>
    </row>
    <row r="58" spans="2:69" ht="30" customHeight="1" x14ac:dyDescent="0.3">
      <c r="B58" s="30" t="s">
        <v>63</v>
      </c>
      <c r="C58" s="87">
        <f>SUM('Main Sheet'!B11:B13)*6*2</f>
        <v>8388</v>
      </c>
      <c r="D58" s="386" t="s">
        <v>609</v>
      </c>
      <c r="E58" s="386"/>
      <c r="F58" s="386"/>
      <c r="G58" s="386"/>
      <c r="H58" s="386"/>
      <c r="I58" s="386"/>
      <c r="J58" s="386"/>
      <c r="K58" s="386"/>
      <c r="L58" s="386"/>
      <c r="M58" s="386"/>
      <c r="N58" s="386"/>
    </row>
    <row r="59" spans="2:69" x14ac:dyDescent="0.3">
      <c r="B59" s="30" t="s">
        <v>64</v>
      </c>
      <c r="C59" s="87">
        <f>2*0.027*1600000</f>
        <v>86400</v>
      </c>
      <c r="D59" t="s">
        <v>665</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385" t="s">
        <v>334</v>
      </c>
      <c r="D63" s="385"/>
      <c r="E63" s="385"/>
      <c r="F63" s="385"/>
      <c r="G63" s="385"/>
      <c r="H63" s="385"/>
      <c r="I63" s="385"/>
      <c r="J63" s="385"/>
      <c r="K63" s="385"/>
      <c r="L63" s="385"/>
      <c r="M63" s="385"/>
      <c r="N63" s="385"/>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618</v>
      </c>
      <c r="P79" s="29" t="s">
        <v>617</v>
      </c>
      <c r="AD79" s="29" t="s">
        <v>616</v>
      </c>
      <c r="AR79" s="29" t="s">
        <v>615</v>
      </c>
    </row>
    <row r="81" spans="2:56" x14ac:dyDescent="0.3">
      <c r="C81" s="385" t="s">
        <v>334</v>
      </c>
      <c r="D81" s="385"/>
      <c r="E81" s="385"/>
      <c r="F81" s="385"/>
      <c r="G81" s="385"/>
      <c r="H81" s="385"/>
      <c r="I81" s="385"/>
      <c r="J81" s="385"/>
      <c r="K81" s="385"/>
      <c r="L81" s="385"/>
      <c r="M81" s="385"/>
      <c r="N81" s="385"/>
      <c r="Q81" s="385" t="s">
        <v>334</v>
      </c>
      <c r="R81" s="385"/>
      <c r="S81" s="385"/>
      <c r="T81" s="385"/>
      <c r="U81" s="385"/>
      <c r="V81" s="385"/>
      <c r="W81" s="385"/>
      <c r="X81" s="385"/>
      <c r="Y81" s="385"/>
      <c r="Z81" s="385"/>
      <c r="AA81" s="385"/>
      <c r="AB81" s="385"/>
      <c r="AE81" s="385" t="s">
        <v>334</v>
      </c>
      <c r="AF81" s="385"/>
      <c r="AG81" s="385"/>
      <c r="AH81" s="385"/>
      <c r="AI81" s="385"/>
      <c r="AJ81" s="385"/>
      <c r="AK81" s="385"/>
      <c r="AL81" s="385"/>
      <c r="AM81" s="385"/>
      <c r="AN81" s="385"/>
      <c r="AO81" s="385"/>
      <c r="AP81" s="385"/>
      <c r="AS81" s="385" t="s">
        <v>334</v>
      </c>
      <c r="AT81" s="385"/>
      <c r="AU81" s="385"/>
      <c r="AV81" s="385"/>
      <c r="AW81" s="385"/>
      <c r="AX81" s="385"/>
      <c r="AY81" s="385"/>
      <c r="AZ81" s="385"/>
      <c r="BA81" s="385"/>
      <c r="BB81" s="385"/>
      <c r="BC81" s="385"/>
      <c r="BD81" s="385"/>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4.043242451069559E-4</v>
      </c>
      <c r="AF83" s="48">
        <f t="shared" si="10"/>
        <v>1.1176124557630654E-2</v>
      </c>
      <c r="AG83" s="48">
        <f t="shared" si="10"/>
        <v>1.6952960054352283E-2</v>
      </c>
      <c r="AH83" s="48">
        <f t="shared" si="10"/>
        <v>1.2151188823587265E-3</v>
      </c>
      <c r="AI83" s="48">
        <f t="shared" si="10"/>
        <v>9.0093741543874426E-4</v>
      </c>
      <c r="AJ83" s="48">
        <f t="shared" si="10"/>
        <v>8.9635395080091638E-3</v>
      </c>
      <c r="AK83" s="224">
        <f t="shared" si="10"/>
        <v>1.2735292413263151E-4</v>
      </c>
      <c r="AL83" s="48">
        <f t="shared" si="10"/>
        <v>9.169366492390401E-3</v>
      </c>
      <c r="AM83" s="48">
        <f t="shared" si="10"/>
        <v>0</v>
      </c>
      <c r="AN83" s="48">
        <f t="shared" si="10"/>
        <v>0</v>
      </c>
      <c r="AO83" s="48">
        <f t="shared" si="10"/>
        <v>1.2735292413263151E-4</v>
      </c>
      <c r="AP83" s="48">
        <f t="shared" si="10"/>
        <v>9.169366492390401E-3</v>
      </c>
      <c r="AR83" s="25" t="s">
        <v>42</v>
      </c>
      <c r="AS83" s="48">
        <f t="shared" ref="AS83:BD89" si="11">IF(C12&gt;0,C65*AS36/(C12),0)</f>
        <v>0</v>
      </c>
      <c r="AT83" s="48">
        <f t="shared" si="11"/>
        <v>0</v>
      </c>
      <c r="AU83" s="48">
        <f t="shared" si="11"/>
        <v>0</v>
      </c>
      <c r="AV83" s="48">
        <f t="shared" si="11"/>
        <v>0</v>
      </c>
      <c r="AW83" s="48">
        <f t="shared" si="11"/>
        <v>0</v>
      </c>
      <c r="AX83" s="48">
        <f t="shared" si="11"/>
        <v>0</v>
      </c>
      <c r="AY83" s="224">
        <f t="shared" si="11"/>
        <v>0</v>
      </c>
      <c r="AZ83" s="48">
        <f t="shared" si="11"/>
        <v>0</v>
      </c>
      <c r="BA83" s="48">
        <f t="shared" si="11"/>
        <v>0</v>
      </c>
      <c r="BB83" s="48">
        <f t="shared" si="11"/>
        <v>0</v>
      </c>
      <c r="BC83" s="48">
        <f t="shared" si="11"/>
        <v>0</v>
      </c>
      <c r="BD83" s="48">
        <f t="shared" si="11"/>
        <v>0</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5.9284847117030449E-3</v>
      </c>
      <c r="AF84" s="48">
        <f t="shared" si="10"/>
        <v>9.4661569301691603E-3</v>
      </c>
      <c r="AG84" s="48">
        <f t="shared" si="10"/>
        <v>2.1662699665252635E-2</v>
      </c>
      <c r="AH84" s="48">
        <f t="shared" si="10"/>
        <v>5.8864190981975711E-3</v>
      </c>
      <c r="AI84" s="48">
        <f t="shared" si="10"/>
        <v>7.3602461754632403E-3</v>
      </c>
      <c r="AJ84" s="48">
        <f t="shared" si="10"/>
        <v>1.1965762992237408E-3</v>
      </c>
      <c r="AK84" s="224">
        <f t="shared" si="10"/>
        <v>3.128212402248259E-3</v>
      </c>
      <c r="AL84" s="48">
        <f t="shared" si="10"/>
        <v>6.623507305672879E-4</v>
      </c>
      <c r="AM84" s="48">
        <f t="shared" si="10"/>
        <v>7.0477881404403383E-3</v>
      </c>
      <c r="AN84" s="48">
        <f t="shared" si="10"/>
        <v>5.5836303155795824E-3</v>
      </c>
      <c r="AO84" s="48">
        <f t="shared" si="10"/>
        <v>3.128212402248259E-3</v>
      </c>
      <c r="AP84" s="48">
        <f t="shared" si="10"/>
        <v>6.623507305672879E-4</v>
      </c>
      <c r="AR84" s="25" t="s">
        <v>43</v>
      </c>
      <c r="AS84" s="48">
        <f t="shared" si="11"/>
        <v>0</v>
      </c>
      <c r="AT84" s="48">
        <f t="shared" si="11"/>
        <v>0</v>
      </c>
      <c r="AU84" s="48">
        <f t="shared" si="11"/>
        <v>0</v>
      </c>
      <c r="AV84" s="48">
        <f t="shared" si="11"/>
        <v>0</v>
      </c>
      <c r="AW84" s="48">
        <f t="shared" si="11"/>
        <v>0</v>
      </c>
      <c r="AX84" s="48">
        <f t="shared" si="11"/>
        <v>0</v>
      </c>
      <c r="AY84" s="224">
        <f t="shared" si="11"/>
        <v>0</v>
      </c>
      <c r="AZ84" s="48">
        <f t="shared" si="11"/>
        <v>0</v>
      </c>
      <c r="BA84" s="48">
        <f t="shared" si="11"/>
        <v>0</v>
      </c>
      <c r="BB84" s="48">
        <f t="shared" si="11"/>
        <v>0</v>
      </c>
      <c r="BC84" s="48">
        <f t="shared" si="11"/>
        <v>0</v>
      </c>
      <c r="BD84" s="48">
        <f t="shared" si="11"/>
        <v>0</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6.7354489735171455E-2</v>
      </c>
      <c r="AF85" s="48">
        <f t="shared" si="10"/>
        <v>9.4614266159473798E-2</v>
      </c>
      <c r="AG85" s="48">
        <f t="shared" si="10"/>
        <v>2.6313872109689176E-2</v>
      </c>
      <c r="AH85" s="48">
        <f t="shared" si="10"/>
        <v>0.10613597070732804</v>
      </c>
      <c r="AI85" s="48">
        <f t="shared" si="10"/>
        <v>6.8574059132779142E-2</v>
      </c>
      <c r="AJ85" s="48">
        <f t="shared" si="10"/>
        <v>0.10649964544088431</v>
      </c>
      <c r="AK85" s="224">
        <f t="shared" si="10"/>
        <v>7.2357183538793057E-2</v>
      </c>
      <c r="AL85" s="48">
        <f t="shared" si="10"/>
        <v>0.10743568290353329</v>
      </c>
      <c r="AM85" s="48">
        <f t="shared" si="10"/>
        <v>6.5482642955590434E-2</v>
      </c>
      <c r="AN85" s="48">
        <f t="shared" si="10"/>
        <v>5.7073489979195972E-2</v>
      </c>
      <c r="AO85" s="48">
        <f t="shared" si="10"/>
        <v>7.2357183538793057E-2</v>
      </c>
      <c r="AP85" s="48">
        <f t="shared" si="10"/>
        <v>0.10743568290353329</v>
      </c>
      <c r="AR85" s="25" t="s">
        <v>44</v>
      </c>
      <c r="AS85" s="48">
        <f t="shared" si="11"/>
        <v>0</v>
      </c>
      <c r="AT85" s="48">
        <f t="shared" si="11"/>
        <v>0</v>
      </c>
      <c r="AU85" s="48">
        <f t="shared" si="11"/>
        <v>0</v>
      </c>
      <c r="AV85" s="48">
        <f t="shared" si="11"/>
        <v>0</v>
      </c>
      <c r="AW85" s="48">
        <f t="shared" si="11"/>
        <v>0</v>
      </c>
      <c r="AX85" s="48">
        <f t="shared" si="11"/>
        <v>0</v>
      </c>
      <c r="AY85" s="224">
        <f t="shared" si="11"/>
        <v>0</v>
      </c>
      <c r="AZ85" s="48">
        <f t="shared" si="11"/>
        <v>0</v>
      </c>
      <c r="BA85" s="48">
        <f t="shared" si="11"/>
        <v>0</v>
      </c>
      <c r="BB85" s="48">
        <f t="shared" si="11"/>
        <v>0</v>
      </c>
      <c r="BC85" s="48">
        <f t="shared" si="11"/>
        <v>0</v>
      </c>
      <c r="BD85" s="48">
        <f t="shared" si="11"/>
        <v>0</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3.5147885433088597E-3</v>
      </c>
      <c r="AF86" s="48">
        <f t="shared" si="10"/>
        <v>1.4159189395387991E-2</v>
      </c>
      <c r="AG86" s="48">
        <f t="shared" si="10"/>
        <v>8.498888780164647E-2</v>
      </c>
      <c r="AH86" s="48">
        <f t="shared" si="10"/>
        <v>5.4274261161613001E-3</v>
      </c>
      <c r="AI86" s="48">
        <f t="shared" si="10"/>
        <v>3.0915119804770822E-3</v>
      </c>
      <c r="AJ86" s="48">
        <f t="shared" si="10"/>
        <v>3.46444659219483E-3</v>
      </c>
      <c r="AK86" s="224">
        <f t="shared" si="10"/>
        <v>9.9155410034734693E-4</v>
      </c>
      <c r="AL86" s="48">
        <f t="shared" si="10"/>
        <v>3.4806775206768902E-3</v>
      </c>
      <c r="AM86" s="48">
        <f t="shared" si="10"/>
        <v>2.7909282759494016E-3</v>
      </c>
      <c r="AN86" s="48">
        <f t="shared" si="10"/>
        <v>5.0199552025507587E-4</v>
      </c>
      <c r="AO86" s="48">
        <f t="shared" si="10"/>
        <v>9.9155410034734693E-4</v>
      </c>
      <c r="AP86" s="48">
        <f t="shared" si="10"/>
        <v>3.4806775206768902E-3</v>
      </c>
      <c r="AR86" s="25" t="s">
        <v>45</v>
      </c>
      <c r="AS86" s="48">
        <f t="shared" si="11"/>
        <v>0</v>
      </c>
      <c r="AT86" s="48">
        <f t="shared" si="11"/>
        <v>0</v>
      </c>
      <c r="AU86" s="48">
        <f t="shared" si="11"/>
        <v>0</v>
      </c>
      <c r="AV86" s="48">
        <f t="shared" si="11"/>
        <v>0</v>
      </c>
      <c r="AW86" s="48">
        <f t="shared" si="11"/>
        <v>0</v>
      </c>
      <c r="AX86" s="48">
        <f t="shared" si="11"/>
        <v>0</v>
      </c>
      <c r="AY86" s="224">
        <f t="shared" si="11"/>
        <v>0</v>
      </c>
      <c r="AZ86" s="48">
        <f t="shared" si="11"/>
        <v>0</v>
      </c>
      <c r="BA86" s="48">
        <f t="shared" si="11"/>
        <v>0</v>
      </c>
      <c r="BB86" s="48">
        <f t="shared" si="11"/>
        <v>0</v>
      </c>
      <c r="BC86" s="48">
        <f t="shared" si="11"/>
        <v>0</v>
      </c>
      <c r="BD86" s="48">
        <f t="shared" si="11"/>
        <v>0</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4.7689002972693156E-2</v>
      </c>
      <c r="AF87" s="48">
        <f t="shared" si="10"/>
        <v>5.1745597683086605E-2</v>
      </c>
      <c r="AG87" s="48">
        <f t="shared" si="10"/>
        <v>5.3968041142670654E-2</v>
      </c>
      <c r="AH87" s="48">
        <f t="shared" si="10"/>
        <v>4.1919203509410766E-2</v>
      </c>
      <c r="AI87" s="48">
        <f t="shared" si="10"/>
        <v>1.2916479630704648E-4</v>
      </c>
      <c r="AJ87" s="48">
        <f t="shared" si="10"/>
        <v>6.7447186142336192E-8</v>
      </c>
      <c r="AK87" s="224">
        <f t="shared" si="10"/>
        <v>2.054602363876068E-2</v>
      </c>
      <c r="AL87" s="48">
        <f t="shared" si="10"/>
        <v>0</v>
      </c>
      <c r="AM87" s="48">
        <f t="shared" si="10"/>
        <v>6.0769377090745348E-5</v>
      </c>
      <c r="AN87" s="48">
        <f t="shared" si="10"/>
        <v>4.7504343254440883E-2</v>
      </c>
      <c r="AO87" s="48">
        <f t="shared" si="10"/>
        <v>2.054602363876068E-2</v>
      </c>
      <c r="AP87" s="48">
        <f t="shared" si="10"/>
        <v>0</v>
      </c>
      <c r="AR87" s="25" t="s">
        <v>46</v>
      </c>
      <c r="AS87" s="48">
        <f t="shared" si="11"/>
        <v>0</v>
      </c>
      <c r="AT87" s="48">
        <f t="shared" si="11"/>
        <v>0</v>
      </c>
      <c r="AU87" s="48">
        <f t="shared" si="11"/>
        <v>0</v>
      </c>
      <c r="AV87" s="48">
        <f t="shared" si="11"/>
        <v>0</v>
      </c>
      <c r="AW87" s="48">
        <f t="shared" si="11"/>
        <v>0</v>
      </c>
      <c r="AX87" s="48">
        <f t="shared" si="11"/>
        <v>0</v>
      </c>
      <c r="AY87" s="224">
        <f t="shared" si="11"/>
        <v>0</v>
      </c>
      <c r="AZ87" s="48">
        <f t="shared" si="11"/>
        <v>0</v>
      </c>
      <c r="BA87" s="48">
        <f t="shared" si="11"/>
        <v>0</v>
      </c>
      <c r="BB87" s="48">
        <f t="shared" si="11"/>
        <v>0</v>
      </c>
      <c r="BC87" s="48">
        <f t="shared" si="11"/>
        <v>0</v>
      </c>
      <c r="BD87" s="48">
        <f t="shared" si="11"/>
        <v>0</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8.6839061859267479E-3</v>
      </c>
      <c r="AF88" s="48">
        <f t="shared" si="10"/>
        <v>1.2108178621752654E-2</v>
      </c>
      <c r="AG88" s="48">
        <f t="shared" si="10"/>
        <v>1.3790562078567039E-2</v>
      </c>
      <c r="AH88" s="48">
        <f t="shared" si="10"/>
        <v>2.9853971956179293E-3</v>
      </c>
      <c r="AI88" s="48">
        <f t="shared" si="10"/>
        <v>9.9857372908853056E-7</v>
      </c>
      <c r="AJ88" s="48">
        <f t="shared" si="10"/>
        <v>0</v>
      </c>
      <c r="AK88" s="224">
        <f t="shared" si="10"/>
        <v>1.6252663460052093E-3</v>
      </c>
      <c r="AL88" s="48">
        <f t="shared" si="10"/>
        <v>0</v>
      </c>
      <c r="AM88" s="48">
        <f t="shared" si="10"/>
        <v>0</v>
      </c>
      <c r="AN88" s="48">
        <f t="shared" si="10"/>
        <v>4.2935093120501176E-3</v>
      </c>
      <c r="AO88" s="48">
        <f t="shared" si="10"/>
        <v>1.6252663460052093E-3</v>
      </c>
      <c r="AP88" s="48">
        <f t="shared" si="10"/>
        <v>0</v>
      </c>
      <c r="AR88" s="25" t="s">
        <v>47</v>
      </c>
      <c r="AS88" s="48">
        <f t="shared" si="11"/>
        <v>0</v>
      </c>
      <c r="AT88" s="48">
        <f t="shared" si="11"/>
        <v>0</v>
      </c>
      <c r="AU88" s="48">
        <f t="shared" si="11"/>
        <v>0</v>
      </c>
      <c r="AV88" s="48">
        <f t="shared" si="11"/>
        <v>0</v>
      </c>
      <c r="AW88" s="48">
        <f t="shared" si="11"/>
        <v>0</v>
      </c>
      <c r="AX88" s="48">
        <f t="shared" si="11"/>
        <v>0</v>
      </c>
      <c r="AY88" s="224">
        <f t="shared" si="11"/>
        <v>0</v>
      </c>
      <c r="AZ88" s="48">
        <f t="shared" si="11"/>
        <v>0</v>
      </c>
      <c r="BA88" s="48">
        <f t="shared" si="11"/>
        <v>0</v>
      </c>
      <c r="BB88" s="48">
        <f t="shared" si="11"/>
        <v>0</v>
      </c>
      <c r="BC88" s="48">
        <f t="shared" si="11"/>
        <v>0</v>
      </c>
      <c r="BD88" s="48">
        <f t="shared" si="11"/>
        <v>0</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1.4365040981294255E-3</v>
      </c>
      <c r="AF89" s="220">
        <f t="shared" si="10"/>
        <v>1.1308681468763959E-2</v>
      </c>
      <c r="AG89" s="220">
        <f t="shared" si="10"/>
        <v>6.821359899077109E-2</v>
      </c>
      <c r="AH89" s="220">
        <f t="shared" si="10"/>
        <v>1.0139053931176368E-3</v>
      </c>
      <c r="AI89" s="220">
        <f t="shared" si="10"/>
        <v>1.2624824549673647E-4</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0</v>
      </c>
      <c r="AT89" s="220">
        <f t="shared" si="11"/>
        <v>0</v>
      </c>
      <c r="AU89" s="220">
        <f t="shared" si="11"/>
        <v>0</v>
      </c>
      <c r="AV89" s="220">
        <f t="shared" si="11"/>
        <v>0</v>
      </c>
      <c r="AW89" s="220">
        <f t="shared" si="11"/>
        <v>0</v>
      </c>
      <c r="AX89" s="220">
        <f t="shared" si="11"/>
        <v>0</v>
      </c>
      <c r="AY89" s="225">
        <f t="shared" si="11"/>
        <v>0</v>
      </c>
      <c r="AZ89" s="220">
        <f t="shared" si="11"/>
        <v>0</v>
      </c>
      <c r="BA89" s="220">
        <f t="shared" si="11"/>
        <v>0</v>
      </c>
      <c r="BB89" s="220">
        <f t="shared" si="11"/>
        <v>0</v>
      </c>
      <c r="BC89" s="220">
        <f t="shared" si="11"/>
        <v>0</v>
      </c>
      <c r="BD89" s="220">
        <f t="shared" si="11"/>
        <v>0</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5.0681958026520084E-3</v>
      </c>
      <c r="AG90" s="48">
        <f t="shared" si="20"/>
        <v>6.7770590601710272E-3</v>
      </c>
      <c r="AH90" s="48">
        <f t="shared" si="20"/>
        <v>1.2966678562997578E-4</v>
      </c>
      <c r="AI90" s="48">
        <f t="shared" si="20"/>
        <v>0</v>
      </c>
      <c r="AJ90" s="48">
        <f t="shared" si="20"/>
        <v>0</v>
      </c>
      <c r="AK90" s="224">
        <f t="shared" si="20"/>
        <v>0</v>
      </c>
      <c r="AL90" s="209"/>
      <c r="AM90" s="210"/>
      <c r="AN90" s="210"/>
      <c r="AO90" s="210"/>
      <c r="AP90" s="211"/>
      <c r="AR90" s="25" t="s">
        <v>513</v>
      </c>
      <c r="AS90" s="48">
        <f t="shared" ref="AS90:AY94" si="21">IF(C19&gt;0,C72*AS43/(C19),0)</f>
        <v>0</v>
      </c>
      <c r="AT90" s="48">
        <f t="shared" si="21"/>
        <v>0</v>
      </c>
      <c r="AU90" s="48">
        <f t="shared" si="21"/>
        <v>0</v>
      </c>
      <c r="AV90" s="48">
        <f t="shared" si="21"/>
        <v>0</v>
      </c>
      <c r="AW90" s="48">
        <f t="shared" si="21"/>
        <v>0</v>
      </c>
      <c r="AX90" s="48">
        <f t="shared" si="21"/>
        <v>0</v>
      </c>
      <c r="AY90" s="224">
        <f t="shared" si="21"/>
        <v>0</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5.3372042574839483E-2</v>
      </c>
      <c r="AF91" s="48">
        <f t="shared" si="20"/>
        <v>5.5549880175935248E-2</v>
      </c>
      <c r="AG91" s="48">
        <f t="shared" si="20"/>
        <v>6.0149124448952054E-2</v>
      </c>
      <c r="AH91" s="48">
        <f t="shared" si="20"/>
        <v>4.73231421517308E-2</v>
      </c>
      <c r="AI91" s="48">
        <f t="shared" si="20"/>
        <v>0</v>
      </c>
      <c r="AJ91" s="48">
        <f t="shared" si="20"/>
        <v>0</v>
      </c>
      <c r="AK91" s="224">
        <f t="shared" si="20"/>
        <v>2.2979635141161043E-2</v>
      </c>
      <c r="AL91" s="212"/>
      <c r="AM91" s="213"/>
      <c r="AN91" s="213"/>
      <c r="AO91" s="213"/>
      <c r="AP91" s="214"/>
      <c r="AR91" s="25" t="s">
        <v>514</v>
      </c>
      <c r="AS91" s="48">
        <f t="shared" si="21"/>
        <v>0</v>
      </c>
      <c r="AT91" s="48">
        <f t="shared" si="21"/>
        <v>0</v>
      </c>
      <c r="AU91" s="48">
        <f t="shared" si="21"/>
        <v>0</v>
      </c>
      <c r="AV91" s="48">
        <f t="shared" si="21"/>
        <v>0</v>
      </c>
      <c r="AW91" s="48">
        <f t="shared" si="21"/>
        <v>0</v>
      </c>
      <c r="AX91" s="48">
        <f t="shared" si="21"/>
        <v>0</v>
      </c>
      <c r="AY91" s="224">
        <f t="shared" si="21"/>
        <v>0</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1.2630984371582102E-2</v>
      </c>
      <c r="AG92" s="48">
        <f t="shared" si="20"/>
        <v>3.7704630174353049E-2</v>
      </c>
      <c r="AH92" s="48">
        <f t="shared" si="20"/>
        <v>7.2165420857941596E-4</v>
      </c>
      <c r="AI92" s="48">
        <f t="shared" si="20"/>
        <v>2.885674410358194E-4</v>
      </c>
      <c r="AJ92" s="48">
        <f t="shared" si="20"/>
        <v>0</v>
      </c>
      <c r="AK92" s="224">
        <f t="shared" si="20"/>
        <v>0</v>
      </c>
      <c r="AL92" s="212"/>
      <c r="AM92" s="213"/>
      <c r="AN92" s="218" t="s">
        <v>69</v>
      </c>
      <c r="AO92" s="213"/>
      <c r="AP92" s="214"/>
      <c r="AR92" s="25" t="s">
        <v>515</v>
      </c>
      <c r="AS92" s="48">
        <f t="shared" si="21"/>
        <v>0</v>
      </c>
      <c r="AT92" s="48">
        <f t="shared" si="21"/>
        <v>0</v>
      </c>
      <c r="AU92" s="48">
        <f t="shared" si="21"/>
        <v>0</v>
      </c>
      <c r="AV92" s="48">
        <f t="shared" si="21"/>
        <v>0</v>
      </c>
      <c r="AW92" s="48">
        <f t="shared" si="21"/>
        <v>0</v>
      </c>
      <c r="AX92" s="48">
        <f t="shared" si="21"/>
        <v>0</v>
      </c>
      <c r="AY92" s="224">
        <f t="shared" si="21"/>
        <v>0</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1.4365040981294255E-3</v>
      </c>
      <c r="AF93" s="48">
        <f t="shared" si="20"/>
        <v>1.1308681468763959E-2</v>
      </c>
      <c r="AG93" s="48">
        <f t="shared" si="20"/>
        <v>6.821359899077109E-2</v>
      </c>
      <c r="AH93" s="48">
        <f t="shared" si="20"/>
        <v>1.0139053931176368E-3</v>
      </c>
      <c r="AI93" s="48">
        <f t="shared" si="20"/>
        <v>1.2624824549673647E-4</v>
      </c>
      <c r="AJ93" s="48">
        <f t="shared" si="20"/>
        <v>0</v>
      </c>
      <c r="AK93" s="224">
        <f t="shared" si="20"/>
        <v>0</v>
      </c>
      <c r="AL93" s="212"/>
      <c r="AM93" s="213"/>
      <c r="AN93" s="213"/>
      <c r="AO93" s="213"/>
      <c r="AP93" s="214"/>
      <c r="AR93" s="25" t="s">
        <v>516</v>
      </c>
      <c r="AS93" s="48">
        <f t="shared" si="21"/>
        <v>0</v>
      </c>
      <c r="AT93" s="48">
        <f t="shared" si="21"/>
        <v>0</v>
      </c>
      <c r="AU93" s="48">
        <f t="shared" si="21"/>
        <v>0</v>
      </c>
      <c r="AV93" s="48">
        <f t="shared" si="21"/>
        <v>0</v>
      </c>
      <c r="AW93" s="48">
        <f t="shared" si="21"/>
        <v>0</v>
      </c>
      <c r="AX93" s="48">
        <f t="shared" si="21"/>
        <v>0</v>
      </c>
      <c r="AY93" s="224">
        <f t="shared" si="21"/>
        <v>0</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5.0681958026520084E-3</v>
      </c>
      <c r="AG94" s="48">
        <f t="shared" si="20"/>
        <v>6.7770590601710272E-3</v>
      </c>
      <c r="AH94" s="48">
        <f t="shared" si="20"/>
        <v>1.2966678562997578E-4</v>
      </c>
      <c r="AI94" s="48">
        <f t="shared" si="20"/>
        <v>0</v>
      </c>
      <c r="AJ94" s="48">
        <f t="shared" si="20"/>
        <v>0</v>
      </c>
      <c r="AK94" s="224">
        <f t="shared" si="20"/>
        <v>0</v>
      </c>
      <c r="AL94" s="215"/>
      <c r="AM94" s="216"/>
      <c r="AN94" s="216"/>
      <c r="AO94" s="216"/>
      <c r="AP94" s="217"/>
      <c r="AR94" s="25" t="s">
        <v>517</v>
      </c>
      <c r="AS94" s="48">
        <f t="shared" si="21"/>
        <v>0</v>
      </c>
      <c r="AT94" s="48">
        <f t="shared" si="21"/>
        <v>0</v>
      </c>
      <c r="AU94" s="48">
        <f t="shared" si="21"/>
        <v>0</v>
      </c>
      <c r="AV94" s="48">
        <f t="shared" si="21"/>
        <v>0</v>
      </c>
      <c r="AW94" s="48">
        <f t="shared" si="21"/>
        <v>0</v>
      </c>
      <c r="AX94" s="48">
        <f t="shared" si="21"/>
        <v>0</v>
      </c>
      <c r="AY94" s="224">
        <f t="shared" si="21"/>
        <v>0</v>
      </c>
      <c r="AZ94" s="215"/>
      <c r="BA94" s="216"/>
      <c r="BB94" s="216"/>
      <c r="BC94" s="216"/>
      <c r="BD94" s="217"/>
    </row>
    <row r="97" spans="2:56" ht="18" x14ac:dyDescent="0.35">
      <c r="B97" s="29" t="s">
        <v>611</v>
      </c>
      <c r="P97" s="29" t="s">
        <v>612</v>
      </c>
      <c r="AD97" s="29" t="s">
        <v>613</v>
      </c>
      <c r="AR97" s="29" t="s">
        <v>614</v>
      </c>
    </row>
    <row r="99" spans="2:56" x14ac:dyDescent="0.3">
      <c r="C99" s="385" t="s">
        <v>334</v>
      </c>
      <c r="D99" s="385"/>
      <c r="E99" s="385"/>
      <c r="F99" s="385"/>
      <c r="G99" s="385"/>
      <c r="H99" s="385"/>
      <c r="I99" s="385"/>
      <c r="J99" s="385"/>
      <c r="K99" s="385"/>
      <c r="L99" s="385"/>
      <c r="M99" s="385"/>
      <c r="N99" s="385"/>
      <c r="Q99" s="385" t="s">
        <v>334</v>
      </c>
      <c r="R99" s="385"/>
      <c r="S99" s="385"/>
      <c r="T99" s="385"/>
      <c r="U99" s="385"/>
      <c r="V99" s="385"/>
      <c r="W99" s="385"/>
      <c r="X99" s="385"/>
      <c r="Y99" s="385"/>
      <c r="Z99" s="385"/>
      <c r="AA99" s="385"/>
      <c r="AB99" s="385"/>
      <c r="AE99" s="385" t="s">
        <v>334</v>
      </c>
      <c r="AF99" s="385"/>
      <c r="AG99" s="385"/>
      <c r="AH99" s="385"/>
      <c r="AI99" s="385"/>
      <c r="AJ99" s="385"/>
      <c r="AK99" s="385"/>
      <c r="AL99" s="385"/>
      <c r="AM99" s="385"/>
      <c r="AN99" s="385"/>
      <c r="AO99" s="385"/>
      <c r="AP99" s="385"/>
      <c r="AS99" s="385" t="s">
        <v>334</v>
      </c>
      <c r="AT99" s="385"/>
      <c r="AU99" s="385"/>
      <c r="AV99" s="385"/>
      <c r="AW99" s="385"/>
      <c r="AX99" s="385"/>
      <c r="AY99" s="385"/>
      <c r="AZ99" s="385"/>
      <c r="BA99" s="385"/>
      <c r="BB99" s="385"/>
      <c r="BC99" s="385"/>
      <c r="BD99" s="385"/>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1.0004043242451071</v>
      </c>
      <c r="AF101" s="49">
        <f t="shared" ref="AF101:AP101" si="24">1+AF83</f>
        <v>1.0111761245576307</v>
      </c>
      <c r="AG101" s="49">
        <f t="shared" si="24"/>
        <v>1.0169529600543523</v>
      </c>
      <c r="AH101" s="49">
        <f t="shared" si="24"/>
        <v>1.0012151188823588</v>
      </c>
      <c r="AI101" s="49">
        <f t="shared" si="24"/>
        <v>1.0009009374154387</v>
      </c>
      <c r="AJ101" s="49">
        <f t="shared" si="24"/>
        <v>1.0089635395080092</v>
      </c>
      <c r="AK101" s="226">
        <f t="shared" si="24"/>
        <v>1.0001273529241326</v>
      </c>
      <c r="AL101" s="49">
        <f t="shared" si="24"/>
        <v>1.0091693664923904</v>
      </c>
      <c r="AM101" s="49">
        <f t="shared" si="24"/>
        <v>1</v>
      </c>
      <c r="AN101" s="49">
        <f t="shared" si="24"/>
        <v>1</v>
      </c>
      <c r="AO101" s="49">
        <f t="shared" si="24"/>
        <v>1.0001273529241326</v>
      </c>
      <c r="AP101" s="49">
        <f t="shared" si="24"/>
        <v>1.0091693664923904</v>
      </c>
      <c r="AR101" s="25" t="s">
        <v>42</v>
      </c>
      <c r="AS101" s="49">
        <f t="shared" ref="AS101:AT105" si="25">1+AS83</f>
        <v>1</v>
      </c>
      <c r="AT101" s="49">
        <f t="shared" si="25"/>
        <v>1</v>
      </c>
      <c r="AU101" s="49">
        <f t="shared" ref="AU101:BD101" si="26">1+AU83</f>
        <v>1</v>
      </c>
      <c r="AV101" s="49">
        <f t="shared" si="26"/>
        <v>1</v>
      </c>
      <c r="AW101" s="49">
        <f t="shared" si="26"/>
        <v>1</v>
      </c>
      <c r="AX101" s="49">
        <f t="shared" si="26"/>
        <v>1</v>
      </c>
      <c r="AY101" s="226">
        <f t="shared" si="26"/>
        <v>1</v>
      </c>
      <c r="AZ101" s="49">
        <f t="shared" si="26"/>
        <v>1</v>
      </c>
      <c r="BA101" s="49">
        <f t="shared" si="26"/>
        <v>1</v>
      </c>
      <c r="BB101" s="49">
        <f t="shared" si="26"/>
        <v>1</v>
      </c>
      <c r="BC101" s="49">
        <f t="shared" si="26"/>
        <v>1</v>
      </c>
      <c r="BD101" s="49">
        <f t="shared" si="26"/>
        <v>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1.0059284847117032</v>
      </c>
      <c r="AF102" s="49">
        <f t="shared" si="29"/>
        <v>1.0094661569301691</v>
      </c>
      <c r="AG102" s="49">
        <f t="shared" si="29"/>
        <v>1.0216626996652527</v>
      </c>
      <c r="AH102" s="49">
        <f t="shared" si="29"/>
        <v>1.0058864190981975</v>
      </c>
      <c r="AI102" s="49">
        <f t="shared" si="29"/>
        <v>1.0073602461754632</v>
      </c>
      <c r="AJ102" s="49">
        <f t="shared" si="29"/>
        <v>1.0011965762992237</v>
      </c>
      <c r="AK102" s="226">
        <f t="shared" si="29"/>
        <v>1.0031282124022483</v>
      </c>
      <c r="AL102" s="49">
        <f t="shared" si="29"/>
        <v>1.0006623507305672</v>
      </c>
      <c r="AM102" s="49">
        <f t="shared" si="29"/>
        <v>1.0070477881404403</v>
      </c>
      <c r="AN102" s="49">
        <f t="shared" si="29"/>
        <v>1.0055836303155796</v>
      </c>
      <c r="AO102" s="49">
        <f t="shared" si="29"/>
        <v>1.0031282124022483</v>
      </c>
      <c r="AP102" s="49">
        <f t="shared" si="29"/>
        <v>1.0006623507305672</v>
      </c>
      <c r="AR102" s="25" t="s">
        <v>43</v>
      </c>
      <c r="AS102" s="49">
        <f t="shared" si="25"/>
        <v>1</v>
      </c>
      <c r="AT102" s="49">
        <f t="shared" si="25"/>
        <v>1</v>
      </c>
      <c r="AU102" s="49">
        <f t="shared" ref="AU102:BD102" si="30">1+AU84</f>
        <v>1</v>
      </c>
      <c r="AV102" s="49">
        <f t="shared" si="30"/>
        <v>1</v>
      </c>
      <c r="AW102" s="49">
        <f t="shared" si="30"/>
        <v>1</v>
      </c>
      <c r="AX102" s="49">
        <f t="shared" si="30"/>
        <v>1</v>
      </c>
      <c r="AY102" s="226">
        <f t="shared" si="30"/>
        <v>1</v>
      </c>
      <c r="AZ102" s="49">
        <f t="shared" si="30"/>
        <v>1</v>
      </c>
      <c r="BA102" s="49">
        <f t="shared" si="30"/>
        <v>1</v>
      </c>
      <c r="BB102" s="49">
        <f t="shared" si="30"/>
        <v>1</v>
      </c>
      <c r="BC102" s="49">
        <f t="shared" si="30"/>
        <v>1</v>
      </c>
      <c r="BD102" s="49">
        <f t="shared" si="30"/>
        <v>1</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1.0673544897351714</v>
      </c>
      <c r="AF103" s="49">
        <f t="shared" si="33"/>
        <v>1.0946142661594738</v>
      </c>
      <c r="AG103" s="49">
        <f t="shared" si="33"/>
        <v>1.0263138721096892</v>
      </c>
      <c r="AH103" s="49">
        <f t="shared" si="33"/>
        <v>1.1061359707073279</v>
      </c>
      <c r="AI103" s="49">
        <f t="shared" si="33"/>
        <v>1.068574059132779</v>
      </c>
      <c r="AJ103" s="49">
        <f t="shared" si="33"/>
        <v>1.1064996454408842</v>
      </c>
      <c r="AK103" s="226">
        <f t="shared" si="33"/>
        <v>1.0723571835387931</v>
      </c>
      <c r="AL103" s="49">
        <f t="shared" si="33"/>
        <v>1.1074356829035332</v>
      </c>
      <c r="AM103" s="49">
        <f t="shared" si="33"/>
        <v>1.0654826429555904</v>
      </c>
      <c r="AN103" s="49">
        <f t="shared" si="33"/>
        <v>1.057073489979196</v>
      </c>
      <c r="AO103" s="49">
        <f t="shared" si="33"/>
        <v>1.0723571835387931</v>
      </c>
      <c r="AP103" s="49">
        <f t="shared" si="33"/>
        <v>1.1074356829035332</v>
      </c>
      <c r="AR103" s="25" t="s">
        <v>44</v>
      </c>
      <c r="AS103" s="49">
        <f t="shared" si="25"/>
        <v>1</v>
      </c>
      <c r="AT103" s="49">
        <f t="shared" si="25"/>
        <v>1</v>
      </c>
      <c r="AU103" s="49">
        <f t="shared" ref="AU103:BD103" si="34">1+AU85</f>
        <v>1</v>
      </c>
      <c r="AV103" s="49">
        <f t="shared" si="34"/>
        <v>1</v>
      </c>
      <c r="AW103" s="49">
        <f t="shared" si="34"/>
        <v>1</v>
      </c>
      <c r="AX103" s="49">
        <f t="shared" si="34"/>
        <v>1</v>
      </c>
      <c r="AY103" s="226">
        <f t="shared" si="34"/>
        <v>1</v>
      </c>
      <c r="AZ103" s="49">
        <f t="shared" si="34"/>
        <v>1</v>
      </c>
      <c r="BA103" s="49">
        <f t="shared" si="34"/>
        <v>1</v>
      </c>
      <c r="BB103" s="49">
        <f t="shared" si="34"/>
        <v>1</v>
      </c>
      <c r="BC103" s="49">
        <f t="shared" si="34"/>
        <v>1</v>
      </c>
      <c r="BD103" s="49">
        <f t="shared" si="34"/>
        <v>1</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1.0035147885433089</v>
      </c>
      <c r="AF104" s="49">
        <f t="shared" si="37"/>
        <v>1.0141591893953881</v>
      </c>
      <c r="AG104" s="49">
        <f t="shared" si="37"/>
        <v>1.0849888878016465</v>
      </c>
      <c r="AH104" s="49">
        <f t="shared" si="37"/>
        <v>1.0054274261161613</v>
      </c>
      <c r="AI104" s="49">
        <f t="shared" si="37"/>
        <v>1.0030915119804771</v>
      </c>
      <c r="AJ104" s="49">
        <f t="shared" si="37"/>
        <v>1.0034644465921949</v>
      </c>
      <c r="AK104" s="226">
        <f t="shared" si="37"/>
        <v>1.0009915541003473</v>
      </c>
      <c r="AL104" s="49">
        <f t="shared" si="37"/>
        <v>1.0034806775206768</v>
      </c>
      <c r="AM104" s="49">
        <f t="shared" si="37"/>
        <v>1.0027909282759495</v>
      </c>
      <c r="AN104" s="49">
        <f t="shared" si="37"/>
        <v>1.000501995520255</v>
      </c>
      <c r="AO104" s="49">
        <f t="shared" si="37"/>
        <v>1.0009915541003473</v>
      </c>
      <c r="AP104" s="49">
        <f t="shared" si="37"/>
        <v>1.0034806775206768</v>
      </c>
      <c r="AR104" s="25" t="s">
        <v>45</v>
      </c>
      <c r="AS104" s="49">
        <f t="shared" si="25"/>
        <v>1</v>
      </c>
      <c r="AT104" s="49">
        <f t="shared" si="25"/>
        <v>1</v>
      </c>
      <c r="AU104" s="49">
        <f t="shared" ref="AU104:BD104" si="38">1+AU86</f>
        <v>1</v>
      </c>
      <c r="AV104" s="49">
        <f t="shared" si="38"/>
        <v>1</v>
      </c>
      <c r="AW104" s="49">
        <f t="shared" si="38"/>
        <v>1</v>
      </c>
      <c r="AX104" s="49">
        <f t="shared" si="38"/>
        <v>1</v>
      </c>
      <c r="AY104" s="226">
        <f t="shared" si="38"/>
        <v>1</v>
      </c>
      <c r="AZ104" s="49">
        <f t="shared" si="38"/>
        <v>1</v>
      </c>
      <c r="BA104" s="49">
        <f t="shared" si="38"/>
        <v>1</v>
      </c>
      <c r="BB104" s="49">
        <f t="shared" si="38"/>
        <v>1</v>
      </c>
      <c r="BC104" s="49">
        <f t="shared" si="38"/>
        <v>1</v>
      </c>
      <c r="BD104" s="49">
        <f t="shared" si="38"/>
        <v>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1.0476890029726931</v>
      </c>
      <c r="AF105" s="49">
        <f t="shared" si="41"/>
        <v>1.0517455976830865</v>
      </c>
      <c r="AG105" s="49">
        <f t="shared" si="41"/>
        <v>1.0539680411426706</v>
      </c>
      <c r="AH105" s="49">
        <f t="shared" si="41"/>
        <v>1.0419192035094107</v>
      </c>
      <c r="AI105" s="49">
        <f t="shared" si="41"/>
        <v>1.0001291647963071</v>
      </c>
      <c r="AJ105" s="49">
        <f t="shared" si="41"/>
        <v>1.0000000674471861</v>
      </c>
      <c r="AK105" s="226">
        <f t="shared" si="41"/>
        <v>1.0205460236387607</v>
      </c>
      <c r="AL105" s="49">
        <f t="shared" si="41"/>
        <v>1</v>
      </c>
      <c r="AM105" s="49">
        <f t="shared" si="41"/>
        <v>1.0000607693770907</v>
      </c>
      <c r="AN105" s="49">
        <f t="shared" si="41"/>
        <v>1.0475043432544409</v>
      </c>
      <c r="AO105" s="49">
        <f t="shared" si="41"/>
        <v>1.0205460236387607</v>
      </c>
      <c r="AP105" s="49">
        <f t="shared" si="41"/>
        <v>1</v>
      </c>
      <c r="AR105" s="25" t="s">
        <v>46</v>
      </c>
      <c r="AS105" s="49">
        <f t="shared" si="25"/>
        <v>1</v>
      </c>
      <c r="AT105" s="49">
        <f t="shared" si="25"/>
        <v>1</v>
      </c>
      <c r="AU105" s="49">
        <f t="shared" ref="AU105:BD105" si="42">1+AU87</f>
        <v>1</v>
      </c>
      <c r="AV105" s="49">
        <f t="shared" si="42"/>
        <v>1</v>
      </c>
      <c r="AW105" s="49">
        <f t="shared" si="42"/>
        <v>1</v>
      </c>
      <c r="AX105" s="49">
        <f t="shared" si="42"/>
        <v>1</v>
      </c>
      <c r="AY105" s="226">
        <f t="shared" si="42"/>
        <v>1</v>
      </c>
      <c r="AZ105" s="49">
        <f t="shared" si="42"/>
        <v>1</v>
      </c>
      <c r="BA105" s="49">
        <f t="shared" si="42"/>
        <v>1</v>
      </c>
      <c r="BB105" s="49">
        <f t="shared" si="42"/>
        <v>1</v>
      </c>
      <c r="BC105" s="49">
        <f t="shared" si="42"/>
        <v>1</v>
      </c>
      <c r="BD105" s="49">
        <f t="shared" si="42"/>
        <v>1</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1.0086839061859267</v>
      </c>
      <c r="AF106" s="49">
        <f t="shared" si="45"/>
        <v>1.0121081786217527</v>
      </c>
      <c r="AG106" s="49">
        <f t="shared" si="45"/>
        <v>1.013790562078567</v>
      </c>
      <c r="AH106" s="49">
        <f t="shared" si="45"/>
        <v>1.002985397195618</v>
      </c>
      <c r="AI106" s="49">
        <f t="shared" si="45"/>
        <v>1.000000998573729</v>
      </c>
      <c r="AJ106" s="49">
        <f t="shared" si="45"/>
        <v>1</v>
      </c>
      <c r="AK106" s="226">
        <f t="shared" si="45"/>
        <v>1.0016252663460052</v>
      </c>
      <c r="AL106" s="49">
        <f t="shared" si="45"/>
        <v>1</v>
      </c>
      <c r="AM106" s="49">
        <f t="shared" si="45"/>
        <v>1</v>
      </c>
      <c r="AN106" s="49">
        <f t="shared" si="45"/>
        <v>1.0042935093120502</v>
      </c>
      <c r="AO106" s="49">
        <f t="shared" si="45"/>
        <v>1.0016252663460052</v>
      </c>
      <c r="AP106" s="49">
        <f t="shared" si="45"/>
        <v>1</v>
      </c>
      <c r="AR106" s="25" t="s">
        <v>47</v>
      </c>
      <c r="AS106" s="49">
        <f>1+AS88</f>
        <v>1</v>
      </c>
      <c r="AT106" s="49">
        <f t="shared" ref="AT106:BD106" si="46">1+AT88</f>
        <v>1</v>
      </c>
      <c r="AU106" s="49">
        <f t="shared" si="46"/>
        <v>1</v>
      </c>
      <c r="AV106" s="49">
        <f t="shared" si="46"/>
        <v>1</v>
      </c>
      <c r="AW106" s="49">
        <f t="shared" si="46"/>
        <v>1</v>
      </c>
      <c r="AX106" s="49">
        <f t="shared" si="46"/>
        <v>1</v>
      </c>
      <c r="AY106" s="226">
        <f t="shared" si="46"/>
        <v>1</v>
      </c>
      <c r="AZ106" s="49">
        <f t="shared" si="46"/>
        <v>1</v>
      </c>
      <c r="BA106" s="49">
        <f t="shared" si="46"/>
        <v>1</v>
      </c>
      <c r="BB106" s="49">
        <f t="shared" si="46"/>
        <v>1</v>
      </c>
      <c r="BC106" s="49">
        <f t="shared" si="46"/>
        <v>1</v>
      </c>
      <c r="BD106" s="49">
        <f t="shared" si="46"/>
        <v>1</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1.0014365040981295</v>
      </c>
      <c r="AF107" s="221">
        <f t="shared" si="49"/>
        <v>1.011308681468764</v>
      </c>
      <c r="AG107" s="221">
        <f t="shared" si="49"/>
        <v>1.0682135989907711</v>
      </c>
      <c r="AH107" s="221">
        <f t="shared" si="49"/>
        <v>1.0010139053931177</v>
      </c>
      <c r="AI107" s="221">
        <f t="shared" si="49"/>
        <v>1.0001262482454967</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v>
      </c>
      <c r="AT107" s="221">
        <f t="shared" ref="AT107:BD107" si="50">1+AT89</f>
        <v>1</v>
      </c>
      <c r="AU107" s="221">
        <f t="shared" si="50"/>
        <v>1</v>
      </c>
      <c r="AV107" s="221">
        <f t="shared" si="50"/>
        <v>1</v>
      </c>
      <c r="AW107" s="221">
        <f t="shared" si="50"/>
        <v>1</v>
      </c>
      <c r="AX107" s="221">
        <f t="shared" si="50"/>
        <v>1</v>
      </c>
      <c r="AY107" s="227">
        <f t="shared" si="50"/>
        <v>1</v>
      </c>
      <c r="AZ107" s="221">
        <f t="shared" si="50"/>
        <v>1</v>
      </c>
      <c r="BA107" s="221">
        <f t="shared" si="50"/>
        <v>1</v>
      </c>
      <c r="BB107" s="221">
        <f t="shared" si="50"/>
        <v>1</v>
      </c>
      <c r="BC107" s="221">
        <f t="shared" si="50"/>
        <v>1</v>
      </c>
      <c r="BD107" s="221">
        <f t="shared" si="50"/>
        <v>1</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1.0050681958026519</v>
      </c>
      <c r="AG108" s="49">
        <f t="shared" si="53"/>
        <v>1.006777059060171</v>
      </c>
      <c r="AH108" s="49">
        <f t="shared" si="53"/>
        <v>1.0001296667856299</v>
      </c>
      <c r="AI108" s="49">
        <f t="shared" si="53"/>
        <v>1</v>
      </c>
      <c r="AJ108" s="49">
        <f t="shared" si="53"/>
        <v>1</v>
      </c>
      <c r="AK108" s="226">
        <f t="shared" si="53"/>
        <v>1</v>
      </c>
      <c r="AL108" s="209"/>
      <c r="AM108" s="210"/>
      <c r="AN108" s="210"/>
      <c r="AO108" s="210"/>
      <c r="AP108" s="211"/>
      <c r="AR108" s="25" t="s">
        <v>513</v>
      </c>
      <c r="AS108" s="49">
        <f>1+AS90</f>
        <v>1</v>
      </c>
      <c r="AT108" s="49">
        <f t="shared" ref="AT108:AY108" si="54">1+AT90</f>
        <v>1</v>
      </c>
      <c r="AU108" s="49">
        <f t="shared" si="54"/>
        <v>1</v>
      </c>
      <c r="AV108" s="49">
        <f t="shared" si="54"/>
        <v>1</v>
      </c>
      <c r="AW108" s="49">
        <f t="shared" si="54"/>
        <v>1</v>
      </c>
      <c r="AX108" s="49">
        <f t="shared" si="54"/>
        <v>1</v>
      </c>
      <c r="AY108" s="226">
        <f t="shared" si="54"/>
        <v>1</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1.0533720425748394</v>
      </c>
      <c r="AF109" s="49">
        <f t="shared" si="57"/>
        <v>1.0555498801759353</v>
      </c>
      <c r="AG109" s="49">
        <f t="shared" si="57"/>
        <v>1.060149124448952</v>
      </c>
      <c r="AH109" s="49">
        <f t="shared" si="57"/>
        <v>1.0473231421517308</v>
      </c>
      <c r="AI109" s="49">
        <f t="shared" si="57"/>
        <v>1</v>
      </c>
      <c r="AJ109" s="49">
        <f t="shared" si="57"/>
        <v>1</v>
      </c>
      <c r="AK109" s="226">
        <f t="shared" si="57"/>
        <v>1.0229796351411611</v>
      </c>
      <c r="AL109" s="212"/>
      <c r="AM109" s="213"/>
      <c r="AN109" s="213"/>
      <c r="AO109" s="213"/>
      <c r="AP109" s="214"/>
      <c r="AR109" s="25" t="s">
        <v>514</v>
      </c>
      <c r="AS109" s="49">
        <f>1+AS91</f>
        <v>1</v>
      </c>
      <c r="AT109" s="49">
        <f t="shared" ref="AT109:AY109" si="58">1+AT91</f>
        <v>1</v>
      </c>
      <c r="AU109" s="49">
        <f t="shared" si="58"/>
        <v>1</v>
      </c>
      <c r="AV109" s="49">
        <f t="shared" si="58"/>
        <v>1</v>
      </c>
      <c r="AW109" s="49">
        <f t="shared" si="58"/>
        <v>1</v>
      </c>
      <c r="AX109" s="49">
        <f t="shared" si="58"/>
        <v>1</v>
      </c>
      <c r="AY109" s="226">
        <f t="shared" si="58"/>
        <v>1</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1.0126309843715822</v>
      </c>
      <c r="AG110" s="49">
        <f t="shared" si="61"/>
        <v>1.0377046301743531</v>
      </c>
      <c r="AH110" s="49">
        <f t="shared" si="61"/>
        <v>1.0007216542085795</v>
      </c>
      <c r="AI110" s="49">
        <f t="shared" si="61"/>
        <v>1.0002885674410358</v>
      </c>
      <c r="AJ110" s="49">
        <f t="shared" si="61"/>
        <v>1</v>
      </c>
      <c r="AK110" s="226">
        <f t="shared" si="61"/>
        <v>1</v>
      </c>
      <c r="AL110" s="212"/>
      <c r="AM110" s="213"/>
      <c r="AN110" s="218" t="s">
        <v>69</v>
      </c>
      <c r="AO110" s="213"/>
      <c r="AP110" s="214"/>
      <c r="AR110" s="25" t="s">
        <v>515</v>
      </c>
      <c r="AS110" s="49">
        <f>1+AS92</f>
        <v>1</v>
      </c>
      <c r="AT110" s="49">
        <f t="shared" ref="AT110:AY110" si="62">1+AT92</f>
        <v>1</v>
      </c>
      <c r="AU110" s="49">
        <f t="shared" si="62"/>
        <v>1</v>
      </c>
      <c r="AV110" s="49">
        <f t="shared" si="62"/>
        <v>1</v>
      </c>
      <c r="AW110" s="49">
        <f t="shared" si="62"/>
        <v>1</v>
      </c>
      <c r="AX110" s="49">
        <f t="shared" si="62"/>
        <v>1</v>
      </c>
      <c r="AY110" s="226">
        <f t="shared" si="62"/>
        <v>1</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1.0014365040981295</v>
      </c>
      <c r="AF111" s="49">
        <f t="shared" si="65"/>
        <v>1.011308681468764</v>
      </c>
      <c r="AG111" s="49">
        <f t="shared" si="65"/>
        <v>1.0682135989907711</v>
      </c>
      <c r="AH111" s="49">
        <f t="shared" si="65"/>
        <v>1.0010139053931177</v>
      </c>
      <c r="AI111" s="49">
        <f t="shared" si="65"/>
        <v>1.0001262482454967</v>
      </c>
      <c r="AJ111" s="49">
        <f t="shared" si="65"/>
        <v>1</v>
      </c>
      <c r="AK111" s="226">
        <f t="shared" si="65"/>
        <v>1</v>
      </c>
      <c r="AL111" s="212"/>
      <c r="AM111" s="213"/>
      <c r="AN111" s="213"/>
      <c r="AO111" s="213"/>
      <c r="AP111" s="214"/>
      <c r="AR111" s="25" t="s">
        <v>516</v>
      </c>
      <c r="AS111" s="49">
        <f t="shared" ref="AS111:AY111" si="66">1+AS93</f>
        <v>1</v>
      </c>
      <c r="AT111" s="49">
        <f t="shared" si="66"/>
        <v>1</v>
      </c>
      <c r="AU111" s="49">
        <f t="shared" si="66"/>
        <v>1</v>
      </c>
      <c r="AV111" s="49">
        <f t="shared" si="66"/>
        <v>1</v>
      </c>
      <c r="AW111" s="49">
        <f t="shared" si="66"/>
        <v>1</v>
      </c>
      <c r="AX111" s="49">
        <f t="shared" si="66"/>
        <v>1</v>
      </c>
      <c r="AY111" s="226">
        <f t="shared" si="66"/>
        <v>1</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1.0050681958026519</v>
      </c>
      <c r="AG112" s="49">
        <f t="shared" si="69"/>
        <v>1.006777059060171</v>
      </c>
      <c r="AH112" s="49">
        <f t="shared" si="69"/>
        <v>1.0001296667856299</v>
      </c>
      <c r="AI112" s="49">
        <f t="shared" si="69"/>
        <v>1</v>
      </c>
      <c r="AJ112" s="49">
        <f t="shared" si="69"/>
        <v>1</v>
      </c>
      <c r="AK112" s="226">
        <f t="shared" si="69"/>
        <v>1</v>
      </c>
      <c r="AL112" s="215"/>
      <c r="AM112" s="216"/>
      <c r="AN112" s="216"/>
      <c r="AO112" s="216"/>
      <c r="AP112" s="217"/>
      <c r="AR112" s="25" t="s">
        <v>517</v>
      </c>
      <c r="AS112" s="49">
        <f>1+AS94</f>
        <v>1</v>
      </c>
      <c r="AT112" s="49">
        <f t="shared" ref="AT112:AY112" si="70">1+AT94</f>
        <v>1</v>
      </c>
      <c r="AU112" s="49">
        <f t="shared" si="70"/>
        <v>1</v>
      </c>
      <c r="AV112" s="49">
        <f t="shared" si="70"/>
        <v>1</v>
      </c>
      <c r="AW112" s="49">
        <f t="shared" si="70"/>
        <v>1</v>
      </c>
      <c r="AX112" s="49">
        <f t="shared" si="70"/>
        <v>1</v>
      </c>
      <c r="AY112" s="226">
        <f t="shared" si="70"/>
        <v>1</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Q16" zoomScale="85" zoomScaleNormal="85" workbookViewId="0">
      <selection activeCell="AE35" sqref="AE35:AP46"/>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642</v>
      </c>
    </row>
    <row r="5" spans="2:17" ht="134.25" customHeight="1" x14ac:dyDescent="0.3">
      <c r="B5" s="387" t="s">
        <v>646</v>
      </c>
      <c r="C5" s="388"/>
      <c r="D5" s="388"/>
      <c r="E5" s="388"/>
      <c r="F5" s="388"/>
      <c r="G5" s="388"/>
      <c r="H5" s="388"/>
      <c r="I5" s="388"/>
      <c r="J5" s="388"/>
      <c r="K5" s="388"/>
      <c r="L5" s="388"/>
      <c r="M5" s="388"/>
      <c r="N5" s="388"/>
    </row>
    <row r="6" spans="2:17" ht="15" customHeight="1" x14ac:dyDescent="0.3">
      <c r="B6" s="232"/>
      <c r="C6" s="233"/>
      <c r="D6" s="233"/>
      <c r="E6" s="233"/>
      <c r="F6" s="233"/>
      <c r="G6" s="233"/>
      <c r="H6" s="233"/>
      <c r="I6" s="233"/>
      <c r="J6" s="233"/>
      <c r="K6" s="233"/>
      <c r="L6" s="233"/>
      <c r="M6" s="233"/>
      <c r="N6" s="233"/>
    </row>
    <row r="8" spans="2:17" ht="18" x14ac:dyDescent="0.35">
      <c r="B8" s="29" t="s">
        <v>626</v>
      </c>
      <c r="P8" s="1" t="s">
        <v>389</v>
      </c>
    </row>
    <row r="9" spans="2:17" x14ac:dyDescent="0.3">
      <c r="P9" t="s">
        <v>42</v>
      </c>
      <c r="Q9" t="s">
        <v>81</v>
      </c>
    </row>
    <row r="10" spans="2:17" x14ac:dyDescent="0.3">
      <c r="C10" s="389" t="s">
        <v>80</v>
      </c>
      <c r="D10" s="389"/>
      <c r="E10" s="389"/>
      <c r="F10" s="389"/>
      <c r="G10" s="389"/>
      <c r="H10" s="389"/>
      <c r="I10" s="389"/>
      <c r="J10" s="389"/>
      <c r="K10" s="389"/>
      <c r="L10" s="389"/>
      <c r="M10" s="389"/>
      <c r="N10" s="389"/>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96">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96">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96">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96">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96">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96">
        <v>0</v>
      </c>
      <c r="J17" s="208">
        <v>0</v>
      </c>
      <c r="K17" s="208">
        <v>0</v>
      </c>
      <c r="L17" s="208">
        <v>0</v>
      </c>
      <c r="M17" s="208">
        <v>0</v>
      </c>
      <c r="N17" s="208">
        <v>0</v>
      </c>
    </row>
    <row r="18" spans="2:56" x14ac:dyDescent="0.3">
      <c r="B18" s="25" t="s">
        <v>48</v>
      </c>
      <c r="C18" s="397">
        <v>90.108830919972206</v>
      </c>
      <c r="D18" s="397">
        <v>89.334335388960696</v>
      </c>
      <c r="E18" s="397">
        <v>0</v>
      </c>
      <c r="F18" s="397">
        <v>0</v>
      </c>
      <c r="G18" s="397">
        <v>116.792507674959</v>
      </c>
      <c r="H18" s="397">
        <v>0</v>
      </c>
      <c r="I18" s="398">
        <v>0</v>
      </c>
      <c r="J18" s="397">
        <v>0</v>
      </c>
      <c r="K18" s="397">
        <v>0</v>
      </c>
      <c r="L18" s="397">
        <v>0</v>
      </c>
      <c r="M18" s="397">
        <v>0</v>
      </c>
      <c r="N18" s="397">
        <v>0</v>
      </c>
    </row>
    <row r="19" spans="2:56" x14ac:dyDescent="0.3">
      <c r="B19" s="25" t="s">
        <v>513</v>
      </c>
      <c r="C19" s="208">
        <v>67.205031077067105</v>
      </c>
      <c r="D19" s="208">
        <v>49.377225240071603</v>
      </c>
      <c r="E19" s="208">
        <v>0</v>
      </c>
      <c r="F19" s="208">
        <v>0</v>
      </c>
      <c r="G19" s="208">
        <v>39.230014801025398</v>
      </c>
      <c r="H19" s="208">
        <v>0</v>
      </c>
      <c r="I19" s="396">
        <v>0</v>
      </c>
      <c r="J19" s="208" t="s">
        <v>663</v>
      </c>
      <c r="K19" s="208" t="s">
        <v>663</v>
      </c>
      <c r="L19" s="208" t="s">
        <v>663</v>
      </c>
      <c r="M19" s="208" t="s">
        <v>663</v>
      </c>
      <c r="N19" s="208" t="s">
        <v>663</v>
      </c>
    </row>
    <row r="20" spans="2:56" x14ac:dyDescent="0.3">
      <c r="B20" s="25" t="s">
        <v>514</v>
      </c>
      <c r="C20" s="208">
        <v>73.781873067220005</v>
      </c>
      <c r="D20" s="208">
        <v>64.932866414388002</v>
      </c>
      <c r="E20" s="208">
        <v>0</v>
      </c>
      <c r="F20" s="208">
        <v>0</v>
      </c>
      <c r="G20" s="208">
        <v>41.1797485351562</v>
      </c>
      <c r="H20" s="208">
        <v>0</v>
      </c>
      <c r="I20" s="396">
        <v>0</v>
      </c>
      <c r="J20" s="208" t="s">
        <v>663</v>
      </c>
      <c r="K20" s="208" t="s">
        <v>663</v>
      </c>
      <c r="L20" s="208" t="s">
        <v>663</v>
      </c>
      <c r="M20" s="208" t="s">
        <v>663</v>
      </c>
      <c r="N20" s="208" t="s">
        <v>663</v>
      </c>
    </row>
    <row r="21" spans="2:56" x14ac:dyDescent="0.3">
      <c r="B21" s="25" t="s">
        <v>515</v>
      </c>
      <c r="C21" s="208">
        <v>79.956771850585895</v>
      </c>
      <c r="D21" s="208">
        <v>77.726880391438797</v>
      </c>
      <c r="E21" s="208">
        <v>0</v>
      </c>
      <c r="F21" s="208">
        <v>0</v>
      </c>
      <c r="G21" s="208">
        <v>131.36447143554699</v>
      </c>
      <c r="H21" s="208">
        <v>0</v>
      </c>
      <c r="I21" s="396">
        <v>0</v>
      </c>
      <c r="J21" s="208" t="s">
        <v>663</v>
      </c>
      <c r="K21" s="208" t="s">
        <v>663</v>
      </c>
      <c r="L21" s="235" t="s">
        <v>663</v>
      </c>
      <c r="M21" s="208" t="s">
        <v>663</v>
      </c>
      <c r="N21" s="208" t="s">
        <v>663</v>
      </c>
    </row>
    <row r="22" spans="2:56" x14ac:dyDescent="0.3">
      <c r="B22" s="25" t="s">
        <v>516</v>
      </c>
      <c r="C22" s="208">
        <v>90.108830919972206</v>
      </c>
      <c r="D22" s="208">
        <v>89.334335388960696</v>
      </c>
      <c r="E22" s="208">
        <v>0</v>
      </c>
      <c r="F22" s="208">
        <v>0</v>
      </c>
      <c r="G22" s="208">
        <v>116.792507674959</v>
      </c>
      <c r="H22" s="208">
        <v>0</v>
      </c>
      <c r="I22" s="396">
        <v>0</v>
      </c>
      <c r="J22" s="208" t="s">
        <v>663</v>
      </c>
      <c r="K22" s="208" t="s">
        <v>663</v>
      </c>
      <c r="L22" s="208" t="s">
        <v>663</v>
      </c>
      <c r="M22" s="208" t="s">
        <v>663</v>
      </c>
      <c r="N22" s="208" t="s">
        <v>663</v>
      </c>
    </row>
    <row r="23" spans="2:56" x14ac:dyDescent="0.3">
      <c r="B23" s="25" t="s">
        <v>517</v>
      </c>
      <c r="C23" s="208">
        <v>67.205031077067105</v>
      </c>
      <c r="D23" s="208">
        <v>49.377225240071603</v>
      </c>
      <c r="E23" s="208">
        <v>0</v>
      </c>
      <c r="F23" s="208">
        <v>0</v>
      </c>
      <c r="G23" s="208">
        <v>39.230014801025398</v>
      </c>
      <c r="H23" s="208">
        <v>0</v>
      </c>
      <c r="I23" s="396">
        <v>0</v>
      </c>
      <c r="J23" s="208" t="s">
        <v>663</v>
      </c>
      <c r="K23" s="208" t="s">
        <v>663</v>
      </c>
      <c r="L23" s="208" t="s">
        <v>663</v>
      </c>
      <c r="M23" s="208" t="s">
        <v>663</v>
      </c>
      <c r="N23" s="208" t="s">
        <v>663</v>
      </c>
    </row>
    <row r="25" spans="2:56" x14ac:dyDescent="0.3">
      <c r="B25" s="363" t="s">
        <v>99</v>
      </c>
      <c r="C25" s="363"/>
      <c r="D25" s="363"/>
      <c r="E25" s="363"/>
      <c r="F25" s="363"/>
      <c r="G25" s="363"/>
      <c r="H25" s="363"/>
      <c r="I25" s="363"/>
      <c r="J25" s="363"/>
      <c r="K25" s="363"/>
      <c r="L25" s="363"/>
      <c r="M25" s="363"/>
      <c r="N25" s="363"/>
    </row>
    <row r="26" spans="2:56" x14ac:dyDescent="0.3">
      <c r="B26" s="244" t="s">
        <v>587</v>
      </c>
      <c r="C26" s="350"/>
      <c r="D26" s="350"/>
      <c r="E26" s="350"/>
      <c r="F26" s="350"/>
      <c r="G26" s="350"/>
      <c r="H26" s="350"/>
      <c r="I26" s="350"/>
      <c r="J26" s="350"/>
      <c r="K26" s="350"/>
      <c r="L26" s="350"/>
      <c r="M26" s="350"/>
      <c r="N26" s="350"/>
    </row>
    <row r="27" spans="2:56" ht="15" customHeight="1" x14ac:dyDescent="0.3">
      <c r="B27" s="363" t="s">
        <v>673</v>
      </c>
      <c r="C27" s="363"/>
      <c r="D27" s="363"/>
      <c r="E27" s="363"/>
      <c r="F27" s="363"/>
      <c r="G27" s="363"/>
      <c r="H27" s="363"/>
      <c r="I27" s="363"/>
      <c r="J27" s="363"/>
      <c r="K27" s="363"/>
      <c r="L27" s="363"/>
      <c r="M27" s="363"/>
      <c r="N27" s="363"/>
      <c r="P27" s="33"/>
    </row>
    <row r="28" spans="2:56" ht="30" customHeight="1" x14ac:dyDescent="0.3">
      <c r="B28" s="364" t="s">
        <v>608</v>
      </c>
      <c r="C28" s="364"/>
      <c r="D28" s="364"/>
      <c r="E28" s="364"/>
      <c r="F28" s="364"/>
      <c r="G28" s="364"/>
      <c r="H28" s="364"/>
      <c r="I28" s="364"/>
      <c r="J28" s="364"/>
      <c r="K28" s="364"/>
      <c r="L28" s="364"/>
      <c r="M28" s="364"/>
      <c r="N28" s="364"/>
    </row>
    <row r="29" spans="2:56" x14ac:dyDescent="0.3">
      <c r="B29" s="363" t="s">
        <v>112</v>
      </c>
      <c r="C29" s="363"/>
      <c r="D29" s="363"/>
      <c r="E29" s="363"/>
      <c r="F29" s="363"/>
      <c r="G29" s="363"/>
      <c r="H29" s="363"/>
      <c r="I29" s="363"/>
      <c r="J29" s="363"/>
      <c r="K29" s="363"/>
      <c r="L29" s="363"/>
      <c r="M29" s="363"/>
      <c r="N29" s="363"/>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619</v>
      </c>
      <c r="P31" s="29" t="s">
        <v>620</v>
      </c>
      <c r="Q31" s="29"/>
      <c r="AD31" s="29" t="s">
        <v>621</v>
      </c>
      <c r="AR31" s="29" t="s">
        <v>622</v>
      </c>
      <c r="AS31" s="29"/>
    </row>
    <row r="33" spans="2:56" x14ac:dyDescent="0.3">
      <c r="C33" s="389" t="s">
        <v>80</v>
      </c>
      <c r="D33" s="389"/>
      <c r="E33" s="389"/>
      <c r="F33" s="389"/>
      <c r="G33" s="389"/>
      <c r="H33" s="389"/>
      <c r="I33" s="389"/>
      <c r="J33" s="389"/>
      <c r="K33" s="389"/>
      <c r="L33" s="389"/>
      <c r="M33" s="389"/>
      <c r="N33" s="389"/>
      <c r="Q33" s="389" t="s">
        <v>80</v>
      </c>
      <c r="R33" s="389"/>
      <c r="S33" s="389"/>
      <c r="T33" s="389"/>
      <c r="U33" s="389"/>
      <c r="V33" s="389"/>
      <c r="W33" s="389"/>
      <c r="X33" s="389"/>
      <c r="Y33" s="389"/>
      <c r="Z33" s="389"/>
      <c r="AA33" s="389"/>
      <c r="AB33" s="389"/>
      <c r="AE33" s="389" t="s">
        <v>80</v>
      </c>
      <c r="AF33" s="389"/>
      <c r="AG33" s="389"/>
      <c r="AH33" s="389"/>
      <c r="AI33" s="389"/>
      <c r="AJ33" s="389"/>
      <c r="AK33" s="389"/>
      <c r="AL33" s="389"/>
      <c r="AM33" s="389"/>
      <c r="AN33" s="389"/>
      <c r="AO33" s="389"/>
      <c r="AP33" s="389"/>
      <c r="AS33" s="389" t="s">
        <v>80</v>
      </c>
      <c r="AT33" s="389"/>
      <c r="AU33" s="389"/>
      <c r="AV33" s="389"/>
      <c r="AW33" s="389"/>
      <c r="AX33" s="389"/>
      <c r="AY33" s="389"/>
      <c r="AZ33" s="389"/>
      <c r="BA33" s="389"/>
      <c r="BB33" s="389"/>
      <c r="BC33" s="389"/>
      <c r="BD33" s="389"/>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415">
        <v>0</v>
      </c>
      <c r="AF35" s="415">
        <v>-0.191628688090553</v>
      </c>
      <c r="AG35" s="415">
        <v>0</v>
      </c>
      <c r="AH35" s="415">
        <v>0</v>
      </c>
      <c r="AI35" s="415">
        <v>0</v>
      </c>
      <c r="AJ35" s="415">
        <v>0</v>
      </c>
      <c r="AK35" s="416">
        <v>0</v>
      </c>
      <c r="AL35" s="415">
        <v>0</v>
      </c>
      <c r="AM35" s="415">
        <v>0</v>
      </c>
      <c r="AN35" s="415">
        <v>0</v>
      </c>
      <c r="AO35" s="415">
        <v>0</v>
      </c>
      <c r="AP35" s="415">
        <v>0</v>
      </c>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415">
        <v>-0.20982915601483401</v>
      </c>
      <c r="AF36" s="415">
        <v>-0.13736973352350301</v>
      </c>
      <c r="AG36" s="415">
        <v>0</v>
      </c>
      <c r="AH36" s="415">
        <v>0</v>
      </c>
      <c r="AI36" s="415">
        <v>-0.24392370296045801</v>
      </c>
      <c r="AJ36" s="415">
        <v>0</v>
      </c>
      <c r="AK36" s="416">
        <v>0</v>
      </c>
      <c r="AL36" s="415">
        <v>0</v>
      </c>
      <c r="AM36" s="415">
        <v>0</v>
      </c>
      <c r="AN36" s="415">
        <v>0</v>
      </c>
      <c r="AO36" s="415">
        <v>0</v>
      </c>
      <c r="AP36" s="415">
        <v>0</v>
      </c>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415">
        <v>-1.7713519590120801</v>
      </c>
      <c r="AF37" s="415">
        <v>-3.1923193857179499</v>
      </c>
      <c r="AG37" s="415">
        <v>0</v>
      </c>
      <c r="AH37" s="415">
        <v>0</v>
      </c>
      <c r="AI37" s="415">
        <v>-2.2663579088576302</v>
      </c>
      <c r="AJ37" s="415">
        <v>0</v>
      </c>
      <c r="AK37" s="416">
        <v>0</v>
      </c>
      <c r="AL37" s="415">
        <v>0</v>
      </c>
      <c r="AM37" s="415">
        <v>0</v>
      </c>
      <c r="AN37" s="415">
        <v>0</v>
      </c>
      <c r="AO37" s="415">
        <v>0</v>
      </c>
      <c r="AP37" s="415">
        <v>0</v>
      </c>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415">
        <v>-0.13075437295221801</v>
      </c>
      <c r="AF38" s="415">
        <v>-0.10694958541194</v>
      </c>
      <c r="AG38" s="415">
        <v>0</v>
      </c>
      <c r="AH38" s="415">
        <v>0</v>
      </c>
      <c r="AI38" s="415">
        <v>-9.6594157477312606E-2</v>
      </c>
      <c r="AJ38" s="415">
        <v>0</v>
      </c>
      <c r="AK38" s="416">
        <v>0</v>
      </c>
      <c r="AL38" s="415">
        <v>0</v>
      </c>
      <c r="AM38" s="415">
        <v>0</v>
      </c>
      <c r="AN38" s="415">
        <v>0</v>
      </c>
      <c r="AO38" s="415">
        <v>0</v>
      </c>
      <c r="AP38" s="415">
        <v>0</v>
      </c>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415">
        <v>-1.6493112600269599</v>
      </c>
      <c r="AF39" s="415">
        <v>-1.8224478734541001</v>
      </c>
      <c r="AG39" s="415">
        <v>0</v>
      </c>
      <c r="AH39" s="415">
        <v>0</v>
      </c>
      <c r="AI39" s="415">
        <v>-3.1744049816566601E-3</v>
      </c>
      <c r="AJ39" s="415">
        <v>0</v>
      </c>
      <c r="AK39" s="416">
        <v>0</v>
      </c>
      <c r="AL39" s="415">
        <v>0</v>
      </c>
      <c r="AM39" s="415">
        <v>0</v>
      </c>
      <c r="AN39" s="415">
        <v>0</v>
      </c>
      <c r="AO39" s="415">
        <v>0</v>
      </c>
      <c r="AP39" s="415">
        <v>0</v>
      </c>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415">
        <v>-0.300352757743582</v>
      </c>
      <c r="AF40" s="415">
        <v>-9.0463622075908703E-2</v>
      </c>
      <c r="AG40" s="415">
        <v>0</v>
      </c>
      <c r="AH40" s="415">
        <v>0</v>
      </c>
      <c r="AI40" s="415">
        <v>0</v>
      </c>
      <c r="AJ40" s="415">
        <v>0</v>
      </c>
      <c r="AK40" s="416">
        <v>0</v>
      </c>
      <c r="AL40" s="415">
        <v>0</v>
      </c>
      <c r="AM40" s="415">
        <v>0</v>
      </c>
      <c r="AN40" s="415">
        <v>0</v>
      </c>
      <c r="AO40" s="415">
        <v>0</v>
      </c>
      <c r="AP40" s="415">
        <v>0</v>
      </c>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417">
        <v>0</v>
      </c>
      <c r="AF41" s="417">
        <v>0</v>
      </c>
      <c r="AG41" s="417">
        <v>0</v>
      </c>
      <c r="AH41" s="417">
        <v>0</v>
      </c>
      <c r="AI41" s="417">
        <v>0</v>
      </c>
      <c r="AJ41" s="417">
        <v>0</v>
      </c>
      <c r="AK41" s="418">
        <v>0</v>
      </c>
      <c r="AL41" s="417">
        <v>0</v>
      </c>
      <c r="AM41" s="417">
        <v>0</v>
      </c>
      <c r="AN41" s="417">
        <v>0</v>
      </c>
      <c r="AO41" s="417">
        <v>0</v>
      </c>
      <c r="AP41" s="417">
        <v>0</v>
      </c>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415">
        <v>0</v>
      </c>
      <c r="AF42" s="415">
        <v>0</v>
      </c>
      <c r="AG42" s="415">
        <v>0</v>
      </c>
      <c r="AH42" s="415">
        <v>0</v>
      </c>
      <c r="AI42" s="415">
        <v>0</v>
      </c>
      <c r="AJ42" s="415">
        <v>0</v>
      </c>
      <c r="AK42" s="416">
        <v>0</v>
      </c>
      <c r="AL42" s="399" t="s">
        <v>663</v>
      </c>
      <c r="AM42" s="399" t="s">
        <v>663</v>
      </c>
      <c r="AN42" s="399" t="s">
        <v>663</v>
      </c>
      <c r="AO42" s="399" t="s">
        <v>663</v>
      </c>
      <c r="AP42" s="399" t="s">
        <v>663</v>
      </c>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415">
        <v>-1.8472086588541601</v>
      </c>
      <c r="AF43" s="415">
        <v>-2.3156636555989598</v>
      </c>
      <c r="AG43" s="415">
        <v>0</v>
      </c>
      <c r="AH43" s="415">
        <v>0</v>
      </c>
      <c r="AI43" s="415">
        <v>0</v>
      </c>
      <c r="AJ43" s="415">
        <v>0</v>
      </c>
      <c r="AK43" s="416">
        <v>0</v>
      </c>
      <c r="AL43" s="399" t="s">
        <v>663</v>
      </c>
      <c r="AM43" s="399" t="s">
        <v>663</v>
      </c>
      <c r="AN43" s="399" t="s">
        <v>663</v>
      </c>
      <c r="AO43" s="399" t="s">
        <v>663</v>
      </c>
      <c r="AP43" s="399" t="s">
        <v>663</v>
      </c>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415">
        <v>0</v>
      </c>
      <c r="AF44" s="415">
        <v>0</v>
      </c>
      <c r="AG44" s="415">
        <v>0</v>
      </c>
      <c r="AH44" s="415">
        <v>0</v>
      </c>
      <c r="AI44" s="415">
        <v>0</v>
      </c>
      <c r="AJ44" s="415">
        <v>0</v>
      </c>
      <c r="AK44" s="416">
        <v>0</v>
      </c>
      <c r="AL44" s="399" t="s">
        <v>663</v>
      </c>
      <c r="AM44" s="399" t="s">
        <v>663</v>
      </c>
      <c r="AN44" s="414" t="s">
        <v>663</v>
      </c>
      <c r="AO44" s="399" t="s">
        <v>663</v>
      </c>
      <c r="AP44" s="399" t="s">
        <v>663</v>
      </c>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415">
        <v>0</v>
      </c>
      <c r="AF45" s="415">
        <v>0</v>
      </c>
      <c r="AG45" s="415">
        <v>0</v>
      </c>
      <c r="AH45" s="415">
        <v>0</v>
      </c>
      <c r="AI45" s="415">
        <v>0</v>
      </c>
      <c r="AJ45" s="415">
        <v>0</v>
      </c>
      <c r="AK45" s="416">
        <v>0</v>
      </c>
      <c r="AL45" s="399" t="s">
        <v>663</v>
      </c>
      <c r="AM45" s="399" t="s">
        <v>663</v>
      </c>
      <c r="AN45" s="399" t="s">
        <v>663</v>
      </c>
      <c r="AO45" s="399" t="s">
        <v>663</v>
      </c>
      <c r="AP45" s="399" t="s">
        <v>663</v>
      </c>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415">
        <v>0</v>
      </c>
      <c r="AF46" s="415">
        <v>0</v>
      </c>
      <c r="AG46" s="415">
        <v>0</v>
      </c>
      <c r="AH46" s="415">
        <v>0</v>
      </c>
      <c r="AI46" s="415">
        <v>0</v>
      </c>
      <c r="AJ46" s="415">
        <v>0</v>
      </c>
      <c r="AK46" s="416">
        <v>0</v>
      </c>
      <c r="AL46" s="399" t="s">
        <v>663</v>
      </c>
      <c r="AM46" s="399" t="s">
        <v>663</v>
      </c>
      <c r="AN46" s="399" t="s">
        <v>663</v>
      </c>
      <c r="AO46" s="399" t="s">
        <v>663</v>
      </c>
      <c r="AP46" s="399" t="s">
        <v>663</v>
      </c>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610</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386" t="s">
        <v>609</v>
      </c>
      <c r="E56" s="386"/>
      <c r="F56" s="386"/>
      <c r="G56" s="386"/>
      <c r="H56" s="386"/>
      <c r="I56" s="386"/>
      <c r="J56" s="386"/>
      <c r="K56" s="386"/>
      <c r="L56" s="386"/>
      <c r="M56" s="386"/>
      <c r="N56" s="386"/>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667</v>
      </c>
      <c r="Q59" s="337"/>
      <c r="R59" s="337"/>
      <c r="U59" s="337"/>
    </row>
    <row r="60" spans="2:49" x14ac:dyDescent="0.3">
      <c r="Q60" s="337"/>
      <c r="R60" s="337"/>
      <c r="U60" s="337"/>
    </row>
    <row r="61" spans="2:49" x14ac:dyDescent="0.3">
      <c r="C61" s="389" t="s">
        <v>623</v>
      </c>
      <c r="D61" s="389"/>
      <c r="E61" s="389"/>
      <c r="F61" s="389"/>
      <c r="G61" s="389"/>
      <c r="H61" s="389"/>
      <c r="I61" s="389"/>
      <c r="J61" s="389"/>
      <c r="K61" s="389"/>
      <c r="L61" s="389"/>
      <c r="M61" s="389"/>
      <c r="N61" s="389"/>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618</v>
      </c>
      <c r="P77" s="29" t="s">
        <v>617</v>
      </c>
      <c r="AD77" s="29" t="s">
        <v>616</v>
      </c>
      <c r="AR77" s="29" t="s">
        <v>615</v>
      </c>
    </row>
    <row r="79" spans="2:56" x14ac:dyDescent="0.3">
      <c r="C79" s="389" t="s">
        <v>623</v>
      </c>
      <c r="D79" s="389"/>
      <c r="E79" s="389"/>
      <c r="F79" s="389"/>
      <c r="G79" s="389"/>
      <c r="H79" s="389"/>
      <c r="I79" s="389"/>
      <c r="J79" s="389"/>
      <c r="K79" s="389"/>
      <c r="L79" s="389"/>
      <c r="M79" s="389"/>
      <c r="N79" s="389"/>
      <c r="Q79" s="389" t="s">
        <v>623</v>
      </c>
      <c r="R79" s="389"/>
      <c r="S79" s="389"/>
      <c r="T79" s="389"/>
      <c r="U79" s="389"/>
      <c r="V79" s="389"/>
      <c r="W79" s="389"/>
      <c r="X79" s="389"/>
      <c r="Y79" s="389"/>
      <c r="Z79" s="389"/>
      <c r="AA79" s="389"/>
      <c r="AB79" s="389"/>
      <c r="AE79" s="389" t="s">
        <v>623</v>
      </c>
      <c r="AF79" s="389"/>
      <c r="AG79" s="389"/>
      <c r="AH79" s="389"/>
      <c r="AI79" s="389"/>
      <c r="AJ79" s="389"/>
      <c r="AK79" s="389"/>
      <c r="AL79" s="389"/>
      <c r="AM79" s="389"/>
      <c r="AN79" s="389"/>
      <c r="AO79" s="389"/>
      <c r="AP79" s="389"/>
      <c r="AS79" s="389" t="s">
        <v>623</v>
      </c>
      <c r="AT79" s="389"/>
      <c r="AU79" s="389"/>
      <c r="AV79" s="389"/>
      <c r="AW79" s="389"/>
      <c r="AX79" s="389"/>
      <c r="AY79" s="389"/>
      <c r="AZ79" s="389"/>
      <c r="BA79" s="389"/>
      <c r="BB79" s="389"/>
      <c r="BC79" s="389"/>
      <c r="BD79" s="389"/>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5.5367915612297113E-3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6.0626637477886047E-3</v>
      </c>
      <c r="AF82" s="48">
        <f t="shared" ref="AF82:AP82" si="16">IF(D13&gt;0,D64*AF36/(D13),0)</f>
        <v>3.9690695006057474E-3</v>
      </c>
      <c r="AG82" s="48">
        <f t="shared" si="16"/>
        <v>0</v>
      </c>
      <c r="AH82" s="48">
        <f t="shared" si="16"/>
        <v>0</v>
      </c>
      <c r="AI82" s="48">
        <f t="shared" si="16"/>
        <v>7.0477688575375013E-3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5.1180262602389039E-2</v>
      </c>
      <c r="AF83" s="48">
        <f t="shared" ref="AF83:AP83" si="21">IF(D14&gt;0,D65*AF37/(D14),0)</f>
        <v>9.223674811801065E-2</v>
      </c>
      <c r="AG83" s="48">
        <f t="shared" si="21"/>
        <v>0</v>
      </c>
      <c r="AH83" s="48">
        <f t="shared" si="21"/>
        <v>0</v>
      </c>
      <c r="AI83" s="48">
        <f t="shared" si="21"/>
        <v>6.5482634513259794E-2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3.7779296824994187E-3</v>
      </c>
      <c r="AF84" s="48">
        <f t="shared" ref="AF84:AP84" si="25">IF(D15&gt;0,D66*AF38/(D15),0)</f>
        <v>3.0901300211689862E-3</v>
      </c>
      <c r="AG84" s="48">
        <f t="shared" si="25"/>
        <v>0</v>
      </c>
      <c r="AH84" s="48">
        <f t="shared" si="25"/>
        <v>0</v>
      </c>
      <c r="AI84" s="48">
        <f t="shared" si="25"/>
        <v>2.7909271900444857E-3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4.7654100006378972E-2</v>
      </c>
      <c r="AF85" s="48">
        <f t="shared" ref="AF85:AP85" si="29">IF(D16&gt;0,D67*AF39/(D16),0)</f>
        <v>5.2656593890333808E-2</v>
      </c>
      <c r="AG85" s="48">
        <f t="shared" si="29"/>
        <v>0</v>
      </c>
      <c r="AH85" s="48">
        <f t="shared" si="29"/>
        <v>0</v>
      </c>
      <c r="AI85" s="48">
        <f t="shared" si="29"/>
        <v>9.1719141269999775E-5</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8.6781923470712289E-3</v>
      </c>
      <c r="AF86" s="48">
        <f t="shared" ref="AF86:AP86" si="33">IF(D17&gt;0,D68*AF40/(D17),0)</f>
        <v>2.6137955871799227E-3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5.3372015516492864E-2</v>
      </c>
      <c r="AF89" s="48">
        <f t="shared" ref="AF89:AK89" si="44">IF(D20&gt;0,D71*AF43/(D20),0)</f>
        <v>6.6907241889105948E-2</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611</v>
      </c>
      <c r="P95" s="29" t="s">
        <v>612</v>
      </c>
      <c r="AD95" s="29" t="s">
        <v>613</v>
      </c>
      <c r="AR95" s="29" t="s">
        <v>614</v>
      </c>
    </row>
    <row r="97" spans="2:56" x14ac:dyDescent="0.3">
      <c r="C97" s="389" t="s">
        <v>623</v>
      </c>
      <c r="D97" s="389"/>
      <c r="E97" s="389"/>
      <c r="F97" s="389"/>
      <c r="G97" s="389"/>
      <c r="H97" s="389"/>
      <c r="I97" s="389"/>
      <c r="J97" s="389"/>
      <c r="K97" s="389"/>
      <c r="L97" s="389"/>
      <c r="M97" s="389"/>
      <c r="N97" s="389"/>
      <c r="Q97" s="389" t="s">
        <v>623</v>
      </c>
      <c r="R97" s="389"/>
      <c r="S97" s="389"/>
      <c r="T97" s="389"/>
      <c r="U97" s="389"/>
      <c r="V97" s="389"/>
      <c r="W97" s="389"/>
      <c r="X97" s="389"/>
      <c r="Y97" s="389"/>
      <c r="Z97" s="389"/>
      <c r="AA97" s="389"/>
      <c r="AB97" s="389"/>
      <c r="AE97" s="389" t="s">
        <v>623</v>
      </c>
      <c r="AF97" s="389"/>
      <c r="AG97" s="389"/>
      <c r="AH97" s="389"/>
      <c r="AI97" s="389"/>
      <c r="AJ97" s="389"/>
      <c r="AK97" s="389"/>
      <c r="AL97" s="389"/>
      <c r="AM97" s="389"/>
      <c r="AN97" s="389"/>
      <c r="AO97" s="389"/>
      <c r="AP97" s="389"/>
      <c r="AS97" s="389" t="s">
        <v>623</v>
      </c>
      <c r="AT97" s="389"/>
      <c r="AU97" s="389"/>
      <c r="AV97" s="389"/>
      <c r="AW97" s="389"/>
      <c r="AX97" s="389"/>
      <c r="AY97" s="389"/>
      <c r="AZ97" s="389"/>
      <c r="BA97" s="389"/>
      <c r="BB97" s="389"/>
      <c r="BC97" s="389"/>
      <c r="BD97" s="389"/>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1.0055367915612297</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1.0060626637477885</v>
      </c>
      <c r="AF100" s="49">
        <f t="shared" si="61"/>
        <v>1.0039690695006058</v>
      </c>
      <c r="AG100" s="49">
        <f t="shared" si="61"/>
        <v>1</v>
      </c>
      <c r="AH100" s="49">
        <f t="shared" si="61"/>
        <v>1</v>
      </c>
      <c r="AI100" s="49">
        <f t="shared" si="61"/>
        <v>1.0070477688575374</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1.0511802626023889</v>
      </c>
      <c r="AF101" s="49">
        <f t="shared" si="61"/>
        <v>1.0922367481180106</v>
      </c>
      <c r="AG101" s="49">
        <f t="shared" si="61"/>
        <v>1</v>
      </c>
      <c r="AH101" s="49">
        <f t="shared" si="61"/>
        <v>1</v>
      </c>
      <c r="AI101" s="49">
        <f t="shared" si="61"/>
        <v>1.0654826345132598</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1.0037779296824993</v>
      </c>
      <c r="AF102" s="49">
        <f t="shared" si="61"/>
        <v>1.003090130021169</v>
      </c>
      <c r="AG102" s="49">
        <f t="shared" si="61"/>
        <v>1</v>
      </c>
      <c r="AH102" s="49">
        <f t="shared" si="61"/>
        <v>1</v>
      </c>
      <c r="AI102" s="49">
        <f t="shared" si="61"/>
        <v>1.0027909271900446</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1.047654100006379</v>
      </c>
      <c r="AF103" s="49">
        <f t="shared" si="61"/>
        <v>1.0526565938903338</v>
      </c>
      <c r="AG103" s="49">
        <f t="shared" si="61"/>
        <v>1</v>
      </c>
      <c r="AH103" s="49">
        <f t="shared" si="61"/>
        <v>1</v>
      </c>
      <c r="AI103" s="49">
        <f t="shared" si="61"/>
        <v>1.0000917191412699</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1.0086781923470711</v>
      </c>
      <c r="AF104" s="49">
        <f t="shared" si="61"/>
        <v>1.0026137955871799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1.053372015516493</v>
      </c>
      <c r="AF107" s="49">
        <f t="shared" si="61"/>
        <v>1.0669072418891059</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624</v>
      </c>
      <c r="R3" s="28"/>
      <c r="AH3" s="28"/>
    </row>
    <row r="5" spans="2:34" ht="150" customHeight="1" x14ac:dyDescent="0.3">
      <c r="B5" s="387" t="s">
        <v>645</v>
      </c>
      <c r="C5" s="387"/>
      <c r="D5" s="387"/>
      <c r="E5" s="387"/>
      <c r="F5" s="387"/>
      <c r="G5" s="387"/>
      <c r="H5" s="387"/>
      <c r="I5" s="387"/>
      <c r="J5" s="387"/>
      <c r="K5" s="387"/>
      <c r="L5" s="387"/>
      <c r="M5" s="387"/>
      <c r="N5" s="387"/>
    </row>
    <row r="8" spans="2:34" ht="18" x14ac:dyDescent="0.35">
      <c r="B8" s="29" t="s">
        <v>625</v>
      </c>
      <c r="G8" s="29" t="s">
        <v>627</v>
      </c>
    </row>
    <row r="9" spans="2:34" ht="15" customHeight="1" x14ac:dyDescent="0.3">
      <c r="B9" s="390" t="s">
        <v>628</v>
      </c>
      <c r="C9" s="390"/>
      <c r="D9" s="390"/>
      <c r="E9" s="390"/>
      <c r="G9" s="175" t="s">
        <v>342</v>
      </c>
    </row>
    <row r="10" spans="2:34" x14ac:dyDescent="0.3">
      <c r="B10" s="363"/>
      <c r="C10" s="363"/>
      <c r="D10" s="363"/>
      <c r="E10" s="363"/>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391" t="s">
        <v>347</v>
      </c>
      <c r="C26" s="391"/>
      <c r="D26" s="391"/>
      <c r="E26" s="391"/>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391" t="s">
        <v>348</v>
      </c>
      <c r="C41" s="391"/>
      <c r="D41" s="391"/>
      <c r="E41" s="391"/>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629</v>
      </c>
    </row>
    <row r="56" spans="2:14" ht="30" customHeight="1" x14ac:dyDescent="0.3">
      <c r="B56" s="30" t="s">
        <v>63</v>
      </c>
      <c r="C56" s="87">
        <f>SUM('Main Sheet'!B11:B13)*6*2</f>
        <v>8388</v>
      </c>
      <c r="D56" s="386" t="s">
        <v>519</v>
      </c>
      <c r="E56" s="386"/>
      <c r="F56" s="386"/>
      <c r="G56" s="386"/>
      <c r="H56" s="386"/>
      <c r="I56" s="386"/>
      <c r="J56" s="386"/>
      <c r="K56" s="386"/>
      <c r="L56" s="386"/>
      <c r="M56" s="386"/>
      <c r="N56" s="386"/>
    </row>
    <row r="57" spans="2:14" x14ac:dyDescent="0.3">
      <c r="B57" s="30" t="s">
        <v>64</v>
      </c>
      <c r="C57" s="87">
        <f>2*0.027*1600000</f>
        <v>86400</v>
      </c>
      <c r="D57" s="363" t="s">
        <v>665</v>
      </c>
      <c r="E57" s="363"/>
      <c r="F57" s="363"/>
      <c r="G57" s="363"/>
      <c r="H57" s="363"/>
      <c r="I57" s="363"/>
      <c r="J57" s="363"/>
      <c r="K57" s="363"/>
      <c r="L57" s="363"/>
      <c r="M57" s="363"/>
      <c r="N57" s="363"/>
    </row>
    <row r="58" spans="2:14" x14ac:dyDescent="0.3">
      <c r="B58" s="30" t="s">
        <v>62</v>
      </c>
      <c r="C58" s="27">
        <f>C56/C57</f>
        <v>9.7083333333333327E-2</v>
      </c>
      <c r="D58" s="392" t="s">
        <v>341</v>
      </c>
      <c r="E58" s="363"/>
      <c r="F58" s="363"/>
      <c r="G58" s="363"/>
      <c r="H58" s="363"/>
      <c r="I58" s="363"/>
      <c r="J58" s="363"/>
      <c r="K58" s="363"/>
      <c r="L58" s="363"/>
      <c r="M58" s="363"/>
      <c r="N58" s="363"/>
    </row>
    <row r="59" spans="2:14" ht="28.8" x14ac:dyDescent="0.3">
      <c r="B59" s="43" t="s">
        <v>76</v>
      </c>
      <c r="C59" s="335">
        <f>61398/2080/3</f>
        <v>9.8394230769230777</v>
      </c>
      <c r="D59" s="364" t="s">
        <v>650</v>
      </c>
      <c r="E59" s="364"/>
      <c r="F59" s="364"/>
      <c r="G59" s="364"/>
      <c r="H59" s="364"/>
      <c r="I59" s="364"/>
      <c r="J59" s="364"/>
      <c r="K59" s="364"/>
      <c r="L59" s="364"/>
      <c r="M59" s="364"/>
      <c r="N59" s="364"/>
    </row>
    <row r="60" spans="2:14" x14ac:dyDescent="0.3">
      <c r="B60" s="43" t="s">
        <v>65</v>
      </c>
      <c r="C60" s="88">
        <v>-3.2000000000000001E-2</v>
      </c>
      <c r="D60" s="363" t="s">
        <v>349</v>
      </c>
      <c r="E60" s="363"/>
      <c r="F60" s="363"/>
      <c r="G60" s="363"/>
      <c r="H60" s="363"/>
      <c r="I60" s="363"/>
      <c r="J60" s="363"/>
      <c r="K60" s="363"/>
      <c r="L60" s="363"/>
      <c r="M60" s="363"/>
      <c r="N60" s="363"/>
    </row>
    <row r="61" spans="2:14" ht="30" customHeight="1" x14ac:dyDescent="0.3">
      <c r="B61" s="43" t="s">
        <v>350</v>
      </c>
      <c r="C61" s="241">
        <f>(C60/VOT)*0.6</f>
        <v>-1.9513339196716502E-3</v>
      </c>
      <c r="D61" s="393" t="s">
        <v>351</v>
      </c>
      <c r="E61" s="394"/>
      <c r="F61" s="394"/>
      <c r="G61" s="394"/>
      <c r="H61" s="394"/>
      <c r="I61" s="394"/>
      <c r="J61" s="394"/>
      <c r="K61" s="394"/>
      <c r="L61" s="394"/>
      <c r="M61" s="394"/>
      <c r="N61" s="394"/>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630</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2018-09-25T20:52:26Z</dcterms:modified>
</cp:coreProperties>
</file>