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08"/>
  <workbookPr defaultThemeVersion="166925"/>
  <mc:AlternateContent xmlns:mc="http://schemas.openxmlformats.org/markup-compatibility/2006">
    <mc:Choice Requires="x15">
      <x15ac:absPath xmlns:x15ac="http://schemas.microsoft.com/office/spreadsheetml/2010/11/ac" url="https://sandag.sharepoint.com/sites/SANDAGModels/Shared Documents/TAM-RP/2021 RP/Performance Measures/FinalPlan/"/>
    </mc:Choice>
  </mc:AlternateContent>
  <xr:revisionPtr revIDLastSave="753" documentId="13_ncr:1_{65A9CB27-9A57-4522-8958-A0E83C5085AA}" xr6:coauthVersionLast="47" xr6:coauthVersionMax="47" xr10:uidLastSave="{B180C8E9-8321-4265-B5E3-2EF676DAF979}"/>
  <bookViews>
    <workbookView xWindow="1065" yWindow="1320" windowWidth="27015" windowHeight="15765" tabRatio="985" firstSheet="6" activeTab="6" xr2:uid="{00000000-000D-0000-FFFF-FFFF00000000}"/>
  </bookViews>
  <sheets>
    <sheet name="PrimaryMeasures" sheetId="1" r:id="rId1"/>
    <sheet name="SB375 CO2 Analysis (EMFAC2014)" sheetId="14" r:id="rId2"/>
    <sheet name="Primary_M-2_CompTravelTime" sheetId="2" r:id="rId3"/>
    <sheet name="Social Equity PMs" sheetId="3" r:id="rId4"/>
    <sheet name="SupportingMeasures" sheetId="4" r:id="rId5"/>
    <sheet name="ScreenLineModeSharePeakPeriods" sheetId="17" r:id="rId6"/>
    <sheet name="SB375 Data Table" sheetId="6" r:id="rId7"/>
    <sheet name="Off Model" sheetId="13" r:id="rId8"/>
    <sheet name="SB375 Data Table AvgHeadways" sheetId="7" r:id="rId9"/>
    <sheet name="Conformity" sheetId="9" r:id="rId10"/>
    <sheet name="SM-10transCostBreakDown" sheetId="15" r:id="rId11"/>
    <sheet name="particulateMatter" sheetId="11" r:id="rId12"/>
    <sheet name="Major Inputs" sheetId="12" r:id="rId13"/>
  </sheets>
  <externalReferences>
    <externalReference r:id="rId14"/>
  </externalReferences>
  <definedNames>
    <definedName name="_2005_Baseline">'SB375 CO2 Analysis (EMFAC2014)'!$D$1</definedName>
    <definedName name="_2005_SB375_CO2_total" localSheetId="1">'SB375 CO2 Analysis (EMFAC2014)'!$D$2</definedName>
    <definedName name="_xlnm._FilterDatabase" localSheetId="11" hidden="1">particulateMatter!$A$4:$B$25</definedName>
    <definedName name="_xlnm.Print_Area" localSheetId="2">'Primary_M-2_CompTravelTime'!$A$1:$T$56</definedName>
    <definedName name="_xlnm.Print_Area" localSheetId="6">'SB375 Data Table'!$A$1:$J$106</definedName>
    <definedName name="_xlnm.Print_Titles" localSheetId="2">'Primary_M-2_CompTravelTime'!$2:$3</definedName>
    <definedName name="_xlnm.Print_Titles" localSheetId="6">'SB375 Data Table'!$1:$2</definedName>
    <definedName name="_xlnm.Print_Titles" localSheetId="3">'Social Equity PMs'!$1:$2</definedName>
    <definedName name="_xlnm.Print_Titles" localSheetId="4">SupportingMeasures!$1:$2</definedName>
    <definedName name="ton_conversion">'SB375 CO2 Analysis (EMFAC2014)'!$M$1</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xlnp="http://schemas.microsoft.com/office/spreadsheetml/2019/extlinksprops" uri="{FCE6A71B-6B00-49CD-AB44-F6B1AE7CDE65}">
      <xxlnp:externalLinksPr autoRefresh="1"/>
    </ext>
  </extLst>
</workbook>
</file>

<file path=xl/calcChain.xml><?xml version="1.0" encoding="utf-8"?>
<calcChain xmlns="http://schemas.openxmlformats.org/spreadsheetml/2006/main">
  <c r="K38" i="14" l="1"/>
  <c r="K35" i="14"/>
  <c r="A38" i="14"/>
  <c r="A39" i="14" s="1"/>
  <c r="A33" i="14"/>
  <c r="A34" i="14" s="1"/>
  <c r="A35" i="14" s="1"/>
  <c r="A36" i="14" s="1"/>
  <c r="A37" i="14" s="1"/>
  <c r="D10" i="13" l="1"/>
  <c r="C10" i="13"/>
  <c r="K50" i="2" l="1"/>
  <c r="J50" i="2"/>
  <c r="I50" i="2"/>
  <c r="N51" i="2"/>
  <c r="M51" i="2"/>
  <c r="L51" i="2"/>
  <c r="K51" i="2"/>
  <c r="J51" i="2"/>
  <c r="I51" i="2"/>
  <c r="N50" i="2"/>
  <c r="M50" i="2"/>
  <c r="L50" i="2"/>
  <c r="E48" i="14" l="1"/>
  <c r="E49" i="14"/>
  <c r="E46" i="14"/>
  <c r="E45" i="14" s="1"/>
  <c r="M106" i="17"/>
  <c r="N102" i="17" s="1"/>
  <c r="E106" i="17"/>
  <c r="F100" i="17" s="1"/>
  <c r="N105" i="17"/>
  <c r="O101" i="17"/>
  <c r="O106" i="17" s="1"/>
  <c r="M101" i="17"/>
  <c r="K101" i="17"/>
  <c r="K106" i="17" s="1"/>
  <c r="I101" i="17"/>
  <c r="I106" i="17" s="1"/>
  <c r="G101" i="17"/>
  <c r="E101" i="17"/>
  <c r="C101" i="17"/>
  <c r="C106" i="17" s="1"/>
  <c r="O98" i="17"/>
  <c r="P96" i="17" s="1"/>
  <c r="C98" i="17"/>
  <c r="D95" i="17" s="1"/>
  <c r="D97" i="17"/>
  <c r="O93" i="17"/>
  <c r="P93" i="17" s="1"/>
  <c r="M93" i="17"/>
  <c r="M98" i="17" s="1"/>
  <c r="K93" i="17"/>
  <c r="I93" i="17"/>
  <c r="G93" i="17"/>
  <c r="G98" i="17" s="1"/>
  <c r="E93" i="17"/>
  <c r="E98" i="17" s="1"/>
  <c r="C93" i="17"/>
  <c r="D93" i="17" s="1"/>
  <c r="P92" i="17"/>
  <c r="K90" i="17"/>
  <c r="L87" i="17" s="1"/>
  <c r="G90" i="17"/>
  <c r="H89" i="17" s="1"/>
  <c r="O85" i="17"/>
  <c r="O90" i="17" s="1"/>
  <c r="M85" i="17"/>
  <c r="K85" i="17"/>
  <c r="I85" i="17"/>
  <c r="I90" i="17" s="1"/>
  <c r="G85" i="17"/>
  <c r="E85" i="17"/>
  <c r="E90" i="17" s="1"/>
  <c r="C85" i="17"/>
  <c r="C90" i="17" s="1"/>
  <c r="I82" i="17"/>
  <c r="J81" i="17" s="1"/>
  <c r="J79" i="17"/>
  <c r="J78" i="17"/>
  <c r="O77" i="17"/>
  <c r="M77" i="17"/>
  <c r="M82" i="17" s="1"/>
  <c r="K77" i="17"/>
  <c r="K82" i="17" s="1"/>
  <c r="I77" i="17"/>
  <c r="J77" i="17" s="1"/>
  <c r="G77" i="17"/>
  <c r="G82" i="17" s="1"/>
  <c r="E77" i="17"/>
  <c r="C77" i="17"/>
  <c r="M74" i="17"/>
  <c r="N70" i="17" s="1"/>
  <c r="E74" i="17"/>
  <c r="F68" i="17" s="1"/>
  <c r="N73" i="17"/>
  <c r="O69" i="17"/>
  <c r="O74" i="17" s="1"/>
  <c r="M69" i="17"/>
  <c r="K69" i="17"/>
  <c r="K74" i="17" s="1"/>
  <c r="I69" i="17"/>
  <c r="I74" i="17" s="1"/>
  <c r="G69" i="17"/>
  <c r="E69" i="17"/>
  <c r="C69" i="17"/>
  <c r="C74" i="17" s="1"/>
  <c r="O66" i="17"/>
  <c r="P64" i="17" s="1"/>
  <c r="C66" i="17"/>
  <c r="D63" i="17" s="1"/>
  <c r="D65" i="17"/>
  <c r="O61" i="17"/>
  <c r="P61" i="17" s="1"/>
  <c r="M61" i="17"/>
  <c r="M66" i="17" s="1"/>
  <c r="K61" i="17"/>
  <c r="I61" i="17"/>
  <c r="G61" i="17"/>
  <c r="G66" i="17" s="1"/>
  <c r="E61" i="17"/>
  <c r="E66" i="17" s="1"/>
  <c r="C61" i="17"/>
  <c r="D61" i="17" s="1"/>
  <c r="P60" i="17"/>
  <c r="K58" i="17"/>
  <c r="L55" i="17" s="1"/>
  <c r="G58" i="17"/>
  <c r="H57" i="17" s="1"/>
  <c r="O53" i="17"/>
  <c r="O58" i="17" s="1"/>
  <c r="M53" i="17"/>
  <c r="K53" i="17"/>
  <c r="I53" i="17"/>
  <c r="I58" i="17" s="1"/>
  <c r="G53" i="17"/>
  <c r="E53" i="17"/>
  <c r="E58" i="17" s="1"/>
  <c r="C53" i="17"/>
  <c r="C58" i="17" s="1"/>
  <c r="I50" i="17"/>
  <c r="J49" i="17" s="1"/>
  <c r="J47" i="17"/>
  <c r="J46" i="17"/>
  <c r="O45" i="17"/>
  <c r="M45" i="17"/>
  <c r="M50" i="17" s="1"/>
  <c r="K45" i="17"/>
  <c r="K50" i="17" s="1"/>
  <c r="I45" i="17"/>
  <c r="J45" i="17" s="1"/>
  <c r="G45" i="17"/>
  <c r="G50" i="17" s="1"/>
  <c r="E45" i="17"/>
  <c r="C45" i="17"/>
  <c r="M42" i="17"/>
  <c r="N38" i="17" s="1"/>
  <c r="E42" i="17"/>
  <c r="F36" i="17" s="1"/>
  <c r="N41" i="17"/>
  <c r="O37" i="17"/>
  <c r="O42" i="17" s="1"/>
  <c r="M37" i="17"/>
  <c r="K37" i="17"/>
  <c r="K42" i="17" s="1"/>
  <c r="I37" i="17"/>
  <c r="I42" i="17" s="1"/>
  <c r="G37" i="17"/>
  <c r="E37" i="17"/>
  <c r="C37" i="17"/>
  <c r="C42" i="17" s="1"/>
  <c r="O34" i="17"/>
  <c r="P32" i="17" s="1"/>
  <c r="C34" i="17"/>
  <c r="D31" i="17" s="1"/>
  <c r="D33" i="17"/>
  <c r="O29" i="17"/>
  <c r="P29" i="17" s="1"/>
  <c r="M29" i="17"/>
  <c r="M34" i="17" s="1"/>
  <c r="K29" i="17"/>
  <c r="I29" i="17"/>
  <c r="G29" i="17"/>
  <c r="G34" i="17" s="1"/>
  <c r="E29" i="17"/>
  <c r="E34" i="17" s="1"/>
  <c r="C29" i="17"/>
  <c r="D29" i="17" s="1"/>
  <c r="P28" i="17"/>
  <c r="K26" i="17"/>
  <c r="L23" i="17" s="1"/>
  <c r="G26" i="17"/>
  <c r="H25" i="17" s="1"/>
  <c r="O21" i="17"/>
  <c r="O26" i="17" s="1"/>
  <c r="M21" i="17"/>
  <c r="K21" i="17"/>
  <c r="I21" i="17"/>
  <c r="I26" i="17" s="1"/>
  <c r="G21" i="17"/>
  <c r="E21" i="17"/>
  <c r="E26" i="17" s="1"/>
  <c r="C21" i="17"/>
  <c r="C26" i="17" s="1"/>
  <c r="I18" i="17"/>
  <c r="J17" i="17" s="1"/>
  <c r="J15" i="17"/>
  <c r="J14" i="17"/>
  <c r="O13" i="17"/>
  <c r="M13" i="17"/>
  <c r="M18" i="17" s="1"/>
  <c r="K13" i="17"/>
  <c r="K18" i="17" s="1"/>
  <c r="I13" i="17"/>
  <c r="J13" i="17" s="1"/>
  <c r="G13" i="17"/>
  <c r="G18" i="17" s="1"/>
  <c r="E13" i="17"/>
  <c r="C13" i="17"/>
  <c r="M10" i="17"/>
  <c r="N6" i="17" s="1"/>
  <c r="E10" i="17"/>
  <c r="F4" i="17" s="1"/>
  <c r="F6" i="17"/>
  <c r="O5" i="17"/>
  <c r="O10" i="17" s="1"/>
  <c r="M5" i="17"/>
  <c r="K5" i="17"/>
  <c r="K10" i="17" s="1"/>
  <c r="I5" i="17"/>
  <c r="I10" i="17" s="1"/>
  <c r="G5" i="17"/>
  <c r="F5" i="17"/>
  <c r="E5" i="17"/>
  <c r="C5" i="17"/>
  <c r="C10" i="17" s="1"/>
  <c r="P9" i="17" l="1"/>
  <c r="P7" i="17"/>
  <c r="P5" i="17"/>
  <c r="P4" i="17"/>
  <c r="P8" i="17"/>
  <c r="P6" i="17"/>
  <c r="L49" i="17"/>
  <c r="L47" i="17"/>
  <c r="L44" i="17"/>
  <c r="L48" i="17"/>
  <c r="L46" i="17"/>
  <c r="J40" i="17"/>
  <c r="J37" i="17"/>
  <c r="J38" i="17"/>
  <c r="J41" i="17"/>
  <c r="J36" i="17"/>
  <c r="J39" i="17"/>
  <c r="J87" i="17"/>
  <c r="J84" i="17"/>
  <c r="J88" i="17"/>
  <c r="J85" i="17"/>
  <c r="J86" i="17"/>
  <c r="J89" i="17"/>
  <c r="D21" i="17"/>
  <c r="D25" i="17"/>
  <c r="D23" i="17"/>
  <c r="D22" i="17"/>
  <c r="D20" i="17"/>
  <c r="D26" i="17" s="1"/>
  <c r="D24" i="17"/>
  <c r="L38" i="17"/>
  <c r="L41" i="17"/>
  <c r="L39" i="17"/>
  <c r="L40" i="17"/>
  <c r="L36" i="17"/>
  <c r="D68" i="17"/>
  <c r="D72" i="17"/>
  <c r="D70" i="17"/>
  <c r="D69" i="17"/>
  <c r="D73" i="17"/>
  <c r="D71" i="17"/>
  <c r="H78" i="17"/>
  <c r="H81" i="17"/>
  <c r="H79" i="17"/>
  <c r="H76" i="17"/>
  <c r="H77" i="17"/>
  <c r="H80" i="17"/>
  <c r="F23" i="17"/>
  <c r="F25" i="17"/>
  <c r="F20" i="17"/>
  <c r="F24" i="17"/>
  <c r="F22" i="17"/>
  <c r="P41" i="17"/>
  <c r="P39" i="17"/>
  <c r="P37" i="17"/>
  <c r="P36" i="17"/>
  <c r="P42" i="17" s="1"/>
  <c r="P40" i="17"/>
  <c r="P38" i="17"/>
  <c r="L81" i="17"/>
  <c r="L79" i="17"/>
  <c r="L76" i="17"/>
  <c r="L80" i="17"/>
  <c r="L78" i="17"/>
  <c r="P85" i="17"/>
  <c r="P84" i="17"/>
  <c r="P88" i="17"/>
  <c r="P86" i="17"/>
  <c r="P89" i="17"/>
  <c r="P87" i="17"/>
  <c r="D4" i="17"/>
  <c r="D8" i="17"/>
  <c r="D6" i="17"/>
  <c r="D5" i="17"/>
  <c r="D9" i="17"/>
  <c r="D7" i="17"/>
  <c r="J23" i="17"/>
  <c r="J20" i="17"/>
  <c r="J24" i="17"/>
  <c r="J21" i="17"/>
  <c r="J22" i="17"/>
  <c r="J25" i="17"/>
  <c r="N28" i="17"/>
  <c r="N32" i="17"/>
  <c r="N30" i="17"/>
  <c r="N33" i="17"/>
  <c r="N31" i="17"/>
  <c r="N29" i="17"/>
  <c r="F63" i="17"/>
  <c r="F60" i="17"/>
  <c r="F64" i="17"/>
  <c r="F62" i="17"/>
  <c r="F65" i="17"/>
  <c r="J72" i="17"/>
  <c r="J69" i="17"/>
  <c r="J70" i="17"/>
  <c r="J73" i="17"/>
  <c r="J71" i="17"/>
  <c r="J68" i="17"/>
  <c r="N81" i="17"/>
  <c r="N79" i="17"/>
  <c r="N76" i="17"/>
  <c r="N80" i="17"/>
  <c r="N78" i="17"/>
  <c r="P105" i="17"/>
  <c r="P103" i="17"/>
  <c r="P101" i="17"/>
  <c r="P100" i="17"/>
  <c r="P104" i="17"/>
  <c r="P102" i="17"/>
  <c r="N49" i="17"/>
  <c r="N47" i="17"/>
  <c r="N44" i="17"/>
  <c r="N50" i="17" s="1"/>
  <c r="N48" i="17"/>
  <c r="N46" i="17"/>
  <c r="H60" i="17"/>
  <c r="H64" i="17"/>
  <c r="H62" i="17"/>
  <c r="H65" i="17"/>
  <c r="H63" i="17"/>
  <c r="L17" i="17"/>
  <c r="L15" i="17"/>
  <c r="L12" i="17"/>
  <c r="L16" i="17"/>
  <c r="L14" i="17"/>
  <c r="L61" i="17"/>
  <c r="J8" i="17"/>
  <c r="J5" i="17"/>
  <c r="J6" i="17"/>
  <c r="J9" i="17"/>
  <c r="J7" i="17"/>
  <c r="J4" i="17"/>
  <c r="F95" i="17"/>
  <c r="F92" i="17"/>
  <c r="F98" i="17" s="1"/>
  <c r="F96" i="17"/>
  <c r="F94" i="17"/>
  <c r="F97" i="17"/>
  <c r="L6" i="17"/>
  <c r="L9" i="17"/>
  <c r="L7" i="17"/>
  <c r="L8" i="17"/>
  <c r="L4" i="17"/>
  <c r="D36" i="17"/>
  <c r="D40" i="17"/>
  <c r="D38" i="17"/>
  <c r="D37" i="17"/>
  <c r="D41" i="17"/>
  <c r="D39" i="17"/>
  <c r="H46" i="17"/>
  <c r="H49" i="17"/>
  <c r="H47" i="17"/>
  <c r="H44" i="17"/>
  <c r="H50" i="17" s="1"/>
  <c r="H45" i="17"/>
  <c r="H48" i="17"/>
  <c r="D85" i="17"/>
  <c r="D89" i="17"/>
  <c r="D87" i="17"/>
  <c r="D84" i="17"/>
  <c r="D90" i="17" s="1"/>
  <c r="D88" i="17"/>
  <c r="D86" i="17"/>
  <c r="H92" i="17"/>
  <c r="H96" i="17"/>
  <c r="H94" i="17"/>
  <c r="H97" i="17"/>
  <c r="H95" i="17"/>
  <c r="L102" i="17"/>
  <c r="L105" i="17"/>
  <c r="L103" i="17"/>
  <c r="L104" i="17"/>
  <c r="L100" i="17"/>
  <c r="L93" i="17"/>
  <c r="F31" i="17"/>
  <c r="F28" i="17"/>
  <c r="F32" i="17"/>
  <c r="F30" i="17"/>
  <c r="F33" i="17"/>
  <c r="N92" i="17"/>
  <c r="N96" i="17"/>
  <c r="N94" i="17"/>
  <c r="N97" i="17"/>
  <c r="N95" i="17"/>
  <c r="N93" i="17"/>
  <c r="H14" i="17"/>
  <c r="H17" i="17"/>
  <c r="H15" i="17"/>
  <c r="H13" i="17"/>
  <c r="H12" i="17"/>
  <c r="H18" i="17" s="1"/>
  <c r="H16" i="17"/>
  <c r="D53" i="17"/>
  <c r="D57" i="17"/>
  <c r="D55" i="17"/>
  <c r="D52" i="17"/>
  <c r="D56" i="17"/>
  <c r="D54" i="17"/>
  <c r="L70" i="17"/>
  <c r="L73" i="17"/>
  <c r="L72" i="17"/>
  <c r="L71" i="17"/>
  <c r="L68" i="17"/>
  <c r="L74" i="17" s="1"/>
  <c r="D100" i="17"/>
  <c r="D104" i="17"/>
  <c r="D102" i="17"/>
  <c r="D101" i="17"/>
  <c r="D105" i="17"/>
  <c r="D103" i="17"/>
  <c r="F57" i="17"/>
  <c r="F55" i="17"/>
  <c r="F52" i="17"/>
  <c r="F56" i="17"/>
  <c r="F54" i="17"/>
  <c r="P21" i="17"/>
  <c r="P24" i="17"/>
  <c r="P20" i="17"/>
  <c r="P26" i="17" s="1"/>
  <c r="P22" i="17"/>
  <c r="P25" i="17"/>
  <c r="P23" i="17"/>
  <c r="P73" i="17"/>
  <c r="P71" i="17"/>
  <c r="P69" i="17"/>
  <c r="P68" i="17"/>
  <c r="P72" i="17"/>
  <c r="P70" i="17"/>
  <c r="H101" i="17"/>
  <c r="N17" i="17"/>
  <c r="N15" i="17"/>
  <c r="N12" i="17"/>
  <c r="N16" i="17"/>
  <c r="N14" i="17"/>
  <c r="J55" i="17"/>
  <c r="J52" i="17"/>
  <c r="J56" i="17"/>
  <c r="J53" i="17"/>
  <c r="J54" i="17"/>
  <c r="J57" i="17"/>
  <c r="N60" i="17"/>
  <c r="N66" i="17" s="1"/>
  <c r="N64" i="17"/>
  <c r="N62" i="17"/>
  <c r="N65" i="17"/>
  <c r="N63" i="17"/>
  <c r="N61" i="17"/>
  <c r="J104" i="17"/>
  <c r="J101" i="17"/>
  <c r="J102" i="17"/>
  <c r="J105" i="17"/>
  <c r="J103" i="17"/>
  <c r="J100" i="17"/>
  <c r="P13" i="17"/>
  <c r="F89" i="17"/>
  <c r="F87" i="17"/>
  <c r="F84" i="17"/>
  <c r="F88" i="17"/>
  <c r="F86" i="17"/>
  <c r="H28" i="17"/>
  <c r="H32" i="17"/>
  <c r="H30" i="17"/>
  <c r="H31" i="17"/>
  <c r="H33" i="17"/>
  <c r="P53" i="17"/>
  <c r="P52" i="17"/>
  <c r="P56" i="17"/>
  <c r="P54" i="17"/>
  <c r="P57" i="17"/>
  <c r="P55" i="17"/>
  <c r="L5" i="17"/>
  <c r="N8" i="17"/>
  <c r="C18" i="17"/>
  <c r="O18" i="17"/>
  <c r="F21" i="17"/>
  <c r="L25" i="17"/>
  <c r="I34" i="17"/>
  <c r="J29" i="17" s="1"/>
  <c r="L37" i="17"/>
  <c r="N40" i="17"/>
  <c r="C50" i="17"/>
  <c r="O50" i="17"/>
  <c r="P45" i="17" s="1"/>
  <c r="F53" i="17"/>
  <c r="L57" i="17"/>
  <c r="I66" i="17"/>
  <c r="L69" i="17"/>
  <c r="N72" i="17"/>
  <c r="C82" i="17"/>
  <c r="O82" i="17"/>
  <c r="P77" i="17" s="1"/>
  <c r="F85" i="17"/>
  <c r="L89" i="17"/>
  <c r="I98" i="17"/>
  <c r="J93" i="17" s="1"/>
  <c r="L101" i="17"/>
  <c r="N104" i="17"/>
  <c r="N4" i="17"/>
  <c r="F7" i="17"/>
  <c r="G10" i="17"/>
  <c r="J16" i="17"/>
  <c r="H22" i="17"/>
  <c r="M26" i="17"/>
  <c r="N36" i="17"/>
  <c r="N42" i="17" s="1"/>
  <c r="F39" i="17"/>
  <c r="G42" i="17"/>
  <c r="H37" i="17" s="1"/>
  <c r="J48" i="17"/>
  <c r="H54" i="17"/>
  <c r="M58" i="17"/>
  <c r="N68" i="17"/>
  <c r="F71" i="17"/>
  <c r="G74" i="17"/>
  <c r="J80" i="17"/>
  <c r="H86" i="17"/>
  <c r="M90" i="17"/>
  <c r="N85" i="17" s="1"/>
  <c r="N100" i="17"/>
  <c r="F103" i="17"/>
  <c r="G106" i="17"/>
  <c r="N5" i="17"/>
  <c r="J12" i="17"/>
  <c r="J18" i="17" s="1"/>
  <c r="E18" i="17"/>
  <c r="F13" i="17" s="1"/>
  <c r="H21" i="17"/>
  <c r="D30" i="17"/>
  <c r="K34" i="17"/>
  <c r="L29" i="17" s="1"/>
  <c r="N37" i="17"/>
  <c r="J44" i="17"/>
  <c r="J50" i="17" s="1"/>
  <c r="E50" i="17"/>
  <c r="F45" i="17" s="1"/>
  <c r="H53" i="17"/>
  <c r="D62" i="17"/>
  <c r="K66" i="17"/>
  <c r="N69" i="17"/>
  <c r="J76" i="17"/>
  <c r="J82" i="17" s="1"/>
  <c r="E82" i="17"/>
  <c r="H85" i="17"/>
  <c r="D94" i="17"/>
  <c r="K98" i="17"/>
  <c r="N101" i="17"/>
  <c r="F9" i="17"/>
  <c r="F10" i="17" s="1"/>
  <c r="L13" i="17"/>
  <c r="L22" i="17"/>
  <c r="H24" i="17"/>
  <c r="F29" i="17"/>
  <c r="P31" i="17"/>
  <c r="F41" i="17"/>
  <c r="L45" i="17"/>
  <c r="L54" i="17"/>
  <c r="H56" i="17"/>
  <c r="F61" i="17"/>
  <c r="P63" i="17"/>
  <c r="F73" i="17"/>
  <c r="L77" i="17"/>
  <c r="L86" i="17"/>
  <c r="H88" i="17"/>
  <c r="F93" i="17"/>
  <c r="P95" i="17"/>
  <c r="F105" i="17"/>
  <c r="H20" i="17"/>
  <c r="H26" i="17" s="1"/>
  <c r="D32" i="17"/>
  <c r="H52" i="17"/>
  <c r="D64" i="17"/>
  <c r="H84" i="17"/>
  <c r="D96" i="17"/>
  <c r="N7" i="17"/>
  <c r="N13" i="17"/>
  <c r="L24" i="17"/>
  <c r="D28" i="17"/>
  <c r="H29" i="17"/>
  <c r="P33" i="17"/>
  <c r="P34" i="17" s="1"/>
  <c r="N39" i="17"/>
  <c r="N45" i="17"/>
  <c r="L56" i="17"/>
  <c r="D60" i="17"/>
  <c r="D66" i="17" s="1"/>
  <c r="H61" i="17"/>
  <c r="P65" i="17"/>
  <c r="P66" i="17" s="1"/>
  <c r="N71" i="17"/>
  <c r="N77" i="17"/>
  <c r="L88" i="17"/>
  <c r="D92" i="17"/>
  <c r="H93" i="17"/>
  <c r="P97" i="17"/>
  <c r="P98" i="17" s="1"/>
  <c r="N103" i="17"/>
  <c r="L20" i="17"/>
  <c r="L21" i="17"/>
  <c r="F37" i="17"/>
  <c r="F38" i="17"/>
  <c r="L52" i="17"/>
  <c r="L53" i="17"/>
  <c r="F69" i="17"/>
  <c r="F74" i="17" s="1"/>
  <c r="F70" i="17"/>
  <c r="L84" i="17"/>
  <c r="L85" i="17"/>
  <c r="F101" i="17"/>
  <c r="F106" i="17" s="1"/>
  <c r="F102" i="17"/>
  <c r="F8" i="17"/>
  <c r="H23" i="17"/>
  <c r="P30" i="17"/>
  <c r="F40" i="17"/>
  <c r="F42" i="17" s="1"/>
  <c r="H55" i="17"/>
  <c r="P62" i="17"/>
  <c r="F72" i="17"/>
  <c r="H87" i="17"/>
  <c r="P94" i="17"/>
  <c r="F104" i="17"/>
  <c r="N9" i="17"/>
  <c r="D80" i="17" l="1"/>
  <c r="D78" i="17"/>
  <c r="D81" i="17"/>
  <c r="D79" i="17"/>
  <c r="D76" i="17"/>
  <c r="D82" i="17" s="1"/>
  <c r="H90" i="17"/>
  <c r="P90" i="17"/>
  <c r="L92" i="17"/>
  <c r="L96" i="17"/>
  <c r="L94" i="17"/>
  <c r="L97" i="17"/>
  <c r="L95" i="17"/>
  <c r="H68" i="17"/>
  <c r="H72" i="17"/>
  <c r="H70" i="17"/>
  <c r="H73" i="17"/>
  <c r="H71" i="17"/>
  <c r="J60" i="17"/>
  <c r="J64" i="17"/>
  <c r="J62" i="17"/>
  <c r="J65" i="17"/>
  <c r="J63" i="17"/>
  <c r="D42" i="17"/>
  <c r="H58" i="17"/>
  <c r="P74" i="17"/>
  <c r="J61" i="17"/>
  <c r="D106" i="17"/>
  <c r="N98" i="17"/>
  <c r="L10" i="17"/>
  <c r="J74" i="17"/>
  <c r="L42" i="17"/>
  <c r="N20" i="17"/>
  <c r="N24" i="17"/>
  <c r="N22" i="17"/>
  <c r="N25" i="17"/>
  <c r="N23" i="17"/>
  <c r="D16" i="17"/>
  <c r="D14" i="17"/>
  <c r="D17" i="17"/>
  <c r="D12" i="17"/>
  <c r="D18" i="17" s="1"/>
  <c r="D15" i="17"/>
  <c r="J10" i="17"/>
  <c r="L28" i="17"/>
  <c r="L32" i="17"/>
  <c r="L30" i="17"/>
  <c r="L33" i="17"/>
  <c r="L31" i="17"/>
  <c r="H4" i="17"/>
  <c r="H6" i="17"/>
  <c r="H8" i="17"/>
  <c r="H9" i="17"/>
  <c r="H7" i="17"/>
  <c r="H34" i="17"/>
  <c r="H5" i="17"/>
  <c r="D77" i="17"/>
  <c r="L26" i="17"/>
  <c r="N74" i="17"/>
  <c r="N10" i="17"/>
  <c r="J58" i="17"/>
  <c r="D13" i="17"/>
  <c r="H82" i="17"/>
  <c r="F14" i="17"/>
  <c r="F17" i="17"/>
  <c r="F15" i="17"/>
  <c r="F12" i="17"/>
  <c r="F18" i="17" s="1"/>
  <c r="F16" i="17"/>
  <c r="L50" i="17"/>
  <c r="N52" i="17"/>
  <c r="N56" i="17"/>
  <c r="N54" i="17"/>
  <c r="N57" i="17"/>
  <c r="N55" i="17"/>
  <c r="D48" i="17"/>
  <c r="D46" i="17"/>
  <c r="D49" i="17"/>
  <c r="D47" i="17"/>
  <c r="D44" i="17"/>
  <c r="D50" i="17" s="1"/>
  <c r="F90" i="17"/>
  <c r="F58" i="17"/>
  <c r="H66" i="17"/>
  <c r="P106" i="17"/>
  <c r="F78" i="17"/>
  <c r="F81" i="17"/>
  <c r="F79" i="17"/>
  <c r="F80" i="17"/>
  <c r="F76" i="17"/>
  <c r="P47" i="17"/>
  <c r="P44" i="17"/>
  <c r="P48" i="17"/>
  <c r="P46" i="17"/>
  <c r="P49" i="17"/>
  <c r="L82" i="17"/>
  <c r="J92" i="17"/>
  <c r="J98" i="17" s="1"/>
  <c r="J96" i="17"/>
  <c r="J94" i="17"/>
  <c r="J97" i="17"/>
  <c r="J95" i="17"/>
  <c r="D45" i="17"/>
  <c r="F34" i="17"/>
  <c r="H98" i="17"/>
  <c r="N34" i="17"/>
  <c r="J90" i="17"/>
  <c r="L90" i="17"/>
  <c r="D98" i="17"/>
  <c r="D34" i="17"/>
  <c r="L60" i="17"/>
  <c r="L64" i="17"/>
  <c r="L62" i="17"/>
  <c r="L65" i="17"/>
  <c r="L63" i="17"/>
  <c r="H100" i="17"/>
  <c r="H104" i="17"/>
  <c r="H102" i="17"/>
  <c r="H105" i="17"/>
  <c r="H103" i="17"/>
  <c r="H36" i="17"/>
  <c r="H40" i="17"/>
  <c r="H38" i="17"/>
  <c r="H41" i="17"/>
  <c r="H39" i="17"/>
  <c r="P58" i="17"/>
  <c r="F77" i="17"/>
  <c r="D10" i="17"/>
  <c r="H69" i="17"/>
  <c r="J28" i="17"/>
  <c r="J34" i="17" s="1"/>
  <c r="J32" i="17"/>
  <c r="J30" i="17"/>
  <c r="J33" i="17"/>
  <c r="J31" i="17"/>
  <c r="N53" i="17"/>
  <c r="N18" i="17"/>
  <c r="N21" i="17"/>
  <c r="N106" i="17"/>
  <c r="P79" i="17"/>
  <c r="P76" i="17"/>
  <c r="P80" i="17"/>
  <c r="P78" i="17"/>
  <c r="P81" i="17"/>
  <c r="L106" i="17"/>
  <c r="L18" i="17"/>
  <c r="F26" i="17"/>
  <c r="J42" i="17"/>
  <c r="P10" i="17"/>
  <c r="F46" i="17"/>
  <c r="F49" i="17"/>
  <c r="F47" i="17"/>
  <c r="F48" i="17"/>
  <c r="F44" i="17"/>
  <c r="F50" i="17" s="1"/>
  <c r="L58" i="17"/>
  <c r="P15" i="17"/>
  <c r="P12" i="17"/>
  <c r="P16" i="17"/>
  <c r="P14" i="17"/>
  <c r="P17" i="17"/>
  <c r="J106" i="17"/>
  <c r="D58" i="17"/>
  <c r="N82" i="17"/>
  <c r="F66" i="17"/>
  <c r="J26" i="17"/>
  <c r="N84" i="17"/>
  <c r="N88" i="17"/>
  <c r="N86" i="17"/>
  <c r="N89" i="17"/>
  <c r="N87" i="17"/>
  <c r="D74" i="17"/>
  <c r="N90" i="17" l="1"/>
  <c r="P82" i="17"/>
  <c r="H106" i="17"/>
  <c r="H10" i="17"/>
  <c r="P50" i="17"/>
  <c r="F82" i="17"/>
  <c r="H74" i="17"/>
  <c r="L66" i="17"/>
  <c r="H42" i="17"/>
  <c r="N58" i="17"/>
  <c r="N26" i="17"/>
  <c r="L98" i="17"/>
  <c r="P18" i="17"/>
  <c r="L34" i="17"/>
  <c r="J66" i="17"/>
  <c r="L38" i="14"/>
  <c r="F48" i="14"/>
  <c r="H48" i="14"/>
  <c r="I48" i="14"/>
  <c r="J48" i="14"/>
  <c r="G48" i="14"/>
  <c r="Q122" i="3" l="1"/>
  <c r="R122" i="3"/>
  <c r="S122" i="3"/>
  <c r="J61" i="12" l="1"/>
  <c r="I61" i="12"/>
  <c r="H61" i="12"/>
  <c r="D61" i="12"/>
  <c r="J52" i="12"/>
  <c r="I52" i="12"/>
  <c r="H52" i="12"/>
  <c r="J34" i="12"/>
  <c r="I34" i="12"/>
  <c r="H34" i="12"/>
  <c r="D34" i="12"/>
  <c r="D52" i="12"/>
  <c r="J43" i="12"/>
  <c r="I43" i="12"/>
  <c r="H43" i="12"/>
  <c r="D43" i="12"/>
  <c r="D33" i="14" l="1"/>
  <c r="E33" i="14"/>
  <c r="F33" i="14"/>
  <c r="G33" i="14"/>
  <c r="H33" i="14"/>
  <c r="I33" i="14"/>
  <c r="J33" i="14"/>
  <c r="C33" i="14"/>
  <c r="C7" i="6"/>
  <c r="D7" i="6"/>
  <c r="H7" i="6"/>
  <c r="G7" i="6"/>
  <c r="F7" i="6"/>
  <c r="E7" i="6"/>
  <c r="B14" i="13" l="1"/>
  <c r="B20" i="13" s="1"/>
  <c r="B13" i="13"/>
  <c r="B19" i="13" s="1"/>
  <c r="Q256" i="3"/>
  <c r="R256" i="3"/>
  <c r="S256" i="3"/>
  <c r="R255" i="3"/>
  <c r="S255" i="3"/>
  <c r="Q255" i="3"/>
  <c r="Q248" i="3"/>
  <c r="R248" i="3"/>
  <c r="S248" i="3"/>
  <c r="R247" i="3"/>
  <c r="S247" i="3"/>
  <c r="Q247" i="3"/>
  <c r="Q239" i="3"/>
  <c r="R239" i="3"/>
  <c r="S239" i="3"/>
  <c r="R238" i="3"/>
  <c r="S238" i="3"/>
  <c r="Q238" i="3"/>
  <c r="Q231" i="3"/>
  <c r="R231" i="3"/>
  <c r="S231" i="3"/>
  <c r="R230" i="3"/>
  <c r="S230" i="3"/>
  <c r="Q230" i="3"/>
  <c r="R221" i="3"/>
  <c r="S221" i="3"/>
  <c r="R222" i="3"/>
  <c r="S222" i="3"/>
  <c r="Q222" i="3"/>
  <c r="Q221" i="3"/>
  <c r="S214" i="3"/>
  <c r="S213" i="3"/>
  <c r="R214" i="3"/>
  <c r="R213" i="3"/>
  <c r="Q214" i="3"/>
  <c r="Q213" i="3"/>
  <c r="S205" i="3"/>
  <c r="S204" i="3"/>
  <c r="R205" i="3"/>
  <c r="R204" i="3"/>
  <c r="Q205" i="3"/>
  <c r="Q204" i="3"/>
  <c r="S197" i="3"/>
  <c r="S196" i="3"/>
  <c r="R197" i="3"/>
  <c r="R196" i="3"/>
  <c r="Q197" i="3"/>
  <c r="Q196" i="3"/>
  <c r="S185" i="3"/>
  <c r="S186" i="3"/>
  <c r="S187" i="3"/>
  <c r="Q185" i="3"/>
  <c r="Q186" i="3"/>
  <c r="Q187" i="3"/>
  <c r="R185" i="3"/>
  <c r="R186" i="3"/>
  <c r="R187" i="3"/>
  <c r="S184" i="3"/>
  <c r="R184" i="3"/>
  <c r="Q184" i="3"/>
  <c r="N122" i="3"/>
  <c r="Q37" i="3"/>
  <c r="R37" i="3"/>
  <c r="S37" i="3"/>
  <c r="Q17" i="3"/>
  <c r="Q11" i="3"/>
  <c r="R11" i="3"/>
  <c r="S11" i="3"/>
  <c r="Q45" i="2"/>
  <c r="Q46" i="2"/>
  <c r="Q47" i="2"/>
  <c r="Q41" i="2"/>
  <c r="Q42" i="2"/>
  <c r="Q43" i="2"/>
  <c r="Q37" i="2"/>
  <c r="Q38" i="2"/>
  <c r="Q39" i="2"/>
  <c r="Q33" i="2"/>
  <c r="Q34" i="2"/>
  <c r="Q35" i="2"/>
  <c r="Q29" i="2"/>
  <c r="Q30" i="2"/>
  <c r="Q31" i="2"/>
  <c r="Q25" i="2"/>
  <c r="Q26" i="2"/>
  <c r="Q27" i="2"/>
  <c r="Q21" i="2"/>
  <c r="Q22" i="2"/>
  <c r="Q23" i="2"/>
  <c r="Q17" i="2"/>
  <c r="Q18" i="2"/>
  <c r="Q19" i="2"/>
  <c r="Q13" i="2"/>
  <c r="Q14" i="2"/>
  <c r="Q15" i="2"/>
  <c r="Q9" i="2"/>
  <c r="Q10" i="2"/>
  <c r="Q11" i="2"/>
  <c r="Q5" i="2"/>
  <c r="Q6" i="2"/>
  <c r="Q7" i="2"/>
  <c r="P45" i="2"/>
  <c r="P46" i="2"/>
  <c r="P47" i="2"/>
  <c r="P41" i="2"/>
  <c r="P42" i="2"/>
  <c r="P43" i="2"/>
  <c r="P37" i="2"/>
  <c r="P38" i="2"/>
  <c r="P39" i="2"/>
  <c r="P33" i="2"/>
  <c r="P34" i="2"/>
  <c r="P35" i="2"/>
  <c r="P29" i="2"/>
  <c r="P30" i="2"/>
  <c r="P31" i="2"/>
  <c r="P25" i="2"/>
  <c r="P26" i="2"/>
  <c r="P27" i="2"/>
  <c r="P21" i="2"/>
  <c r="P22" i="2"/>
  <c r="P23" i="2"/>
  <c r="P17" i="2"/>
  <c r="P18" i="2"/>
  <c r="P19" i="2"/>
  <c r="P13" i="2"/>
  <c r="P14" i="2"/>
  <c r="P15" i="2"/>
  <c r="P9" i="2"/>
  <c r="P10" i="2"/>
  <c r="P11" i="2"/>
  <c r="P5" i="2"/>
  <c r="P6" i="2"/>
  <c r="P7" i="2"/>
  <c r="J14" i="2"/>
  <c r="R47" i="2"/>
  <c r="R46" i="2"/>
  <c r="R45" i="2"/>
  <c r="R43" i="2"/>
  <c r="R42" i="2"/>
  <c r="R41" i="2"/>
  <c r="R39" i="2"/>
  <c r="R38" i="2"/>
  <c r="R37" i="2"/>
  <c r="R35" i="2"/>
  <c r="R34" i="2"/>
  <c r="R33" i="2"/>
  <c r="R31" i="2"/>
  <c r="R30" i="2"/>
  <c r="R29" i="2"/>
  <c r="R27" i="2"/>
  <c r="R26" i="2"/>
  <c r="R25" i="2"/>
  <c r="R23" i="2"/>
  <c r="R22" i="2"/>
  <c r="R21" i="2"/>
  <c r="R19" i="2"/>
  <c r="R18" i="2"/>
  <c r="R17" i="2"/>
  <c r="R15" i="2"/>
  <c r="R14" i="2"/>
  <c r="R13" i="2"/>
  <c r="R11" i="2"/>
  <c r="R10" i="2"/>
  <c r="R9" i="2"/>
  <c r="R6" i="2"/>
  <c r="R7" i="2"/>
  <c r="R5" i="2"/>
  <c r="N11" i="2"/>
  <c r="S18" i="2"/>
  <c r="S47" i="2"/>
  <c r="S46" i="2"/>
  <c r="S45" i="2"/>
  <c r="S43" i="2"/>
  <c r="S42" i="2"/>
  <c r="S41" i="2"/>
  <c r="S39" i="2"/>
  <c r="S38" i="2"/>
  <c r="S37" i="2"/>
  <c r="S35" i="2"/>
  <c r="S34" i="2"/>
  <c r="S33" i="2"/>
  <c r="S31" i="2"/>
  <c r="S30" i="2"/>
  <c r="S29" i="2"/>
  <c r="S27" i="2"/>
  <c r="S26" i="2"/>
  <c r="S25" i="2"/>
  <c r="S23" i="2"/>
  <c r="S22" i="2"/>
  <c r="S21" i="2"/>
  <c r="S19" i="2"/>
  <c r="S17" i="2"/>
  <c r="S15" i="2"/>
  <c r="S14" i="2"/>
  <c r="S13" i="2"/>
  <c r="S11" i="2"/>
  <c r="S10" i="2"/>
  <c r="S9" i="2"/>
  <c r="S7" i="2"/>
  <c r="S6" i="2"/>
  <c r="S5" i="2"/>
  <c r="O47" i="2"/>
  <c r="O46" i="2"/>
  <c r="O45" i="2"/>
  <c r="O43" i="2"/>
  <c r="O42" i="2"/>
  <c r="O41" i="2"/>
  <c r="O39" i="2"/>
  <c r="O38" i="2"/>
  <c r="O37" i="2"/>
  <c r="O35" i="2"/>
  <c r="O34" i="2"/>
  <c r="O33" i="2"/>
  <c r="O31" i="2"/>
  <c r="O30" i="2"/>
  <c r="O29" i="2"/>
  <c r="O27" i="2"/>
  <c r="O26" i="2"/>
  <c r="O25" i="2"/>
  <c r="O23" i="2"/>
  <c r="O22" i="2"/>
  <c r="O21" i="2"/>
  <c r="O19" i="2"/>
  <c r="O18" i="2"/>
  <c r="O17" i="2"/>
  <c r="O15" i="2"/>
  <c r="O14" i="2"/>
  <c r="O13" i="2"/>
  <c r="O11" i="2"/>
  <c r="O10" i="2"/>
  <c r="O9" i="2"/>
  <c r="O6" i="2"/>
  <c r="O7" i="2"/>
  <c r="O5" i="2"/>
  <c r="N47" i="2"/>
  <c r="M47" i="2"/>
  <c r="L47" i="2"/>
  <c r="K47" i="2"/>
  <c r="J47" i="2"/>
  <c r="I47" i="2"/>
  <c r="N46" i="2"/>
  <c r="M46" i="2"/>
  <c r="L46" i="2"/>
  <c r="K46" i="2"/>
  <c r="J46" i="2"/>
  <c r="I46" i="2"/>
  <c r="N45" i="2"/>
  <c r="M45" i="2"/>
  <c r="L45" i="2"/>
  <c r="K45" i="2"/>
  <c r="J45" i="2"/>
  <c r="I45" i="2"/>
  <c r="N43" i="2"/>
  <c r="M43" i="2"/>
  <c r="L43" i="2"/>
  <c r="K43" i="2"/>
  <c r="J43" i="2"/>
  <c r="I43" i="2"/>
  <c r="N42" i="2"/>
  <c r="M42" i="2"/>
  <c r="L42" i="2"/>
  <c r="K42" i="2"/>
  <c r="J42" i="2"/>
  <c r="I42" i="2"/>
  <c r="N41" i="2"/>
  <c r="M41" i="2"/>
  <c r="L41" i="2"/>
  <c r="K41" i="2"/>
  <c r="J41" i="2"/>
  <c r="I41" i="2"/>
  <c r="N39" i="2"/>
  <c r="M39" i="2"/>
  <c r="L39" i="2"/>
  <c r="K39" i="2"/>
  <c r="J39" i="2"/>
  <c r="I39" i="2"/>
  <c r="N38" i="2"/>
  <c r="M38" i="2"/>
  <c r="L38" i="2"/>
  <c r="K38" i="2"/>
  <c r="J38" i="2"/>
  <c r="I38" i="2"/>
  <c r="N37" i="2"/>
  <c r="M37" i="2"/>
  <c r="L37" i="2"/>
  <c r="K37" i="2"/>
  <c r="J37" i="2"/>
  <c r="I37" i="2"/>
  <c r="N35" i="2"/>
  <c r="M35" i="2"/>
  <c r="L35" i="2"/>
  <c r="K35" i="2"/>
  <c r="J35" i="2"/>
  <c r="I35" i="2"/>
  <c r="N34" i="2"/>
  <c r="M34" i="2"/>
  <c r="L34" i="2"/>
  <c r="K34" i="2"/>
  <c r="J34" i="2"/>
  <c r="I34" i="2"/>
  <c r="N33" i="2"/>
  <c r="M33" i="2"/>
  <c r="L33" i="2"/>
  <c r="K33" i="2"/>
  <c r="J33" i="2"/>
  <c r="I33" i="2"/>
  <c r="N31" i="2"/>
  <c r="M31" i="2"/>
  <c r="L31" i="2"/>
  <c r="K31" i="2"/>
  <c r="J31" i="2"/>
  <c r="I31" i="2"/>
  <c r="N30" i="2"/>
  <c r="M30" i="2"/>
  <c r="L30" i="2"/>
  <c r="K30" i="2"/>
  <c r="J30" i="2"/>
  <c r="I30" i="2"/>
  <c r="N29" i="2"/>
  <c r="M29" i="2"/>
  <c r="L29" i="2"/>
  <c r="K29" i="2"/>
  <c r="J29" i="2"/>
  <c r="I29" i="2"/>
  <c r="N27" i="2"/>
  <c r="M27" i="2"/>
  <c r="L27" i="2"/>
  <c r="K27" i="2"/>
  <c r="J27" i="2"/>
  <c r="I27" i="2"/>
  <c r="N26" i="2"/>
  <c r="M26" i="2"/>
  <c r="L26" i="2"/>
  <c r="K26" i="2"/>
  <c r="J26" i="2"/>
  <c r="I26" i="2"/>
  <c r="N25" i="2"/>
  <c r="M25" i="2"/>
  <c r="L25" i="2"/>
  <c r="K25" i="2"/>
  <c r="J25" i="2"/>
  <c r="I25" i="2"/>
  <c r="N23" i="2"/>
  <c r="M23" i="2"/>
  <c r="L23" i="2"/>
  <c r="K23" i="2"/>
  <c r="J23" i="2"/>
  <c r="I23" i="2"/>
  <c r="N22" i="2"/>
  <c r="M22" i="2"/>
  <c r="L22" i="2"/>
  <c r="K22" i="2"/>
  <c r="J22" i="2"/>
  <c r="I22" i="2"/>
  <c r="N21" i="2"/>
  <c r="M21" i="2"/>
  <c r="L21" i="2"/>
  <c r="K21" i="2"/>
  <c r="J21" i="2"/>
  <c r="I21" i="2"/>
  <c r="N19" i="2"/>
  <c r="M19" i="2"/>
  <c r="L19" i="2"/>
  <c r="K19" i="2"/>
  <c r="J19" i="2"/>
  <c r="I19" i="2"/>
  <c r="N18" i="2"/>
  <c r="M18" i="2"/>
  <c r="L18" i="2"/>
  <c r="K18" i="2"/>
  <c r="J18" i="2"/>
  <c r="I18" i="2"/>
  <c r="N17" i="2"/>
  <c r="M17" i="2"/>
  <c r="L17" i="2"/>
  <c r="K17" i="2"/>
  <c r="J17" i="2"/>
  <c r="I17" i="2"/>
  <c r="N15" i="2"/>
  <c r="M15" i="2"/>
  <c r="L15" i="2"/>
  <c r="K15" i="2"/>
  <c r="J15" i="2"/>
  <c r="I15" i="2"/>
  <c r="N14" i="2"/>
  <c r="M14" i="2"/>
  <c r="L14" i="2"/>
  <c r="K14" i="2"/>
  <c r="I14" i="2"/>
  <c r="N13" i="2"/>
  <c r="M13" i="2"/>
  <c r="L13" i="2"/>
  <c r="K13" i="2"/>
  <c r="J13" i="2"/>
  <c r="I13" i="2"/>
  <c r="M11" i="2"/>
  <c r="L11" i="2"/>
  <c r="K11" i="2"/>
  <c r="J11" i="2"/>
  <c r="I11" i="2"/>
  <c r="N10" i="2"/>
  <c r="M10" i="2"/>
  <c r="L10" i="2"/>
  <c r="K10" i="2"/>
  <c r="J10" i="2"/>
  <c r="I10" i="2"/>
  <c r="N9" i="2"/>
  <c r="M9" i="2"/>
  <c r="L9" i="2"/>
  <c r="K9" i="2"/>
  <c r="J9" i="2"/>
  <c r="I9" i="2"/>
  <c r="I6" i="2"/>
  <c r="J6" i="2"/>
  <c r="K6" i="2"/>
  <c r="L6" i="2"/>
  <c r="M6" i="2"/>
  <c r="N6" i="2"/>
  <c r="I7" i="2"/>
  <c r="J7" i="2"/>
  <c r="K7" i="2"/>
  <c r="L7" i="2"/>
  <c r="M7" i="2"/>
  <c r="N7" i="2"/>
  <c r="M5" i="2"/>
  <c r="N5" i="2"/>
  <c r="L5" i="2"/>
  <c r="J5" i="2"/>
  <c r="K5" i="2"/>
  <c r="I5" i="2"/>
  <c r="A19" i="14"/>
  <c r="D16" i="13"/>
  <c r="D15" i="13"/>
  <c r="D14" i="13"/>
  <c r="D12" i="13"/>
  <c r="C13" i="13"/>
  <c r="C14" i="13"/>
  <c r="C15" i="13"/>
  <c r="C16" i="13"/>
  <c r="C12" i="13"/>
  <c r="C18" i="13" s="1"/>
  <c r="L32" i="14"/>
  <c r="K32" i="14"/>
  <c r="L48" i="14" l="1"/>
  <c r="L33" i="14"/>
  <c r="K48" i="14"/>
  <c r="K33" i="14"/>
  <c r="E335" i="3"/>
  <c r="F335" i="3"/>
  <c r="G335" i="3"/>
  <c r="H335" i="3"/>
  <c r="I335" i="3"/>
  <c r="J335" i="3"/>
  <c r="E336" i="3"/>
  <c r="F336" i="3"/>
  <c r="G336" i="3"/>
  <c r="H336" i="3"/>
  <c r="I336" i="3"/>
  <c r="J336" i="3"/>
  <c r="E337" i="3"/>
  <c r="F337" i="3"/>
  <c r="G337" i="3"/>
  <c r="H337" i="3"/>
  <c r="I337" i="3"/>
  <c r="J337" i="3"/>
  <c r="E338" i="3"/>
  <c r="F338" i="3"/>
  <c r="G338" i="3"/>
  <c r="H338" i="3"/>
  <c r="I338" i="3"/>
  <c r="J338" i="3"/>
  <c r="E339" i="3"/>
  <c r="F339" i="3"/>
  <c r="G339" i="3"/>
  <c r="H339" i="3"/>
  <c r="I339" i="3"/>
  <c r="J339" i="3"/>
  <c r="D339" i="3"/>
  <c r="D338" i="3"/>
  <c r="D337" i="3"/>
  <c r="D336" i="3"/>
  <c r="D335" i="3"/>
  <c r="E334" i="3"/>
  <c r="F334" i="3"/>
  <c r="G334" i="3"/>
  <c r="H334" i="3"/>
  <c r="I334" i="3"/>
  <c r="J334" i="3"/>
  <c r="D334" i="3"/>
  <c r="F58" i="4"/>
  <c r="G58" i="4"/>
  <c r="H58" i="4"/>
  <c r="I58" i="4"/>
  <c r="J58" i="4"/>
  <c r="E58" i="4"/>
  <c r="D58" i="4"/>
  <c r="I50" i="4" l="1"/>
  <c r="F50" i="4"/>
  <c r="I45" i="4"/>
  <c r="F45" i="4"/>
  <c r="L6" i="3"/>
  <c r="C89" i="6"/>
  <c r="D89" i="6"/>
  <c r="D91" i="6" s="1"/>
  <c r="H89" i="6"/>
  <c r="H91" i="6" s="1"/>
  <c r="G89" i="6"/>
  <c r="F89" i="6"/>
  <c r="F91" i="6" s="1"/>
  <c r="E89" i="6"/>
  <c r="G80" i="6"/>
  <c r="H80" i="6"/>
  <c r="F80" i="6"/>
  <c r="C80" i="6"/>
  <c r="E80" i="6"/>
  <c r="H85" i="6"/>
  <c r="H83" i="6" s="1"/>
  <c r="G85" i="6"/>
  <c r="G83" i="6" s="1"/>
  <c r="F85" i="6"/>
  <c r="F83" i="6" s="1"/>
  <c r="E85" i="6"/>
  <c r="E83" i="6" s="1"/>
  <c r="C85" i="6"/>
  <c r="C83" i="6" s="1"/>
  <c r="D85" i="6"/>
  <c r="D83" i="6" s="1"/>
  <c r="C92" i="6" l="1"/>
  <c r="G92" i="6"/>
  <c r="G91" i="6"/>
  <c r="G90" i="6" s="1"/>
  <c r="C91" i="6"/>
  <c r="C90" i="6" s="1"/>
  <c r="D92" i="6"/>
  <c r="H92" i="6"/>
  <c r="H90" i="6" s="1"/>
  <c r="D90" i="6"/>
  <c r="F92" i="6"/>
  <c r="F90" i="6" s="1"/>
  <c r="F81" i="6"/>
  <c r="G81" i="6"/>
  <c r="H81" i="6"/>
  <c r="C81" i="6"/>
  <c r="E81" i="6"/>
  <c r="J45" i="4"/>
  <c r="H45" i="4"/>
  <c r="G45" i="4"/>
  <c r="E45" i="4"/>
  <c r="D45" i="4"/>
  <c r="D50" i="4"/>
  <c r="E50" i="4"/>
  <c r="G50" i="4"/>
  <c r="H50" i="4"/>
  <c r="J50" i="4"/>
  <c r="G82" i="4"/>
  <c r="H82" i="4"/>
  <c r="I82" i="4"/>
  <c r="J82" i="4"/>
  <c r="E82" i="4"/>
  <c r="E348" i="3"/>
  <c r="G348" i="3"/>
  <c r="H348" i="3"/>
  <c r="I348" i="3"/>
  <c r="J348" i="3"/>
  <c r="G349" i="3"/>
  <c r="H349" i="3"/>
  <c r="I349" i="3"/>
  <c r="J349" i="3"/>
  <c r="G350" i="3"/>
  <c r="H350" i="3"/>
  <c r="I350" i="3"/>
  <c r="J350" i="3"/>
  <c r="G351" i="3"/>
  <c r="H351" i="3"/>
  <c r="I351" i="3"/>
  <c r="J351" i="3"/>
  <c r="G352" i="3"/>
  <c r="H352" i="3"/>
  <c r="I352" i="3"/>
  <c r="J352" i="3"/>
  <c r="G353" i="3"/>
  <c r="H353" i="3"/>
  <c r="I353" i="3"/>
  <c r="J353" i="3"/>
  <c r="E349" i="3"/>
  <c r="E350" i="3"/>
  <c r="E351" i="3"/>
  <c r="E352" i="3"/>
  <c r="E353" i="3"/>
  <c r="D22" i="12"/>
  <c r="J17" i="12"/>
  <c r="I17" i="12"/>
  <c r="H17" i="12"/>
  <c r="G17" i="12"/>
  <c r="F17" i="12"/>
  <c r="E17" i="12"/>
  <c r="D17" i="12"/>
  <c r="J16" i="12"/>
  <c r="I16" i="12"/>
  <c r="H16" i="12"/>
  <c r="G16" i="12"/>
  <c r="F16" i="12"/>
  <c r="E16" i="12"/>
  <c r="D16" i="12"/>
  <c r="J15" i="12"/>
  <c r="I15" i="12"/>
  <c r="H15" i="12"/>
  <c r="G15" i="12"/>
  <c r="F15" i="12"/>
  <c r="E15" i="12"/>
  <c r="D15" i="12"/>
  <c r="J14" i="12"/>
  <c r="I14" i="12"/>
  <c r="H14" i="12"/>
  <c r="G14" i="12"/>
  <c r="F14" i="12"/>
  <c r="E14" i="12"/>
  <c r="D14" i="12"/>
  <c r="J12" i="12"/>
  <c r="I12" i="12"/>
  <c r="H12" i="12"/>
  <c r="G12" i="12"/>
  <c r="F12" i="12"/>
  <c r="E12" i="12"/>
  <c r="J11" i="12"/>
  <c r="I11" i="12"/>
  <c r="H11" i="12"/>
  <c r="G11" i="12"/>
  <c r="F11" i="12"/>
  <c r="E11" i="12"/>
  <c r="E91" i="6"/>
  <c r="F82" i="4"/>
  <c r="F353" i="3"/>
  <c r="F352" i="3"/>
  <c r="F351" i="3"/>
  <c r="F350" i="3"/>
  <c r="F349" i="3"/>
  <c r="F348" i="3"/>
  <c r="J32" i="14"/>
  <c r="J34" i="14" s="1"/>
  <c r="I32" i="14"/>
  <c r="H32" i="14"/>
  <c r="F32" i="14"/>
  <c r="G32" i="14"/>
  <c r="E32" i="14"/>
  <c r="L23" i="14"/>
  <c r="L24" i="14" s="1"/>
  <c r="K23" i="14"/>
  <c r="K24" i="14" s="1"/>
  <c r="J23" i="14"/>
  <c r="J24" i="14" s="1"/>
  <c r="J14" i="14"/>
  <c r="C14" i="14"/>
  <c r="E13" i="14"/>
  <c r="D36" i="1" s="1"/>
  <c r="C13" i="14"/>
  <c r="L11" i="14"/>
  <c r="L13" i="14" s="1"/>
  <c r="J36" i="1" s="1"/>
  <c r="K11" i="14"/>
  <c r="K13" i="14" s="1"/>
  <c r="J11" i="14"/>
  <c r="J13" i="14" s="1"/>
  <c r="I11" i="14"/>
  <c r="I14" i="14" s="1"/>
  <c r="H11" i="14"/>
  <c r="H13" i="14" s="1"/>
  <c r="F11" i="14"/>
  <c r="F14" i="14" s="1"/>
  <c r="G11" i="14"/>
  <c r="G14" i="14" s="1"/>
  <c r="G35" i="14" s="1"/>
  <c r="E11" i="14"/>
  <c r="E14" i="14" s="1"/>
  <c r="D11" i="14"/>
  <c r="D13" i="14" s="1"/>
  <c r="L9" i="14"/>
  <c r="H86" i="6" s="1"/>
  <c r="K9" i="14"/>
  <c r="F86" i="6" s="1"/>
  <c r="J9" i="14"/>
  <c r="D86" i="6" s="1"/>
  <c r="I9" i="14"/>
  <c r="G86" i="6" s="1"/>
  <c r="H9" i="14"/>
  <c r="E86" i="6" s="1"/>
  <c r="F9" i="14"/>
  <c r="G9" i="14"/>
  <c r="E9" i="14"/>
  <c r="C86" i="6" s="1"/>
  <c r="D9" i="14"/>
  <c r="C9" i="14"/>
  <c r="A8" i="14"/>
  <c r="A9" i="14" s="1"/>
  <c r="A10" i="14" s="1"/>
  <c r="A11" i="14" s="1"/>
  <c r="A12" i="14" s="1"/>
  <c r="A14" i="14" s="1"/>
  <c r="A15" i="14" s="1"/>
  <c r="A20" i="14" s="1"/>
  <c r="A21" i="14" s="1"/>
  <c r="A22" i="14" s="1"/>
  <c r="A23" i="14" s="1"/>
  <c r="A24" i="14" s="1"/>
  <c r="A27" i="14" s="1"/>
  <c r="A28" i="14" s="1"/>
  <c r="A29" i="14" s="1"/>
  <c r="A30" i="14" s="1"/>
  <c r="A31" i="14" s="1"/>
  <c r="A32" i="14" s="1"/>
  <c r="D22" i="13"/>
  <c r="H100" i="6" s="1"/>
  <c r="C22" i="13"/>
  <c r="F100" i="6" s="1"/>
  <c r="D21" i="13"/>
  <c r="H99" i="6" s="1"/>
  <c r="C21" i="13"/>
  <c r="F99" i="6" s="1"/>
  <c r="D20" i="13"/>
  <c r="H98" i="6" s="1"/>
  <c r="C20" i="13"/>
  <c r="F98" i="6" s="1"/>
  <c r="D98" i="6"/>
  <c r="C19" i="13"/>
  <c r="F97" i="6" s="1"/>
  <c r="D97" i="6"/>
  <c r="D18" i="13"/>
  <c r="H96" i="6" s="1"/>
  <c r="F96" i="6"/>
  <c r="B12" i="13" a="1"/>
  <c r="B12" i="13" s="1"/>
  <c r="H37" i="1" l="1"/>
  <c r="F35" i="14"/>
  <c r="C35" i="14"/>
  <c r="C15" i="14"/>
  <c r="C93" i="6"/>
  <c r="E35" i="14"/>
  <c r="G93" i="6"/>
  <c r="I35" i="14"/>
  <c r="I15" i="14"/>
  <c r="D93" i="6"/>
  <c r="J35" i="14"/>
  <c r="J39" i="14" s="1"/>
  <c r="J15" i="14"/>
  <c r="B18" i="13"/>
  <c r="D96" i="6" s="1"/>
  <c r="D101" i="6" s="1"/>
  <c r="G13" i="14"/>
  <c r="F13" i="14"/>
  <c r="I13" i="14"/>
  <c r="L14" i="14"/>
  <c r="H93" i="6" s="1"/>
  <c r="E36" i="1"/>
  <c r="G36" i="1"/>
  <c r="H36" i="1"/>
  <c r="F36" i="1"/>
  <c r="K14" i="14"/>
  <c r="D37" i="1"/>
  <c r="G39" i="14"/>
  <c r="G46" i="14" s="1"/>
  <c r="C39" i="14"/>
  <c r="C40" i="14" s="1"/>
  <c r="H101" i="6"/>
  <c r="E37" i="1"/>
  <c r="F39" i="14"/>
  <c r="F46" i="14" s="1"/>
  <c r="G37" i="1"/>
  <c r="F101" i="6"/>
  <c r="E92" i="6"/>
  <c r="E90" i="6" s="1"/>
  <c r="I39" i="14"/>
  <c r="I46" i="14" s="1"/>
  <c r="D14" i="14"/>
  <c r="D23" i="13"/>
  <c r="H14" i="14"/>
  <c r="C23" i="13"/>
  <c r="B23" i="13" l="1"/>
  <c r="J46" i="14"/>
  <c r="J45" i="14" s="1"/>
  <c r="K15" i="14"/>
  <c r="H35" i="14"/>
  <c r="H39" i="14" s="1"/>
  <c r="H46" i="14" s="1"/>
  <c r="H15" i="14"/>
  <c r="L15" i="14"/>
  <c r="L35" i="14"/>
  <c r="D35" i="14"/>
  <c r="D39" i="14" s="1"/>
  <c r="D40" i="14" s="1"/>
  <c r="D15" i="14"/>
  <c r="E39" i="14"/>
  <c r="E40" i="14" s="1"/>
  <c r="J37" i="1"/>
  <c r="E93" i="6"/>
  <c r="F37" i="1"/>
  <c r="F93" i="6"/>
  <c r="G40" i="14"/>
  <c r="J40" i="14"/>
  <c r="F40" i="14"/>
  <c r="I49" i="14"/>
  <c r="I40" i="14"/>
  <c r="J49" i="14"/>
  <c r="G49" i="14"/>
  <c r="G45" i="14"/>
  <c r="F49" i="14"/>
  <c r="F45" i="14"/>
  <c r="H40" i="14" l="1"/>
  <c r="I45" i="14"/>
  <c r="H49" i="14" l="1"/>
  <c r="H45" i="14"/>
  <c r="N353" i="3" l="1"/>
  <c r="M353" i="3"/>
  <c r="L353" i="3"/>
  <c r="N352" i="3"/>
  <c r="S352" i="3" s="1"/>
  <c r="M352" i="3"/>
  <c r="L352" i="3"/>
  <c r="N351" i="3"/>
  <c r="M351" i="3"/>
  <c r="L351" i="3"/>
  <c r="N350" i="3"/>
  <c r="M350" i="3"/>
  <c r="L350" i="3"/>
  <c r="N349" i="3"/>
  <c r="M349" i="3"/>
  <c r="L349" i="3"/>
  <c r="N348" i="3"/>
  <c r="M348" i="3"/>
  <c r="L348" i="3"/>
  <c r="N339" i="3"/>
  <c r="M339" i="3"/>
  <c r="L339" i="3"/>
  <c r="N338" i="3"/>
  <c r="S338" i="3" s="1"/>
  <c r="M338" i="3"/>
  <c r="L338" i="3"/>
  <c r="N337" i="3"/>
  <c r="M337" i="3"/>
  <c r="L337" i="3"/>
  <c r="N336" i="3"/>
  <c r="S336" i="3" s="1"/>
  <c r="M336" i="3"/>
  <c r="L336" i="3"/>
  <c r="Q336" i="3" s="1"/>
  <c r="N335" i="3"/>
  <c r="M335" i="3"/>
  <c r="L335" i="3"/>
  <c r="N334" i="3"/>
  <c r="M334" i="3"/>
  <c r="L334" i="3"/>
  <c r="Q334" i="3" s="1"/>
  <c r="N332" i="3"/>
  <c r="S331" i="3" s="1"/>
  <c r="M332" i="3"/>
  <c r="L332" i="3"/>
  <c r="Q331" i="3"/>
  <c r="N331" i="3"/>
  <c r="M331" i="3"/>
  <c r="L331" i="3"/>
  <c r="N330" i="3"/>
  <c r="M330" i="3"/>
  <c r="L330" i="3"/>
  <c r="S329" i="3"/>
  <c r="N329" i="3"/>
  <c r="M329" i="3"/>
  <c r="L329" i="3"/>
  <c r="Q329" i="3" s="1"/>
  <c r="N328" i="3"/>
  <c r="M328" i="3"/>
  <c r="L328" i="3"/>
  <c r="Q327" i="3"/>
  <c r="N327" i="3"/>
  <c r="S327" i="3" s="1"/>
  <c r="M327" i="3"/>
  <c r="L327" i="3"/>
  <c r="N319" i="3"/>
  <c r="M319" i="3"/>
  <c r="L319" i="3"/>
  <c r="N318" i="3"/>
  <c r="M318" i="3"/>
  <c r="L318" i="3"/>
  <c r="N317" i="3"/>
  <c r="S309" i="3" s="1"/>
  <c r="M317" i="3"/>
  <c r="L317" i="3"/>
  <c r="Q309" i="3" s="1"/>
  <c r="N316" i="3"/>
  <c r="M316" i="3"/>
  <c r="L316" i="3"/>
  <c r="S311" i="3"/>
  <c r="Q311" i="3"/>
  <c r="N311" i="3"/>
  <c r="M311" i="3"/>
  <c r="L311" i="3"/>
  <c r="Q310" i="3"/>
  <c r="N310" i="3"/>
  <c r="S310" i="3" s="1"/>
  <c r="M310" i="3"/>
  <c r="L310" i="3"/>
  <c r="N309" i="3"/>
  <c r="M309" i="3"/>
  <c r="L309" i="3"/>
  <c r="Q308" i="3"/>
  <c r="N308" i="3"/>
  <c r="S308" i="3" s="1"/>
  <c r="M308" i="3"/>
  <c r="L308" i="3"/>
  <c r="N303" i="3"/>
  <c r="M303" i="3"/>
  <c r="L303" i="3"/>
  <c r="Q295" i="3" s="1"/>
  <c r="N302" i="3"/>
  <c r="M302" i="3"/>
  <c r="L302" i="3"/>
  <c r="N301" i="3"/>
  <c r="S293" i="3" s="1"/>
  <c r="M301" i="3"/>
  <c r="L301" i="3"/>
  <c r="Q293" i="3" s="1"/>
  <c r="N300" i="3"/>
  <c r="M300" i="3"/>
  <c r="L300" i="3"/>
  <c r="S295" i="3"/>
  <c r="N295" i="3"/>
  <c r="M295" i="3"/>
  <c r="L295" i="3"/>
  <c r="Q294" i="3"/>
  <c r="N294" i="3"/>
  <c r="S294" i="3" s="1"/>
  <c r="M294" i="3"/>
  <c r="L294" i="3"/>
  <c r="N293" i="3"/>
  <c r="M293" i="3"/>
  <c r="L293" i="3"/>
  <c r="Q292" i="3"/>
  <c r="N292" i="3"/>
  <c r="S292" i="3" s="1"/>
  <c r="M292" i="3"/>
  <c r="L292" i="3"/>
  <c r="N287" i="3"/>
  <c r="M287" i="3"/>
  <c r="L287" i="3"/>
  <c r="Q279" i="3" s="1"/>
  <c r="N286" i="3"/>
  <c r="M286" i="3"/>
  <c r="L286" i="3"/>
  <c r="N285" i="3"/>
  <c r="S277" i="3" s="1"/>
  <c r="M285" i="3"/>
  <c r="L285" i="3"/>
  <c r="Q277" i="3" s="1"/>
  <c r="N284" i="3"/>
  <c r="M284" i="3"/>
  <c r="L284" i="3"/>
  <c r="S279" i="3"/>
  <c r="N279" i="3"/>
  <c r="M279" i="3"/>
  <c r="L279" i="3"/>
  <c r="Q278" i="3"/>
  <c r="N278" i="3"/>
  <c r="S278" i="3" s="1"/>
  <c r="M278" i="3"/>
  <c r="L278" i="3"/>
  <c r="N277" i="3"/>
  <c r="M277" i="3"/>
  <c r="L277" i="3"/>
  <c r="Q276" i="3"/>
  <c r="N276" i="3"/>
  <c r="S276" i="3" s="1"/>
  <c r="M276" i="3"/>
  <c r="L276" i="3"/>
  <c r="N260" i="3"/>
  <c r="M260" i="3"/>
  <c r="L260" i="3"/>
  <c r="N259" i="3"/>
  <c r="M259" i="3"/>
  <c r="L259" i="3"/>
  <c r="N258" i="3"/>
  <c r="S254" i="3" s="1"/>
  <c r="M258" i="3"/>
  <c r="L258" i="3"/>
  <c r="Q254" i="3" s="1"/>
  <c r="N257" i="3"/>
  <c r="M257" i="3"/>
  <c r="L257" i="3"/>
  <c r="N256" i="3"/>
  <c r="M256" i="3"/>
  <c r="L256" i="3"/>
  <c r="N255" i="3"/>
  <c r="M255" i="3"/>
  <c r="L255" i="3"/>
  <c r="N254" i="3"/>
  <c r="M254" i="3"/>
  <c r="L254" i="3"/>
  <c r="Q253" i="3"/>
  <c r="N253" i="3"/>
  <c r="S253" i="3" s="1"/>
  <c r="M253" i="3"/>
  <c r="L253" i="3"/>
  <c r="N252" i="3"/>
  <c r="M252" i="3"/>
  <c r="L252" i="3"/>
  <c r="N251" i="3"/>
  <c r="M251" i="3"/>
  <c r="L251" i="3"/>
  <c r="N250" i="3"/>
  <c r="S246" i="3" s="1"/>
  <c r="M250" i="3"/>
  <c r="L250" i="3"/>
  <c r="Q246" i="3" s="1"/>
  <c r="N249" i="3"/>
  <c r="M249" i="3"/>
  <c r="L249" i="3"/>
  <c r="N248" i="3"/>
  <c r="M248" i="3"/>
  <c r="L248" i="3"/>
  <c r="N247" i="3"/>
  <c r="M247" i="3"/>
  <c r="L247" i="3"/>
  <c r="N246" i="3"/>
  <c r="M246" i="3"/>
  <c r="L246" i="3"/>
  <c r="Q245" i="3"/>
  <c r="N245" i="3"/>
  <c r="S245" i="3" s="1"/>
  <c r="M245" i="3"/>
  <c r="L245" i="3"/>
  <c r="N243" i="3"/>
  <c r="M243" i="3"/>
  <c r="L243" i="3"/>
  <c r="N242" i="3"/>
  <c r="M242" i="3"/>
  <c r="L242" i="3"/>
  <c r="N241" i="3"/>
  <c r="S237" i="3" s="1"/>
  <c r="M241" i="3"/>
  <c r="L241" i="3"/>
  <c r="Q237" i="3" s="1"/>
  <c r="N240" i="3"/>
  <c r="M240" i="3"/>
  <c r="L240" i="3"/>
  <c r="N239" i="3"/>
  <c r="M239" i="3"/>
  <c r="L239" i="3"/>
  <c r="N238" i="3"/>
  <c r="M238" i="3"/>
  <c r="L238" i="3"/>
  <c r="N237" i="3"/>
  <c r="M237" i="3"/>
  <c r="L237" i="3"/>
  <c r="Q236" i="3"/>
  <c r="N236" i="3"/>
  <c r="S236" i="3" s="1"/>
  <c r="M236" i="3"/>
  <c r="L236" i="3"/>
  <c r="N235" i="3"/>
  <c r="M235" i="3"/>
  <c r="L235" i="3"/>
  <c r="N234" i="3"/>
  <c r="M234" i="3"/>
  <c r="L234" i="3"/>
  <c r="N233" i="3"/>
  <c r="S229" i="3" s="1"/>
  <c r="M233" i="3"/>
  <c r="L233" i="3"/>
  <c r="Q229" i="3" s="1"/>
  <c r="N232" i="3"/>
  <c r="M232" i="3"/>
  <c r="L232" i="3"/>
  <c r="N231" i="3"/>
  <c r="M231" i="3"/>
  <c r="L231" i="3"/>
  <c r="N230" i="3"/>
  <c r="M230" i="3"/>
  <c r="L230" i="3"/>
  <c r="N229" i="3"/>
  <c r="M229" i="3"/>
  <c r="L229" i="3"/>
  <c r="Q228" i="3"/>
  <c r="N228" i="3"/>
  <c r="S228" i="3" s="1"/>
  <c r="M228" i="3"/>
  <c r="L228" i="3"/>
  <c r="N226" i="3"/>
  <c r="M226" i="3"/>
  <c r="L226" i="3"/>
  <c r="N225" i="3"/>
  <c r="M225" i="3"/>
  <c r="L225" i="3"/>
  <c r="N224" i="3"/>
  <c r="S220" i="3" s="1"/>
  <c r="M224" i="3"/>
  <c r="L224" i="3"/>
  <c r="Q220" i="3" s="1"/>
  <c r="N223" i="3"/>
  <c r="M223" i="3"/>
  <c r="L223" i="3"/>
  <c r="N222" i="3"/>
  <c r="M222" i="3"/>
  <c r="L222" i="3"/>
  <c r="N221" i="3"/>
  <c r="M221" i="3"/>
  <c r="L221" i="3"/>
  <c r="N220" i="3"/>
  <c r="M220" i="3"/>
  <c r="L220" i="3"/>
  <c r="Q219" i="3"/>
  <c r="N219" i="3"/>
  <c r="S219" i="3" s="1"/>
  <c r="M219" i="3"/>
  <c r="L219" i="3"/>
  <c r="N218" i="3"/>
  <c r="M218" i="3"/>
  <c r="L218" i="3"/>
  <c r="N217" i="3"/>
  <c r="M217" i="3"/>
  <c r="L217" i="3"/>
  <c r="N216" i="3"/>
  <c r="S212" i="3" s="1"/>
  <c r="M216" i="3"/>
  <c r="L216" i="3"/>
  <c r="Q212" i="3" s="1"/>
  <c r="N215" i="3"/>
  <c r="M215" i="3"/>
  <c r="L215" i="3"/>
  <c r="N214" i="3"/>
  <c r="M214" i="3"/>
  <c r="L214" i="3"/>
  <c r="N213" i="3"/>
  <c r="M213" i="3"/>
  <c r="L213" i="3"/>
  <c r="N212" i="3"/>
  <c r="M212" i="3"/>
  <c r="L212" i="3"/>
  <c r="Q211" i="3"/>
  <c r="N211" i="3"/>
  <c r="S211" i="3" s="1"/>
  <c r="M211" i="3"/>
  <c r="L211" i="3"/>
  <c r="N209" i="3"/>
  <c r="M209" i="3"/>
  <c r="L209" i="3"/>
  <c r="N208" i="3"/>
  <c r="M208" i="3"/>
  <c r="L208" i="3"/>
  <c r="N207" i="3"/>
  <c r="S203" i="3" s="1"/>
  <c r="M207" i="3"/>
  <c r="L207" i="3"/>
  <c r="Q203" i="3" s="1"/>
  <c r="N206" i="3"/>
  <c r="M206" i="3"/>
  <c r="L206" i="3"/>
  <c r="N205" i="3"/>
  <c r="M205" i="3"/>
  <c r="L205" i="3"/>
  <c r="N204" i="3"/>
  <c r="M204" i="3"/>
  <c r="L204" i="3"/>
  <c r="N203" i="3"/>
  <c r="M203" i="3"/>
  <c r="L203" i="3"/>
  <c r="Q202" i="3"/>
  <c r="N202" i="3"/>
  <c r="S202" i="3" s="1"/>
  <c r="M202" i="3"/>
  <c r="R202" i="3" s="1"/>
  <c r="L202" i="3"/>
  <c r="N201" i="3"/>
  <c r="M201" i="3"/>
  <c r="L201" i="3"/>
  <c r="N200" i="3"/>
  <c r="M200" i="3"/>
  <c r="L200" i="3"/>
  <c r="N199" i="3"/>
  <c r="S195" i="3" s="1"/>
  <c r="M199" i="3"/>
  <c r="L199" i="3"/>
  <c r="Q195" i="3" s="1"/>
  <c r="N198" i="3"/>
  <c r="M198" i="3"/>
  <c r="L198" i="3"/>
  <c r="N197" i="3"/>
  <c r="M197" i="3"/>
  <c r="L197" i="3"/>
  <c r="N196" i="3"/>
  <c r="M196" i="3"/>
  <c r="L196" i="3"/>
  <c r="N195" i="3"/>
  <c r="M195" i="3"/>
  <c r="L195" i="3"/>
  <c r="Q194" i="3"/>
  <c r="N194" i="3"/>
  <c r="S194" i="3" s="1"/>
  <c r="M194" i="3"/>
  <c r="L194" i="3"/>
  <c r="N192" i="3"/>
  <c r="M192" i="3"/>
  <c r="L192" i="3"/>
  <c r="N191" i="3"/>
  <c r="M191" i="3"/>
  <c r="L191" i="3"/>
  <c r="N190" i="3"/>
  <c r="M190" i="3"/>
  <c r="L190" i="3"/>
  <c r="N189" i="3"/>
  <c r="M189" i="3"/>
  <c r="L189" i="3"/>
  <c r="N187" i="3"/>
  <c r="M187" i="3"/>
  <c r="L187" i="3"/>
  <c r="N186" i="3"/>
  <c r="M186" i="3"/>
  <c r="L186" i="3"/>
  <c r="N185" i="3"/>
  <c r="M185" i="3"/>
  <c r="L185" i="3"/>
  <c r="N184" i="3"/>
  <c r="M184" i="3"/>
  <c r="L184" i="3"/>
  <c r="N182" i="3"/>
  <c r="M182" i="3"/>
  <c r="L182" i="3"/>
  <c r="Q177" i="3" s="1"/>
  <c r="N181" i="3"/>
  <c r="M181" i="3"/>
  <c r="L181" i="3"/>
  <c r="N180" i="3"/>
  <c r="S175" i="3" s="1"/>
  <c r="M180" i="3"/>
  <c r="L180" i="3"/>
  <c r="Q175" i="3" s="1"/>
  <c r="N179" i="3"/>
  <c r="M179" i="3"/>
  <c r="L179" i="3"/>
  <c r="S177" i="3"/>
  <c r="N177" i="3"/>
  <c r="M177" i="3"/>
  <c r="R177" i="3" s="1"/>
  <c r="L177" i="3"/>
  <c r="Q176" i="3"/>
  <c r="N176" i="3"/>
  <c r="S176" i="3" s="1"/>
  <c r="M176" i="3"/>
  <c r="L176" i="3"/>
  <c r="N175" i="3"/>
  <c r="M175" i="3"/>
  <c r="L175" i="3"/>
  <c r="Q174" i="3"/>
  <c r="N174" i="3"/>
  <c r="S174" i="3" s="1"/>
  <c r="M174" i="3"/>
  <c r="L174" i="3"/>
  <c r="N172" i="3"/>
  <c r="M172" i="3"/>
  <c r="L172" i="3"/>
  <c r="Q167" i="3" s="1"/>
  <c r="N171" i="3"/>
  <c r="M171" i="3"/>
  <c r="L171" i="3"/>
  <c r="N170" i="3"/>
  <c r="S165" i="3" s="1"/>
  <c r="M170" i="3"/>
  <c r="L170" i="3"/>
  <c r="Q165" i="3" s="1"/>
  <c r="N169" i="3"/>
  <c r="M169" i="3"/>
  <c r="L169" i="3"/>
  <c r="S167" i="3"/>
  <c r="N167" i="3"/>
  <c r="M167" i="3"/>
  <c r="L167" i="3"/>
  <c r="Q166" i="3"/>
  <c r="N166" i="3"/>
  <c r="S166" i="3" s="1"/>
  <c r="M166" i="3"/>
  <c r="L166" i="3"/>
  <c r="N165" i="3"/>
  <c r="M165" i="3"/>
  <c r="L165" i="3"/>
  <c r="Q164" i="3"/>
  <c r="N164" i="3"/>
  <c r="S164" i="3" s="1"/>
  <c r="M164" i="3"/>
  <c r="L164" i="3"/>
  <c r="N161" i="3"/>
  <c r="M161" i="3"/>
  <c r="L161" i="3"/>
  <c r="Q148" i="3" s="1"/>
  <c r="N160" i="3"/>
  <c r="M160" i="3"/>
  <c r="L160" i="3"/>
  <c r="N159" i="3"/>
  <c r="S146" i="3" s="1"/>
  <c r="M159" i="3"/>
  <c r="L159" i="3"/>
  <c r="Q146" i="3" s="1"/>
  <c r="N158" i="3"/>
  <c r="M158" i="3"/>
  <c r="L158" i="3"/>
  <c r="N157" i="3"/>
  <c r="M157" i="3"/>
  <c r="L157" i="3"/>
  <c r="N156" i="3"/>
  <c r="M156" i="3"/>
  <c r="L156" i="3"/>
  <c r="N155" i="3"/>
  <c r="S142" i="3" s="1"/>
  <c r="M155" i="3"/>
  <c r="L155" i="3"/>
  <c r="Q142" i="3" s="1"/>
  <c r="N154" i="3"/>
  <c r="M154" i="3"/>
  <c r="L154" i="3"/>
  <c r="N153" i="3"/>
  <c r="M153" i="3"/>
  <c r="L153" i="3"/>
  <c r="Q140" i="3" s="1"/>
  <c r="N152" i="3"/>
  <c r="M152" i="3"/>
  <c r="L152" i="3"/>
  <c r="N151" i="3"/>
  <c r="S138" i="3" s="1"/>
  <c r="M151" i="3"/>
  <c r="L151" i="3"/>
  <c r="Q138" i="3" s="1"/>
  <c r="N150" i="3"/>
  <c r="M150" i="3"/>
  <c r="L150" i="3"/>
  <c r="S148" i="3"/>
  <c r="N148" i="3"/>
  <c r="M148" i="3"/>
  <c r="L148" i="3"/>
  <c r="Q147" i="3"/>
  <c r="N147" i="3"/>
  <c r="S147" i="3" s="1"/>
  <c r="M147" i="3"/>
  <c r="L147" i="3"/>
  <c r="N146" i="3"/>
  <c r="M146" i="3"/>
  <c r="L146" i="3"/>
  <c r="Q145" i="3"/>
  <c r="N145" i="3"/>
  <c r="S145" i="3" s="1"/>
  <c r="M145" i="3"/>
  <c r="L145" i="3"/>
  <c r="S144" i="3"/>
  <c r="Q144" i="3"/>
  <c r="N144" i="3"/>
  <c r="M144" i="3"/>
  <c r="L144" i="3"/>
  <c r="Q143" i="3"/>
  <c r="N143" i="3"/>
  <c r="S143" i="3" s="1"/>
  <c r="M143" i="3"/>
  <c r="L143" i="3"/>
  <c r="N142" i="3"/>
  <c r="M142" i="3"/>
  <c r="L142" i="3"/>
  <c r="Q141" i="3"/>
  <c r="N141" i="3"/>
  <c r="S141" i="3" s="1"/>
  <c r="M141" i="3"/>
  <c r="L141" i="3"/>
  <c r="S140" i="3"/>
  <c r="N140" i="3"/>
  <c r="M140" i="3"/>
  <c r="L140" i="3"/>
  <c r="Q139" i="3"/>
  <c r="N139" i="3"/>
  <c r="S139" i="3" s="1"/>
  <c r="M139" i="3"/>
  <c r="L139" i="3"/>
  <c r="N138" i="3"/>
  <c r="M138" i="3"/>
  <c r="L138" i="3"/>
  <c r="Q137" i="3"/>
  <c r="N137" i="3"/>
  <c r="S137" i="3" s="1"/>
  <c r="M137" i="3"/>
  <c r="L137" i="3"/>
  <c r="N135" i="3"/>
  <c r="M135" i="3"/>
  <c r="L135" i="3"/>
  <c r="N134" i="3"/>
  <c r="M134" i="3"/>
  <c r="L134" i="3"/>
  <c r="N133" i="3"/>
  <c r="M133" i="3"/>
  <c r="L133" i="3"/>
  <c r="N132" i="3"/>
  <c r="M132" i="3"/>
  <c r="L132" i="3"/>
  <c r="N131" i="3"/>
  <c r="M131" i="3"/>
  <c r="L131" i="3"/>
  <c r="N130" i="3"/>
  <c r="M130" i="3"/>
  <c r="L130" i="3"/>
  <c r="N129" i="3"/>
  <c r="M129" i="3"/>
  <c r="L129" i="3"/>
  <c r="N128" i="3"/>
  <c r="M128" i="3"/>
  <c r="L128" i="3"/>
  <c r="N127" i="3"/>
  <c r="M127" i="3"/>
  <c r="L127" i="3"/>
  <c r="N126" i="3"/>
  <c r="M126" i="3"/>
  <c r="L126" i="3"/>
  <c r="N125" i="3"/>
  <c r="M125" i="3"/>
  <c r="L125" i="3"/>
  <c r="N124" i="3"/>
  <c r="M124" i="3"/>
  <c r="L124" i="3"/>
  <c r="M122" i="3"/>
  <c r="L122" i="3"/>
  <c r="N121" i="3"/>
  <c r="S121" i="3" s="1"/>
  <c r="M121" i="3"/>
  <c r="R121" i="3" s="1"/>
  <c r="L121" i="3"/>
  <c r="Q121" i="3" s="1"/>
  <c r="S120" i="3"/>
  <c r="N120" i="3"/>
  <c r="M120" i="3"/>
  <c r="L120" i="3"/>
  <c r="Q120" i="3" s="1"/>
  <c r="N119" i="3"/>
  <c r="S119" i="3" s="1"/>
  <c r="M119" i="3"/>
  <c r="L119" i="3"/>
  <c r="Q119" i="3" s="1"/>
  <c r="S118" i="3"/>
  <c r="N118" i="3"/>
  <c r="M118" i="3"/>
  <c r="L118" i="3"/>
  <c r="Q118" i="3" s="1"/>
  <c r="N117" i="3"/>
  <c r="S117" i="3" s="1"/>
  <c r="M117" i="3"/>
  <c r="L117" i="3"/>
  <c r="Q117" i="3" s="1"/>
  <c r="S116" i="3"/>
  <c r="N116" i="3"/>
  <c r="M116" i="3"/>
  <c r="L116" i="3"/>
  <c r="Q116" i="3" s="1"/>
  <c r="N115" i="3"/>
  <c r="S115" i="3" s="1"/>
  <c r="M115" i="3"/>
  <c r="L115" i="3"/>
  <c r="Q115" i="3" s="1"/>
  <c r="S114" i="3"/>
  <c r="N114" i="3"/>
  <c r="M114" i="3"/>
  <c r="L114" i="3"/>
  <c r="Q114" i="3" s="1"/>
  <c r="N113" i="3"/>
  <c r="S113" i="3" s="1"/>
  <c r="M113" i="3"/>
  <c r="L113" i="3"/>
  <c r="Q113" i="3" s="1"/>
  <c r="S112" i="3"/>
  <c r="N112" i="3"/>
  <c r="M112" i="3"/>
  <c r="L112" i="3"/>
  <c r="Q112" i="3" s="1"/>
  <c r="N111" i="3"/>
  <c r="S111" i="3" s="1"/>
  <c r="M111" i="3"/>
  <c r="L111" i="3"/>
  <c r="Q111" i="3" s="1"/>
  <c r="N109" i="3"/>
  <c r="S96" i="3" s="1"/>
  <c r="M109" i="3"/>
  <c r="L109" i="3"/>
  <c r="N108" i="3"/>
  <c r="M108" i="3"/>
  <c r="L108" i="3"/>
  <c r="N107" i="3"/>
  <c r="M107" i="3"/>
  <c r="L107" i="3"/>
  <c r="N106" i="3"/>
  <c r="M106" i="3"/>
  <c r="L106" i="3"/>
  <c r="N105" i="3"/>
  <c r="S92" i="3" s="1"/>
  <c r="M105" i="3"/>
  <c r="L105" i="3"/>
  <c r="N104" i="3"/>
  <c r="M104" i="3"/>
  <c r="L104" i="3"/>
  <c r="N103" i="3"/>
  <c r="M103" i="3"/>
  <c r="L103" i="3"/>
  <c r="N102" i="3"/>
  <c r="M102" i="3"/>
  <c r="L102" i="3"/>
  <c r="N101" i="3"/>
  <c r="M101" i="3"/>
  <c r="L101" i="3"/>
  <c r="N100" i="3"/>
  <c r="M100" i="3"/>
  <c r="L100" i="3"/>
  <c r="N99" i="3"/>
  <c r="M99" i="3"/>
  <c r="L99" i="3"/>
  <c r="N98" i="3"/>
  <c r="M98" i="3"/>
  <c r="L98" i="3"/>
  <c r="N96" i="3"/>
  <c r="M96" i="3"/>
  <c r="L96" i="3"/>
  <c r="Q96" i="3" s="1"/>
  <c r="N95" i="3"/>
  <c r="S95" i="3" s="1"/>
  <c r="M95" i="3"/>
  <c r="L95" i="3"/>
  <c r="Q95" i="3" s="1"/>
  <c r="S94" i="3"/>
  <c r="N94" i="3"/>
  <c r="M94" i="3"/>
  <c r="L94" i="3"/>
  <c r="Q94" i="3" s="1"/>
  <c r="N93" i="3"/>
  <c r="S93" i="3" s="1"/>
  <c r="M93" i="3"/>
  <c r="L93" i="3"/>
  <c r="Q93" i="3" s="1"/>
  <c r="N92" i="3"/>
  <c r="M92" i="3"/>
  <c r="L92" i="3"/>
  <c r="Q92" i="3" s="1"/>
  <c r="N91" i="3"/>
  <c r="S91" i="3" s="1"/>
  <c r="M91" i="3"/>
  <c r="L91" i="3"/>
  <c r="Q91" i="3" s="1"/>
  <c r="S90" i="3"/>
  <c r="N90" i="3"/>
  <c r="M90" i="3"/>
  <c r="L90" i="3"/>
  <c r="Q90" i="3" s="1"/>
  <c r="N89" i="3"/>
  <c r="S89" i="3" s="1"/>
  <c r="M89" i="3"/>
  <c r="L89" i="3"/>
  <c r="Q89" i="3" s="1"/>
  <c r="S88" i="3"/>
  <c r="N88" i="3"/>
  <c r="M88" i="3"/>
  <c r="L88" i="3"/>
  <c r="Q88" i="3" s="1"/>
  <c r="N87" i="3"/>
  <c r="S87" i="3" s="1"/>
  <c r="M87" i="3"/>
  <c r="L87" i="3"/>
  <c r="Q87" i="3" s="1"/>
  <c r="S86" i="3"/>
  <c r="N86" i="3"/>
  <c r="M86" i="3"/>
  <c r="L86" i="3"/>
  <c r="Q86" i="3" s="1"/>
  <c r="N85" i="3"/>
  <c r="S85" i="3" s="1"/>
  <c r="M85" i="3"/>
  <c r="L85" i="3"/>
  <c r="Q85" i="3" s="1"/>
  <c r="N82" i="3"/>
  <c r="S69" i="3" s="1"/>
  <c r="M82" i="3"/>
  <c r="L82" i="3"/>
  <c r="N81" i="3"/>
  <c r="M81" i="3"/>
  <c r="L81" i="3"/>
  <c r="N80" i="3"/>
  <c r="M80" i="3"/>
  <c r="L80" i="3"/>
  <c r="N79" i="3"/>
  <c r="M79" i="3"/>
  <c r="L79" i="3"/>
  <c r="N78" i="3"/>
  <c r="M78" i="3"/>
  <c r="L78" i="3"/>
  <c r="N77" i="3"/>
  <c r="M77" i="3"/>
  <c r="L77" i="3"/>
  <c r="N76" i="3"/>
  <c r="M76" i="3"/>
  <c r="L76" i="3"/>
  <c r="N75" i="3"/>
  <c r="M75" i="3"/>
  <c r="L75" i="3"/>
  <c r="N74" i="3"/>
  <c r="S61" i="3" s="1"/>
  <c r="M74" i="3"/>
  <c r="L74" i="3"/>
  <c r="N73" i="3"/>
  <c r="M73" i="3"/>
  <c r="L73" i="3"/>
  <c r="N72" i="3"/>
  <c r="M72" i="3"/>
  <c r="L72" i="3"/>
  <c r="N71" i="3"/>
  <c r="M71" i="3"/>
  <c r="L71" i="3"/>
  <c r="N69" i="3"/>
  <c r="M69" i="3"/>
  <c r="R69" i="3" s="1"/>
  <c r="L69" i="3"/>
  <c r="Q69" i="3" s="1"/>
  <c r="N68" i="3"/>
  <c r="S68" i="3" s="1"/>
  <c r="M68" i="3"/>
  <c r="R68" i="3" s="1"/>
  <c r="L68" i="3"/>
  <c r="Q68" i="3" s="1"/>
  <c r="S67" i="3"/>
  <c r="N67" i="3"/>
  <c r="M67" i="3"/>
  <c r="L67" i="3"/>
  <c r="Q67" i="3" s="1"/>
  <c r="N66" i="3"/>
  <c r="S66" i="3" s="1"/>
  <c r="M66" i="3"/>
  <c r="L66" i="3"/>
  <c r="Q66" i="3" s="1"/>
  <c r="S65" i="3"/>
  <c r="N65" i="3"/>
  <c r="M65" i="3"/>
  <c r="L65" i="3"/>
  <c r="Q65" i="3" s="1"/>
  <c r="N64" i="3"/>
  <c r="S64" i="3" s="1"/>
  <c r="M64" i="3"/>
  <c r="L64" i="3"/>
  <c r="Q64" i="3" s="1"/>
  <c r="S63" i="3"/>
  <c r="N63" i="3"/>
  <c r="M63" i="3"/>
  <c r="L63" i="3"/>
  <c r="Q63" i="3" s="1"/>
  <c r="N62" i="3"/>
  <c r="S62" i="3" s="1"/>
  <c r="M62" i="3"/>
  <c r="L62" i="3"/>
  <c r="Q62" i="3" s="1"/>
  <c r="N61" i="3"/>
  <c r="M61" i="3"/>
  <c r="L61" i="3"/>
  <c r="Q61" i="3" s="1"/>
  <c r="N60" i="3"/>
  <c r="S60" i="3" s="1"/>
  <c r="M60" i="3"/>
  <c r="L60" i="3"/>
  <c r="Q60" i="3" s="1"/>
  <c r="S59" i="3"/>
  <c r="N59" i="3"/>
  <c r="M59" i="3"/>
  <c r="L59" i="3"/>
  <c r="Q59" i="3" s="1"/>
  <c r="N58" i="3"/>
  <c r="S58" i="3" s="1"/>
  <c r="M58" i="3"/>
  <c r="L58" i="3"/>
  <c r="Q58" i="3" s="1"/>
  <c r="N56" i="3"/>
  <c r="M56" i="3"/>
  <c r="L56" i="3"/>
  <c r="N55" i="3"/>
  <c r="M55" i="3"/>
  <c r="L55" i="3"/>
  <c r="N54" i="3"/>
  <c r="M54" i="3"/>
  <c r="L54" i="3"/>
  <c r="N53" i="3"/>
  <c r="M53" i="3"/>
  <c r="L53" i="3"/>
  <c r="N52" i="3"/>
  <c r="S39" i="3" s="1"/>
  <c r="M52" i="3"/>
  <c r="L52" i="3"/>
  <c r="N51" i="3"/>
  <c r="M51" i="3"/>
  <c r="L51" i="3"/>
  <c r="N50" i="3"/>
  <c r="M50" i="3"/>
  <c r="L50" i="3"/>
  <c r="N49" i="3"/>
  <c r="S36" i="3" s="1"/>
  <c r="M49" i="3"/>
  <c r="L49" i="3"/>
  <c r="Q36" i="3" s="1"/>
  <c r="N48" i="3"/>
  <c r="M48" i="3"/>
  <c r="L48" i="3"/>
  <c r="N47" i="3"/>
  <c r="M47" i="3"/>
  <c r="L47" i="3"/>
  <c r="N46" i="3"/>
  <c r="M46" i="3"/>
  <c r="L46" i="3"/>
  <c r="N45" i="3"/>
  <c r="S32" i="3" s="1"/>
  <c r="M45" i="3"/>
  <c r="L45" i="3"/>
  <c r="Q32" i="3" s="1"/>
  <c r="S43" i="3"/>
  <c r="N43" i="3"/>
  <c r="M43" i="3"/>
  <c r="R43" i="3" s="1"/>
  <c r="L43" i="3"/>
  <c r="Q43" i="3" s="1"/>
  <c r="N42" i="3"/>
  <c r="S42" i="3" s="1"/>
  <c r="M42" i="3"/>
  <c r="L42" i="3"/>
  <c r="Q42" i="3" s="1"/>
  <c r="S41" i="3"/>
  <c r="N41" i="3"/>
  <c r="M41" i="3"/>
  <c r="L41" i="3"/>
  <c r="Q41" i="3" s="1"/>
  <c r="N40" i="3"/>
  <c r="S40" i="3" s="1"/>
  <c r="M40" i="3"/>
  <c r="L40" i="3"/>
  <c r="Q40" i="3" s="1"/>
  <c r="N39" i="3"/>
  <c r="M39" i="3"/>
  <c r="L39" i="3"/>
  <c r="Q39" i="3" s="1"/>
  <c r="N38" i="3"/>
  <c r="S38" i="3" s="1"/>
  <c r="M38" i="3"/>
  <c r="L38" i="3"/>
  <c r="Q38" i="3" s="1"/>
  <c r="N37" i="3"/>
  <c r="M37" i="3"/>
  <c r="L37" i="3"/>
  <c r="N36" i="3"/>
  <c r="M36" i="3"/>
  <c r="L36" i="3"/>
  <c r="Q35" i="3"/>
  <c r="N35" i="3"/>
  <c r="M35" i="3"/>
  <c r="R35" i="3" s="1"/>
  <c r="L35" i="3"/>
  <c r="S34" i="3"/>
  <c r="Q34" i="3"/>
  <c r="N34" i="3"/>
  <c r="M34" i="3"/>
  <c r="L34" i="3"/>
  <c r="Q33" i="3"/>
  <c r="N33" i="3"/>
  <c r="S33" i="3" s="1"/>
  <c r="M33" i="3"/>
  <c r="L33" i="3"/>
  <c r="N32" i="3"/>
  <c r="M32" i="3"/>
  <c r="R32" i="3" s="1"/>
  <c r="L32" i="3"/>
  <c r="N30" i="3"/>
  <c r="M30" i="3"/>
  <c r="L30" i="3"/>
  <c r="N29" i="3"/>
  <c r="S16" i="3" s="1"/>
  <c r="M29" i="3"/>
  <c r="L29" i="3"/>
  <c r="N28" i="3"/>
  <c r="M28" i="3"/>
  <c r="L28" i="3"/>
  <c r="N27" i="3"/>
  <c r="M27" i="3"/>
  <c r="L27" i="3"/>
  <c r="N26" i="3"/>
  <c r="M26" i="3"/>
  <c r="L26" i="3"/>
  <c r="N25" i="3"/>
  <c r="S12" i="3" s="1"/>
  <c r="M25" i="3"/>
  <c r="L25" i="3"/>
  <c r="N24" i="3"/>
  <c r="M24" i="3"/>
  <c r="L24" i="3"/>
  <c r="N23" i="3"/>
  <c r="M23" i="3"/>
  <c r="L23" i="3"/>
  <c r="N22" i="3"/>
  <c r="M22" i="3"/>
  <c r="L22" i="3"/>
  <c r="N21" i="3"/>
  <c r="S8" i="3" s="1"/>
  <c r="M21" i="3"/>
  <c r="L21" i="3"/>
  <c r="N20" i="3"/>
  <c r="M20" i="3"/>
  <c r="L20" i="3"/>
  <c r="N19" i="3"/>
  <c r="M19" i="3"/>
  <c r="L19" i="3"/>
  <c r="N17" i="3"/>
  <c r="S17" i="3" s="1"/>
  <c r="M17" i="3"/>
  <c r="R17" i="3" s="1"/>
  <c r="L17" i="3"/>
  <c r="Q16" i="3"/>
  <c r="N16" i="3"/>
  <c r="M16" i="3"/>
  <c r="L16" i="3"/>
  <c r="Q15" i="3"/>
  <c r="N15" i="3"/>
  <c r="S15" i="3" s="1"/>
  <c r="M15" i="3"/>
  <c r="L15" i="3"/>
  <c r="S14" i="3"/>
  <c r="Q14" i="3"/>
  <c r="N14" i="3"/>
  <c r="M14" i="3"/>
  <c r="L14" i="3"/>
  <c r="Q13" i="3"/>
  <c r="N13" i="3"/>
  <c r="S13" i="3" s="1"/>
  <c r="M13" i="3"/>
  <c r="L13" i="3"/>
  <c r="Q12" i="3"/>
  <c r="N12" i="3"/>
  <c r="M12" i="3"/>
  <c r="L12" i="3"/>
  <c r="N11" i="3"/>
  <c r="M11" i="3"/>
  <c r="L11" i="3"/>
  <c r="S10" i="3"/>
  <c r="N10" i="3"/>
  <c r="M10" i="3"/>
  <c r="L10" i="3"/>
  <c r="Q10" i="3" s="1"/>
  <c r="N9" i="3"/>
  <c r="S9" i="3" s="1"/>
  <c r="M9" i="3"/>
  <c r="R9" i="3" s="1"/>
  <c r="L9" i="3"/>
  <c r="Q9" i="3" s="1"/>
  <c r="N8" i="3"/>
  <c r="M8" i="3"/>
  <c r="L8" i="3"/>
  <c r="Q8" i="3" s="1"/>
  <c r="N7" i="3"/>
  <c r="S7" i="3" s="1"/>
  <c r="M7" i="3"/>
  <c r="L7" i="3"/>
  <c r="Q7" i="3" s="1"/>
  <c r="S6" i="3"/>
  <c r="N6" i="3"/>
  <c r="M6" i="3"/>
  <c r="Q6" i="3"/>
  <c r="Q338" i="3" l="1"/>
  <c r="S334" i="3"/>
  <c r="R64" i="3"/>
  <c r="R176" i="3"/>
  <c r="R228" i="3"/>
  <c r="R94" i="3"/>
  <c r="R220" i="3"/>
  <c r="R147" i="3"/>
  <c r="R39" i="3"/>
  <c r="R61" i="3"/>
  <c r="R114" i="3"/>
  <c r="R86" i="3"/>
  <c r="R174" i="3"/>
  <c r="R116" i="3"/>
  <c r="R203" i="3"/>
  <c r="R245" i="3"/>
  <c r="R308" i="3"/>
  <c r="R33" i="3"/>
  <c r="R59" i="3"/>
  <c r="R8" i="3"/>
  <c r="R63" i="3"/>
  <c r="R253" i="3"/>
  <c r="R10" i="3"/>
  <c r="R15" i="3"/>
  <c r="R67" i="3"/>
  <c r="R236" i="3"/>
  <c r="R13" i="3"/>
  <c r="R118" i="3"/>
  <c r="R142" i="3"/>
  <c r="R7" i="3"/>
  <c r="R140" i="3"/>
  <c r="R146" i="3"/>
  <c r="R141" i="3"/>
  <c r="R164" i="3"/>
  <c r="R212" i="3"/>
  <c r="R219" i="3"/>
  <c r="R14" i="3"/>
  <c r="R90" i="3"/>
  <c r="R166" i="3"/>
  <c r="R294" i="3"/>
  <c r="R139" i="3"/>
  <c r="R145" i="3"/>
  <c r="R148" i="3"/>
  <c r="R211" i="3"/>
  <c r="R279" i="3"/>
  <c r="R327" i="3"/>
  <c r="R95" i="3"/>
  <c r="R41" i="3"/>
  <c r="R87" i="3"/>
  <c r="R254" i="3"/>
  <c r="R331" i="3"/>
  <c r="R112" i="3"/>
  <c r="R276" i="3"/>
  <c r="R62" i="3"/>
  <c r="R65" i="3"/>
  <c r="R91" i="3"/>
  <c r="R143" i="3"/>
  <c r="R295" i="3"/>
  <c r="R310" i="3"/>
  <c r="R6" i="3"/>
  <c r="R66" i="3"/>
  <c r="R137" i="3"/>
  <c r="R194" i="3"/>
  <c r="R348" i="3"/>
  <c r="R352" i="3"/>
  <c r="R85" i="3"/>
  <c r="R88" i="3"/>
  <c r="R92" i="3"/>
  <c r="R96" i="3"/>
  <c r="R292" i="3"/>
  <c r="R278" i="3"/>
  <c r="R89" i="3"/>
  <c r="R16" i="3"/>
  <c r="R36" i="3"/>
  <c r="R60" i="3"/>
  <c r="R93" i="3"/>
  <c r="R138" i="3"/>
  <c r="R195" i="3"/>
  <c r="R336" i="3"/>
  <c r="Q350" i="3"/>
  <c r="R350" i="3"/>
  <c r="S348" i="3"/>
  <c r="S350" i="3"/>
  <c r="Q348" i="3"/>
  <c r="Q352" i="3"/>
  <c r="R34" i="3"/>
  <c r="R329" i="3"/>
  <c r="R12" i="3"/>
  <c r="R167" i="3"/>
  <c r="R277" i="3"/>
  <c r="R58" i="3"/>
  <c r="R115" i="3"/>
  <c r="R246" i="3"/>
  <c r="R338" i="3"/>
  <c r="R144" i="3"/>
  <c r="R38" i="3"/>
  <c r="R165" i="3"/>
  <c r="R229" i="3"/>
  <c r="R293" i="3"/>
  <c r="R42" i="3"/>
  <c r="R113" i="3"/>
  <c r="R119" i="3"/>
  <c r="R311" i="3"/>
  <c r="R175" i="3"/>
  <c r="R237" i="3"/>
  <c r="R334" i="3"/>
  <c r="R40" i="3"/>
  <c r="R111" i="3"/>
  <c r="R117" i="3"/>
  <c r="R120" i="3"/>
  <c r="R309" i="3"/>
  <c r="S35" i="3"/>
  <c r="K39" i="14" l="1"/>
  <c r="K46" i="14" s="1"/>
  <c r="K45" i="14" s="1"/>
  <c r="K34" i="14"/>
  <c r="K40" i="14" l="1"/>
  <c r="K49" i="14" l="1"/>
  <c r="L39" i="14"/>
  <c r="L46" i="14" s="1"/>
  <c r="L34" i="14"/>
  <c r="L40" i="14" l="1"/>
  <c r="L49" i="14"/>
  <c r="L45" i="1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<sst xmlns="http://schemas.openxmlformats.org/spreadsheetml/2006/main" count="1556" uniqueCount="481">
  <si>
    <t>Primary Measures</t>
  </si>
  <si>
    <t>No-Build Horizon Years</t>
  </si>
  <si>
    <t>Plan Network Horizon Years</t>
  </si>
  <si>
    <t>Scenario ID</t>
  </si>
  <si>
    <t>M-1-a*</t>
  </si>
  <si>
    <t>Access to Basic Needs</t>
  </si>
  <si>
    <t xml:space="preserve">% of population w/in 15 minutes of retail </t>
  </si>
  <si>
    <t>regionwide</t>
  </si>
  <si>
    <t>Walk</t>
  </si>
  <si>
    <t>Bike</t>
  </si>
  <si>
    <t>Walk, Micromobility, Microtransit</t>
  </si>
  <si>
    <t>Walk, Bike, Micromobility, Microtransit</t>
  </si>
  <si>
    <t>Transit - Accessed by Walk and or Flexible Fleet - Speed One</t>
  </si>
  <si>
    <t>Driving (drive alone)</t>
  </si>
  <si>
    <t>Mohub</t>
  </si>
  <si>
    <t>M-1-b*</t>
  </si>
  <si>
    <t xml:space="preserve">% of population w/in 15 minutes of parks </t>
  </si>
  <si>
    <t>M-1-c*</t>
  </si>
  <si>
    <t>% of population w/in 30 minutes of medical facility</t>
  </si>
  <si>
    <t>M-3</t>
  </si>
  <si>
    <t>GHG Emissions</t>
  </si>
  <si>
    <t>On-road CO2 emissions (EMFAC 2014)</t>
  </si>
  <si>
    <t>SB 375 All On-road CO2 emissions (tons/day) (excludeing E-E VMT emission)</t>
  </si>
  <si>
    <t xml:space="preserve">SB 375 All On-road CO2 emissions (pounds/day) per capita </t>
  </si>
  <si>
    <t>M-4</t>
  </si>
  <si>
    <t>Vehicle Miles Traveled</t>
  </si>
  <si>
    <t>VMT</t>
  </si>
  <si>
    <t>All vehicle classes regionwide</t>
  </si>
  <si>
    <t>All vehicle classes regionwide per capita</t>
  </si>
  <si>
    <t>M-5-a*</t>
  </si>
  <si>
    <t>Access to Opportunities via transit</t>
  </si>
  <si>
    <t>Tier 1 employment centers</t>
  </si>
  <si>
    <t>30 min - regionwide</t>
  </si>
  <si>
    <t>45 min - regionwide</t>
  </si>
  <si>
    <t>30 min - Mohub</t>
  </si>
  <si>
    <t>45 min - Mohub</t>
  </si>
  <si>
    <t>M-5-b*</t>
  </si>
  <si>
    <t>Tier 2 employment centers</t>
  </si>
  <si>
    <t>Transit - Accessed by Walk and or  Flexible Fleet - Speed One</t>
  </si>
  <si>
    <t>M-5-c*</t>
  </si>
  <si>
    <t>Access to Opportunities via transit - Any employment centers</t>
  </si>
  <si>
    <t>M-5-d*</t>
  </si>
  <si>
    <t>Higher education access</t>
  </si>
  <si>
    <t>M-6*</t>
  </si>
  <si>
    <t>Fiscal and Social Responsibility</t>
  </si>
  <si>
    <t xml:space="preserve">Benefit Cost Ratio </t>
  </si>
  <si>
    <t>Bold text indicate priority measure for use with summer modeling</t>
  </si>
  <si>
    <t>*Measure also included in social equity performance measures</t>
  </si>
  <si>
    <t>2005 Baseline</t>
  </si>
  <si>
    <t>lbs / ton</t>
  </si>
  <si>
    <t>2005 SB375 CO2</t>
  </si>
  <si>
    <t>lbs / MT</t>
  </si>
  <si>
    <t>2015 RP</t>
  </si>
  <si>
    <t>2019 RTP Update</t>
  </si>
  <si>
    <t>2021 RP</t>
  </si>
  <si>
    <t>AOC ($2010)</t>
  </si>
  <si>
    <t>EMFAC 2014</t>
  </si>
  <si>
    <t>2035RC</t>
  </si>
  <si>
    <t>2035rc</t>
  </si>
  <si>
    <t>2025 Vision</t>
  </si>
  <si>
    <t>2025nb</t>
  </si>
  <si>
    <t>2035 No Build</t>
  </si>
  <si>
    <t>2050 No Build</t>
  </si>
  <si>
    <t>2020*</t>
  </si>
  <si>
    <t>2035 Vision</t>
  </si>
  <si>
    <t>2050 Vision</t>
  </si>
  <si>
    <t>Database Scenario ID</t>
  </si>
  <si>
    <t>Population</t>
  </si>
  <si>
    <t>SB 375 VMT</t>
  </si>
  <si>
    <t>SB 375 VMT / Person</t>
  </si>
  <si>
    <t>External to External VMT</t>
  </si>
  <si>
    <t>External to External VMT Reduction</t>
  </si>
  <si>
    <t>SB 375 CO2 Emissions (tons)</t>
  </si>
  <si>
    <t>SB 375 CO2 Emissions without E-E VMT (tons)</t>
  </si>
  <si>
    <t>SB 375 CO2 Emissions / Person (lbs)</t>
  </si>
  <si>
    <t>Per Capita Reduction for 2005</t>
  </si>
  <si>
    <t>Induced Demand VMT Added</t>
  </si>
  <si>
    <t>Off-Model Calculators VMT Reduction</t>
  </si>
  <si>
    <t>Vanpool</t>
  </si>
  <si>
    <t>Carshare</t>
  </si>
  <si>
    <t>N/A</t>
  </si>
  <si>
    <t xml:space="preserve">Carpool </t>
  </si>
  <si>
    <t>TDM Ordiance</t>
  </si>
  <si>
    <t>Total VMT Reduction</t>
  </si>
  <si>
    <t>SB 375 VMT / Person Reduction</t>
  </si>
  <si>
    <t>Off-Model Calculators CO2 Reduction  (Tons)</t>
  </si>
  <si>
    <t>EV Programs</t>
  </si>
  <si>
    <t>SB 375 CO2 Emissions Total Reduction (Tons)</t>
  </si>
  <si>
    <t>SB 375 CO2 Emissions Reduction/ Person (lbs)</t>
  </si>
  <si>
    <t>Off-Model CO2 Reduction per capita</t>
  </si>
  <si>
    <t>Per Capita Reduction from 2005 with Off-Model Calc</t>
  </si>
  <si>
    <t>ARB Adjustment for EMFAC 2007 - 2014</t>
  </si>
  <si>
    <t>Induced Demand CO2 (Tons) Reduction</t>
  </si>
  <si>
    <t>Induced Demand CO2 Per Capita Reduction</t>
  </si>
  <si>
    <t>Per Capita Reduction from 2005</t>
  </si>
  <si>
    <t>Targets</t>
  </si>
  <si>
    <t>SB375 CO2 Summary (includes ARB adj. factor, induced demand and OMC, excludes E-E VMT)</t>
  </si>
  <si>
    <t>SB375 CO2 (tons)</t>
  </si>
  <si>
    <t>SB375 CO2 per capita (lbs)</t>
  </si>
  <si>
    <t>SB375 CO2 Reduction (include ARB adjustment factor, induced demand, OMC)</t>
  </si>
  <si>
    <t>Region wide total (tons)</t>
  </si>
  <si>
    <t>per capita (lbs)</t>
  </si>
  <si>
    <t>*Note: values for 2020 are not used in the 2021 RP/SCS due to COVID</t>
  </si>
  <si>
    <r>
      <t xml:space="preserve">Corridor Travel Time in Mins
</t>
    </r>
    <r>
      <rPr>
        <b/>
        <sz val="11"/>
        <color theme="1"/>
        <rFont val="Calibri"/>
        <family val="2"/>
        <scheme val="minor"/>
      </rPr>
      <t>(Medium Value of  Time Vehicle Skims)</t>
    </r>
  </si>
  <si>
    <t>Diff Build-No Build  (minutes)</t>
  </si>
  <si>
    <t>% Diff</t>
  </si>
  <si>
    <t>Logic Checks</t>
  </si>
  <si>
    <t>2025 Build faster than No Build?</t>
  </si>
  <si>
    <t>2035 Build faster than No Build?</t>
  </si>
  <si>
    <t>2050 Build faster than No Build?</t>
  </si>
  <si>
    <t>Decrease in build times across years?</t>
  </si>
  <si>
    <t>2050 Faster than 2016?</t>
  </si>
  <si>
    <t>Transit Routes Used</t>
  </si>
  <si>
    <t>Oceanside - Downtown San Diego (AM)</t>
  </si>
  <si>
    <t xml:space="preserve">  Transit</t>
  </si>
  <si>
    <t>Coaster (gets faster in future years because of tunnels and higher speed trains)</t>
  </si>
  <si>
    <t xml:space="preserve">  Auto (SOV)</t>
  </si>
  <si>
    <t xml:space="preserve">  Carpool (HOV 3)</t>
  </si>
  <si>
    <t>Escondido - Downtown San Diego (AM)</t>
  </si>
  <si>
    <t>Route 280 (288 in the model)</t>
  </si>
  <si>
    <t>El Cajon - Kearny Mesa (AM)</t>
  </si>
  <si>
    <t>Mid City - UTC (AM)</t>
  </si>
  <si>
    <t>Western Chula Vista - Mission Valley  (AM)</t>
  </si>
  <si>
    <t>Carlsbad - Sorrento Mesa (AM)</t>
  </si>
  <si>
    <t>Escondido - Oceanside (AM)</t>
  </si>
  <si>
    <t>San Ysidro - Downtown San Diego  (AM)</t>
  </si>
  <si>
    <t>Otay Ranch - UTC (AM)</t>
  </si>
  <si>
    <t>Pala/Pauma - Oceanside Transit Center  (AM)</t>
  </si>
  <si>
    <t>SR 67 (Ramona) - Downtown San Diego  (AM)</t>
  </si>
  <si>
    <t xml:space="preserve">Transit </t>
  </si>
  <si>
    <t>Palomar Airport - Central Escondido (AM)</t>
  </si>
  <si>
    <t>Mira Costa College - Central Escondido (AM)</t>
  </si>
  <si>
    <t>Central Escondido - Palomar Airport (AM)</t>
  </si>
  <si>
    <t>Central Escondido - Mira Costa College (AM)</t>
  </si>
  <si>
    <r>
      <t xml:space="preserve">Social Equity Performance Measures
</t>
    </r>
    <r>
      <rPr>
        <b/>
        <sz val="12"/>
        <color theme="0"/>
        <rFont val="Calibri"/>
        <family val="2"/>
        <scheme val="minor"/>
      </rPr>
      <t>See SE definition on Page 15 from App H  https://sandag.sharepoint.com/:w:/g/regionalvision/EVvzaj_8k7JAsC8lysmCmycBd-BD9Ky_FEGCEtOVXVs7Cg</t>
    </r>
  </si>
  <si>
    <t>Percent Difference</t>
  </si>
  <si>
    <t>Percentage Point Difference between Pop/Non Pop, Build (Plan Network) vs No-Build (NB)</t>
  </si>
  <si>
    <t>2025build vs 2025NB</t>
  </si>
  <si>
    <t>2035build vs 2035NB</t>
  </si>
  <si>
    <t>2050build vs 2050NB</t>
  </si>
  <si>
    <t>SE-M-1-a</t>
  </si>
  <si>
    <t xml:space="preserve">% of population w/in 15 min of retail </t>
  </si>
  <si>
    <t xml:space="preserve">Low-Income - Regional </t>
  </si>
  <si>
    <t>15 min</t>
  </si>
  <si>
    <t>Low-Income vs. Non-Low-Income (Regional)</t>
  </si>
  <si>
    <t>Low-Income - Mohubs</t>
  </si>
  <si>
    <t>Low-Income vs. Non-Low-Income (Mohubs)</t>
  </si>
  <si>
    <t xml:space="preserve">Non-Low-Income - Regional </t>
  </si>
  <si>
    <t>Non-Low-Income - Mohubs</t>
  </si>
  <si>
    <t xml:space="preserve">Minority- Regional </t>
  </si>
  <si>
    <t>Minority vs. Non-Minority (Regional)</t>
  </si>
  <si>
    <t>Minority- Mohubs</t>
  </si>
  <si>
    <t>Minority vs. Non-Minority (Mohubs)</t>
  </si>
  <si>
    <t xml:space="preserve">Non-Minority- Regional </t>
  </si>
  <si>
    <t>Non-Minority- Mohubs</t>
  </si>
  <si>
    <t xml:space="preserve">Seniors - Regional </t>
  </si>
  <si>
    <t>Senior vs Non-Senior (Regional)</t>
  </si>
  <si>
    <t>Seniors - Mohubs</t>
  </si>
  <si>
    <t>Senior vs Non-Senior (Mohubs)</t>
  </si>
  <si>
    <t xml:space="preserve">Non-Seniors - Regional </t>
  </si>
  <si>
    <t>Non-Seniors - Mohubs</t>
  </si>
  <si>
    <t>SE-M-1-b</t>
  </si>
  <si>
    <t xml:space="preserve">% of population w/in 15 min of parks </t>
  </si>
  <si>
    <t>Low-Income vs. Non-Low-Income (Mohub)</t>
  </si>
  <si>
    <t>SE-M-1-c</t>
  </si>
  <si>
    <t xml:space="preserve">% of population w/in 30 min of medical facilities </t>
  </si>
  <si>
    <t>30 min</t>
  </si>
  <si>
    <t xml:space="preserve">% of population w/in 30 min of medical facilities </t>
  </si>
  <si>
    <t>SE-M-5-a</t>
  </si>
  <si>
    <t>Access to Opportunities via transit Tier 1 employment centers</t>
  </si>
  <si>
    <t>45 min</t>
  </si>
  <si>
    <t>SE-M-5-b</t>
  </si>
  <si>
    <t>Access to Opportunities via transit Tier 2 employment centers</t>
  </si>
  <si>
    <t>SE-M-5-c</t>
  </si>
  <si>
    <t>SE-M-5-d</t>
  </si>
  <si>
    <t>Access to Opportunities via transit Higher education access</t>
  </si>
  <si>
    <t>SE-M-6</t>
  </si>
  <si>
    <t>Total Benefits</t>
  </si>
  <si>
    <t>Benefits to Disadvantaged Population</t>
  </si>
  <si>
    <t>Low-Income</t>
  </si>
  <si>
    <t>Minority</t>
  </si>
  <si>
    <t>Senior</t>
  </si>
  <si>
    <t>Benefits to non-Disadvantaged Population</t>
  </si>
  <si>
    <t>non-Low-Income</t>
  </si>
  <si>
    <t>non-Minority</t>
  </si>
  <si>
    <t>non-Senior</t>
  </si>
  <si>
    <t>SE-SM-2</t>
  </si>
  <si>
    <t>Number/percent of people within 0.5 miles of a commuter rail, light rail, or next gen Rapid (Tier 1/Tier 2/Tier 3) transit stop</t>
  </si>
  <si>
    <t>Number</t>
  </si>
  <si>
    <t>Commuter Rail (Tier 1)</t>
  </si>
  <si>
    <t>Light Rail (Tier 2)</t>
  </si>
  <si>
    <t>Next Gen Rapid (Tier 3)</t>
  </si>
  <si>
    <t>access to any of the tiers (1-3)</t>
  </si>
  <si>
    <t>Percent</t>
  </si>
  <si>
    <t>Low-Income vs. Non-Low-Income (percent)</t>
  </si>
  <si>
    <t>Non-Low-Income</t>
  </si>
  <si>
    <t>Minority vs. Non-Minority (percent)</t>
  </si>
  <si>
    <t>Non-Minority</t>
  </si>
  <si>
    <t>Senior vs Non-Senior (percent)</t>
  </si>
  <si>
    <t>Non-Senior</t>
  </si>
  <si>
    <t>SE-SM-4</t>
  </si>
  <si>
    <t>Number/percent of people within 0.25 miles of a bike facility (class I and II, cycletrack or bike boulevard)</t>
  </si>
  <si>
    <t>Low-income</t>
  </si>
  <si>
    <t>Non-Low-income</t>
  </si>
  <si>
    <t>Low-Income vs. Non-Low-Income</t>
  </si>
  <si>
    <t xml:space="preserve">Minority vs. Non-Minority </t>
  </si>
  <si>
    <t>Senior vs Non-Senior</t>
  </si>
  <si>
    <t>SE-SM-8</t>
  </si>
  <si>
    <t>Average Particulate Matter (PM 2.5)  Exposure per Capita (lb)</t>
  </si>
  <si>
    <t>SE-SM-10</t>
  </si>
  <si>
    <t>Percent of Income Consumed by Out-of-Pocket Transportation Costs</t>
  </si>
  <si>
    <t>Change in Percent of Income Consumed by Out-of-Pocket Transportation Costs</t>
  </si>
  <si>
    <t>Supporting Measures</t>
  </si>
  <si>
    <t>SM-1</t>
  </si>
  <si>
    <t xml:space="preserve">Mode share </t>
  </si>
  <si>
    <t>Work Trips (peak period)</t>
  </si>
  <si>
    <t>Bike &amp; walk</t>
  </si>
  <si>
    <t>Carpool</t>
  </si>
  <si>
    <t>Drive alone</t>
  </si>
  <si>
    <t>Other (TNC, MicroMobility, Taxi, School bus)</t>
  </si>
  <si>
    <t xml:space="preserve"> Transit</t>
  </si>
  <si>
    <t>Work Trips (all day)</t>
  </si>
  <si>
    <t>All Trips</t>
  </si>
  <si>
    <t>SM-2*</t>
  </si>
  <si>
    <t>SM-3</t>
  </si>
  <si>
    <t>Number/percent of jobs within 0.5 miles of a commuter rail, light rail, or next gen Rapid (Tier 1/Tier 2/Tier 3) transit stop</t>
  </si>
  <si>
    <t>SM-4*</t>
  </si>
  <si>
    <t>SM-5</t>
  </si>
  <si>
    <t xml:space="preserve">Daily transit boardings </t>
  </si>
  <si>
    <t>Region</t>
  </si>
  <si>
    <t xml:space="preserve">Commuter Rail (Tier 1) </t>
  </si>
  <si>
    <t>Local Bus and Express Bus</t>
  </si>
  <si>
    <t>All transit boardings</t>
  </si>
  <si>
    <t>SM-6</t>
  </si>
  <si>
    <t xml:space="preserve">Physical activity </t>
  </si>
  <si>
    <t>Total time engaged in transportation related physical activity per capita</t>
  </si>
  <si>
    <t xml:space="preserve">Percent of the population engaged in 20 min or more of transportation related physical activity </t>
  </si>
  <si>
    <t>SM-7</t>
  </si>
  <si>
    <t xml:space="preserve">Average truck/commercial vehicle travel times to and around regional gateways and distribution hubs (minutes) </t>
  </si>
  <si>
    <t>SM-8*</t>
  </si>
  <si>
    <t>Average Particulate Matter (PM2.5 )</t>
  </si>
  <si>
    <t>Exposure per person</t>
  </si>
  <si>
    <t>SM-9-a</t>
  </si>
  <si>
    <t xml:space="preserve">Truck travel time index </t>
  </si>
  <si>
    <t>Highway (SHS)</t>
  </si>
  <si>
    <t xml:space="preserve">Arterial </t>
  </si>
  <si>
    <t>Highway (SHS) + Arterial</t>
  </si>
  <si>
    <t>SM-9-b</t>
  </si>
  <si>
    <t>Heavy Duty Truck delay by facility type (average daily)</t>
  </si>
  <si>
    <t xml:space="preserve">All day - Heavy Heavy Duty </t>
  </si>
  <si>
    <t>AM and PM peak - Heavy Heavy Duty</t>
  </si>
  <si>
    <t xml:space="preserve">All day - Medium Heavy Duty </t>
  </si>
  <si>
    <t>AM and PM peak - Medium Heavy Duty</t>
  </si>
  <si>
    <t>All day - Light Heavy Duty</t>
  </si>
  <si>
    <t>AM and PM peak - Light Heavy Duty</t>
  </si>
  <si>
    <t>All day - All Heavy Duty (HHD + MHD + LHD)</t>
  </si>
  <si>
    <t>AM and PM peak - All Heavy Duty
(HHD + MHD + LHD)</t>
  </si>
  <si>
    <t>SM-10*</t>
  </si>
  <si>
    <t>Transportation system use costs</t>
  </si>
  <si>
    <t>Regional Data Points</t>
  </si>
  <si>
    <t>Total GHG (EMFAC 2017)</t>
  </si>
  <si>
    <t>Peak Period Person Throughput</t>
  </si>
  <si>
    <t>2016 Baseline</t>
  </si>
  <si>
    <t>%</t>
  </si>
  <si>
    <t>2025 No Build</t>
  </si>
  <si>
    <t>2025 Build</t>
  </si>
  <si>
    <t>2035 Build</t>
  </si>
  <si>
    <t>2050 Build</t>
  </si>
  <si>
    <t>screenline_id</t>
  </si>
  <si>
    <t>Screenline Description</t>
  </si>
  <si>
    <t>I-5 Palomar Airport</t>
  </si>
  <si>
    <t>Drive Alone</t>
  </si>
  <si>
    <t>Carpool 2</t>
  </si>
  <si>
    <t>Carpool 3+</t>
  </si>
  <si>
    <t>Truck</t>
  </si>
  <si>
    <t>TOTAL</t>
  </si>
  <si>
    <t>SR-78 Vista</t>
  </si>
  <si>
    <t>I-15 Rancho Bernardo</t>
  </si>
  <si>
    <t>I-5 North of I-805 merge</t>
  </si>
  <si>
    <t>I-15 Mira Mesa</t>
  </si>
  <si>
    <t>I-5 Mission Bay</t>
  </si>
  <si>
    <t>I-8/SR-94 west of SDSU</t>
  </si>
  <si>
    <t>I-805 Chula Vista</t>
  </si>
  <si>
    <t>I-5 National City</t>
  </si>
  <si>
    <t>I-5/I-805 South Bay</t>
  </si>
  <si>
    <t>SR-52 Kearny Mesa</t>
  </si>
  <si>
    <t>I-5 North of SR-78</t>
  </si>
  <si>
    <t>SR-78 East of College Blvd</t>
  </si>
  <si>
    <t>MPO Data Submittal to CARB</t>
  </si>
  <si>
    <t>Modeling Parameters</t>
  </si>
  <si>
    <t>Data Source</t>
  </si>
  <si>
    <t>Socioeconomic and Demographic Data</t>
  </si>
  <si>
    <t>Total Population</t>
  </si>
  <si>
    <t>Travel Demand Model input</t>
  </si>
  <si>
    <t>From mgra based input file</t>
  </si>
  <si>
    <t>Modeled Population1</t>
  </si>
  <si>
    <t>From persons file</t>
  </si>
  <si>
    <t>Vehicle Operating Costs ($2010/mile)</t>
  </si>
  <si>
    <t>Average Toll Price ($/mile)</t>
  </si>
  <si>
    <t>Average Median Household Income ($/year)</t>
  </si>
  <si>
    <t>Total Number of Households</t>
  </si>
  <si>
    <t>Total Number of Jobs</t>
  </si>
  <si>
    <t>From mgra based input file for employment</t>
  </si>
  <si>
    <t>Land Use Data</t>
  </si>
  <si>
    <t>Total Developed Acres</t>
  </si>
  <si>
    <t>Travel Demand Model input/GIS</t>
  </si>
  <si>
    <t>Total Housing Units</t>
  </si>
  <si>
    <t>Total Single-Family Housing Units (du)</t>
  </si>
  <si>
    <t>Share of Single-Family Housing Units (%)</t>
  </si>
  <si>
    <t>Calculated: (Total single-family units/total housing units)</t>
  </si>
  <si>
    <t>Total Multi-Family Housing Units (du)</t>
  </si>
  <si>
    <t>Travel Demand</t>
  </si>
  <si>
    <t>Share of Multi-Family Housing Units (%)</t>
  </si>
  <si>
    <t>Calculated: (Total multi-family units/total housing units</t>
  </si>
  <si>
    <t>Net  Residential Density (dwelling units/acre)</t>
  </si>
  <si>
    <t>Regional Total</t>
  </si>
  <si>
    <t>Place Type 1</t>
  </si>
  <si>
    <t>Place Type 2</t>
  </si>
  <si>
    <t>Place Type 3</t>
  </si>
  <si>
    <t>Place Type 4</t>
  </si>
  <si>
    <t>Total Housing Units Within
½ Mile of a High-Quality Transit Station</t>
  </si>
  <si>
    <t>Total Jobs Within ½ Mile of a High-Quality Transit Station</t>
  </si>
  <si>
    <t>Transportation Network Data</t>
  </si>
  <si>
    <t>Freeway and General Purpose Lanes - Mixed Flow, auxiliary, etc.  (lane miles)</t>
  </si>
  <si>
    <t>Freeway Tolled Lanes (lane miles)</t>
  </si>
  <si>
    <t>Freeway HOV Lanes (lane miles)</t>
  </si>
  <si>
    <t>Arterial/Expressway (lane miles)</t>
  </si>
  <si>
    <t>Collector (lane miles)</t>
  </si>
  <si>
    <t>Average Transit Headway (Peak/Off Peak) (minutes)</t>
  </si>
  <si>
    <t>See details from 'SB375 Data Table AvgHeadways' tab</t>
  </si>
  <si>
    <t>Total Transit Operation Miles</t>
  </si>
  <si>
    <t>Transit Total Daily Vehicle Service Hours</t>
  </si>
  <si>
    <t>Bike and Pedestrian Lane (class I, II, &amp; IV) Miles</t>
  </si>
  <si>
    <t>Plan Performance Indicators</t>
  </si>
  <si>
    <t>Household Vehicle Ownership</t>
  </si>
  <si>
    <t>Travel Demand Model output</t>
  </si>
  <si>
    <t>Average Trip Length by Mode (miles)</t>
  </si>
  <si>
    <t>Other modes such as school bus, micromobility, microtransit are not reported out due to small mode share</t>
  </si>
  <si>
    <t>Shared ride (2 persons)</t>
  </si>
  <si>
    <t>Shared ride (3+ persons)</t>
  </si>
  <si>
    <t>Drive-to-transit (PNR, KNR, TNC to transit)</t>
  </si>
  <si>
    <t>Walk-to-transit (Walk, micromobility, microtransit to transit)</t>
  </si>
  <si>
    <t xml:space="preserve">Bike </t>
  </si>
  <si>
    <t>All Modes</t>
  </si>
  <si>
    <t>Average Travel Time by Trip Purpose (minutes)</t>
  </si>
  <si>
    <t>Commute Trip</t>
  </si>
  <si>
    <t>outbound direct home to work trip</t>
  </si>
  <si>
    <t>Non-Commute Trip</t>
  </si>
  <si>
    <t>Average Travel Time by Mode (minutes)</t>
  </si>
  <si>
    <t>Average Travel Time for Low-Income Populations by Mode (minutes)</t>
  </si>
  <si>
    <t>Mode Share (%)</t>
  </si>
  <si>
    <t>Percentage of average daily trips by travel mode, including single occupant vehicle, high-occupancy vehicle or carpool, transit, ride-hailing or TNC, bike and walk. Public transit, bike, and walk are considered as alternative modes</t>
  </si>
  <si>
    <t>Other (TNC, taxi, school bus, micromobility, microtransit)</t>
  </si>
  <si>
    <t>Seat Utilization</t>
  </si>
  <si>
    <t>Transit Ridership (Average daily boardings)</t>
  </si>
  <si>
    <t>Total VMT per weekday (all vehicle class) (miles)</t>
  </si>
  <si>
    <t>Average daily light-duty vehicle VMT from each household within the MPO for all trip purposes (e.g., going to work, school, shopping, and personal business) and excludes group quarters and visitors.</t>
  </si>
  <si>
    <t>Total VMT per weekday for passenger vehicles (CARB vehicle classes LDA, LDT1, LDT2, and MDV)</t>
  </si>
  <si>
    <t>EMFAC model output</t>
  </si>
  <si>
    <t>Total II VMT per weekday for passenger vehicles (miles)</t>
  </si>
  <si>
    <t>Total IX/XI VMT per weekday for passenger vehicles (miles)</t>
  </si>
  <si>
    <t>ABM output  (using IX/XI passenger VMT by model type)</t>
  </si>
  <si>
    <t>Total XX VMT per weekday for passenger vehicles (miles)</t>
  </si>
  <si>
    <t>ABM output  (using XX passenger VMT by model type)</t>
  </si>
  <si>
    <t>SB 375 VMT per capita</t>
  </si>
  <si>
    <t>Calculated: (II + IX/XI passenger VMT) /
population</t>
  </si>
  <si>
    <t>GHG Emissions Data</t>
  </si>
  <si>
    <t>Total CO2  emissions per weekday (all vehicle class) (tons/day)</t>
  </si>
  <si>
    <t>EMFAC 2014 model output</t>
  </si>
  <si>
    <t>Total SB375 CO2 emissions per weekday for passenger vehicles (CARB vehicle classes LDA, LDT1, LDT2, and MDV) (tons/day)</t>
  </si>
  <si>
    <t>Total II CO2  emissions per weekday for passenger vehicles (tons/day)</t>
  </si>
  <si>
    <t>Total IX/XI CO2  emissions per weekday for passenger vehicles (tons/day)</t>
  </si>
  <si>
    <t>Total XX CO2  emissions per weekday for passenger vehicles (tons/day)</t>
  </si>
  <si>
    <t>SB 375 CO2  per capita (lbs./day)</t>
  </si>
  <si>
    <t>Calculated: (II + IX/XI CO2) / population / 2000
lbs./ton</t>
  </si>
  <si>
    <t>EMFAC Adjustment Factor (if applicable)</t>
  </si>
  <si>
    <t>n/a</t>
  </si>
  <si>
    <t>CARB Methodology for Estimating CO2
Adjustment</t>
  </si>
  <si>
    <t>Off-Model CO2  Emissions Reductions (%)</t>
  </si>
  <si>
    <t>MPO estimated</t>
  </si>
  <si>
    <t>Pooled Ride</t>
  </si>
  <si>
    <t>TDM Ordinance</t>
  </si>
  <si>
    <t xml:space="preserve">Electric Vehicle Programs </t>
  </si>
  <si>
    <t>Total Off-Model CO2  Emissions Reductions (%)</t>
  </si>
  <si>
    <t>Off Model Calc</t>
  </si>
  <si>
    <t>2035build</t>
  </si>
  <si>
    <t>2050build</t>
  </si>
  <si>
    <t>Scenario_ID</t>
  </si>
  <si>
    <t>SB375 CO2 Emission Reduction (Tons)</t>
  </si>
  <si>
    <t xml:space="preserve">EV Programs </t>
  </si>
  <si>
    <t>Total</t>
  </si>
  <si>
    <t>SB 375 CO2 Emission Reduction/Person (lbs)</t>
  </si>
  <si>
    <t>*Note: values for 2020 are not used in the 2021 RP/SCS due to COVID 19</t>
  </si>
  <si>
    <t>2035NB</t>
  </si>
  <si>
    <t>2050NB</t>
  </si>
  <si>
    <t>Transit Tier</t>
  </si>
  <si>
    <t>Peak</t>
  </si>
  <si>
    <t>Off Peak</t>
  </si>
  <si>
    <t>Tier 1</t>
  </si>
  <si>
    <t>Tier 2</t>
  </si>
  <si>
    <t>Tier 3</t>
  </si>
  <si>
    <t>Tier 4</t>
  </si>
  <si>
    <t>Air Quality Conformity (EMFAC 2017)</t>
  </si>
  <si>
    <t>Summer ROG# (Tons/Day)</t>
  </si>
  <si>
    <t>Summer NOx# (Tons/Day)</t>
  </si>
  <si>
    <t>Year</t>
  </si>
  <si>
    <t>Scenario_id</t>
  </si>
  <si>
    <t>Average Weekday Vehicle Starts</t>
  </si>
  <si>
    <t>Average Weekday Vehicle Miles</t>
  </si>
  <si>
    <t>Budget</t>
  </si>
  <si>
    <t>Emissions</t>
  </si>
  <si>
    <t>Emissions SAFE Rule Adjusted</t>
  </si>
  <si>
    <t>2026*</t>
  </si>
  <si>
    <t>2029*</t>
  </si>
  <si>
    <t>2032*</t>
  </si>
  <si>
    <t>* Conformity analysis years in pending SIP update scheduled for approval in late 2020.  Analysis years included to ensure plan meets anticipated budget amounts. SIP updates will first address 2015 Ozone standard then 2008 Ozone standard.</t>
  </si>
  <si>
    <t># Summer season</t>
  </si>
  <si>
    <t>Percent of Household Income consumed by out of Pocket Transportation Cost</t>
  </si>
  <si>
    <t>No-Build</t>
  </si>
  <si>
    <t>Plan Network</t>
  </si>
  <si>
    <t>Low Income</t>
  </si>
  <si>
    <t>fare_drive_low_income</t>
  </si>
  <si>
    <t>fare_mm_mt_low_income</t>
  </si>
  <si>
    <t>parking_low_income</t>
  </si>
  <si>
    <t>aoc_low_income</t>
  </si>
  <si>
    <t>toll_low_income</t>
  </si>
  <si>
    <t>transit_low_income</t>
  </si>
  <si>
    <t>Non-Low Income</t>
  </si>
  <si>
    <t>fare_drive_nlow_income</t>
  </si>
  <si>
    <t>fare_mm_mt_nlow_income</t>
  </si>
  <si>
    <t>parking_nlow_income</t>
  </si>
  <si>
    <t>aoc_nlow_income</t>
  </si>
  <si>
    <t>toll_nlow_income</t>
  </si>
  <si>
    <t>transit_nlow_income</t>
  </si>
  <si>
    <t>fare_drive: cost spent on auto mode fares for taxi and TNC</t>
  </si>
  <si>
    <t>fare_mm_mt: cost spent on fares for micromobility or microtransit</t>
  </si>
  <si>
    <t>parking: cost for parking</t>
  </si>
  <si>
    <t>aoc: cost spent on auto mode operation (gas/maintenance/fees)</t>
  </si>
  <si>
    <t xml:space="preserve">toll: cost spent on auto mode tolls </t>
  </si>
  <si>
    <t>transit: cost for transit fare</t>
  </si>
  <si>
    <t>Main Performance Measures</t>
  </si>
  <si>
    <t>Particulate Matter</t>
  </si>
  <si>
    <t>Average Particulate Matter</t>
  </si>
  <si>
    <t>Particulate Matter 2.5</t>
  </si>
  <si>
    <t>Particulate Matter 10</t>
  </si>
  <si>
    <t>Particulate Matter 2.5 and 10</t>
  </si>
  <si>
    <t>Main Inputs</t>
  </si>
  <si>
    <t>Land use Forecast Data Source ID</t>
  </si>
  <si>
    <t>Total HH (excluding GQs)</t>
  </si>
  <si>
    <t>Total Population (including traveling GQs)</t>
  </si>
  <si>
    <t>Total Low-income Pop</t>
  </si>
  <si>
    <t>Total Minority Pop</t>
  </si>
  <si>
    <t>Total Senior Pop</t>
  </si>
  <si>
    <t>Total CoC Pop</t>
  </si>
  <si>
    <t>Total Non-Low-income Pop</t>
  </si>
  <si>
    <t>Total Non-Minority Pop</t>
  </si>
  <si>
    <t>Total Non-Senior Pop</t>
  </si>
  <si>
    <t>% Low-income Pop</t>
  </si>
  <si>
    <t>% Minority Pop</t>
  </si>
  <si>
    <t>% Senior Pop</t>
  </si>
  <si>
    <t>% CoC Pop</t>
  </si>
  <si>
    <t>Total Employment</t>
  </si>
  <si>
    <t>Total Higher Ed Enrollment</t>
  </si>
  <si>
    <t>Total Simulated Person Trips</t>
  </si>
  <si>
    <t>Total Simulated Vehicle Trips</t>
  </si>
  <si>
    <t>Total Lane Miles</t>
  </si>
  <si>
    <t>Total Capacity Miles</t>
  </si>
  <si>
    <t>Auto Operating Cost ($/mile) $2010</t>
  </si>
  <si>
    <t>Telework / Work from Home</t>
  </si>
  <si>
    <t>Household</t>
  </si>
  <si>
    <t xml:space="preserve">Mobility Hub Total </t>
  </si>
  <si>
    <t>Coastal</t>
  </si>
  <si>
    <t>Gateway</t>
  </si>
  <si>
    <t>Major Employment Center</t>
  </si>
  <si>
    <t>Suburban</t>
  </si>
  <si>
    <t>Urban</t>
  </si>
  <si>
    <t>Outside of Mohub Network</t>
  </si>
  <si>
    <t xml:space="preserve">Regional Total </t>
  </si>
  <si>
    <t>% in Mobility Hubs</t>
  </si>
  <si>
    <t>Housing Units</t>
  </si>
  <si>
    <t>Jobs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</si>
</sst>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9">
    <numFmt numFmtId="44" formatCode="_(&quot;$&quot;* #,##0.00_);_(&quot;$&quot;* \(#,##0.00\);_(&quot;$&quot;* &quot;-&quot;??_);_(@_)"/>
    <numFmt numFmtId="43" formatCode="_(* #,##0.00_);_(* \(#,##0.00\);_(* &quot;-&quot;??_);_(@_)"/>
    <numFmt numFmtId="164" formatCode="_(* #,##0.0_);_(* \(#,##0.0\);_(* &quot;-&quot;??_);_(@_)"/>
    <numFmt numFmtId="165" formatCode="0.0%"/>
    <numFmt numFmtId="166" formatCode="_(* #,##0_);_(* \(#,##0\);_(* &quot;-&quot;??_);_(@_)"/>
    <numFmt numFmtId="167" formatCode="_(* #,##0.000_);_(* \(#,##0.000\);_(* &quot;-&quot;??_);_(@_)"/>
    <numFmt numFmtId="168" formatCode="0.0"/>
    <numFmt numFmtId="169" formatCode="0.000"/>
    <numFmt numFmtId="170" formatCode="_(&quot;$&quot;* #,##0.000_);_(&quot;$&quot;* \(#,##0.000\);_(&quot;$&quot;* &quot;-&quot;??_);_(@_)"/>
  </numFmts>
  <fonts count="61">
    <font>
      <sz val="11"/>
      <color theme="1"/>
      <name val="Calibri"/>
      <family val="2"/>
      <scheme val="minor"/>
    </font>
    <font>
      <b/>
      <sz val="11"/>
      <color theme="1"/>
      <name val="Calibri"/>
      <family val="2"/>
      <scheme val="minor"/>
    </font>
    <font>
      <sz val="12"/>
      <color theme="1"/>
      <name val="Calibri"/>
      <family val="2"/>
      <scheme val="minor"/>
    </font>
    <font>
      <b/>
      <sz val="12"/>
      <color theme="1"/>
      <name val="Calibri"/>
      <family val="2"/>
      <scheme val="minor"/>
    </font>
    <font>
      <b/>
      <u/>
      <sz val="12"/>
      <color theme="1"/>
      <name val="Calibri"/>
      <family val="2"/>
      <scheme val="minor"/>
    </font>
    <font>
      <sz val="11"/>
      <color theme="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theme="1"/>
      <name val="Calibri"/>
      <family val="2"/>
    </font>
    <font>
      <sz val="11"/>
      <color theme="0" tint="-0.34998626667073579"/>
      <name val="Calibri"/>
      <family val="2"/>
    </font>
    <font>
      <b/>
      <sz val="11"/>
      <color theme="0"/>
      <name val="Calibri"/>
      <family val="2"/>
    </font>
    <font>
      <i/>
      <sz val="11"/>
      <color theme="2" tint="-0.249977111117893"/>
      <name val="Calibri"/>
      <family val="2"/>
      <scheme val="minor"/>
    </font>
    <font>
      <sz val="11"/>
      <color rgb="FF000000"/>
      <name val="Calibri"/>
      <family val="2"/>
      <scheme val="minor"/>
    </font>
    <font>
      <sz val="6"/>
      <color rgb="FF444444"/>
      <name val="Calibri"/>
      <family val="2"/>
      <scheme val="minor"/>
    </font>
    <font>
      <b/>
      <sz val="11"/>
      <color theme="1"/>
      <name val="Calibri"/>
      <family val="2"/>
    </font>
    <font>
      <b/>
      <sz val="14"/>
      <color theme="1"/>
      <name val="Calibri"/>
      <family val="2"/>
      <scheme val="minor"/>
    </font>
    <font>
      <sz val="14"/>
      <color theme="1"/>
      <name val="Calibri"/>
      <family val="2"/>
      <scheme val="minor"/>
    </font>
    <font>
      <b/>
      <sz val="18"/>
      <color theme="0"/>
      <name val="Calibri"/>
      <family val="2"/>
      <scheme val="minor"/>
    </font>
    <font>
      <b/>
      <sz val="11"/>
      <color rgb="FF000000"/>
      <name val="Calibri"/>
      <family val="2"/>
      <scheme val="minor"/>
    </font>
    <font>
      <sz val="11"/>
      <name val="Calibri"/>
      <family val="2"/>
      <scheme val="minor"/>
    </font>
    <font>
      <b/>
      <sz val="18"/>
      <color theme="3"/>
      <name val="Calibri Light"/>
      <family val="2"/>
      <scheme val="major"/>
    </font>
    <font>
      <sz val="11"/>
      <color rgb="FF9C6500"/>
      <name val="Calibri"/>
      <family val="2"/>
      <scheme val="minor"/>
    </font>
    <font>
      <sz val="10"/>
      <color indexed="8"/>
      <name val="Arial"/>
      <family val="2"/>
    </font>
    <font>
      <sz val="11"/>
      <color indexed="8"/>
      <name val="Calibri"/>
      <family val="2"/>
    </font>
    <font>
      <sz val="12"/>
      <name val="Calibri"/>
      <family val="2"/>
    </font>
    <font>
      <b/>
      <sz val="16"/>
      <color theme="0"/>
      <name val="Calibri"/>
      <family val="2"/>
      <scheme val="minor"/>
    </font>
    <font>
      <b/>
      <sz val="14"/>
      <color theme="0"/>
      <name val="Calibri"/>
      <family val="2"/>
      <scheme val="minor"/>
    </font>
    <font>
      <b/>
      <sz val="14"/>
      <name val="Calibri"/>
      <family val="2"/>
      <scheme val="minor"/>
    </font>
    <font>
      <b/>
      <sz val="12"/>
      <name val="Calibri"/>
      <family val="2"/>
      <scheme val="minor"/>
    </font>
    <font>
      <b/>
      <sz val="11"/>
      <name val="Calibri"/>
      <family val="2"/>
      <scheme val="minor"/>
    </font>
    <font>
      <b/>
      <sz val="13"/>
      <name val="Arial"/>
      <family val="2"/>
    </font>
    <font>
      <b/>
      <sz val="10"/>
      <name val="Arial"/>
      <family val="2"/>
    </font>
    <font>
      <b/>
      <sz val="10"/>
      <color rgb="FF000000"/>
      <name val="Arial"/>
      <family val="2"/>
    </font>
    <font>
      <sz val="10"/>
      <name val="Arial"/>
      <family val="2"/>
    </font>
    <font>
      <sz val="11"/>
      <color rgb="FF00B0F0"/>
      <name val="Calibri"/>
      <family val="2"/>
      <scheme val="minor"/>
    </font>
    <font>
      <b/>
      <sz val="11"/>
      <color rgb="FF00B0F0"/>
      <name val="Calibri"/>
      <family val="2"/>
      <scheme val="minor"/>
    </font>
    <font>
      <sz val="11"/>
      <color theme="1"/>
      <name val="Segoe UI"/>
      <family val="2"/>
    </font>
    <font>
      <sz val="12"/>
      <name val="Calibri"/>
      <family val="2"/>
      <scheme val="minor"/>
    </font>
    <font>
      <sz val="11"/>
      <name val="Calibri"/>
      <family val="2"/>
    </font>
    <font>
      <sz val="10"/>
      <color theme="1"/>
      <name val="Calibri"/>
      <family val="2"/>
      <scheme val="minor"/>
    </font>
    <font>
      <i/>
      <sz val="11"/>
      <color theme="2" tint="-0.499984740745262"/>
      <name val="Calibri"/>
      <family val="2"/>
      <scheme val="minor"/>
    </font>
    <font>
      <sz val="11"/>
      <color theme="1" tint="0.499984740745262"/>
      <name val="Calibri"/>
      <family val="2"/>
      <scheme val="minor"/>
    </font>
    <font>
      <sz val="11"/>
      <color theme="1" tint="0.499984740745262"/>
      <name val="Calibri"/>
      <family val="2"/>
    </font>
    <font>
      <b/>
      <sz val="11"/>
      <color theme="1" tint="0.499984740745262"/>
      <name val="Calibri"/>
      <family val="2"/>
    </font>
    <font>
      <b/>
      <sz val="11"/>
      <color theme="1" tint="0.499984740745262"/>
      <name val="Calibri"/>
      <family val="2"/>
      <scheme val="minor"/>
    </font>
    <font>
      <i/>
      <sz val="11"/>
      <color theme="1" tint="0.499984740745262"/>
      <name val="Calibri"/>
      <family val="2"/>
      <scheme val="minor"/>
    </font>
    <font>
      <b/>
      <sz val="10"/>
      <name val="Frutiger 55 Roman"/>
    </font>
    <font>
      <sz val="10"/>
      <color theme="4"/>
      <name val="Frutiger 55 Roman"/>
    </font>
    <font>
      <sz val="11"/>
      <color theme="4"/>
      <name val="Calibri"/>
      <family val="2"/>
      <scheme val="minor"/>
    </font>
    <font>
      <sz val="10"/>
      <name val="Frutiger 55 Roman"/>
    </font>
    <font>
      <sz val="11"/>
      <color rgb="FF0070C0"/>
      <name val="Calibri"/>
      <family val="2"/>
      <scheme val="minor"/>
    </font>
    <font>
      <b/>
      <sz val="12"/>
      <color theme="0"/>
      <name val="Calibri"/>
      <family val="2"/>
      <scheme val="minor"/>
    </font>
    <font>
      <sz val="11"/>
      <color rgb="FF006100"/>
      <name val="Calibri"/>
      <family val="2"/>
      <scheme val="minor"/>
    </font>
    <font>
      <sz val="11"/>
      <color rgb="FF9C0006"/>
      <name val="Calibri"/>
      <family val="2"/>
      <scheme val="minor"/>
    </font>
    <font>
      <sz val="11"/>
      <color rgb="FF000000"/>
      <name val="Calibri"/>
      <family val="2"/>
    </font>
  </fonts>
  <fills count="43">
    <fill>
      <patternFill patternType="none"/>
    </fill>
    <fill>
      <patternFill patternType="gray125"/>
    </fill>
    <fill>
      <patternFill patternType="solid">
        <fgColor theme="3" tint="0.39997558519241921"/>
        <bgColor indexed="64"/>
      </patternFill>
    </fill>
    <fill>
      <patternFill patternType="solid">
        <fgColor theme="3" tint="0.59999389629810485"/>
        <bgColor indexed="64"/>
      </patternFill>
    </fill>
    <fill>
      <patternFill patternType="solid">
        <fgColor rgb="FFFFEB9C"/>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9" tint="0.79998168889431442"/>
        <bgColor indexed="64"/>
      </patternFill>
    </fill>
    <fill>
      <patternFill patternType="solid">
        <fgColor theme="9" tint="0.39997558519241921"/>
        <bgColor indexed="64"/>
      </patternFill>
    </fill>
    <fill>
      <patternFill patternType="solid">
        <fgColor theme="7" tint="0.39997558519241921"/>
        <bgColor indexed="64"/>
      </patternFill>
    </fill>
    <fill>
      <patternFill patternType="solid">
        <fgColor theme="5" tint="-0.249977111117893"/>
        <bgColor indexed="64"/>
      </patternFill>
    </fill>
    <fill>
      <patternFill patternType="solid">
        <fgColor theme="9" tint="0.39997558519241921"/>
        <bgColor rgb="FFFFFFFF"/>
      </patternFill>
    </fill>
    <fill>
      <patternFill patternType="solid">
        <fgColor theme="7" tint="0.39997558519241921"/>
        <bgColor rgb="FFFFFFFF"/>
      </patternFill>
    </fill>
    <fill>
      <patternFill patternType="solid">
        <fgColor theme="5" tint="0.59999389629810485"/>
        <bgColor indexed="64"/>
      </patternFill>
    </fill>
    <fill>
      <patternFill patternType="solid">
        <fgColor theme="9" tint="-0.249977111117893"/>
        <bgColor indexed="64"/>
      </patternFill>
    </fill>
    <fill>
      <patternFill patternType="solid">
        <fgColor theme="8" tint="-0.499984740745262"/>
        <bgColor indexed="64"/>
      </patternFill>
    </fill>
    <fill>
      <patternFill patternType="solid">
        <fgColor theme="4" tint="0.39997558519241921"/>
        <bgColor indexed="64"/>
      </patternFill>
    </fill>
    <fill>
      <patternFill patternType="solid">
        <fgColor rgb="FFD9D9D9"/>
      </patternFill>
    </fill>
    <fill>
      <patternFill patternType="solid">
        <fgColor rgb="FFF1F1F1"/>
      </patternFill>
    </fill>
    <fill>
      <patternFill patternType="solid">
        <fgColor rgb="FFC65911"/>
        <bgColor rgb="FF000000"/>
      </patternFill>
    </fill>
    <fill>
      <patternFill patternType="solid">
        <fgColor theme="8" tint="0.79998168889431442"/>
        <bgColor indexed="64"/>
      </patternFill>
    </fill>
    <fill>
      <patternFill patternType="solid">
        <fgColor rgb="FFE7E6E6"/>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5" tint="0.79998168889431442"/>
        <bgColor indexed="64"/>
      </patternFill>
    </fill>
    <fill>
      <patternFill patternType="solid">
        <fgColor theme="5" tint="0.39997558519241921"/>
        <bgColor indexed="64"/>
      </patternFill>
    </fill>
    <fill>
      <patternFill patternType="solid">
        <fgColor theme="7" tint="0.79998168889431442"/>
        <bgColor indexed="64"/>
      </patternFill>
    </fill>
    <fill>
      <patternFill patternType="solid">
        <fgColor theme="3" tint="0.79998168889431442"/>
        <bgColor indexed="64"/>
      </patternFill>
    </fill>
    <fill>
      <patternFill patternType="solid">
        <fgColor rgb="FF71AD47"/>
        <bgColor rgb="FF000000"/>
      </patternFill>
    </fill>
    <fill>
      <patternFill patternType="solid">
        <fgColor rgb="FF73AE48"/>
        <bgColor rgb="FF000000"/>
      </patternFill>
    </fill>
    <fill>
      <patternFill patternType="solid">
        <fgColor rgb="FF70AD47"/>
        <bgColor rgb="FF000000"/>
      </patternFill>
    </fill>
    <fill>
      <patternFill patternType="solid">
        <fgColor rgb="FFC6EFCE"/>
        <bgColor rgb="FF000000"/>
      </patternFill>
    </fill>
    <fill>
      <patternFill patternType="solid">
        <fgColor rgb="FFFFC7CE"/>
        <bgColor rgb="FF000000"/>
      </patternFill>
    </fill>
    <fill>
      <patternFill patternType="solid">
        <fgColor rgb="FFF8696B"/>
        <bgColor rgb="FF000000"/>
      </patternFill>
    </fill>
    <fill>
      <patternFill patternType="solid">
        <fgColor rgb="FFFDBC7B"/>
        <bgColor rgb="FF000000"/>
      </patternFill>
    </fill>
    <fill>
      <patternFill patternType="solid">
        <fgColor rgb="FFFEC77D"/>
        <bgColor rgb="FF000000"/>
      </patternFill>
    </fill>
    <fill>
      <patternFill patternType="solid">
        <fgColor rgb="FFFDC57D"/>
        <bgColor rgb="FF000000"/>
      </patternFill>
    </fill>
    <fill>
      <patternFill patternType="solid">
        <fgColor rgb="FFFED17F"/>
        <bgColor rgb="FF000000"/>
      </patternFill>
    </fill>
  </fills>
  <borders count="100">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right/>
      <top style="thin">
        <color theme="4"/>
      </top>
      <bottom style="double">
        <color theme="4"/>
      </bottom>
      <diagonal/>
    </border>
    <border>
      <left style="thin">
        <color indexed="64"/>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indexed="64"/>
      </top>
      <bottom style="thin">
        <color indexed="64"/>
      </bottom>
      <diagonal/>
    </border>
    <border>
      <left/>
      <right/>
      <top style="thin">
        <color indexed="64"/>
      </top>
      <bottom style="thin">
        <color indexed="64"/>
      </bottom>
      <diagonal/>
    </border>
    <border>
      <left style="thin">
        <color rgb="FF000000"/>
      </left>
      <right style="thin">
        <color rgb="FF000000"/>
      </right>
      <top/>
      <bottom style="thin">
        <color rgb="FF000000"/>
      </bottom>
      <diagonal/>
    </border>
    <border>
      <left/>
      <right/>
      <top style="thin">
        <color rgb="FF000000"/>
      </top>
      <bottom style="thin">
        <color theme="0" tint="-0.24994659260841701"/>
      </bottom>
      <diagonal/>
    </border>
    <border>
      <left/>
      <right/>
      <top/>
      <bottom style="thin">
        <color theme="0" tint="-0.24994659260841701"/>
      </bottom>
      <diagonal/>
    </border>
    <border>
      <left/>
      <right/>
      <top style="thin">
        <color theme="0" tint="-0.24994659260841701"/>
      </top>
      <bottom style="thin">
        <color theme="0" tint="-0.24994659260841701"/>
      </bottom>
      <diagonal/>
    </border>
    <border>
      <left/>
      <right/>
      <top style="thin">
        <color theme="0" tint="-0.24994659260841701"/>
      </top>
      <bottom style="medium">
        <color rgb="FF000000"/>
      </bottom>
      <diagonal/>
    </border>
    <border>
      <left/>
      <right/>
      <top style="thin">
        <color theme="0" tint="-0.24994659260841701"/>
      </top>
      <bottom/>
      <diagonal/>
    </border>
    <border>
      <left style="medium">
        <color indexed="64"/>
      </left>
      <right/>
      <top/>
      <bottom/>
      <diagonal/>
    </border>
    <border>
      <left/>
      <right style="medium">
        <color indexed="64"/>
      </right>
      <top/>
      <bottom/>
      <diagonal/>
    </border>
    <border>
      <left style="medium">
        <color indexed="64"/>
      </left>
      <right style="medium">
        <color indexed="64"/>
      </right>
      <top style="medium">
        <color indexed="64"/>
      </top>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medium">
        <color indexed="64"/>
      </right>
      <top style="thin">
        <color indexed="64"/>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right/>
      <top/>
      <bottom style="medium">
        <color rgb="FF000000"/>
      </bottom>
      <diagonal/>
    </border>
    <border>
      <left style="medium">
        <color rgb="FF000000"/>
      </left>
      <right style="thin">
        <color indexed="64"/>
      </right>
      <top style="medium">
        <color rgb="FF000000"/>
      </top>
      <bottom style="thin">
        <color indexed="64"/>
      </bottom>
      <diagonal/>
    </border>
    <border>
      <left style="thin">
        <color indexed="64"/>
      </left>
      <right style="thin">
        <color indexed="64"/>
      </right>
      <top style="medium">
        <color rgb="FF000000"/>
      </top>
      <bottom style="thin">
        <color indexed="64"/>
      </bottom>
      <diagonal/>
    </border>
    <border>
      <left style="thin">
        <color indexed="64"/>
      </left>
      <right style="medium">
        <color rgb="FF000000"/>
      </right>
      <top style="medium">
        <color rgb="FF000000"/>
      </top>
      <bottom style="thin">
        <color indexed="64"/>
      </bottom>
      <diagonal/>
    </border>
    <border>
      <left style="medium">
        <color rgb="FF000000"/>
      </left>
      <right style="thin">
        <color indexed="64"/>
      </right>
      <top style="thin">
        <color indexed="64"/>
      </top>
      <bottom style="thin">
        <color indexed="64"/>
      </bottom>
      <diagonal/>
    </border>
    <border>
      <left style="thin">
        <color indexed="64"/>
      </left>
      <right style="medium">
        <color rgb="FF000000"/>
      </right>
      <top style="thin">
        <color indexed="64"/>
      </top>
      <bottom style="thin">
        <color indexed="64"/>
      </bottom>
      <diagonal/>
    </border>
    <border>
      <left/>
      <right style="medium">
        <color rgb="FF000000"/>
      </right>
      <top/>
      <bottom/>
      <diagonal/>
    </border>
    <border>
      <left style="thin">
        <color indexed="64"/>
      </left>
      <right style="thin">
        <color indexed="64"/>
      </right>
      <top/>
      <bottom/>
      <diagonal/>
    </border>
    <border>
      <left style="medium">
        <color rgb="FF000000"/>
      </left>
      <right style="thin">
        <color indexed="64"/>
      </right>
      <top style="thin">
        <color indexed="64"/>
      </top>
      <bottom style="medium">
        <color rgb="FF000000"/>
      </bottom>
      <diagonal/>
    </border>
    <border>
      <left style="thin">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rgb="FF000000"/>
      </left>
      <right/>
      <top style="thin">
        <color rgb="FF000000"/>
      </top>
      <bottom style="thin">
        <color rgb="FF000000"/>
      </bottom>
      <diagonal/>
    </border>
    <border>
      <left/>
      <right style="medium">
        <color indexed="64"/>
      </right>
      <top style="medium">
        <color indexed="64"/>
      </top>
      <bottom style="thin">
        <color indexed="64"/>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thin">
        <color rgb="FF000000"/>
      </left>
      <right style="thin">
        <color indexed="64"/>
      </right>
      <top/>
      <bottom style="thin">
        <color rgb="FF000000"/>
      </bottom>
      <diagonal/>
    </border>
    <border>
      <left style="medium">
        <color indexed="64"/>
      </left>
      <right style="thin">
        <color indexed="64"/>
      </right>
      <top/>
      <bottom/>
      <diagonal/>
    </border>
    <border>
      <left style="thin">
        <color rgb="FF000000"/>
      </left>
      <right style="thin">
        <color rgb="FF000000"/>
      </right>
      <top style="thin">
        <color rgb="FF000000"/>
      </top>
      <bottom/>
      <diagonal/>
    </border>
    <border>
      <left/>
      <right/>
      <top/>
      <bottom style="thin">
        <color rgb="FF000000"/>
      </bottom>
      <diagonal/>
    </border>
    <border>
      <left/>
      <right style="medium">
        <color indexed="64"/>
      </right>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right style="thin">
        <color indexed="64"/>
      </right>
      <top/>
      <bottom style="thin">
        <color rgb="FF000000"/>
      </bottom>
      <diagonal/>
    </border>
    <border>
      <left/>
      <right/>
      <top style="medium">
        <color indexed="64"/>
      </top>
      <bottom style="medium">
        <color rgb="FF000000"/>
      </bottom>
      <diagonal/>
    </border>
    <border>
      <left/>
      <right style="thin">
        <color rgb="FF000000"/>
      </right>
      <top/>
      <bottom style="thin">
        <color rgb="FF000000"/>
      </bottom>
      <diagonal/>
    </border>
    <border>
      <left/>
      <right style="thin">
        <color indexed="64"/>
      </right>
      <top style="thin">
        <color indexed="64"/>
      </top>
      <bottom style="medium">
        <color indexed="64"/>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hair">
        <color rgb="FF000000"/>
      </right>
      <top style="hair">
        <color rgb="FF000000"/>
      </top>
      <bottom style="medium">
        <color indexed="64"/>
      </bottom>
      <diagonal/>
    </border>
    <border>
      <left/>
      <right style="hair">
        <color rgb="FF000000"/>
      </right>
      <top/>
      <bottom/>
      <diagonal/>
    </border>
    <border>
      <left/>
      <right style="thin">
        <color indexed="64"/>
      </right>
      <top style="thin">
        <color rgb="FF000000"/>
      </top>
      <bottom/>
      <diagonal/>
    </border>
    <border>
      <left/>
      <right style="thin">
        <color indexed="64"/>
      </right>
      <top/>
      <bottom style="thin">
        <color indexed="64"/>
      </bottom>
      <diagonal/>
    </border>
    <border>
      <left style="thin">
        <color rgb="FF000000"/>
      </left>
      <right style="thin">
        <color rgb="FF000000"/>
      </right>
      <top/>
      <bottom/>
      <diagonal/>
    </border>
    <border>
      <left/>
      <right style="thin">
        <color rgb="FF000000"/>
      </right>
      <top style="thin">
        <color rgb="FF000000"/>
      </top>
      <bottom style="thin">
        <color indexed="64"/>
      </bottom>
      <diagonal/>
    </border>
    <border>
      <left/>
      <right style="thin">
        <color rgb="FF000000"/>
      </right>
      <top/>
      <bottom/>
      <diagonal/>
    </border>
    <border>
      <left style="thin">
        <color rgb="FF000000"/>
      </left>
      <right style="thin">
        <color rgb="FF000000"/>
      </right>
      <top style="thin">
        <color rgb="FF000000"/>
      </top>
      <bottom style="thin">
        <color indexed="64"/>
      </bottom>
      <diagonal/>
    </border>
    <border>
      <left/>
      <right style="hair">
        <color rgb="FF000000"/>
      </right>
      <top/>
      <bottom style="medium">
        <color indexed="64"/>
      </bottom>
      <diagonal/>
    </border>
    <border>
      <left/>
      <right style="thin">
        <color rgb="FF000000"/>
      </right>
      <top style="thin">
        <color rgb="FF000000"/>
      </top>
      <bottom/>
      <diagonal/>
    </border>
    <border>
      <left style="thin">
        <color rgb="FF000000"/>
      </left>
      <right style="medium">
        <color indexed="64"/>
      </right>
      <top style="medium">
        <color indexed="64"/>
      </top>
      <bottom style="thin">
        <color indexed="64"/>
      </bottom>
      <diagonal/>
    </border>
    <border>
      <left style="thin">
        <color indexed="64"/>
      </left>
      <right style="thin">
        <color indexed="64"/>
      </right>
      <top style="thin">
        <color rgb="FF000000"/>
      </top>
      <bottom/>
      <diagonal/>
    </border>
    <border>
      <left style="hair">
        <color rgb="FF000000"/>
      </left>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top/>
      <bottom style="medium">
        <color indexed="64"/>
      </bottom>
      <diagonal/>
    </border>
    <border>
      <left/>
      <right style="thin">
        <color indexed="64"/>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medium">
        <color indexed="64"/>
      </top>
      <bottom style="medium">
        <color indexed="64"/>
      </bottom>
      <diagonal/>
    </border>
  </borders>
  <cellStyleXfs count="43">
    <xf numFmtId="0" fontId="0" fillId="0" borderId="0"/>
    <xf numFmtId="43" fontId="5" fillId="0" borderId="0"/>
    <xf numFmtId="9" fontId="5" fillId="0" borderId="0"/>
    <xf numFmtId="0" fontId="5" fillId="0" borderId="0"/>
    <xf numFmtId="43" fontId="5" fillId="0" borderId="0"/>
    <xf numFmtId="0" fontId="5" fillId="0" borderId="0"/>
    <xf numFmtId="0" fontId="5" fillId="0" borderId="0"/>
    <xf numFmtId="0" fontId="5" fillId="7"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6" fillId="0" borderId="18"/>
    <xf numFmtId="0" fontId="7" fillId="0" borderId="19"/>
    <xf numFmtId="0" fontId="8" fillId="0" borderId="20"/>
    <xf numFmtId="0" fontId="8" fillId="0" borderId="0"/>
    <xf numFmtId="0" fontId="27" fillId="4" borderId="0"/>
    <xf numFmtId="0" fontId="9" fillId="0" borderId="21"/>
    <xf numFmtId="0" fontId="11" fillId="0" borderId="0"/>
    <xf numFmtId="0" fontId="12" fillId="0" borderId="0"/>
    <xf numFmtId="0" fontId="1" fillId="0" borderId="22"/>
    <xf numFmtId="0" fontId="13" fillId="5" borderId="0"/>
    <xf numFmtId="0" fontId="13" fillId="6" borderId="0"/>
    <xf numFmtId="0" fontId="13" fillId="7" borderId="0"/>
    <xf numFmtId="0" fontId="13" fillId="8" borderId="0"/>
    <xf numFmtId="0" fontId="13" fillId="9" borderId="0"/>
    <xf numFmtId="0" fontId="13" fillId="10" borderId="0"/>
    <xf numFmtId="0" fontId="28" fillId="0" borderId="0"/>
    <xf numFmtId="0" fontId="28" fillId="0" borderId="0"/>
    <xf numFmtId="0" fontId="5" fillId="0" borderId="0"/>
    <xf numFmtId="0" fontId="28" fillId="0" borderId="0"/>
    <xf numFmtId="0" fontId="28" fillId="0" borderId="0"/>
    <xf numFmtId="0" fontId="28" fillId="0" borderId="0"/>
    <xf numFmtId="0" fontId="29" fillId="0" borderId="0"/>
    <xf numFmtId="44" fontId="29" fillId="0" borderId="0"/>
    <xf numFmtId="0" fontId="30" fillId="0" borderId="0"/>
    <xf numFmtId="0" fontId="30" fillId="0" borderId="0"/>
    <xf numFmtId="0" fontId="29" fillId="0" borderId="0"/>
    <xf numFmtId="44" fontId="5" fillId="0" borderId="0"/>
    <xf numFmtId="43" fontId="5" fillId="0" borderId="0" applyFont="0" applyFill="0" applyBorder="0" applyAlignment="0" applyProtection="0"/>
  </cellStyleXfs>
  <cellXfs count="575">
    <xf numFmtId="0" fontId="0" fillId="0" borderId="0" xfId="0"/>
    <xf numFmtId="0" fontId="2" fillId="3" borderId="12" xfId="0" applyFont="1" applyFill="1" applyBorder="1" applyAlignment="1">
      <alignment horizontal="left"/>
    </xf>
    <xf numFmtId="0" fontId="2" fillId="3" borderId="13" xfId="0" applyFont="1" applyFill="1" applyBorder="1"/>
    <xf numFmtId="0" fontId="2" fillId="3" borderId="14" xfId="0" applyFont="1" applyFill="1" applyBorder="1" applyAlignment="1">
      <alignment wrapText="1"/>
    </xf>
    <xf numFmtId="0" fontId="0" fillId="0" borderId="15" xfId="0" applyBorder="1" applyAlignment="1">
      <alignment horizontal="left"/>
    </xf>
    <xf numFmtId="0" fontId="0" fillId="0" borderId="17" xfId="0" applyBorder="1" applyAlignment="1">
      <alignment horizontal="right"/>
    </xf>
    <xf numFmtId="0" fontId="3" fillId="0" borderId="0" xfId="0" applyFont="1"/>
    <xf numFmtId="0" fontId="0" fillId="0" borderId="0" xfId="0" applyAlignment="1">
      <alignment horizontal="left"/>
    </xf>
    <xf numFmtId="164" fontId="14" fillId="11" borderId="0" xfId="0" applyNumberFormat="1" applyFont="1" applyFill="1"/>
    <xf numFmtId="165" fontId="14" fillId="0" borderId="0" xfId="0" applyNumberFormat="1" applyFont="1"/>
    <xf numFmtId="0" fontId="0" fillId="11" borderId="0" xfId="0" applyFill="1"/>
    <xf numFmtId="0" fontId="10" fillId="12" borderId="16" xfId="0" applyFont="1" applyFill="1" applyBorder="1" applyAlignment="1">
      <alignment horizontal="center"/>
    </xf>
    <xf numFmtId="0" fontId="10" fillId="13" borderId="16" xfId="0" applyFont="1" applyFill="1" applyBorder="1" applyAlignment="1">
      <alignment horizontal="center"/>
    </xf>
    <xf numFmtId="0" fontId="10" fillId="0" borderId="0" xfId="0" applyFont="1"/>
    <xf numFmtId="0" fontId="15" fillId="0" borderId="24" xfId="0" applyFont="1" applyBorder="1" applyAlignment="1">
      <alignment wrapText="1"/>
    </xf>
    <xf numFmtId="0" fontId="10" fillId="12" borderId="25" xfId="0" applyFont="1" applyFill="1" applyBorder="1" applyAlignment="1">
      <alignment horizontal="center"/>
    </xf>
    <xf numFmtId="0" fontId="10" fillId="13" borderId="26" xfId="0" applyFont="1" applyFill="1" applyBorder="1" applyAlignment="1">
      <alignment horizontal="center"/>
    </xf>
    <xf numFmtId="0" fontId="10" fillId="14" borderId="26" xfId="0" applyFont="1" applyFill="1" applyBorder="1" applyAlignment="1">
      <alignment horizontal="center"/>
    </xf>
    <xf numFmtId="0" fontId="16" fillId="15" borderId="27" xfId="0" applyFont="1" applyFill="1" applyBorder="1" applyAlignment="1">
      <alignment horizontal="center"/>
    </xf>
    <xf numFmtId="0" fontId="16" fillId="16" borderId="27" xfId="0" applyFont="1" applyFill="1" applyBorder="1" applyAlignment="1">
      <alignment horizontal="center"/>
    </xf>
    <xf numFmtId="0" fontId="16" fillId="14" borderId="27" xfId="0" applyFont="1" applyFill="1" applyBorder="1" applyAlignment="1">
      <alignment horizontal="center"/>
    </xf>
    <xf numFmtId="0" fontId="17" fillId="0" borderId="16" xfId="3" applyFont="1" applyBorder="1"/>
    <xf numFmtId="0" fontId="17" fillId="0" borderId="16" xfId="3" applyFont="1" applyBorder="1" applyAlignment="1">
      <alignment wrapText="1"/>
    </xf>
    <xf numFmtId="0" fontId="0" fillId="0" borderId="28" xfId="0" applyBorder="1"/>
    <xf numFmtId="166" fontId="14" fillId="0" borderId="0" xfId="1" applyNumberFormat="1" applyFont="1"/>
    <xf numFmtId="3" fontId="18" fillId="0" borderId="0" xfId="0" applyNumberFormat="1" applyFont="1"/>
    <xf numFmtId="0" fontId="0" fillId="0" borderId="29" xfId="0" applyBorder="1"/>
    <xf numFmtId="167" fontId="14" fillId="0" borderId="0" xfId="0" applyNumberFormat="1" applyFont="1"/>
    <xf numFmtId="164" fontId="14" fillId="0" borderId="29" xfId="0" applyNumberFormat="1" applyFont="1" applyBorder="1"/>
    <xf numFmtId="0" fontId="19" fillId="0" borderId="0" xfId="0" applyFont="1"/>
    <xf numFmtId="166" fontId="0" fillId="0" borderId="0" xfId="1" applyNumberFormat="1" applyFont="1"/>
    <xf numFmtId="166" fontId="0" fillId="0" borderId="0" xfId="4" applyNumberFormat="1" applyFont="1"/>
    <xf numFmtId="166" fontId="14" fillId="0" borderId="0" xfId="0" applyNumberFormat="1" applyFont="1"/>
    <xf numFmtId="43" fontId="0" fillId="0" borderId="0" xfId="0" applyNumberFormat="1"/>
    <xf numFmtId="165" fontId="0" fillId="0" borderId="0" xfId="2" applyNumberFormat="1" applyFont="1"/>
    <xf numFmtId="0" fontId="0" fillId="0" borderId="30" xfId="0" applyBorder="1"/>
    <xf numFmtId="43" fontId="0" fillId="0" borderId="30" xfId="1" applyFont="1" applyBorder="1"/>
    <xf numFmtId="2" fontId="0" fillId="0" borderId="30" xfId="0" applyNumberFormat="1" applyBorder="1"/>
    <xf numFmtId="2" fontId="0" fillId="0" borderId="29" xfId="0" applyNumberFormat="1" applyBorder="1"/>
    <xf numFmtId="0" fontId="14" fillId="0" borderId="31" xfId="0" applyFont="1" applyBorder="1"/>
    <xf numFmtId="165" fontId="20" fillId="0" borderId="31" xfId="0" applyNumberFormat="1" applyFont="1" applyBorder="1"/>
    <xf numFmtId="166" fontId="1" fillId="0" borderId="0" xfId="0" applyNumberFormat="1" applyFont="1"/>
    <xf numFmtId="164" fontId="14" fillId="0" borderId="6" xfId="0" applyNumberFormat="1" applyFont="1" applyBorder="1"/>
    <xf numFmtId="43" fontId="14" fillId="0" borderId="6" xfId="0" applyNumberFormat="1" applyFont="1" applyBorder="1"/>
    <xf numFmtId="0" fontId="20" fillId="0" borderId="6" xfId="0" applyFont="1" applyBorder="1" applyAlignment="1">
      <alignment wrapText="1"/>
    </xf>
    <xf numFmtId="168" fontId="0" fillId="0" borderId="6" xfId="0" applyNumberFormat="1" applyBorder="1"/>
    <xf numFmtId="0" fontId="5" fillId="0" borderId="32" xfId="5" applyBorder="1"/>
    <xf numFmtId="165" fontId="20" fillId="0" borderId="0" xfId="0" applyNumberFormat="1" applyFont="1"/>
    <xf numFmtId="0" fontId="14" fillId="17" borderId="0" xfId="5" applyFont="1" applyFill="1"/>
    <xf numFmtId="165" fontId="0" fillId="0" borderId="0" xfId="0" applyNumberFormat="1"/>
    <xf numFmtId="0" fontId="20" fillId="0" borderId="6" xfId="5" applyFont="1" applyBorder="1"/>
    <xf numFmtId="165" fontId="0" fillId="0" borderId="6" xfId="0" applyNumberFormat="1" applyBorder="1"/>
    <xf numFmtId="0" fontId="5" fillId="0" borderId="0" xfId="5" applyAlignment="1">
      <alignment horizontal="center"/>
    </xf>
    <xf numFmtId="9" fontId="20" fillId="0" borderId="0" xfId="0" applyNumberFormat="1" applyFont="1"/>
    <xf numFmtId="0" fontId="20" fillId="0" borderId="0" xfId="0" applyFont="1"/>
    <xf numFmtId="0" fontId="22" fillId="0" borderId="0" xfId="0" applyFont="1"/>
    <xf numFmtId="0" fontId="3" fillId="2" borderId="40" xfId="0" applyFont="1" applyFill="1" applyBorder="1" applyAlignment="1">
      <alignment horizontal="center"/>
    </xf>
    <xf numFmtId="0" fontId="2" fillId="2" borderId="41" xfId="0" applyFont="1" applyFill="1" applyBorder="1" applyAlignment="1">
      <alignment horizontal="center"/>
    </xf>
    <xf numFmtId="0" fontId="3" fillId="2" borderId="42" xfId="0" applyFont="1" applyFill="1" applyBorder="1" applyAlignment="1">
      <alignment horizontal="center"/>
    </xf>
    <xf numFmtId="0" fontId="24" fillId="14" borderId="44" xfId="0" applyFont="1" applyFill="1" applyBorder="1" applyAlignment="1">
      <alignment horizontal="center" vertical="center" wrapText="1"/>
    </xf>
    <xf numFmtId="0" fontId="24" fillId="14" borderId="45" xfId="0" applyFont="1" applyFill="1" applyBorder="1" applyAlignment="1">
      <alignment horizontal="left" vertical="center" wrapText="1"/>
    </xf>
    <xf numFmtId="0" fontId="0" fillId="14" borderId="46" xfId="0" applyFill="1" applyBorder="1" applyAlignment="1">
      <alignment horizontal="center"/>
    </xf>
    <xf numFmtId="0" fontId="18" fillId="0" borderId="47" xfId="0" applyFont="1" applyBorder="1" applyAlignment="1">
      <alignment horizontal="center" vertical="center" wrapText="1"/>
    </xf>
    <xf numFmtId="0" fontId="0" fillId="0" borderId="48" xfId="0" applyBorder="1" applyAlignment="1">
      <alignment horizontal="right"/>
    </xf>
    <xf numFmtId="0" fontId="0" fillId="0" borderId="49" xfId="0" applyBorder="1" applyAlignment="1">
      <alignment horizontal="right"/>
    </xf>
    <xf numFmtId="0" fontId="18" fillId="0" borderId="51" xfId="0" applyFont="1" applyBorder="1" applyAlignment="1">
      <alignment horizontal="center" vertical="center" wrapText="1"/>
    </xf>
    <xf numFmtId="0" fontId="18" fillId="14" borderId="15" xfId="0" applyFont="1" applyFill="1" applyBorder="1" applyAlignment="1">
      <alignment horizontal="center" vertical="center" wrapText="1"/>
    </xf>
    <xf numFmtId="0" fontId="18" fillId="14" borderId="16" xfId="0" applyFont="1" applyFill="1" applyBorder="1" applyAlignment="1">
      <alignment horizontal="left" vertical="center"/>
    </xf>
    <xf numFmtId="0" fontId="0" fillId="14" borderId="17" xfId="0" applyFill="1" applyBorder="1"/>
    <xf numFmtId="0" fontId="18" fillId="0" borderId="15" xfId="0" applyFont="1" applyBorder="1" applyAlignment="1">
      <alignment horizontal="center" vertical="center" wrapText="1"/>
    </xf>
    <xf numFmtId="0" fontId="18" fillId="14" borderId="15" xfId="0" applyFont="1" applyFill="1" applyBorder="1" applyAlignment="1">
      <alignment horizontal="center" vertical="center"/>
    </xf>
    <xf numFmtId="0" fontId="18" fillId="0" borderId="16" xfId="0" applyFont="1" applyBorder="1" applyAlignment="1">
      <alignment horizontal="left" vertical="center" wrapText="1"/>
    </xf>
    <xf numFmtId="0" fontId="24" fillId="14" borderId="15" xfId="0" applyFont="1" applyFill="1" applyBorder="1" applyAlignment="1">
      <alignment horizontal="center" vertical="center" wrapText="1"/>
    </xf>
    <xf numFmtId="0" fontId="24" fillId="14" borderId="16" xfId="0" applyFont="1" applyFill="1" applyBorder="1" applyAlignment="1">
      <alignment horizontal="left" vertical="center" wrapText="1"/>
    </xf>
    <xf numFmtId="0" fontId="0" fillId="0" borderId="17" xfId="0" applyBorder="1"/>
    <xf numFmtId="0" fontId="18" fillId="14" borderId="16" xfId="0" applyFont="1" applyFill="1" applyBorder="1" applyAlignment="1">
      <alignment horizontal="left" vertical="center" wrapText="1"/>
    </xf>
    <xf numFmtId="0" fontId="0" fillId="0" borderId="17" xfId="0" applyBorder="1" applyAlignment="1">
      <alignment wrapText="1"/>
    </xf>
    <xf numFmtId="0" fontId="18" fillId="14" borderId="16" xfId="0" applyFont="1" applyFill="1" applyBorder="1" applyAlignment="1">
      <alignment horizontal="left"/>
    </xf>
    <xf numFmtId="0" fontId="18" fillId="0" borderId="15" xfId="0" applyFont="1" applyBorder="1" applyAlignment="1">
      <alignment horizontal="center" vertical="center"/>
    </xf>
    <xf numFmtId="0" fontId="18" fillId="0" borderId="16" xfId="0" applyFont="1" applyBorder="1" applyAlignment="1">
      <alignment wrapText="1"/>
    </xf>
    <xf numFmtId="0" fontId="24" fillId="14" borderId="15" xfId="0" applyFont="1" applyFill="1" applyBorder="1" applyAlignment="1">
      <alignment horizontal="center" vertical="center"/>
    </xf>
    <xf numFmtId="0" fontId="18" fillId="14" borderId="16" xfId="0" applyFont="1" applyFill="1" applyBorder="1"/>
    <xf numFmtId="0" fontId="18" fillId="0" borderId="16" xfId="0" applyFont="1" applyBorder="1"/>
    <xf numFmtId="0" fontId="23" fillId="14" borderId="0" xfId="0" applyFont="1" applyFill="1" applyAlignment="1">
      <alignment horizontal="center" vertical="center"/>
    </xf>
    <xf numFmtId="0" fontId="21" fillId="14" borderId="36" xfId="0" applyFont="1" applyFill="1" applyBorder="1" applyAlignment="1">
      <alignment horizontal="center"/>
    </xf>
    <xf numFmtId="0" fontId="21" fillId="14" borderId="37" xfId="0" applyFont="1" applyFill="1" applyBorder="1" applyAlignment="1">
      <alignment horizontal="center"/>
    </xf>
    <xf numFmtId="0" fontId="21" fillId="14" borderId="38" xfId="0" applyFont="1" applyFill="1" applyBorder="1" applyAlignment="1">
      <alignment horizontal="center"/>
    </xf>
    <xf numFmtId="0" fontId="21" fillId="14" borderId="39" xfId="0" applyFont="1" applyFill="1" applyBorder="1" applyAlignment="1">
      <alignment horizontal="center"/>
    </xf>
    <xf numFmtId="0" fontId="3" fillId="14" borderId="16" xfId="0" applyFont="1" applyFill="1" applyBorder="1" applyAlignment="1">
      <alignment horizontal="center"/>
    </xf>
    <xf numFmtId="0" fontId="3" fillId="14" borderId="16" xfId="0" applyFont="1" applyFill="1" applyBorder="1" applyAlignment="1">
      <alignment horizontal="center" wrapText="1"/>
    </xf>
    <xf numFmtId="0" fontId="14" fillId="0" borderId="24" xfId="0" applyFont="1" applyBorder="1" applyAlignment="1">
      <alignment wrapText="1"/>
    </xf>
    <xf numFmtId="168" fontId="0" fillId="0" borderId="0" xfId="0" applyNumberFormat="1"/>
    <xf numFmtId="0" fontId="1" fillId="0" borderId="0" xfId="0" applyFont="1"/>
    <xf numFmtId="0" fontId="2" fillId="12" borderId="17" xfId="0" applyFont="1" applyFill="1" applyBorder="1"/>
    <xf numFmtId="0" fontId="3" fillId="12" borderId="15" xfId="0" applyFont="1" applyFill="1" applyBorder="1" applyAlignment="1">
      <alignment horizontal="left"/>
    </xf>
    <xf numFmtId="0" fontId="3" fillId="12" borderId="16" xfId="0" applyFont="1" applyFill="1" applyBorder="1"/>
    <xf numFmtId="0" fontId="3" fillId="12" borderId="17" xfId="0" applyFont="1" applyFill="1" applyBorder="1" applyAlignment="1">
      <alignment horizontal="left"/>
    </xf>
    <xf numFmtId="0" fontId="0" fillId="0" borderId="15" xfId="0" applyBorder="1" applyAlignment="1">
      <alignment horizontal="center"/>
    </xf>
    <xf numFmtId="0" fontId="0" fillId="0" borderId="16" xfId="0" applyBorder="1" applyAlignment="1">
      <alignment horizontal="center"/>
    </xf>
    <xf numFmtId="0" fontId="23" fillId="18" borderId="33" xfId="0" applyFont="1" applyFill="1" applyBorder="1" applyAlignment="1">
      <alignment horizontal="center" vertical="center"/>
    </xf>
    <xf numFmtId="0" fontId="23" fillId="18" borderId="34" xfId="0" applyFont="1" applyFill="1" applyBorder="1" applyAlignment="1">
      <alignment horizontal="center" vertical="center"/>
    </xf>
    <xf numFmtId="0" fontId="32" fillId="18" borderId="8" xfId="0" applyFont="1" applyFill="1" applyBorder="1" applyAlignment="1">
      <alignment horizontal="center"/>
    </xf>
    <xf numFmtId="0" fontId="32" fillId="18" borderId="9" xfId="0" applyFont="1" applyFill="1" applyBorder="1" applyAlignment="1">
      <alignment horizontal="center"/>
    </xf>
    <xf numFmtId="0" fontId="32" fillId="18" borderId="10" xfId="0" applyFont="1" applyFill="1" applyBorder="1" applyAlignment="1">
      <alignment horizontal="center"/>
    </xf>
    <xf numFmtId="0" fontId="32" fillId="18" borderId="11" xfId="0" applyFont="1" applyFill="1" applyBorder="1" applyAlignment="1">
      <alignment horizontal="center"/>
    </xf>
    <xf numFmtId="0" fontId="32" fillId="18" borderId="0" xfId="0" applyFont="1" applyFill="1" applyAlignment="1">
      <alignment horizontal="center" vertical="center" wrapText="1"/>
    </xf>
    <xf numFmtId="0" fontId="32" fillId="18" borderId="0" xfId="0" applyFont="1" applyFill="1" applyAlignment="1">
      <alignment horizontal="center"/>
    </xf>
    <xf numFmtId="0" fontId="4" fillId="12" borderId="17" xfId="0" applyFont="1" applyFill="1" applyBorder="1" applyAlignment="1">
      <alignment horizontal="left"/>
    </xf>
    <xf numFmtId="0" fontId="33" fillId="2" borderId="36" xfId="0" applyFont="1" applyFill="1" applyBorder="1" applyAlignment="1">
      <alignment horizontal="center"/>
    </xf>
    <xf numFmtId="0" fontId="33" fillId="2" borderId="37" xfId="0" applyFont="1" applyFill="1" applyBorder="1" applyAlignment="1">
      <alignment horizontal="center"/>
    </xf>
    <xf numFmtId="0" fontId="33" fillId="2" borderId="38" xfId="0" applyFont="1" applyFill="1" applyBorder="1" applyAlignment="1">
      <alignment horizontal="center"/>
    </xf>
    <xf numFmtId="0" fontId="33" fillId="2" borderId="39" xfId="0" applyFont="1" applyFill="1" applyBorder="1" applyAlignment="1">
      <alignment horizontal="center"/>
    </xf>
    <xf numFmtId="0" fontId="34" fillId="2" borderId="16" xfId="0" applyFont="1" applyFill="1" applyBorder="1" applyAlignment="1">
      <alignment horizontal="center" wrapText="1"/>
    </xf>
    <xf numFmtId="0" fontId="34" fillId="2" borderId="16" xfId="0" applyFont="1" applyFill="1" applyBorder="1" applyAlignment="1">
      <alignment horizontal="center"/>
    </xf>
    <xf numFmtId="0" fontId="34" fillId="0" borderId="0" xfId="0" applyFont="1"/>
    <xf numFmtId="0" fontId="35" fillId="0" borderId="0" xfId="0" applyFont="1"/>
    <xf numFmtId="166" fontId="25" fillId="0" borderId="0" xfId="1" applyNumberFormat="1" applyFont="1"/>
    <xf numFmtId="168" fontId="25" fillId="0" borderId="0" xfId="0" applyNumberFormat="1" applyFont="1"/>
    <xf numFmtId="166" fontId="35" fillId="0" borderId="0" xfId="0" applyNumberFormat="1" applyFont="1"/>
    <xf numFmtId="0" fontId="14" fillId="0" borderId="27" xfId="0" applyFont="1" applyBorder="1" applyAlignment="1">
      <alignment wrapText="1"/>
    </xf>
    <xf numFmtId="0" fontId="0" fillId="0" borderId="16" xfId="0" applyBorder="1"/>
    <xf numFmtId="0" fontId="0" fillId="0" borderId="16" xfId="0" applyBorder="1" applyAlignment="1">
      <alignment horizontal="right"/>
    </xf>
    <xf numFmtId="0" fontId="2" fillId="0" borderId="15" xfId="0" applyFont="1" applyBorder="1" applyAlignment="1">
      <alignment horizontal="left"/>
    </xf>
    <xf numFmtId="0" fontId="2" fillId="0" borderId="16" xfId="0" applyFont="1" applyBorder="1"/>
    <xf numFmtId="0" fontId="2" fillId="0" borderId="17" xfId="0" applyFont="1" applyBorder="1"/>
    <xf numFmtId="0" fontId="2" fillId="0" borderId="8" xfId="0" applyFont="1" applyBorder="1" applyAlignment="1">
      <alignment horizontal="left"/>
    </xf>
    <xf numFmtId="0" fontId="2" fillId="0" borderId="9" xfId="0" applyFont="1" applyBorder="1"/>
    <xf numFmtId="0" fontId="2" fillId="0" borderId="11" xfId="0" applyFont="1" applyBorder="1"/>
    <xf numFmtId="0" fontId="0" fillId="0" borderId="0" xfId="0" applyAlignment="1">
      <alignment horizontal="left" vertical="top"/>
    </xf>
    <xf numFmtId="0" fontId="37" fillId="21" borderId="24" xfId="0" applyFont="1" applyFill="1" applyBorder="1" applyAlignment="1">
      <alignment horizontal="left" vertical="center" wrapText="1"/>
    </xf>
    <xf numFmtId="0" fontId="0" fillId="0" borderId="24" xfId="0" applyBorder="1" applyAlignment="1">
      <alignment horizontal="left" vertical="top" wrapText="1"/>
    </xf>
    <xf numFmtId="0" fontId="0" fillId="0" borderId="24" xfId="0" applyBorder="1" applyAlignment="1">
      <alignment horizontal="left" wrapText="1"/>
    </xf>
    <xf numFmtId="0" fontId="39" fillId="0" borderId="24" xfId="0" applyFont="1" applyBorder="1" applyAlignment="1">
      <alignment horizontal="right" vertical="top" wrapText="1"/>
    </xf>
    <xf numFmtId="0" fontId="0" fillId="0" borderId="24" xfId="0" applyBorder="1" applyAlignment="1">
      <alignment horizontal="left" vertical="center" wrapText="1"/>
    </xf>
    <xf numFmtId="0" fontId="39" fillId="21" borderId="24" xfId="0" applyFont="1" applyFill="1" applyBorder="1" applyAlignment="1">
      <alignment horizontal="left" vertical="top" wrapText="1"/>
    </xf>
    <xf numFmtId="0" fontId="0" fillId="21" borderId="24" xfId="0" applyFill="1" applyBorder="1" applyAlignment="1">
      <alignment horizontal="left" vertical="center" wrapText="1"/>
    </xf>
    <xf numFmtId="0" fontId="39" fillId="0" borderId="54" xfId="0" applyFont="1" applyBorder="1" applyAlignment="1">
      <alignment horizontal="right" vertical="top" wrapText="1"/>
    </xf>
    <xf numFmtId="0" fontId="39" fillId="21" borderId="24" xfId="0" applyFont="1" applyFill="1" applyBorder="1" applyAlignment="1">
      <alignment horizontal="left" vertical="center" wrapText="1"/>
    </xf>
    <xf numFmtId="0" fontId="0" fillId="21" borderId="54" xfId="0" applyFill="1" applyBorder="1" applyAlignment="1">
      <alignment horizontal="right" vertical="top" wrapText="1"/>
    </xf>
    <xf numFmtId="0" fontId="0" fillId="21" borderId="24" xfId="0" applyFill="1" applyBorder="1" applyAlignment="1">
      <alignment horizontal="left" vertical="top" wrapText="1"/>
    </xf>
    <xf numFmtId="20" fontId="0" fillId="0" borderId="0" xfId="0" applyNumberFormat="1" applyAlignment="1">
      <alignment horizontal="left" vertical="top"/>
    </xf>
    <xf numFmtId="0" fontId="0" fillId="0" borderId="60" xfId="0" applyBorder="1" applyAlignment="1">
      <alignment horizontal="left"/>
    </xf>
    <xf numFmtId="0" fontId="0" fillId="0" borderId="14" xfId="0" applyBorder="1" applyAlignment="1">
      <alignment horizontal="right"/>
    </xf>
    <xf numFmtId="0" fontId="39" fillId="0" borderId="57" xfId="0" applyFont="1" applyBorder="1" applyAlignment="1">
      <alignment horizontal="right" vertical="top" wrapText="1"/>
    </xf>
    <xf numFmtId="0" fontId="0" fillId="0" borderId="0" xfId="0" applyAlignment="1">
      <alignment horizontal="left" vertical="top" wrapText="1"/>
    </xf>
    <xf numFmtId="0" fontId="0" fillId="0" borderId="58" xfId="0" applyBorder="1" applyAlignment="1">
      <alignment vertical="top"/>
    </xf>
    <xf numFmtId="0" fontId="39" fillId="0" borderId="63" xfId="0" applyFont="1" applyBorder="1" applyAlignment="1">
      <alignment horizontal="right" vertical="top" wrapText="1"/>
    </xf>
    <xf numFmtId="0" fontId="39" fillId="0" borderId="16" xfId="0" applyFont="1" applyBorder="1" applyAlignment="1">
      <alignment horizontal="right" vertical="top" wrapText="1"/>
    </xf>
    <xf numFmtId="0" fontId="40" fillId="0" borderId="0" xfId="0" applyFont="1"/>
    <xf numFmtId="0" fontId="41" fillId="0" borderId="0" xfId="0" applyFont="1"/>
    <xf numFmtId="0" fontId="40" fillId="0" borderId="53" xfId="0" applyFont="1" applyBorder="1" applyAlignment="1">
      <alignment horizontal="right"/>
    </xf>
    <xf numFmtId="0" fontId="0" fillId="0" borderId="39" xfId="0" applyBorder="1" applyAlignment="1">
      <alignment horizontal="right"/>
    </xf>
    <xf numFmtId="0" fontId="18" fillId="0" borderId="38" xfId="0" applyFont="1" applyBorder="1" applyAlignment="1">
      <alignment wrapText="1"/>
    </xf>
    <xf numFmtId="0" fontId="18" fillId="0" borderId="16" xfId="0" applyFont="1" applyBorder="1" applyAlignment="1">
      <alignment horizontal="right" vertical="center" wrapText="1"/>
    </xf>
    <xf numFmtId="0" fontId="18" fillId="0" borderId="37" xfId="0" applyFont="1" applyBorder="1" applyAlignment="1">
      <alignment horizontal="right" vertical="center" wrapText="1"/>
    </xf>
    <xf numFmtId="0" fontId="3" fillId="12" borderId="60" xfId="0" applyFont="1" applyFill="1" applyBorder="1" applyAlignment="1">
      <alignment horizontal="left"/>
    </xf>
    <xf numFmtId="0" fontId="14" fillId="0" borderId="16" xfId="0" applyFont="1" applyBorder="1" applyAlignment="1">
      <alignment horizontal="right" wrapText="1"/>
    </xf>
    <xf numFmtId="0" fontId="0" fillId="12" borderId="16" xfId="0" applyFill="1" applyBorder="1"/>
    <xf numFmtId="9" fontId="42" fillId="0" borderId="0" xfId="0" applyNumberFormat="1" applyFont="1" applyAlignment="1">
      <alignment horizontal="right" vertical="center" wrapText="1"/>
    </xf>
    <xf numFmtId="0" fontId="25" fillId="0" borderId="15" xfId="0" applyFont="1" applyBorder="1" applyAlignment="1">
      <alignment horizontal="left"/>
    </xf>
    <xf numFmtId="0" fontId="25" fillId="0" borderId="17" xfId="0" applyFont="1" applyBorder="1" applyAlignment="1">
      <alignment horizontal="right"/>
    </xf>
    <xf numFmtId="0" fontId="25" fillId="0" borderId="60" xfId="0" applyFont="1" applyBorder="1" applyAlignment="1">
      <alignment horizontal="left"/>
    </xf>
    <xf numFmtId="0" fontId="25" fillId="0" borderId="53" xfId="0" applyFont="1" applyBorder="1" applyAlignment="1">
      <alignment horizontal="right"/>
    </xf>
    <xf numFmtId="0" fontId="43" fillId="3" borderId="15" xfId="0" applyFont="1" applyFill="1" applyBorder="1" applyAlignment="1">
      <alignment horizontal="left"/>
    </xf>
    <xf numFmtId="0" fontId="43" fillId="3" borderId="16" xfId="0" applyFont="1" applyFill="1" applyBorder="1"/>
    <xf numFmtId="0" fontId="43" fillId="3" borderId="17" xfId="0" applyFont="1" applyFill="1" applyBorder="1"/>
    <xf numFmtId="0" fontId="34" fillId="3" borderId="15" xfId="0" applyFont="1" applyFill="1" applyBorder="1" applyAlignment="1">
      <alignment horizontal="left"/>
    </xf>
    <xf numFmtId="0" fontId="34" fillId="3" borderId="16" xfId="0" applyFont="1" applyFill="1" applyBorder="1"/>
    <xf numFmtId="0" fontId="34" fillId="3" borderId="17" xfId="0" applyFont="1" applyFill="1" applyBorder="1" applyAlignment="1">
      <alignment horizontal="left"/>
    </xf>
    <xf numFmtId="0" fontId="34" fillId="0" borderId="15" xfId="0" applyFont="1" applyBorder="1" applyAlignment="1">
      <alignment horizontal="left"/>
    </xf>
    <xf numFmtId="0" fontId="34" fillId="0" borderId="16" xfId="0" applyFont="1" applyBorder="1"/>
    <xf numFmtId="0" fontId="25" fillId="0" borderId="16" xfId="0" applyFont="1" applyBorder="1"/>
    <xf numFmtId="0" fontId="44" fillId="0" borderId="24" xfId="0" applyFont="1" applyBorder="1" applyAlignment="1">
      <alignment wrapText="1"/>
    </xf>
    <xf numFmtId="0" fontId="43" fillId="3" borderId="17" xfId="0" applyFont="1" applyFill="1" applyBorder="1" applyAlignment="1">
      <alignment horizontal="left"/>
    </xf>
    <xf numFmtId="0" fontId="43" fillId="0" borderId="15" xfId="0" applyFont="1" applyBorder="1" applyAlignment="1">
      <alignment horizontal="left"/>
    </xf>
    <xf numFmtId="0" fontId="43" fillId="0" borderId="16" xfId="0" applyFont="1" applyBorder="1"/>
    <xf numFmtId="0" fontId="25" fillId="0" borderId="17" xfId="0" applyFont="1" applyBorder="1" applyAlignment="1">
      <alignment horizontal="left"/>
    </xf>
    <xf numFmtId="0" fontId="25" fillId="0" borderId="8" xfId="0" applyFont="1" applyBorder="1" applyAlignment="1">
      <alignment horizontal="left"/>
    </xf>
    <xf numFmtId="0" fontId="25" fillId="0" borderId="9" xfId="0" applyFont="1" applyBorder="1"/>
    <xf numFmtId="0" fontId="25" fillId="0" borderId="11" xfId="0" applyFont="1" applyBorder="1" applyAlignment="1">
      <alignment horizontal="right"/>
    </xf>
    <xf numFmtId="0" fontId="25" fillId="0" borderId="37" xfId="0" applyFont="1" applyBorder="1" applyAlignment="1">
      <alignment horizontal="center" vertical="center"/>
    </xf>
    <xf numFmtId="0" fontId="0" fillId="0" borderId="0" xfId="0" applyAlignment="1">
      <alignment horizontal="center"/>
    </xf>
    <xf numFmtId="0" fontId="18" fillId="23" borderId="36" xfId="0" applyFont="1" applyFill="1" applyBorder="1" applyAlignment="1">
      <alignment horizontal="center" vertical="center"/>
    </xf>
    <xf numFmtId="0" fontId="18" fillId="23" borderId="37" xfId="0" applyFont="1" applyFill="1" applyBorder="1"/>
    <xf numFmtId="0" fontId="18" fillId="0" borderId="0" xfId="0" applyFont="1"/>
    <xf numFmtId="0" fontId="18" fillId="23" borderId="39" xfId="0" applyFont="1" applyFill="1" applyBorder="1"/>
    <xf numFmtId="0" fontId="18" fillId="23" borderId="15" xfId="0" applyFont="1" applyFill="1" applyBorder="1" applyAlignment="1">
      <alignment horizontal="center" vertical="center"/>
    </xf>
    <xf numFmtId="0" fontId="18" fillId="23" borderId="16" xfId="0" applyFont="1" applyFill="1" applyBorder="1"/>
    <xf numFmtId="0" fontId="18" fillId="23" borderId="17" xfId="0" applyFont="1" applyFill="1" applyBorder="1"/>
    <xf numFmtId="0" fontId="18" fillId="0" borderId="15" xfId="0" applyFont="1" applyBorder="1"/>
    <xf numFmtId="0" fontId="18" fillId="0" borderId="17" xfId="0" applyFont="1" applyBorder="1" applyAlignment="1">
      <alignment horizontal="left"/>
    </xf>
    <xf numFmtId="0" fontId="18" fillId="0" borderId="17" xfId="0" applyFont="1" applyBorder="1" applyAlignment="1">
      <alignment horizontal="left" wrapText="1"/>
    </xf>
    <xf numFmtId="0" fontId="24" fillId="0" borderId="0" xfId="0" applyFont="1" applyAlignment="1">
      <alignment horizontal="left"/>
    </xf>
    <xf numFmtId="0" fontId="18" fillId="0" borderId="0" xfId="0" applyFont="1" applyAlignment="1">
      <alignment horizontal="left"/>
    </xf>
    <xf numFmtId="1" fontId="0" fillId="0" borderId="24" xfId="0" applyNumberFormat="1" applyBorder="1" applyAlignment="1">
      <alignment horizontal="left" vertical="center" wrapText="1"/>
    </xf>
    <xf numFmtId="2" fontId="0" fillId="0" borderId="24" xfId="0" applyNumberFormat="1" applyBorder="1" applyAlignment="1">
      <alignment horizontal="right" vertical="center" wrapText="1"/>
    </xf>
    <xf numFmtId="2" fontId="0" fillId="0" borderId="24" xfId="0" applyNumberFormat="1" applyBorder="1" applyAlignment="1">
      <alignment horizontal="right" wrapText="1"/>
    </xf>
    <xf numFmtId="2" fontId="0" fillId="0" borderId="63" xfId="0" applyNumberFormat="1" applyBorder="1" applyAlignment="1">
      <alignment horizontal="right" wrapText="1"/>
    </xf>
    <xf numFmtId="2" fontId="0" fillId="0" borderId="16" xfId="0" applyNumberFormat="1" applyBorder="1" applyAlignment="1">
      <alignment horizontal="right" wrapText="1"/>
    </xf>
    <xf numFmtId="2" fontId="0" fillId="0" borderId="56" xfId="0" applyNumberFormat="1" applyBorder="1" applyAlignment="1">
      <alignment horizontal="right" vertical="center" wrapText="1"/>
    </xf>
    <xf numFmtId="165" fontId="5" fillId="0" borderId="0" xfId="2" applyNumberFormat="1" applyAlignment="1">
      <alignment horizontal="right"/>
    </xf>
    <xf numFmtId="0" fontId="2" fillId="0" borderId="52" xfId="0" applyFont="1" applyBorder="1"/>
    <xf numFmtId="0" fontId="2" fillId="0" borderId="10" xfId="0" applyFont="1" applyBorder="1"/>
    <xf numFmtId="0" fontId="2" fillId="0" borderId="66" xfId="0" applyFont="1" applyBorder="1" applyAlignment="1">
      <alignment horizontal="left"/>
    </xf>
    <xf numFmtId="0" fontId="2" fillId="0" borderId="71" xfId="0" applyFont="1" applyBorder="1" applyAlignment="1">
      <alignment horizontal="left"/>
    </xf>
    <xf numFmtId="0" fontId="3" fillId="20" borderId="15" xfId="0" applyFont="1" applyFill="1" applyBorder="1"/>
    <xf numFmtId="0" fontId="3" fillId="20" borderId="66" xfId="0" applyFont="1" applyFill="1" applyBorder="1"/>
    <xf numFmtId="0" fontId="3" fillId="20" borderId="16" xfId="0" applyFont="1" applyFill="1" applyBorder="1"/>
    <xf numFmtId="0" fontId="3" fillId="20" borderId="15" xfId="0" applyFont="1" applyFill="1" applyBorder="1" applyAlignment="1">
      <alignment horizontal="center"/>
    </xf>
    <xf numFmtId="0" fontId="3" fillId="20" borderId="16" xfId="0" applyFont="1" applyFill="1" applyBorder="1" applyAlignment="1">
      <alignment horizontal="center" wrapText="1"/>
    </xf>
    <xf numFmtId="0" fontId="3" fillId="20" borderId="17" xfId="0" applyFont="1" applyFill="1" applyBorder="1" applyAlignment="1">
      <alignment horizontal="center" wrapText="1"/>
    </xf>
    <xf numFmtId="0" fontId="3" fillId="20" borderId="66" xfId="0" applyFont="1" applyFill="1" applyBorder="1" applyAlignment="1">
      <alignment horizontal="center"/>
    </xf>
    <xf numFmtId="0" fontId="1" fillId="0" borderId="0" xfId="6" applyFont="1"/>
    <xf numFmtId="10" fontId="5" fillId="0" borderId="0" xfId="2" applyNumberFormat="1"/>
    <xf numFmtId="0" fontId="25" fillId="0" borderId="0" xfId="0" applyFont="1"/>
    <xf numFmtId="165" fontId="0" fillId="25" borderId="0" xfId="0" applyNumberFormat="1" applyFill="1"/>
    <xf numFmtId="0" fontId="0" fillId="0" borderId="0" xfId="6" applyFont="1"/>
    <xf numFmtId="164" fontId="45" fillId="0" borderId="0" xfId="1" applyNumberFormat="1" applyFont="1"/>
    <xf numFmtId="0" fontId="1" fillId="0" borderId="30" xfId="0" applyFont="1" applyBorder="1"/>
    <xf numFmtId="2" fontId="0" fillId="0" borderId="6" xfId="0" applyNumberFormat="1" applyBorder="1"/>
    <xf numFmtId="9" fontId="5" fillId="0" borderId="0" xfId="2"/>
    <xf numFmtId="2" fontId="11" fillId="0" borderId="0" xfId="0" applyNumberFormat="1" applyFont="1"/>
    <xf numFmtId="2" fontId="25" fillId="0" borderId="0" xfId="0" applyNumberFormat="1" applyFont="1"/>
    <xf numFmtId="169" fontId="0" fillId="0" borderId="0" xfId="0" applyNumberFormat="1"/>
    <xf numFmtId="2" fontId="18" fillId="0" borderId="0" xfId="0" applyNumberFormat="1" applyFont="1"/>
    <xf numFmtId="166" fontId="5" fillId="0" borderId="0" xfId="1" applyNumberFormat="1"/>
    <xf numFmtId="0" fontId="16" fillId="14" borderId="0" xfId="0" applyFont="1" applyFill="1" applyAlignment="1">
      <alignment horizontal="center"/>
    </xf>
    <xf numFmtId="0" fontId="16" fillId="14" borderId="26" xfId="0" applyFont="1" applyFill="1" applyBorder="1" applyAlignment="1">
      <alignment horizontal="center"/>
    </xf>
    <xf numFmtId="166" fontId="5" fillId="0" borderId="16" xfId="1" applyNumberFormat="1" applyBorder="1"/>
    <xf numFmtId="0" fontId="44" fillId="0" borderId="27" xfId="0" applyFont="1" applyBorder="1" applyAlignment="1">
      <alignment horizontal="left" wrapText="1"/>
    </xf>
    <xf numFmtId="0" fontId="46" fillId="0" borderId="0" xfId="0" applyFont="1"/>
    <xf numFmtId="0" fontId="1" fillId="0" borderId="6" xfId="0" applyFont="1" applyBorder="1" applyAlignment="1">
      <alignment wrapText="1"/>
    </xf>
    <xf numFmtId="0" fontId="0" fillId="0" borderId="0" xfId="0" applyAlignment="1">
      <alignment wrapText="1"/>
    </xf>
    <xf numFmtId="0" fontId="0" fillId="0" borderId="0" xfId="0" applyAlignment="1">
      <alignment horizontal="left" indent="1"/>
    </xf>
    <xf numFmtId="0" fontId="0" fillId="0" borderId="77" xfId="0" applyBorder="1" applyAlignment="1">
      <alignment horizontal="left" indent="1"/>
    </xf>
    <xf numFmtId="167" fontId="5" fillId="0" borderId="0" xfId="1" applyNumberFormat="1"/>
    <xf numFmtId="167" fontId="5" fillId="0" borderId="6" xfId="1" applyNumberFormat="1" applyBorder="1"/>
    <xf numFmtId="0" fontId="0" fillId="0" borderId="78" xfId="0" applyBorder="1" applyAlignment="1">
      <alignment horizontal="left"/>
    </xf>
    <xf numFmtId="10" fontId="0" fillId="0" borderId="0" xfId="2" applyNumberFormat="1" applyFont="1"/>
    <xf numFmtId="10" fontId="5" fillId="0" borderId="6" xfId="2" applyNumberFormat="1" applyBorder="1"/>
    <xf numFmtId="10" fontId="1" fillId="0" borderId="0" xfId="0" applyNumberFormat="1" applyFont="1"/>
    <xf numFmtId="166" fontId="5" fillId="0" borderId="9" xfId="1" applyNumberFormat="1" applyBorder="1"/>
    <xf numFmtId="0" fontId="1" fillId="26" borderId="6" xfId="0" applyFont="1" applyFill="1" applyBorder="1" applyAlignment="1">
      <alignment horizontal="center"/>
    </xf>
    <xf numFmtId="164" fontId="14" fillId="0" borderId="0" xfId="0" applyNumberFormat="1" applyFont="1"/>
    <xf numFmtId="3" fontId="0" fillId="0" borderId="0" xfId="0" applyNumberFormat="1"/>
    <xf numFmtId="0" fontId="0" fillId="0" borderId="79" xfId="0" applyBorder="1"/>
    <xf numFmtId="0" fontId="0" fillId="0" borderId="74" xfId="0" applyBorder="1"/>
    <xf numFmtId="165" fontId="5" fillId="0" borderId="38" xfId="2" applyNumberFormat="1" applyBorder="1"/>
    <xf numFmtId="165" fontId="5" fillId="0" borderId="72" xfId="2" applyNumberFormat="1" applyBorder="1"/>
    <xf numFmtId="165" fontId="5" fillId="0" borderId="73" xfId="2" applyNumberFormat="1" applyBorder="1"/>
    <xf numFmtId="165" fontId="5" fillId="0" borderId="23" xfId="2" applyNumberFormat="1" applyBorder="1"/>
    <xf numFmtId="165" fontId="5" fillId="0" borderId="0" xfId="2" applyNumberFormat="1"/>
    <xf numFmtId="165" fontId="5" fillId="0" borderId="74" xfId="2" applyNumberFormat="1" applyBorder="1"/>
    <xf numFmtId="165" fontId="5" fillId="0" borderId="75" xfId="2" applyNumberFormat="1" applyBorder="1"/>
    <xf numFmtId="165" fontId="5" fillId="0" borderId="76" xfId="2" applyNumberFormat="1" applyBorder="1"/>
    <xf numFmtId="165" fontId="5" fillId="0" borderId="80" xfId="2" applyNumberFormat="1" applyBorder="1"/>
    <xf numFmtId="166" fontId="0" fillId="0" borderId="38" xfId="0" applyNumberFormat="1" applyBorder="1"/>
    <xf numFmtId="166" fontId="0" fillId="0" borderId="72" xfId="0" applyNumberFormat="1" applyBorder="1"/>
    <xf numFmtId="166" fontId="0" fillId="0" borderId="73" xfId="0" applyNumberFormat="1" applyBorder="1"/>
    <xf numFmtId="166" fontId="0" fillId="0" borderId="23" xfId="0" applyNumberFormat="1" applyBorder="1"/>
    <xf numFmtId="166" fontId="0" fillId="0" borderId="0" xfId="0" applyNumberFormat="1"/>
    <xf numFmtId="166" fontId="0" fillId="0" borderId="74" xfId="0" applyNumberFormat="1" applyBorder="1"/>
    <xf numFmtId="166" fontId="0" fillId="0" borderId="75" xfId="0" applyNumberFormat="1" applyBorder="1"/>
    <xf numFmtId="166" fontId="0" fillId="0" borderId="76" xfId="0" applyNumberFormat="1" applyBorder="1"/>
    <xf numFmtId="166" fontId="0" fillId="0" borderId="80" xfId="0" applyNumberFormat="1" applyBorder="1"/>
    <xf numFmtId="10" fontId="0" fillId="0" borderId="24" xfId="0" applyNumberFormat="1" applyBorder="1" applyAlignment="1">
      <alignment horizontal="right" wrapText="1"/>
    </xf>
    <xf numFmtId="0" fontId="39" fillId="0" borderId="54" xfId="0" applyFont="1" applyBorder="1" applyAlignment="1">
      <alignment horizontal="left" vertical="top" wrapText="1"/>
    </xf>
    <xf numFmtId="1" fontId="0" fillId="0" borderId="63" xfId="0" applyNumberFormat="1" applyBorder="1" applyAlignment="1">
      <alignment horizontal="left" wrapText="1"/>
    </xf>
    <xf numFmtId="0" fontId="39" fillId="0" borderId="56" xfId="0" applyFont="1" applyBorder="1" applyAlignment="1">
      <alignment horizontal="right" vertical="top" wrapText="1"/>
    </xf>
    <xf numFmtId="165" fontId="5" fillId="0" borderId="16" xfId="2" applyNumberFormat="1" applyBorder="1" applyAlignment="1">
      <alignment horizontal="right"/>
    </xf>
    <xf numFmtId="0" fontId="0" fillId="0" borderId="63" xfId="0" applyBorder="1" applyAlignment="1">
      <alignment horizontal="left" vertical="center" wrapText="1"/>
    </xf>
    <xf numFmtId="2" fontId="0" fillId="0" borderId="16" xfId="0" applyNumberFormat="1" applyBorder="1" applyAlignment="1">
      <alignment horizontal="right" vertical="center" wrapText="1"/>
    </xf>
    <xf numFmtId="0" fontId="0" fillId="21" borderId="57" xfId="0" applyFill="1" applyBorder="1" applyAlignment="1">
      <alignment horizontal="right" vertical="top" wrapText="1"/>
    </xf>
    <xf numFmtId="0" fontId="0" fillId="0" borderId="63" xfId="0" applyBorder="1" applyAlignment="1">
      <alignment horizontal="left" wrapText="1"/>
    </xf>
    <xf numFmtId="165" fontId="5" fillId="0" borderId="16" xfId="2" applyNumberFormat="1" applyBorder="1"/>
    <xf numFmtId="0" fontId="0" fillId="0" borderId="54" xfId="0" applyBorder="1" applyAlignment="1">
      <alignment horizontal="left" vertical="top" wrapText="1"/>
    </xf>
    <xf numFmtId="0" fontId="0" fillId="0" borderId="54" xfId="0" applyBorder="1" applyAlignment="1">
      <alignment horizontal="left" vertical="center" wrapText="1"/>
    </xf>
    <xf numFmtId="0" fontId="39" fillId="22" borderId="24" xfId="0" applyFont="1" applyFill="1" applyBorder="1" applyAlignment="1">
      <alignment horizontal="center" wrapText="1"/>
    </xf>
    <xf numFmtId="0" fontId="39" fillId="22" borderId="24" xfId="0" applyFont="1" applyFill="1" applyBorder="1" applyAlignment="1">
      <alignment horizontal="right" wrapText="1"/>
    </xf>
    <xf numFmtId="170" fontId="0" fillId="0" borderId="27" xfId="41" applyNumberFormat="1" applyFont="1" applyBorder="1" applyAlignment="1">
      <alignment horizontal="left" vertical="center" wrapText="1"/>
    </xf>
    <xf numFmtId="164" fontId="5" fillId="0" borderId="6" xfId="1" applyNumberFormat="1" applyBorder="1"/>
    <xf numFmtId="2" fontId="0" fillId="11" borderId="0" xfId="0" applyNumberFormat="1" applyFill="1"/>
    <xf numFmtId="166" fontId="0" fillId="0" borderId="81" xfId="0" applyNumberFormat="1" applyBorder="1" applyAlignment="1">
      <alignment horizontal="center" wrapText="1"/>
    </xf>
    <xf numFmtId="168" fontId="0" fillId="21" borderId="27" xfId="0" applyNumberFormat="1" applyFill="1" applyBorder="1" applyAlignment="1">
      <alignment horizontal="right" wrapText="1"/>
    </xf>
    <xf numFmtId="166" fontId="0" fillId="0" borderId="16" xfId="0" applyNumberFormat="1" applyBorder="1"/>
    <xf numFmtId="2" fontId="0" fillId="21" borderId="27" xfId="0" applyNumberFormat="1" applyFill="1" applyBorder="1" applyAlignment="1">
      <alignment horizontal="right" wrapText="1"/>
    </xf>
    <xf numFmtId="0" fontId="0" fillId="0" borderId="38" xfId="0" applyBorder="1"/>
    <xf numFmtId="165" fontId="25" fillId="0" borderId="0" xfId="2" applyNumberFormat="1" applyFont="1"/>
    <xf numFmtId="0" fontId="2" fillId="0" borderId="0" xfId="0" applyFont="1"/>
    <xf numFmtId="0" fontId="0" fillId="0" borderId="0" xfId="0"/>
    <xf numFmtId="2" fontId="0" fillId="0" borderId="0" xfId="0" applyNumberFormat="1"/>
    <xf numFmtId="168" fontId="0" fillId="0" borderId="16" xfId="0" applyNumberFormat="1" applyBorder="1"/>
    <xf numFmtId="0" fontId="37" fillId="21" borderId="57" xfId="0" applyFont="1" applyFill="1" applyBorder="1" applyAlignment="1">
      <alignment horizontal="center" vertical="center" wrapText="1"/>
    </xf>
    <xf numFmtId="0" fontId="37" fillId="21" borderId="76" xfId="0" applyFont="1" applyFill="1" applyBorder="1" applyAlignment="1">
      <alignment horizontal="center" vertical="center" wrapText="1"/>
    </xf>
    <xf numFmtId="0" fontId="39" fillId="21" borderId="0" xfId="0" applyFont="1" applyFill="1" applyAlignment="1">
      <alignment horizontal="left" vertical="center" wrapText="1"/>
    </xf>
    <xf numFmtId="0" fontId="5" fillId="0" borderId="0" xfId="5"/>
    <xf numFmtId="3" fontId="0" fillId="11" borderId="0" xfId="0" applyNumberFormat="1" applyFill="1"/>
    <xf numFmtId="0" fontId="14" fillId="0" borderId="0" xfId="5" applyFont="1"/>
    <xf numFmtId="0" fontId="0" fillId="0" borderId="85" xfId="0" applyBorder="1" applyAlignment="1">
      <alignment horizontal="left" indent="1"/>
    </xf>
    <xf numFmtId="166" fontId="5" fillId="0" borderId="6" xfId="1" applyNumberFormat="1" applyBorder="1"/>
    <xf numFmtId="0" fontId="1" fillId="0" borderId="29" xfId="5" applyFont="1" applyBorder="1"/>
    <xf numFmtId="0" fontId="39" fillId="22" borderId="63" xfId="0" applyFont="1" applyFill="1" applyBorder="1" applyAlignment="1">
      <alignment horizontal="center" wrapText="1"/>
    </xf>
    <xf numFmtId="10" fontId="0" fillId="0" borderId="63" xfId="0" applyNumberFormat="1" applyBorder="1" applyAlignment="1">
      <alignment horizontal="right" wrapText="1"/>
    </xf>
    <xf numFmtId="0" fontId="39" fillId="22" borderId="16" xfId="0" applyFont="1" applyFill="1" applyBorder="1" applyAlignment="1">
      <alignment horizontal="center" wrapText="1"/>
    </xf>
    <xf numFmtId="10" fontId="0" fillId="0" borderId="16" xfId="0" applyNumberFormat="1" applyBorder="1" applyAlignment="1">
      <alignment horizontal="right" vertical="top"/>
    </xf>
    <xf numFmtId="166" fontId="5" fillId="0" borderId="37" xfId="1" applyNumberFormat="1" applyBorder="1"/>
    <xf numFmtId="0" fontId="0" fillId="0" borderId="27" xfId="0" applyBorder="1" applyAlignment="1">
      <alignment horizontal="left" vertical="center" wrapText="1"/>
    </xf>
    <xf numFmtId="0" fontId="39" fillId="22" borderId="57" xfId="0" applyFont="1" applyFill="1" applyBorder="1" applyAlignment="1">
      <alignment horizontal="center" wrapText="1"/>
    </xf>
    <xf numFmtId="0" fontId="39" fillId="22" borderId="86" xfId="0" applyFont="1" applyFill="1" applyBorder="1" applyAlignment="1">
      <alignment horizontal="center" wrapText="1"/>
    </xf>
    <xf numFmtId="0" fontId="0" fillId="0" borderId="16" xfId="0" applyBorder="1" applyAlignment="1">
      <alignment horizontal="left" indent="1"/>
    </xf>
    <xf numFmtId="0" fontId="1" fillId="0" borderId="16" xfId="0" applyFont="1" applyBorder="1" applyAlignment="1">
      <alignment horizontal="left" vertical="top"/>
    </xf>
    <xf numFmtId="0" fontId="0" fillId="0" borderId="0" xfId="0"/>
    <xf numFmtId="2" fontId="0" fillId="0" borderId="0" xfId="0" applyNumberFormat="1"/>
    <xf numFmtId="0" fontId="1" fillId="0" borderId="0" xfId="5" applyFont="1" applyBorder="1"/>
    <xf numFmtId="0" fontId="20" fillId="0" borderId="0" xfId="0" applyFont="1" applyFill="1" applyBorder="1"/>
    <xf numFmtId="0" fontId="0" fillId="0" borderId="0" xfId="0" applyAlignment="1">
      <alignment horizontal="center" vertical="center"/>
    </xf>
    <xf numFmtId="3" fontId="42" fillId="0" borderId="0" xfId="0" applyNumberFormat="1" applyFont="1" applyAlignment="1">
      <alignment vertical="center" wrapText="1"/>
    </xf>
    <xf numFmtId="3" fontId="47" fillId="0" borderId="0" xfId="0" applyNumberFormat="1" applyFont="1"/>
    <xf numFmtId="166" fontId="47" fillId="0" borderId="0" xfId="4" applyNumberFormat="1" applyFont="1"/>
    <xf numFmtId="164" fontId="48" fillId="0" borderId="29" xfId="0" applyNumberFormat="1" applyFont="1" applyBorder="1"/>
    <xf numFmtId="165" fontId="47" fillId="0" borderId="0" xfId="2" applyNumberFormat="1" applyFont="1"/>
    <xf numFmtId="166" fontId="47" fillId="0" borderId="0" xfId="0" applyNumberFormat="1" applyFont="1"/>
    <xf numFmtId="2" fontId="47" fillId="0" borderId="29" xfId="0" applyNumberFormat="1" applyFont="1" applyBorder="1"/>
    <xf numFmtId="0" fontId="47" fillId="0" borderId="0" xfId="0" applyFont="1"/>
    <xf numFmtId="168" fontId="47" fillId="0" borderId="0" xfId="0" applyNumberFormat="1" applyFont="1"/>
    <xf numFmtId="166" fontId="50" fillId="0" borderId="0" xfId="0" applyNumberFormat="1" applyFont="1"/>
    <xf numFmtId="43" fontId="48" fillId="0" borderId="6" xfId="0" applyNumberFormat="1" applyFont="1" applyBorder="1"/>
    <xf numFmtId="0" fontId="49" fillId="0" borderId="6" xfId="0" applyFont="1" applyBorder="1" applyAlignment="1">
      <alignment wrapText="1"/>
    </xf>
    <xf numFmtId="168" fontId="47" fillId="0" borderId="6" xfId="0" applyNumberFormat="1" applyFont="1" applyBorder="1"/>
    <xf numFmtId="43" fontId="47" fillId="0" borderId="0" xfId="0" applyNumberFormat="1" applyFont="1"/>
    <xf numFmtId="10" fontId="47" fillId="0" borderId="0" xfId="2" applyNumberFormat="1" applyFont="1"/>
    <xf numFmtId="165" fontId="47" fillId="0" borderId="0" xfId="0" applyNumberFormat="1" applyFont="1"/>
    <xf numFmtId="165" fontId="47" fillId="0" borderId="6" xfId="0" applyNumberFormat="1" applyFont="1" applyBorder="1"/>
    <xf numFmtId="9" fontId="49" fillId="0" borderId="0" xfId="0" applyNumberFormat="1" applyFont="1"/>
    <xf numFmtId="2" fontId="47" fillId="0" borderId="0" xfId="0" applyNumberFormat="1" applyFont="1"/>
    <xf numFmtId="0" fontId="50" fillId="26" borderId="6" xfId="0" applyFont="1" applyFill="1" applyBorder="1" applyAlignment="1">
      <alignment horizontal="center" wrapText="1"/>
    </xf>
    <xf numFmtId="0" fontId="51" fillId="0" borderId="0" xfId="0" applyFont="1"/>
    <xf numFmtId="166" fontId="47" fillId="0" borderId="0" xfId="1" applyNumberFormat="1" applyFont="1"/>
    <xf numFmtId="167" fontId="47" fillId="0" borderId="0" xfId="1" applyNumberFormat="1" applyFont="1"/>
    <xf numFmtId="10" fontId="50" fillId="0" borderId="0" xfId="0" applyNumberFormat="1" applyFont="1"/>
    <xf numFmtId="0" fontId="52" fillId="0" borderId="0" xfId="0" applyFont="1"/>
    <xf numFmtId="0" fontId="53" fillId="0" borderId="0" xfId="0" applyFont="1"/>
    <xf numFmtId="2" fontId="54" fillId="0" borderId="0" xfId="0" applyNumberFormat="1" applyFont="1"/>
    <xf numFmtId="0" fontId="55" fillId="0" borderId="0" xfId="0" applyFont="1"/>
    <xf numFmtId="2" fontId="56" fillId="0" borderId="0" xfId="0" applyNumberFormat="1" applyFont="1"/>
    <xf numFmtId="0" fontId="52" fillId="0" borderId="0" xfId="0" applyFont="1" applyAlignment="1">
      <alignment wrapText="1"/>
    </xf>
    <xf numFmtId="0" fontId="55" fillId="0" borderId="0" xfId="0" applyFont="1" applyAlignment="1">
      <alignment horizontal="left"/>
    </xf>
    <xf numFmtId="0" fontId="2" fillId="27" borderId="16" xfId="0" applyFont="1" applyFill="1" applyBorder="1" applyAlignment="1">
      <alignment horizontal="center"/>
    </xf>
    <xf numFmtId="0" fontId="0" fillId="27" borderId="16" xfId="0" applyFill="1" applyBorder="1" applyAlignment="1">
      <alignment horizontal="center"/>
    </xf>
    <xf numFmtId="0" fontId="0" fillId="27" borderId="0" xfId="0" applyFill="1"/>
    <xf numFmtId="0" fontId="1" fillId="17" borderId="0" xfId="0" applyFont="1" applyFill="1"/>
    <xf numFmtId="0" fontId="3" fillId="28" borderId="16" xfId="0" applyFont="1" applyFill="1" applyBorder="1" applyAlignment="1">
      <alignment horizontal="center"/>
    </xf>
    <xf numFmtId="0" fontId="1" fillId="29" borderId="16" xfId="0" applyFont="1" applyFill="1" applyBorder="1"/>
    <xf numFmtId="0" fontId="1" fillId="17" borderId="16" xfId="0" applyFont="1" applyFill="1" applyBorder="1"/>
    <xf numFmtId="165" fontId="1" fillId="0" borderId="16" xfId="2" applyNumberFormat="1" applyFont="1" applyBorder="1"/>
    <xf numFmtId="0" fontId="1" fillId="0" borderId="0" xfId="0" applyFont="1" applyFill="1" applyBorder="1"/>
    <xf numFmtId="0" fontId="3" fillId="27" borderId="16" xfId="0" applyFont="1" applyFill="1" applyBorder="1"/>
    <xf numFmtId="0" fontId="0" fillId="0" borderId="6" xfId="0" applyBorder="1"/>
    <xf numFmtId="0" fontId="2" fillId="0" borderId="0" xfId="0" applyFont="1"/>
    <xf numFmtId="0" fontId="0" fillId="0" borderId="0" xfId="0"/>
    <xf numFmtId="2" fontId="1" fillId="0" borderId="0" xfId="0" applyNumberFormat="1" applyFont="1"/>
    <xf numFmtId="0" fontId="1" fillId="0" borderId="0" xfId="0" applyFont="1"/>
    <xf numFmtId="166" fontId="0" fillId="0" borderId="16" xfId="1" applyNumberFormat="1" applyFont="1" applyBorder="1"/>
    <xf numFmtId="0" fontId="2" fillId="12" borderId="87" xfId="0" applyFont="1" applyFill="1" applyBorder="1"/>
    <xf numFmtId="0" fontId="32" fillId="18" borderId="76" xfId="0" applyFont="1" applyFill="1" applyBorder="1" applyAlignment="1">
      <alignment horizontal="center" vertical="center"/>
    </xf>
    <xf numFmtId="0" fontId="0" fillId="0" borderId="60" xfId="0" applyBorder="1" applyAlignment="1">
      <alignment horizontal="center"/>
    </xf>
    <xf numFmtId="0" fontId="3" fillId="12" borderId="40" xfId="0" applyFont="1" applyFill="1" applyBorder="1" applyAlignment="1">
      <alignment horizontal="left"/>
    </xf>
    <xf numFmtId="0" fontId="3" fillId="12" borderId="27" xfId="0" applyFont="1" applyFill="1" applyBorder="1"/>
    <xf numFmtId="0" fontId="1" fillId="12" borderId="0" xfId="0" applyFont="1" applyFill="1"/>
    <xf numFmtId="0" fontId="1" fillId="12" borderId="16" xfId="0" applyFont="1" applyFill="1" applyBorder="1"/>
    <xf numFmtId="0" fontId="0" fillId="0" borderId="17" xfId="0" applyBorder="1" applyAlignment="1">
      <alignment horizontal="center"/>
    </xf>
    <xf numFmtId="0" fontId="0" fillId="0" borderId="52" xfId="0" applyBorder="1" applyAlignment="1">
      <alignment horizontal="center"/>
    </xf>
    <xf numFmtId="0" fontId="0" fillId="0" borderId="16" xfId="0" applyBorder="1" applyAlignment="1">
      <alignment horizontal="center" vertical="center"/>
    </xf>
    <xf numFmtId="0" fontId="14" fillId="0" borderId="16" xfId="0" applyFont="1" applyBorder="1" applyAlignment="1">
      <alignment horizontal="center" wrapText="1"/>
    </xf>
    <xf numFmtId="0" fontId="37" fillId="21" borderId="54" xfId="0" applyFont="1" applyFill="1" applyBorder="1" applyAlignment="1">
      <alignment horizontal="left" vertical="center" wrapText="1"/>
    </xf>
    <xf numFmtId="1" fontId="38" fillId="21" borderId="63" xfId="0" applyNumberFormat="1" applyFont="1" applyFill="1" applyBorder="1" applyAlignment="1">
      <alignment horizontal="center" vertical="center" shrinkToFit="1"/>
    </xf>
    <xf numFmtId="0" fontId="37" fillId="21" borderId="63" xfId="0" applyFont="1" applyFill="1" applyBorder="1" applyAlignment="1">
      <alignment horizontal="center" vertical="center" wrapText="1"/>
    </xf>
    <xf numFmtId="1" fontId="38" fillId="21" borderId="16" xfId="0" applyNumberFormat="1" applyFont="1" applyFill="1" applyBorder="1" applyAlignment="1">
      <alignment horizontal="center" vertical="center" shrinkToFit="1"/>
    </xf>
    <xf numFmtId="0" fontId="37" fillId="21" borderId="16" xfId="0" applyFont="1" applyFill="1" applyBorder="1" applyAlignment="1">
      <alignment horizontal="center" vertical="center" wrapText="1"/>
    </xf>
    <xf numFmtId="168" fontId="47" fillId="0" borderId="89" xfId="0" applyNumberFormat="1" applyFont="1" applyBorder="1"/>
    <xf numFmtId="0" fontId="0" fillId="0" borderId="0" xfId="0" applyFill="1" applyBorder="1" applyAlignment="1">
      <alignment horizontal="left" indent="1"/>
    </xf>
    <xf numFmtId="0" fontId="1" fillId="30" borderId="16" xfId="0" applyFont="1" applyFill="1" applyBorder="1"/>
    <xf numFmtId="0" fontId="0" fillId="0" borderId="16" xfId="0" applyBorder="1" applyAlignment="1">
      <alignment horizontal="left" indent="2"/>
    </xf>
    <xf numFmtId="3" fontId="0" fillId="0" borderId="16" xfId="0" applyNumberFormat="1" applyBorder="1"/>
    <xf numFmtId="0" fontId="1" fillId="0" borderId="16" xfId="0" applyFont="1" applyBorder="1"/>
    <xf numFmtId="0" fontId="14" fillId="0" borderId="63" xfId="0" applyFont="1" applyBorder="1" applyAlignment="1">
      <alignment wrapText="1"/>
    </xf>
    <xf numFmtId="0" fontId="1" fillId="0" borderId="91" xfId="0" applyFont="1" applyBorder="1"/>
    <xf numFmtId="0" fontId="0" fillId="0" borderId="2" xfId="0" applyBorder="1"/>
    <xf numFmtId="166" fontId="0" fillId="0" borderId="91" xfId="0" applyNumberFormat="1" applyBorder="1"/>
    <xf numFmtId="166" fontId="0" fillId="0" borderId="92" xfId="0" applyNumberFormat="1" applyBorder="1"/>
    <xf numFmtId="0" fontId="0" fillId="0" borderId="0" xfId="0" applyBorder="1"/>
    <xf numFmtId="166" fontId="0" fillId="0" borderId="17" xfId="0" applyNumberFormat="1" applyBorder="1"/>
    <xf numFmtId="0" fontId="1" fillId="0" borderId="9" xfId="0" applyFont="1" applyBorder="1"/>
    <xf numFmtId="3" fontId="0" fillId="0" borderId="91" xfId="0" applyNumberFormat="1" applyBorder="1"/>
    <xf numFmtId="3" fontId="0" fillId="0" borderId="92" xfId="0" applyNumberFormat="1" applyBorder="1"/>
    <xf numFmtId="3" fontId="0" fillId="0" borderId="17" xfId="0" applyNumberFormat="1" applyBorder="1"/>
    <xf numFmtId="0" fontId="0" fillId="0" borderId="37" xfId="0" applyBorder="1"/>
    <xf numFmtId="166" fontId="0" fillId="0" borderId="37" xfId="0" applyNumberFormat="1" applyBorder="1"/>
    <xf numFmtId="3" fontId="0" fillId="0" borderId="37" xfId="0" applyNumberFormat="1" applyBorder="1"/>
    <xf numFmtId="3" fontId="0" fillId="0" borderId="39" xfId="0" applyNumberFormat="1" applyBorder="1"/>
    <xf numFmtId="166" fontId="0" fillId="0" borderId="39" xfId="0" applyNumberFormat="1" applyBorder="1"/>
    <xf numFmtId="165" fontId="5" fillId="0" borderId="9" xfId="2" applyNumberFormat="1" applyBorder="1"/>
    <xf numFmtId="0" fontId="0" fillId="0" borderId="9" xfId="0" applyBorder="1"/>
    <xf numFmtId="165" fontId="5" fillId="0" borderId="11" xfId="2" applyNumberFormat="1" applyBorder="1"/>
    <xf numFmtId="0" fontId="1" fillId="0" borderId="94" xfId="0" applyFont="1" applyBorder="1"/>
    <xf numFmtId="0" fontId="1" fillId="0" borderId="4" xfId="0" applyFont="1" applyBorder="1"/>
    <xf numFmtId="0" fontId="0" fillId="0" borderId="15" xfId="0" applyBorder="1" applyAlignment="1">
      <alignment horizontal="left" indent="2"/>
    </xf>
    <xf numFmtId="0" fontId="0" fillId="0" borderId="36" xfId="0" applyBorder="1"/>
    <xf numFmtId="0" fontId="1" fillId="0" borderId="15" xfId="0" applyFont="1" applyBorder="1"/>
    <xf numFmtId="0" fontId="1" fillId="0" borderId="93" xfId="0" applyFont="1" applyBorder="1"/>
    <xf numFmtId="0" fontId="0" fillId="0" borderId="95" xfId="0" applyBorder="1"/>
    <xf numFmtId="0" fontId="0" fillId="0" borderId="96" xfId="0" applyBorder="1"/>
    <xf numFmtId="0" fontId="18" fillId="0" borderId="0" xfId="0" applyFont="1" applyBorder="1" applyAlignment="1">
      <alignment horizontal="center" vertical="center"/>
    </xf>
    <xf numFmtId="0" fontId="18" fillId="0" borderId="0" xfId="0" applyFont="1" applyBorder="1"/>
    <xf numFmtId="0" fontId="18" fillId="0" borderId="0" xfId="0" applyFont="1" applyBorder="1" applyAlignment="1">
      <alignment horizontal="left" wrapText="1"/>
    </xf>
    <xf numFmtId="3" fontId="60" fillId="0" borderId="0" xfId="0" applyNumberFormat="1" applyFont="1"/>
    <xf numFmtId="0" fontId="1" fillId="0" borderId="0" xfId="0" applyFont="1" applyAlignment="1">
      <alignment horizontal="right"/>
    </xf>
    <xf numFmtId="3" fontId="1" fillId="0" borderId="0" xfId="0" applyNumberFormat="1" applyFont="1"/>
    <xf numFmtId="165" fontId="1" fillId="0" borderId="0" xfId="0" applyNumberFormat="1" applyFont="1"/>
    <xf numFmtId="3" fontId="0" fillId="0" borderId="0" xfId="0" applyNumberFormat="1" applyAlignment="1">
      <alignment wrapText="1"/>
    </xf>
    <xf numFmtId="166" fontId="0" fillId="0" borderId="0" xfId="42" applyNumberFormat="1" applyFont="1"/>
    <xf numFmtId="0" fontId="18" fillId="33" borderId="0" xfId="0" applyFont="1" applyFill="1"/>
    <xf numFmtId="0" fontId="18" fillId="34" borderId="0" xfId="0" applyFont="1" applyFill="1"/>
    <xf numFmtId="0" fontId="18" fillId="35" borderId="0" xfId="0" applyFont="1" applyFill="1"/>
    <xf numFmtId="9" fontId="18" fillId="35" borderId="0" xfId="0" applyNumberFormat="1" applyFont="1" applyFill="1"/>
    <xf numFmtId="9" fontId="18" fillId="34" borderId="0" xfId="0" applyNumberFormat="1" applyFont="1" applyFill="1"/>
    <xf numFmtId="9" fontId="18" fillId="33" borderId="0" xfId="0" applyNumberFormat="1" applyFont="1" applyFill="1"/>
    <xf numFmtId="0" fontId="58" fillId="36" borderId="0" xfId="0" applyFont="1" applyFill="1"/>
    <xf numFmtId="0" fontId="59" fillId="37" borderId="0" xfId="0" applyFont="1" applyFill="1"/>
    <xf numFmtId="0" fontId="18" fillId="38" borderId="0" xfId="0" applyFont="1" applyFill="1"/>
    <xf numFmtId="0" fontId="18" fillId="39" borderId="0" xfId="0" applyFont="1" applyFill="1"/>
    <xf numFmtId="0" fontId="18" fillId="40" borderId="0" xfId="0" applyFont="1" applyFill="1"/>
    <xf numFmtId="9" fontId="18" fillId="38" borderId="0" xfId="0" applyNumberFormat="1" applyFont="1" applyFill="1"/>
    <xf numFmtId="9" fontId="18" fillId="41" borderId="0" xfId="0" applyNumberFormat="1" applyFont="1" applyFill="1"/>
    <xf numFmtId="9" fontId="18" fillId="42" borderId="0" xfId="0" applyNumberFormat="1" applyFont="1" applyFill="1"/>
    <xf numFmtId="0" fontId="18" fillId="0" borderId="0" xfId="0" applyFont="1" applyAlignment="1">
      <alignment horizontal="left" indent="1"/>
    </xf>
    <xf numFmtId="166" fontId="0" fillId="0" borderId="0" xfId="42" applyNumberFormat="1" applyFont="1" applyFill="1" applyAlignment="1">
      <alignment horizontal="left"/>
    </xf>
    <xf numFmtId="166" fontId="0" fillId="0" borderId="0" xfId="42" applyNumberFormat="1" applyFont="1" applyFill="1"/>
    <xf numFmtId="0" fontId="0" fillId="0" borderId="78" xfId="0" applyBorder="1" applyAlignment="1">
      <alignment horizontal="left" indent="1"/>
    </xf>
    <xf numFmtId="168" fontId="47" fillId="0" borderId="0" xfId="0" applyNumberFormat="1" applyFont="1" applyBorder="1"/>
    <xf numFmtId="164" fontId="5" fillId="0" borderId="0" xfId="1" applyNumberFormat="1" applyBorder="1"/>
    <xf numFmtId="0" fontId="0" fillId="0" borderId="0" xfId="0" applyAlignment="1">
      <alignment horizontal="left" vertical="top"/>
    </xf>
    <xf numFmtId="165" fontId="5" fillId="0" borderId="0" xfId="8" applyNumberFormat="1" applyAlignment="1">
      <alignment horizontal="right"/>
    </xf>
    <xf numFmtId="165" fontId="5" fillId="0" borderId="16" xfId="8" applyNumberFormat="1" applyBorder="1" applyAlignment="1">
      <alignment horizontal="right"/>
    </xf>
    <xf numFmtId="0" fontId="33" fillId="27" borderId="16" xfId="0" applyFont="1" applyFill="1" applyBorder="1" applyAlignment="1">
      <alignment horizontal="center"/>
    </xf>
    <xf numFmtId="0" fontId="0" fillId="0" borderId="17" xfId="0" applyBorder="1" applyAlignment="1">
      <alignment horizontal="left"/>
    </xf>
    <xf numFmtId="0" fontId="1" fillId="0" borderId="0" xfId="0" applyFont="1" applyAlignment="1">
      <alignment horizontal="center"/>
    </xf>
    <xf numFmtId="0" fontId="39" fillId="0" borderId="24" xfId="0" applyFont="1" applyBorder="1" applyAlignment="1">
      <alignment horizontal="left" vertical="top" wrapText="1"/>
    </xf>
    <xf numFmtId="0" fontId="0" fillId="0" borderId="0" xfId="0" applyAlignment="1">
      <alignment horizontal="left" vertical="top"/>
    </xf>
    <xf numFmtId="0" fontId="37" fillId="21" borderId="24" xfId="0" applyFont="1" applyFill="1" applyBorder="1" applyAlignment="1">
      <alignment horizontal="center" vertical="center" wrapText="1"/>
    </xf>
    <xf numFmtId="0" fontId="3" fillId="20" borderId="16" xfId="0" applyFont="1" applyFill="1" applyBorder="1" applyAlignment="1">
      <alignment horizontal="center"/>
    </xf>
    <xf numFmtId="0" fontId="21" fillId="28" borderId="16" xfId="0" applyFont="1" applyFill="1" applyBorder="1" applyAlignment="1">
      <alignment horizontal="center"/>
    </xf>
    <xf numFmtId="0" fontId="33" fillId="2" borderId="4" xfId="0" applyFont="1" applyFill="1" applyBorder="1" applyAlignment="1">
      <alignment horizontal="center"/>
    </xf>
    <xf numFmtId="0" fontId="0" fillId="0" borderId="41" xfId="0" applyBorder="1" applyAlignment="1"/>
    <xf numFmtId="0" fontId="0" fillId="0" borderId="42" xfId="0" applyBorder="1" applyAlignment="1"/>
    <xf numFmtId="0" fontId="25" fillId="0" borderId="16" xfId="0" applyFont="1" applyBorder="1" applyAlignment="1">
      <alignment horizontal="center" vertical="center"/>
    </xf>
    <xf numFmtId="0" fontId="0" fillId="0" borderId="13" xfId="0" applyBorder="1" applyAlignment="1"/>
    <xf numFmtId="0" fontId="21" fillId="2" borderId="59" xfId="0" applyFont="1" applyFill="1" applyBorder="1" applyAlignment="1">
      <alignment horizontal="center"/>
    </xf>
    <xf numFmtId="0" fontId="0" fillId="0" borderId="2" xfId="0" applyBorder="1" applyAlignment="1"/>
    <xf numFmtId="0" fontId="0" fillId="0" borderId="3" xfId="0" applyBorder="1" applyAlignment="1"/>
    <xf numFmtId="0" fontId="0" fillId="0" borderId="5" xfId="0" applyBorder="1" applyAlignment="1"/>
    <xf numFmtId="0" fontId="0" fillId="0" borderId="6" xfId="0" applyBorder="1" applyAlignment="1"/>
    <xf numFmtId="0" fontId="0" fillId="0" borderId="7" xfId="0" applyBorder="1" applyAlignment="1"/>
    <xf numFmtId="0" fontId="33" fillId="2" borderId="1" xfId="0" applyFont="1" applyFill="1" applyBorder="1" applyAlignment="1">
      <alignment horizontal="center" vertical="center" wrapText="1"/>
    </xf>
    <xf numFmtId="0" fontId="0" fillId="0" borderId="33" xfId="0" applyBorder="1" applyAlignment="1"/>
    <xf numFmtId="0" fontId="33" fillId="2" borderId="40" xfId="0" applyFont="1" applyFill="1" applyBorder="1" applyAlignment="1">
      <alignment horizontal="center"/>
    </xf>
    <xf numFmtId="0" fontId="33" fillId="2" borderId="41" xfId="0" applyFont="1" applyFill="1" applyBorder="1" applyAlignment="1">
      <alignment horizontal="center"/>
    </xf>
    <xf numFmtId="0" fontId="33" fillId="2" borderId="55" xfId="0" applyFont="1" applyFill="1" applyBorder="1" applyAlignment="1">
      <alignment horizontal="center"/>
    </xf>
    <xf numFmtId="0" fontId="0" fillId="0" borderId="50" xfId="0" applyBorder="1" applyAlignment="1"/>
    <xf numFmtId="0" fontId="10" fillId="14" borderId="75" xfId="0" applyFont="1" applyFill="1" applyBorder="1" applyAlignment="1">
      <alignment horizontal="center"/>
    </xf>
    <xf numFmtId="0" fontId="10" fillId="14" borderId="76" xfId="0" applyFont="1" applyFill="1" applyBorder="1" applyAlignment="1">
      <alignment horizontal="center"/>
    </xf>
    <xf numFmtId="0" fontId="21" fillId="27" borderId="16" xfId="0" applyFont="1" applyFill="1" applyBorder="1" applyAlignment="1">
      <alignment horizontal="center" wrapText="1"/>
    </xf>
    <xf numFmtId="0" fontId="3" fillId="27" borderId="75" xfId="0" applyFont="1" applyFill="1" applyBorder="1" applyAlignment="1">
      <alignment horizontal="center" wrapText="1"/>
    </xf>
    <xf numFmtId="0" fontId="3" fillId="27" borderId="76" xfId="0" applyFont="1" applyFill="1" applyBorder="1" applyAlignment="1">
      <alignment horizontal="center" wrapText="1"/>
    </xf>
    <xf numFmtId="0" fontId="3" fillId="27" borderId="76" xfId="0" applyFont="1" applyFill="1" applyBorder="1" applyAlignment="1">
      <alignment horizontal="center"/>
    </xf>
    <xf numFmtId="0" fontId="3" fillId="27" borderId="16" xfId="0" applyFont="1" applyFill="1" applyBorder="1" applyAlignment="1">
      <alignment horizontal="center"/>
    </xf>
    <xf numFmtId="0" fontId="33" fillId="27" borderId="16" xfId="0" applyFont="1" applyFill="1" applyBorder="1" applyAlignment="1">
      <alignment horizontal="center" vertical="center" wrapText="1"/>
    </xf>
    <xf numFmtId="0" fontId="0" fillId="27" borderId="16" xfId="0" applyFill="1" applyBorder="1" applyAlignment="1"/>
    <xf numFmtId="0" fontId="33" fillId="27" borderId="16" xfId="0" applyFont="1" applyFill="1" applyBorder="1" applyAlignment="1">
      <alignment horizontal="center"/>
    </xf>
    <xf numFmtId="0" fontId="1" fillId="24" borderId="0" xfId="6" applyFont="1" applyFill="1" applyAlignment="1">
      <alignment horizontal="center"/>
    </xf>
    <xf numFmtId="0" fontId="0" fillId="0" borderId="0" xfId="0" applyAlignment="1"/>
    <xf numFmtId="0" fontId="1" fillId="17" borderId="0" xfId="6" applyFont="1" applyFill="1" applyAlignment="1">
      <alignment horizontal="center" wrapText="1"/>
    </xf>
    <xf numFmtId="0" fontId="2" fillId="0" borderId="0" xfId="0" applyFont="1" applyAlignment="1"/>
    <xf numFmtId="0" fontId="0" fillId="0" borderId="15" xfId="0" applyBorder="1" applyAlignment="1">
      <alignment horizontal="center" vertical="center" wrapText="1"/>
    </xf>
    <xf numFmtId="0" fontId="0" fillId="0" borderId="62" xfId="0" applyBorder="1" applyAlignment="1"/>
    <xf numFmtId="0" fontId="0" fillId="0" borderId="12" xfId="0" applyBorder="1" applyAlignment="1"/>
    <xf numFmtId="0" fontId="0" fillId="0" borderId="36" xfId="0" applyBorder="1" applyAlignment="1">
      <alignment horizontal="center" vertical="center" wrapText="1"/>
    </xf>
    <xf numFmtId="0" fontId="0" fillId="0" borderId="16" xfId="0" applyBorder="1" applyAlignment="1">
      <alignment horizontal="left" wrapText="1"/>
    </xf>
    <xf numFmtId="0" fontId="0" fillId="0" borderId="66" xfId="0" applyBorder="1" applyAlignment="1"/>
    <xf numFmtId="0" fontId="0" fillId="0" borderId="17" xfId="0" applyBorder="1" applyAlignment="1">
      <alignment horizontal="left" wrapText="1"/>
    </xf>
    <xf numFmtId="0" fontId="0" fillId="0" borderId="53" xfId="0" applyBorder="1" applyAlignment="1"/>
    <xf numFmtId="0" fontId="31" fillId="18" borderId="39" xfId="0" applyFont="1" applyFill="1" applyBorder="1" applyAlignment="1">
      <alignment horizontal="center" vertical="center" wrapText="1"/>
    </xf>
    <xf numFmtId="0" fontId="0" fillId="0" borderId="72" xfId="0" applyBorder="1" applyAlignment="1"/>
    <xf numFmtId="0" fontId="0" fillId="0" borderId="73" xfId="0" applyBorder="1" applyAlignment="1"/>
    <xf numFmtId="0" fontId="0" fillId="0" borderId="75" xfId="0" applyBorder="1" applyAlignment="1"/>
    <xf numFmtId="0" fontId="2" fillId="0" borderId="76" xfId="0" applyFont="1" applyBorder="1" applyAlignment="1"/>
    <xf numFmtId="0" fontId="0" fillId="0" borderId="80" xfId="0" applyBorder="1" applyAlignment="1"/>
    <xf numFmtId="0" fontId="32" fillId="18" borderId="67" xfId="0" applyFont="1" applyFill="1" applyBorder="1" applyAlignment="1">
      <alignment horizontal="center"/>
    </xf>
    <xf numFmtId="0" fontId="0" fillId="0" borderId="55" xfId="0" applyBorder="1" applyAlignment="1"/>
    <xf numFmtId="0" fontId="0" fillId="0" borderId="61" xfId="0" applyBorder="1" applyAlignment="1">
      <alignment horizontal="left" wrapText="1"/>
    </xf>
    <xf numFmtId="0" fontId="0" fillId="0" borderId="68" xfId="0" applyBorder="1" applyAlignment="1"/>
    <xf numFmtId="0" fontId="0" fillId="0" borderId="17" xfId="0" applyBorder="1" applyAlignment="1">
      <alignment horizontal="left"/>
    </xf>
    <xf numFmtId="0" fontId="3" fillId="12" borderId="16" xfId="0" applyFont="1" applyFill="1" applyBorder="1" applyAlignment="1">
      <alignment horizontal="left" wrapText="1"/>
    </xf>
    <xf numFmtId="0" fontId="1" fillId="0" borderId="66" xfId="0" applyFont="1" applyBorder="1" applyAlignment="1"/>
    <xf numFmtId="0" fontId="24" fillId="12" borderId="14" xfId="0" applyFont="1" applyFill="1" applyBorder="1" applyAlignment="1">
      <alignment horizontal="left" vertical="center" wrapText="1"/>
    </xf>
    <xf numFmtId="0" fontId="1" fillId="0" borderId="65" xfId="0" applyFont="1" applyBorder="1" applyAlignment="1"/>
    <xf numFmtId="0" fontId="32" fillId="18" borderId="99" xfId="0" applyFont="1" applyFill="1" applyBorder="1" applyAlignment="1">
      <alignment horizontal="center" vertical="center" wrapText="1"/>
    </xf>
    <xf numFmtId="0" fontId="0" fillId="0" borderId="13" xfId="0" applyBorder="1" applyAlignment="1">
      <alignment horizontal="center" vertical="center" wrapText="1"/>
    </xf>
    <xf numFmtId="0" fontId="0" fillId="0" borderId="50" xfId="0" applyBorder="1" applyAlignment="1">
      <alignment horizontal="center"/>
    </xf>
    <xf numFmtId="0" fontId="0" fillId="0" borderId="13" xfId="0" applyBorder="1" applyAlignment="1">
      <alignment horizontal="center"/>
    </xf>
    <xf numFmtId="0" fontId="0" fillId="0" borderId="88" xfId="0" applyBorder="1" applyAlignment="1">
      <alignment horizontal="center" vertical="center" wrapText="1"/>
    </xf>
    <xf numFmtId="0" fontId="0" fillId="0" borderId="50" xfId="0" applyBorder="1" applyAlignment="1">
      <alignment horizontal="center" vertical="center" wrapText="1"/>
    </xf>
    <xf numFmtId="0" fontId="32" fillId="18" borderId="40" xfId="0" applyFont="1" applyFill="1" applyBorder="1" applyAlignment="1">
      <alignment horizontal="center"/>
    </xf>
    <xf numFmtId="0" fontId="32" fillId="18" borderId="41" xfId="0" applyFont="1" applyFill="1" applyBorder="1" applyAlignment="1">
      <alignment horizontal="center"/>
    </xf>
    <xf numFmtId="0" fontId="32" fillId="18" borderId="55" xfId="0" applyFont="1" applyFill="1" applyBorder="1" applyAlignment="1">
      <alignment horizontal="center"/>
    </xf>
    <xf numFmtId="0" fontId="0" fillId="0" borderId="16" xfId="0" applyBorder="1" applyAlignment="1">
      <alignment horizontal="center" vertical="center" wrapText="1"/>
    </xf>
    <xf numFmtId="0" fontId="0" fillId="0" borderId="37" xfId="0" applyBorder="1" applyAlignment="1">
      <alignment horizontal="center" vertical="center" wrapText="1"/>
    </xf>
    <xf numFmtId="0" fontId="18" fillId="0" borderId="16" xfId="0" applyFont="1" applyBorder="1" applyAlignment="1">
      <alignment horizontal="center" wrapText="1"/>
    </xf>
    <xf numFmtId="0" fontId="18" fillId="0" borderId="16" xfId="0" applyFont="1" applyBorder="1" applyAlignment="1">
      <alignment horizontal="center" vertical="center" wrapText="1"/>
    </xf>
    <xf numFmtId="0" fontId="24" fillId="14" borderId="17" xfId="0" applyFont="1" applyFill="1" applyBorder="1" applyAlignment="1">
      <alignment horizontal="left" vertical="center" wrapText="1"/>
    </xf>
    <xf numFmtId="0" fontId="21" fillId="14" borderId="4" xfId="0" applyFont="1" applyFill="1" applyBorder="1" applyAlignment="1">
      <alignment horizontal="center"/>
    </xf>
    <xf numFmtId="0" fontId="31" fillId="14" borderId="69" xfId="0" applyFont="1" applyFill="1" applyBorder="1" applyAlignment="1">
      <alignment horizontal="center" vertical="center"/>
    </xf>
    <xf numFmtId="0" fontId="0" fillId="0" borderId="43" xfId="0" applyBorder="1" applyAlignment="1"/>
    <xf numFmtId="0" fontId="21" fillId="14" borderId="1" xfId="0" applyFont="1" applyFill="1" applyBorder="1" applyAlignment="1">
      <alignment horizontal="center" vertical="center" wrapText="1"/>
    </xf>
    <xf numFmtId="0" fontId="18" fillId="14" borderId="14" xfId="0" applyFont="1" applyFill="1" applyBorder="1" applyAlignment="1">
      <alignment horizontal="left" vertical="center" wrapText="1"/>
    </xf>
    <xf numFmtId="0" fontId="0" fillId="0" borderId="65" xfId="0" applyBorder="1" applyAlignment="1"/>
    <xf numFmtId="0" fontId="18" fillId="14" borderId="17" xfId="0" applyFont="1" applyFill="1" applyBorder="1" applyAlignment="1">
      <alignment horizontal="left" vertical="center" wrapText="1"/>
    </xf>
    <xf numFmtId="0" fontId="21" fillId="14" borderId="40" xfId="0" applyFont="1" applyFill="1" applyBorder="1" applyAlignment="1">
      <alignment horizontal="center"/>
    </xf>
    <xf numFmtId="0" fontId="21" fillId="14" borderId="41" xfId="0" applyFont="1" applyFill="1" applyBorder="1" applyAlignment="1">
      <alignment horizontal="center"/>
    </xf>
    <xf numFmtId="0" fontId="21" fillId="14" borderId="55" xfId="0" applyFont="1" applyFill="1" applyBorder="1" applyAlignment="1">
      <alignment horizontal="center"/>
    </xf>
    <xf numFmtId="0" fontId="1" fillId="0" borderId="0" xfId="0" applyFont="1" applyAlignment="1">
      <alignment horizontal="center"/>
    </xf>
    <xf numFmtId="0" fontId="37" fillId="22" borderId="24" xfId="0" applyFont="1" applyFill="1" applyBorder="1" applyAlignment="1">
      <alignment horizontal="left" vertical="top" wrapText="1"/>
    </xf>
    <xf numFmtId="0" fontId="0" fillId="0" borderId="56" xfId="0" applyBorder="1" applyAlignment="1"/>
    <xf numFmtId="0" fontId="0" fillId="0" borderId="57" xfId="0" applyBorder="1" applyAlignment="1"/>
    <xf numFmtId="0" fontId="36" fillId="21" borderId="54" xfId="0" applyFont="1" applyFill="1" applyBorder="1" applyAlignment="1">
      <alignment horizontal="left" vertical="top" wrapText="1"/>
    </xf>
    <xf numFmtId="0" fontId="36" fillId="21" borderId="56" xfId="0" applyFont="1" applyFill="1" applyBorder="1" applyAlignment="1">
      <alignment horizontal="left" vertical="top" wrapText="1"/>
    </xf>
    <xf numFmtId="0" fontId="36" fillId="21" borderId="57" xfId="0" applyFont="1" applyFill="1" applyBorder="1" applyAlignment="1">
      <alignment horizontal="left" vertical="top" wrapText="1"/>
    </xf>
    <xf numFmtId="0" fontId="0" fillId="0" borderId="64" xfId="0" applyBorder="1" applyAlignment="1"/>
    <xf numFmtId="0" fontId="39" fillId="0" borderId="24" xfId="0" applyFont="1" applyBorder="1" applyAlignment="1">
      <alignment horizontal="left" vertical="top" wrapText="1"/>
    </xf>
    <xf numFmtId="0" fontId="0" fillId="0" borderId="81" xfId="0" applyBorder="1" applyAlignment="1">
      <alignment horizontal="center" vertical="center" wrapText="1"/>
    </xf>
    <xf numFmtId="0" fontId="0" fillId="0" borderId="0" xfId="0" applyAlignment="1">
      <alignment horizontal="left" vertical="top"/>
    </xf>
    <xf numFmtId="0" fontId="0" fillId="0" borderId="83" xfId="0" applyBorder="1" applyAlignment="1"/>
    <xf numFmtId="0" fontId="37" fillId="22" borderId="63" xfId="0" applyFont="1" applyFill="1" applyBorder="1" applyAlignment="1">
      <alignment horizontal="left" vertical="top" wrapText="1"/>
    </xf>
    <xf numFmtId="0" fontId="0" fillId="0" borderId="58" xfId="0" applyBorder="1" applyAlignment="1">
      <alignment horizontal="left" vertical="top" wrapText="1"/>
    </xf>
    <xf numFmtId="0" fontId="0" fillId="0" borderId="58" xfId="0" applyBorder="1" applyAlignment="1"/>
    <xf numFmtId="0" fontId="39" fillId="0" borderId="27" xfId="0" applyFont="1" applyBorder="1" applyAlignment="1">
      <alignment horizontal="left" vertical="top" wrapText="1"/>
    </xf>
    <xf numFmtId="0" fontId="0" fillId="0" borderId="70" xfId="0" applyBorder="1" applyAlignment="1"/>
    <xf numFmtId="0" fontId="0" fillId="0" borderId="16" xfId="0" applyBorder="1" applyAlignment="1">
      <alignment horizontal="left" vertical="center" wrapText="1"/>
    </xf>
    <xf numFmtId="0" fontId="37" fillId="21" borderId="84" xfId="0" applyFont="1" applyFill="1" applyBorder="1" applyAlignment="1">
      <alignment horizontal="center" vertical="center" wrapText="1"/>
    </xf>
    <xf numFmtId="0" fontId="0" fillId="0" borderId="82" xfId="0" applyBorder="1" applyAlignment="1"/>
    <xf numFmtId="0" fontId="37" fillId="21" borderId="24" xfId="0" applyFont="1" applyFill="1" applyBorder="1" applyAlignment="1">
      <alignment horizontal="center" vertical="center" wrapText="1"/>
    </xf>
    <xf numFmtId="0" fontId="32" fillId="19" borderId="4" xfId="0" applyFont="1" applyFill="1" applyBorder="1" applyAlignment="1">
      <alignment horizontal="center"/>
    </xf>
    <xf numFmtId="0" fontId="3" fillId="20" borderId="16" xfId="0" applyFont="1" applyFill="1" applyBorder="1" applyAlignment="1">
      <alignment horizontal="center"/>
    </xf>
    <xf numFmtId="0" fontId="0" fillId="0" borderId="26" xfId="0" applyBorder="1" applyAlignment="1"/>
    <xf numFmtId="0" fontId="0" fillId="0" borderId="0" xfId="0" applyAlignment="1">
      <alignment horizontal="left" wrapText="1"/>
    </xf>
    <xf numFmtId="0" fontId="21" fillId="28" borderId="16" xfId="0" applyFont="1" applyFill="1" applyBorder="1" applyAlignment="1">
      <alignment horizontal="center"/>
    </xf>
    <xf numFmtId="0" fontId="0" fillId="28" borderId="16" xfId="0" applyFill="1" applyBorder="1" applyAlignment="1"/>
    <xf numFmtId="0" fontId="21" fillId="28" borderId="16" xfId="0" applyFont="1" applyFill="1" applyBorder="1" applyAlignment="1">
      <alignment horizontal="center" wrapText="1"/>
    </xf>
    <xf numFmtId="0" fontId="21" fillId="28" borderId="37" xfId="0" applyFont="1" applyFill="1" applyBorder="1" applyAlignment="1">
      <alignment horizontal="center"/>
    </xf>
    <xf numFmtId="0" fontId="21" fillId="28" borderId="13" xfId="0" applyFont="1" applyFill="1" applyBorder="1" applyAlignment="1">
      <alignment horizontal="center"/>
    </xf>
    <xf numFmtId="0" fontId="1" fillId="17" borderId="0" xfId="0" applyFont="1" applyFill="1" applyAlignment="1">
      <alignment horizontal="center"/>
    </xf>
    <xf numFmtId="2" fontId="1" fillId="0" borderId="0" xfId="0" applyNumberFormat="1" applyFont="1" applyAlignment="1"/>
    <xf numFmtId="0" fontId="1" fillId="0" borderId="0" xfId="0" applyFont="1" applyAlignment="1"/>
    <xf numFmtId="0" fontId="1" fillId="27" borderId="35" xfId="0" applyFont="1" applyFill="1" applyBorder="1" applyAlignment="1">
      <alignment horizontal="center" vertical="center" wrapText="1"/>
    </xf>
    <xf numFmtId="0" fontId="1" fillId="27" borderId="97" xfId="0" applyFont="1" applyFill="1" applyBorder="1" applyAlignment="1">
      <alignment horizontal="center" vertical="center" wrapText="1"/>
    </xf>
    <xf numFmtId="0" fontId="1" fillId="27" borderId="98" xfId="0" applyFont="1" applyFill="1" applyBorder="1" applyAlignment="1">
      <alignment horizontal="center" vertical="center" wrapText="1"/>
    </xf>
    <xf numFmtId="0" fontId="1" fillId="32" borderId="90" xfId="0" applyFont="1" applyFill="1" applyBorder="1" applyAlignment="1">
      <alignment horizontal="center" vertical="center" wrapText="1"/>
    </xf>
    <xf numFmtId="0" fontId="1" fillId="32" borderId="62" xfId="0" applyFont="1" applyFill="1" applyBorder="1" applyAlignment="1">
      <alignment horizontal="center" vertical="center" wrapText="1"/>
    </xf>
    <xf numFmtId="0" fontId="1" fillId="32" borderId="93" xfId="0" applyFont="1" applyFill="1" applyBorder="1" applyAlignment="1">
      <alignment horizontal="center" vertical="center" wrapText="1"/>
    </xf>
    <xf numFmtId="0" fontId="1" fillId="24" borderId="1" xfId="0" applyFont="1" applyFill="1" applyBorder="1" applyAlignment="1">
      <alignment horizontal="center" vertical="center" wrapText="1"/>
    </xf>
    <xf numFmtId="0" fontId="1" fillId="24" borderId="33" xfId="0" applyFont="1" applyFill="1" applyBorder="1" applyAlignment="1">
      <alignment horizontal="center" vertical="center" wrapText="1"/>
    </xf>
    <xf numFmtId="0" fontId="1" fillId="24" borderId="5" xfId="0" applyFont="1" applyFill="1" applyBorder="1" applyAlignment="1">
      <alignment horizontal="center" vertical="center" wrapText="1"/>
    </xf>
    <xf numFmtId="0" fontId="1" fillId="31" borderId="90" xfId="0" applyFont="1" applyFill="1" applyBorder="1" applyAlignment="1">
      <alignment horizontal="center" vertical="center" wrapText="1"/>
    </xf>
    <xf numFmtId="0" fontId="1" fillId="31" borderId="62" xfId="0" applyFont="1" applyFill="1" applyBorder="1" applyAlignment="1">
      <alignment horizontal="center" vertical="center" wrapText="1"/>
    </xf>
    <xf numFmtId="0" fontId="1" fillId="31" borderId="93" xfId="0" applyFont="1" applyFill="1" applyBorder="1" applyAlignment="1">
      <alignment horizontal="center" vertical="center" wrapText="1"/>
    </xf>
  </cellXfs>
  <cellStyles count="43">
    <cellStyle name="60% - Accent1 2" xfId="24" xr:uid="{00000000-0005-0000-0000-000018000000}"/>
    <cellStyle name="60% - Accent2 2" xfId="25" xr:uid="{00000000-0005-0000-0000-000019000000}"/>
    <cellStyle name="60% - Accent3 2" xfId="26" xr:uid="{00000000-0005-0000-0000-00001A000000}"/>
    <cellStyle name="60% - Accent3 3" xfId="7" xr:uid="{00000000-0005-0000-0000-000007000000}"/>
    <cellStyle name="60% - Accent4 2" xfId="27" xr:uid="{00000000-0005-0000-0000-00001B000000}"/>
    <cellStyle name="60% - Accent5 2" xfId="28" xr:uid="{00000000-0005-0000-0000-00001C000000}"/>
    <cellStyle name="60% - Accent6 2" xfId="29" xr:uid="{00000000-0005-0000-0000-00001D000000}"/>
    <cellStyle name="Comma" xfId="1" builtinId="3"/>
    <cellStyle name="Comma 2" xfId="4" xr:uid="{00000000-0005-0000-0000-000004000000}"/>
    <cellStyle name="Comma 2 2" xfId="10" xr:uid="{00000000-0005-0000-0000-00000A000000}"/>
    <cellStyle name="Comma 2 3" xfId="36" xr:uid="{00000000-0005-0000-0000-000024000000}"/>
    <cellStyle name="Comma 2 4" xfId="9" xr:uid="{00000000-0005-0000-0000-000009000000}"/>
    <cellStyle name="Comma 3" xfId="12" xr:uid="{00000000-0005-0000-0000-00000C000000}"/>
    <cellStyle name="Comma 4" xfId="32" xr:uid="{00000000-0005-0000-0000-000020000000}"/>
    <cellStyle name="Comma 5" xfId="13" xr:uid="{00000000-0005-0000-0000-00000D000000}"/>
    <cellStyle name="Comma 6" xfId="42" xr:uid="{89267987-B104-48CD-BD5C-593D142E2651}"/>
    <cellStyle name="Currency" xfId="41" builtinId="4"/>
    <cellStyle name="Currency 2" xfId="37" xr:uid="{00000000-0005-0000-0000-000025000000}"/>
    <cellStyle name="Explanatory Text 2" xfId="22" xr:uid="{00000000-0005-0000-0000-000016000000}"/>
    <cellStyle name="Heading 1 2" xfId="15" xr:uid="{00000000-0005-0000-0000-00000F000000}"/>
    <cellStyle name="Heading 2 2" xfId="16" xr:uid="{00000000-0005-0000-0000-000010000000}"/>
    <cellStyle name="Heading 3 2" xfId="17" xr:uid="{00000000-0005-0000-0000-000011000000}"/>
    <cellStyle name="Heading 4 2" xfId="18" xr:uid="{00000000-0005-0000-0000-000012000000}"/>
    <cellStyle name="Linked Cell 2" xfId="20" xr:uid="{00000000-0005-0000-0000-000014000000}"/>
    <cellStyle name="Neutral 2" xfId="19" xr:uid="{00000000-0005-0000-0000-000013000000}"/>
    <cellStyle name="Normal" xfId="0" builtinId="0"/>
    <cellStyle name="Normal 2" xfId="6" xr:uid="{00000000-0005-0000-0000-000006000000}"/>
    <cellStyle name="Normal 2 2" xfId="31" xr:uid="{00000000-0005-0000-0000-00001F000000}"/>
    <cellStyle name="Normal 2 2 2" xfId="33" xr:uid="{00000000-0005-0000-0000-000021000000}"/>
    <cellStyle name="Normal 2 3" xfId="38" xr:uid="{00000000-0005-0000-0000-000026000000}"/>
    <cellStyle name="Normal 2 4" xfId="30" xr:uid="{00000000-0005-0000-0000-00001E000000}"/>
    <cellStyle name="Normal 3" xfId="34" xr:uid="{00000000-0005-0000-0000-000022000000}"/>
    <cellStyle name="Normal 3 2" xfId="35" xr:uid="{00000000-0005-0000-0000-000023000000}"/>
    <cellStyle name="Normal 3 3" xfId="39" xr:uid="{00000000-0005-0000-0000-000027000000}"/>
    <cellStyle name="Normal 4" xfId="3" xr:uid="{00000000-0005-0000-0000-000003000000}"/>
    <cellStyle name="Normal 7" xfId="5" xr:uid="{00000000-0005-0000-0000-000005000000}"/>
    <cellStyle name="Percent" xfId="2" builtinId="5"/>
    <cellStyle name="Percent 2" xfId="8" xr:uid="{00000000-0005-0000-0000-000008000000}"/>
    <cellStyle name="Percent 2 2" xfId="40" xr:uid="{00000000-0005-0000-0000-000028000000}"/>
    <cellStyle name="Percent 3" xfId="11" xr:uid="{00000000-0005-0000-0000-00000B000000}"/>
    <cellStyle name="Title 2" xfId="14" xr:uid="{00000000-0005-0000-0000-00000E000000}"/>
    <cellStyle name="Total 2" xfId="23" xr:uid="{00000000-0005-0000-0000-000017000000}"/>
    <cellStyle name="Warning Text 2" xfId="21" xr:uid="{00000000-0005-0000-0000-000015000000}"/>
  </cellStyles>
  <dxfs count="8">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b/>
      </font>
      <fill>
        <patternFill>
          <bgColor rgb="FFD7D7D7"/>
        </patternFill>
      </fill>
    </dxf>
  </dxfs>
  <tableStyles count="1" defaultTableStyle="TableStyleMedium2" defaultPivotStyle="PivotStyleLight16">
    <tableStyle name="MySqlDefault" pivot="0" table="0" count="1" xr9:uid="{00000000-0011-0000-FFFF-FFFF00000000}">
      <tableStyleElement type="headerRow" dxfId="7"/>
    </tableStyle>
  </tableStyles>
  <colors>
    <mruColors>
      <color rgb="FFCC4E48"/>
      <color rgb="FFF29C9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eetMetadata" Target="metadata.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 Id="rId22"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16</xdr:col>
      <xdr:colOff>238125</xdr:colOff>
      <xdr:row>0</xdr:row>
      <xdr:rowOff>0</xdr:rowOff>
    </xdr:from>
    <xdr:to>
      <xdr:col>26</xdr:col>
      <xdr:colOff>171450</xdr:colOff>
      <xdr:row>41</xdr:row>
      <xdr:rowOff>0</xdr:rowOff>
    </xdr:to>
    <xdr:pic>
      <xdr:nvPicPr>
        <xdr:cNvPr id="2" name="Picture 1">
          <a:extLst>
            <a:ext uri="{FF2B5EF4-FFF2-40B4-BE49-F238E27FC236}">
              <a16:creationId xmlns:a16="http://schemas.microsoft.com/office/drawing/2014/main" id="{47DA23A9-2196-4714-BB2E-E1A158ACD65E}"/>
            </a:ext>
          </a:extLst>
        </xdr:cNvPr>
        <xdr:cNvPicPr>
          <a:picLocks noChangeAspect="1"/>
        </xdr:cNvPicPr>
      </xdr:nvPicPr>
      <xdr:blipFill>
        <a:blip xmlns:r="http://schemas.openxmlformats.org/officeDocument/2006/relationships" r:embed="rId1"/>
        <a:stretch>
          <a:fillRect/>
        </a:stretch>
      </xdr:blipFill>
      <xdr:spPr>
        <a:xfrm>
          <a:off x="11972925" y="0"/>
          <a:ext cx="6029325" cy="7810500"/>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sites/SANDAGModels/Shared%20Documents/TAM-RP/2021%20RP/Performance%20Measures/Draft_v2/PerformanceMeasures_draft_RP.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ssueLog"/>
      <sheetName val="Major Inputs"/>
      <sheetName val="PrimaryMeasures"/>
      <sheetName val="Primary_M-2_CompTravelTime"/>
      <sheetName val="SupportingMeasures"/>
      <sheetName val="Social Equity PMs"/>
      <sheetName val="SB375 Data Table"/>
      <sheetName val="SB375 GHG Analysis (EMFAC2014)"/>
      <sheetName val="SB375GHG Analysis(EMFAC2014)old"/>
      <sheetName val="SB375 Land Use Forecast"/>
      <sheetName val="Conformity"/>
      <sheetName val="Off Model"/>
      <sheetName val="particulateMatter"/>
    </sheetNames>
    <sheetDataSet>
      <sheetData sheetId="0"/>
      <sheetData sheetId="1"/>
      <sheetData sheetId="2"/>
      <sheetData sheetId="3"/>
      <sheetData sheetId="4"/>
      <sheetData sheetId="5"/>
      <sheetData sheetId="6">
        <row r="28">
          <cell r="C28">
            <v>2415</v>
          </cell>
        </row>
        <row r="29">
          <cell r="C29">
            <v>45</v>
          </cell>
        </row>
        <row r="30">
          <cell r="C30">
            <v>116</v>
          </cell>
        </row>
        <row r="31">
          <cell r="C31">
            <v>4074</v>
          </cell>
        </row>
        <row r="32">
          <cell r="C32">
            <v>6777</v>
          </cell>
        </row>
      </sheetData>
      <sheetData sheetId="7"/>
      <sheetData sheetId="8"/>
      <sheetData sheetId="9"/>
      <sheetData sheetId="10"/>
      <sheetData sheetId="11"/>
      <sheetData sheetId="1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4" tint="0.39997558519241921"/>
    <pageSetUpPr fitToPage="1"/>
  </sheetPr>
  <dimension ref="A1:K170"/>
  <sheetViews>
    <sheetView view="pageBreakPreview" topLeftCell="A40" zoomScaleNormal="100" zoomScaleSheetLayoutView="100" workbookViewId="0">
      <selection activeCell="H39" sqref="H39:J39"/>
    </sheetView>
  </sheetViews>
  <sheetFormatPr defaultRowHeight="15"/>
  <cols>
    <col min="1" max="1" width="7.140625" style="7" customWidth="1"/>
    <col min="2" max="2" width="33" style="289" customWidth="1"/>
    <col min="3" max="3" width="59.7109375" style="289" customWidth="1"/>
    <col min="4" max="10" width="12.42578125" style="115" customWidth="1"/>
  </cols>
  <sheetData>
    <row r="1" spans="1:10" s="55" customFormat="1" ht="30.75" customHeight="1" thickBot="1">
      <c r="A1" s="457" t="s">
        <v>0</v>
      </c>
      <c r="B1" s="458"/>
      <c r="C1" s="459"/>
      <c r="D1" s="463">
        <v>2016</v>
      </c>
      <c r="E1" s="465" t="s">
        <v>1</v>
      </c>
      <c r="F1" s="466"/>
      <c r="G1" s="467"/>
      <c r="H1" s="452" t="s">
        <v>2</v>
      </c>
      <c r="I1" s="453"/>
      <c r="J1" s="454"/>
    </row>
    <row r="2" spans="1:10" s="55" customFormat="1" ht="20.25" customHeight="1" thickBot="1">
      <c r="A2" s="460"/>
      <c r="B2" s="461"/>
      <c r="C2" s="462"/>
      <c r="D2" s="464"/>
      <c r="E2" s="108">
        <v>2025</v>
      </c>
      <c r="F2" s="109">
        <v>2035</v>
      </c>
      <c r="G2" s="110">
        <v>2050</v>
      </c>
      <c r="H2" s="108">
        <v>2025</v>
      </c>
      <c r="I2" s="109">
        <v>2035</v>
      </c>
      <c r="J2" s="111">
        <v>2050</v>
      </c>
    </row>
    <row r="3" spans="1:10" s="288" customFormat="1" ht="30.75" customHeight="1">
      <c r="A3" s="56"/>
      <c r="B3" s="57" t="s">
        <v>3</v>
      </c>
      <c r="C3" s="58"/>
      <c r="D3" s="112">
        <v>458</v>
      </c>
      <c r="E3" s="113">
        <v>461</v>
      </c>
      <c r="F3" s="113">
        <v>469</v>
      </c>
      <c r="G3" s="113">
        <v>460</v>
      </c>
      <c r="H3" s="113">
        <v>462</v>
      </c>
      <c r="I3" s="113">
        <v>475</v>
      </c>
      <c r="J3" s="113">
        <v>459</v>
      </c>
    </row>
    <row r="4" spans="1:10" s="288" customFormat="1" ht="15.75" customHeight="1">
      <c r="A4" s="1" t="s">
        <v>4</v>
      </c>
      <c r="B4" s="2" t="s">
        <v>5</v>
      </c>
      <c r="C4" s="3" t="s">
        <v>6</v>
      </c>
      <c r="D4" s="114"/>
      <c r="E4" s="114"/>
      <c r="F4" s="114"/>
      <c r="G4" s="114"/>
      <c r="H4" s="114"/>
      <c r="I4" s="114"/>
      <c r="J4" s="114"/>
    </row>
    <row r="5" spans="1:10">
      <c r="A5" s="159"/>
      <c r="B5" s="455" t="s">
        <v>7</v>
      </c>
      <c r="C5" s="160" t="s">
        <v>8</v>
      </c>
      <c r="D5" s="251">
        <v>0.69010053015047057</v>
      </c>
      <c r="E5" s="251">
        <v>0.72767967702292891</v>
      </c>
      <c r="F5" s="251">
        <v>0.74571781632417777</v>
      </c>
      <c r="G5" s="251">
        <v>0.7608818469729457</v>
      </c>
      <c r="H5" s="251">
        <v>0.71615562896887519</v>
      </c>
      <c r="I5" s="251">
        <v>0.739618999542204</v>
      </c>
      <c r="J5" s="251">
        <v>0.7473990179954868</v>
      </c>
    </row>
    <row r="6" spans="1:10">
      <c r="A6" s="159"/>
      <c r="B6" s="468"/>
      <c r="C6" s="160" t="s">
        <v>9</v>
      </c>
      <c r="D6" s="251">
        <v>0.95601821228557571</v>
      </c>
      <c r="E6" s="251">
        <v>0.96750545537804489</v>
      </c>
      <c r="F6" s="251">
        <v>0.9684003219123114</v>
      </c>
      <c r="G6" s="251">
        <v>0.97151543559285203</v>
      </c>
      <c r="H6" s="251">
        <v>0.96290226111985944</v>
      </c>
      <c r="I6" s="251">
        <v>0.97059611981495642</v>
      </c>
      <c r="J6" s="251">
        <v>0.97503954725288511</v>
      </c>
    </row>
    <row r="7" spans="1:10" ht="15.75" customHeight="1">
      <c r="A7" s="161"/>
      <c r="B7" s="468"/>
      <c r="C7" s="162" t="s">
        <v>10</v>
      </c>
      <c r="D7" s="251">
        <v>0.69973706839529037</v>
      </c>
      <c r="E7" s="251">
        <v>0.73683583400698105</v>
      </c>
      <c r="F7" s="251">
        <v>0.75443552855292806</v>
      </c>
      <c r="G7" s="251">
        <v>0.76953007159052944</v>
      </c>
      <c r="H7" s="251">
        <v>0.74506533603726943</v>
      </c>
      <c r="I7" s="251">
        <v>0.79851798332458412</v>
      </c>
      <c r="J7" s="251">
        <v>0.80438598767574609</v>
      </c>
    </row>
    <row r="8" spans="1:10" ht="15.75" customHeight="1">
      <c r="A8" s="161"/>
      <c r="B8" s="468"/>
      <c r="C8" s="162" t="s">
        <v>11</v>
      </c>
      <c r="D8" s="251">
        <v>0.95601821228557571</v>
      </c>
      <c r="E8" s="251">
        <v>0.96750545537804489</v>
      </c>
      <c r="F8" s="251">
        <v>0.9684003219123114</v>
      </c>
      <c r="G8" s="251">
        <v>0.97151543559285203</v>
      </c>
      <c r="H8" s="251">
        <v>0.96290226111985944</v>
      </c>
      <c r="I8" s="251">
        <v>0.97059611981495642</v>
      </c>
      <c r="J8" s="251">
        <v>0.97503954725288511</v>
      </c>
    </row>
    <row r="9" spans="1:10" ht="15.75" customHeight="1">
      <c r="A9" s="161"/>
      <c r="B9" s="468"/>
      <c r="C9" s="162" t="s">
        <v>12</v>
      </c>
      <c r="D9" s="251">
        <v>0.60340965883200304</v>
      </c>
      <c r="E9" s="251">
        <v>0.61680817161895063</v>
      </c>
      <c r="F9" s="251">
        <v>0.63675760652152258</v>
      </c>
      <c r="G9" s="251">
        <v>0.63379622271023295</v>
      </c>
      <c r="H9" s="251">
        <v>0.63169510394422668</v>
      </c>
      <c r="I9" s="251">
        <v>0.66527219834991957</v>
      </c>
      <c r="J9" s="251">
        <v>0.67404710853625971</v>
      </c>
    </row>
    <row r="10" spans="1:10">
      <c r="A10" s="159"/>
      <c r="B10" s="456"/>
      <c r="C10" s="160" t="s">
        <v>13</v>
      </c>
      <c r="D10" s="251">
        <v>0.99020697672139657</v>
      </c>
      <c r="E10" s="251">
        <v>0.99132162666056101</v>
      </c>
      <c r="F10" s="251">
        <v>0.99116140275864073</v>
      </c>
      <c r="G10" s="251">
        <v>0.99250440345009905</v>
      </c>
      <c r="H10" s="251">
        <v>0.99105090206486646</v>
      </c>
      <c r="I10" s="251">
        <v>0.99170342653045462</v>
      </c>
      <c r="J10" s="251">
        <v>0.99255116814421473</v>
      </c>
    </row>
    <row r="11" spans="1:10">
      <c r="A11" s="159"/>
      <c r="B11" s="455" t="s">
        <v>14</v>
      </c>
      <c r="C11" s="160" t="s">
        <v>8</v>
      </c>
      <c r="D11" s="251">
        <v>0.91184916356415291</v>
      </c>
      <c r="E11" s="251">
        <v>0.93455867768595047</v>
      </c>
      <c r="F11" s="251">
        <v>0.93805295059469351</v>
      </c>
      <c r="G11" s="251">
        <v>0.94628445875719602</v>
      </c>
      <c r="H11" s="251">
        <v>0.93100412894376694</v>
      </c>
      <c r="I11" s="251">
        <v>0.94256820360564286</v>
      </c>
      <c r="J11" s="251">
        <v>0.94602866382673201</v>
      </c>
    </row>
    <row r="12" spans="1:10">
      <c r="A12" s="159"/>
      <c r="B12" s="468"/>
      <c r="C12" s="160" t="s">
        <v>9</v>
      </c>
      <c r="D12" s="251">
        <v>0.99829778950707315</v>
      </c>
      <c r="E12" s="251">
        <v>1</v>
      </c>
      <c r="F12" s="251">
        <v>1</v>
      </c>
      <c r="G12" s="251">
        <v>0.99999784590695395</v>
      </c>
      <c r="H12" s="251">
        <v>1</v>
      </c>
      <c r="I12" s="251">
        <v>1</v>
      </c>
      <c r="J12" s="251">
        <v>1</v>
      </c>
    </row>
    <row r="13" spans="1:10" ht="15.75" customHeight="1">
      <c r="A13" s="159"/>
      <c r="B13" s="468"/>
      <c r="C13" s="162" t="s">
        <v>10</v>
      </c>
      <c r="D13" s="251">
        <v>0.9180390199020686</v>
      </c>
      <c r="E13" s="251">
        <v>0.94037371113734747</v>
      </c>
      <c r="F13" s="251">
        <v>0.9435818847209515</v>
      </c>
      <c r="G13" s="251">
        <v>0.95182317050184984</v>
      </c>
      <c r="H13" s="251">
        <v>0.97831185027104051</v>
      </c>
      <c r="I13" s="251">
        <v>0.97717638046434929</v>
      </c>
      <c r="J13" s="251">
        <v>0.97898604746980999</v>
      </c>
    </row>
    <row r="14" spans="1:10" ht="15.75" customHeight="1">
      <c r="A14" s="159"/>
      <c r="B14" s="468"/>
      <c r="C14" s="162" t="s">
        <v>11</v>
      </c>
      <c r="D14" s="251">
        <v>0.99829778950707315</v>
      </c>
      <c r="E14" s="251">
        <v>1</v>
      </c>
      <c r="F14" s="251">
        <v>1</v>
      </c>
      <c r="G14" s="251">
        <v>0.99999784590695395</v>
      </c>
      <c r="H14" s="251">
        <v>1</v>
      </c>
      <c r="I14" s="251">
        <v>1</v>
      </c>
      <c r="J14" s="251">
        <v>1</v>
      </c>
    </row>
    <row r="15" spans="1:10" ht="15.75" customHeight="1">
      <c r="A15" s="159"/>
      <c r="B15" s="468"/>
      <c r="C15" s="162" t="s">
        <v>12</v>
      </c>
      <c r="D15" s="251">
        <v>0.84301922146451724</v>
      </c>
      <c r="E15" s="251">
        <v>0.85618260527351442</v>
      </c>
      <c r="F15" s="251">
        <v>0.86362362763037515</v>
      </c>
      <c r="G15" s="251">
        <v>0.84547128863231247</v>
      </c>
      <c r="H15" s="251">
        <v>0.87110530677543052</v>
      </c>
      <c r="I15" s="251">
        <v>0.894557344695732</v>
      </c>
      <c r="J15" s="251">
        <v>0.89716115320247336</v>
      </c>
    </row>
    <row r="16" spans="1:10">
      <c r="A16" s="159"/>
      <c r="B16" s="456"/>
      <c r="C16" s="160" t="s">
        <v>13</v>
      </c>
      <c r="D16" s="251">
        <v>1</v>
      </c>
      <c r="E16" s="251">
        <v>1</v>
      </c>
      <c r="F16" s="251">
        <v>1</v>
      </c>
      <c r="G16" s="251">
        <v>1</v>
      </c>
      <c r="H16" s="251">
        <v>1</v>
      </c>
      <c r="I16" s="251">
        <v>1</v>
      </c>
      <c r="J16" s="251">
        <v>1</v>
      </c>
    </row>
    <row r="17" spans="1:11" s="288" customFormat="1" ht="15.75" customHeight="1">
      <c r="A17" s="163" t="s">
        <v>15</v>
      </c>
      <c r="B17" s="164" t="s">
        <v>5</v>
      </c>
      <c r="C17" s="165" t="s">
        <v>16</v>
      </c>
      <c r="D17" s="114"/>
      <c r="E17" s="114"/>
      <c r="F17" s="114"/>
      <c r="G17" s="114"/>
      <c r="H17" s="114"/>
      <c r="I17" s="114"/>
      <c r="J17" s="114"/>
      <c r="K17" s="358"/>
    </row>
    <row r="18" spans="1:11">
      <c r="A18" s="159"/>
      <c r="B18" s="455" t="s">
        <v>7</v>
      </c>
      <c r="C18" s="160" t="s">
        <v>8</v>
      </c>
      <c r="D18" s="251">
        <v>0.51005056518351932</v>
      </c>
      <c r="E18" s="251">
        <v>0.5229893953058049</v>
      </c>
      <c r="F18" s="251">
        <v>0.5307280187953809</v>
      </c>
      <c r="G18" s="251">
        <v>0.52994508257077144</v>
      </c>
      <c r="H18" s="251">
        <v>0.52694337621314991</v>
      </c>
      <c r="I18" s="251">
        <v>0.5333250877815473</v>
      </c>
      <c r="J18" s="251">
        <v>0.53491944038069161</v>
      </c>
      <c r="K18" s="359"/>
    </row>
    <row r="19" spans="1:11">
      <c r="A19" s="159"/>
      <c r="B19" s="468"/>
      <c r="C19" s="160" t="s">
        <v>9</v>
      </c>
      <c r="D19" s="251">
        <v>0.93482138044910901</v>
      </c>
      <c r="E19" s="251">
        <v>0.93702805723123794</v>
      </c>
      <c r="F19" s="251">
        <v>0.93839369562273134</v>
      </c>
      <c r="G19" s="251">
        <v>0.93919211152595627</v>
      </c>
      <c r="H19" s="251">
        <v>0.94662607647341934</v>
      </c>
      <c r="I19" s="251">
        <v>0.95148033771690743</v>
      </c>
      <c r="J19" s="251">
        <v>0.9566242594689045</v>
      </c>
      <c r="K19" s="359"/>
    </row>
    <row r="20" spans="1:11">
      <c r="A20" s="159"/>
      <c r="B20" s="468"/>
      <c r="C20" s="162" t="s">
        <v>10</v>
      </c>
      <c r="D20" s="251">
        <v>0.54213734669978886</v>
      </c>
      <c r="E20" s="251">
        <v>0.55519481657313474</v>
      </c>
      <c r="F20" s="251">
        <v>0.56453188957825684</v>
      </c>
      <c r="G20" s="251">
        <v>0.5638692188836375</v>
      </c>
      <c r="H20" s="251">
        <v>0.69536678363994042</v>
      </c>
      <c r="I20" s="251">
        <v>0.74365269735877437</v>
      </c>
      <c r="J20" s="251">
        <v>0.74509700565393266</v>
      </c>
      <c r="K20" s="359"/>
    </row>
    <row r="21" spans="1:11">
      <c r="A21" s="159"/>
      <c r="B21" s="468"/>
      <c r="C21" s="162" t="s">
        <v>11</v>
      </c>
      <c r="D21" s="251">
        <v>0.93482138044910901</v>
      </c>
      <c r="E21" s="251">
        <v>0.93702805723123794</v>
      </c>
      <c r="F21" s="251">
        <v>0.93839369562273134</v>
      </c>
      <c r="G21" s="251">
        <v>0.93919211152595627</v>
      </c>
      <c r="H21" s="251">
        <v>0.94693885537524125</v>
      </c>
      <c r="I21" s="251">
        <v>0.95149292990572087</v>
      </c>
      <c r="J21" s="251">
        <v>0.9566242594689045</v>
      </c>
      <c r="K21" s="359"/>
    </row>
    <row r="22" spans="1:11">
      <c r="A22" s="159"/>
      <c r="B22" s="468"/>
      <c r="C22" s="162" t="s">
        <v>12</v>
      </c>
      <c r="D22" s="251">
        <v>0.39021855232663538</v>
      </c>
      <c r="E22" s="251">
        <v>0.39458679307879568</v>
      </c>
      <c r="F22" s="251">
        <v>0.41009680874759769</v>
      </c>
      <c r="G22" s="251">
        <v>0.40948734001338599</v>
      </c>
      <c r="H22" s="251">
        <v>0.41778120312697131</v>
      </c>
      <c r="I22" s="251">
        <v>0.44729217571755892</v>
      </c>
      <c r="J22" s="251">
        <v>0.45482125074201779</v>
      </c>
      <c r="K22" s="359"/>
    </row>
    <row r="23" spans="1:11" ht="16.5" customHeight="1">
      <c r="A23" s="159"/>
      <c r="B23" s="456"/>
      <c r="C23" s="160" t="s">
        <v>13</v>
      </c>
      <c r="D23" s="251">
        <v>0.98557489722822433</v>
      </c>
      <c r="E23" s="251">
        <v>0.98587793036741445</v>
      </c>
      <c r="F23" s="251">
        <v>0.98669369416763397</v>
      </c>
      <c r="G23" s="251">
        <v>0.98664178676813252</v>
      </c>
      <c r="H23" s="251">
        <v>0.98682210794873115</v>
      </c>
      <c r="I23" s="251">
        <v>0.98775843368841443</v>
      </c>
      <c r="J23" s="251">
        <v>0.98841289818920619</v>
      </c>
      <c r="K23" s="158"/>
    </row>
    <row r="24" spans="1:11" ht="17.25" customHeight="1">
      <c r="A24" s="159"/>
      <c r="B24" s="455" t="s">
        <v>14</v>
      </c>
      <c r="C24" s="160" t="s">
        <v>8</v>
      </c>
      <c r="D24" s="251">
        <v>0.63851799154566458</v>
      </c>
      <c r="E24" s="251">
        <v>0.65263880362062177</v>
      </c>
      <c r="F24" s="251">
        <v>0.65262236962488562</v>
      </c>
      <c r="G24" s="251">
        <v>0.64499738816218166</v>
      </c>
      <c r="H24" s="251">
        <v>0.65143703314748691</v>
      </c>
      <c r="I24" s="251">
        <v>0.64331034452910463</v>
      </c>
      <c r="J24" s="251">
        <v>0.64082815675868066</v>
      </c>
      <c r="K24" s="158"/>
    </row>
    <row r="25" spans="1:11">
      <c r="A25" s="159"/>
      <c r="B25" s="468"/>
      <c r="C25" s="160" t="s">
        <v>9</v>
      </c>
      <c r="D25" s="251">
        <v>0.99763679127370297</v>
      </c>
      <c r="E25" s="251">
        <v>0.99557339630066899</v>
      </c>
      <c r="F25" s="251">
        <v>0.99232273559011897</v>
      </c>
      <c r="G25" s="251">
        <v>0.99253122088608614</v>
      </c>
      <c r="H25" s="251">
        <v>0.99512574845156943</v>
      </c>
      <c r="I25" s="251">
        <v>0.98703552625030022</v>
      </c>
      <c r="J25" s="251">
        <v>0.98783577195807615</v>
      </c>
      <c r="K25" s="359"/>
    </row>
    <row r="26" spans="1:11">
      <c r="A26" s="159"/>
      <c r="B26" s="468"/>
      <c r="C26" s="162" t="s">
        <v>10</v>
      </c>
      <c r="D26" s="251">
        <v>0.68827981511655345</v>
      </c>
      <c r="E26" s="251">
        <v>0.70099960645415194</v>
      </c>
      <c r="F26" s="251">
        <v>0.70287968892955166</v>
      </c>
      <c r="G26" s="251">
        <v>0.69454745197718815</v>
      </c>
      <c r="H26" s="251">
        <v>0.9852312509086314</v>
      </c>
      <c r="I26" s="251">
        <v>0.97177830338729609</v>
      </c>
      <c r="J26" s="251">
        <v>0.96247370068911076</v>
      </c>
      <c r="K26" s="359"/>
    </row>
    <row r="27" spans="1:11">
      <c r="A27" s="159"/>
      <c r="B27" s="468"/>
      <c r="C27" s="162" t="s">
        <v>11</v>
      </c>
      <c r="D27" s="251">
        <v>0.99763679127370297</v>
      </c>
      <c r="E27" s="251">
        <v>0.99557339630066899</v>
      </c>
      <c r="F27" s="251">
        <v>0.99232273559011897</v>
      </c>
      <c r="G27" s="251">
        <v>0.99253122088608614</v>
      </c>
      <c r="H27" s="251">
        <v>0.99578272345891516</v>
      </c>
      <c r="I27" s="251">
        <v>0.98705987115593941</v>
      </c>
      <c r="J27" s="251">
        <v>0.98783577195807615</v>
      </c>
      <c r="K27" s="359"/>
    </row>
    <row r="28" spans="1:11">
      <c r="A28" s="159"/>
      <c r="B28" s="468"/>
      <c r="C28" s="162" t="s">
        <v>12</v>
      </c>
      <c r="D28" s="251">
        <v>0.59425701767960215</v>
      </c>
      <c r="E28" s="251">
        <v>0.59706509248327433</v>
      </c>
      <c r="F28" s="251">
        <v>0.60586745196706315</v>
      </c>
      <c r="G28" s="251">
        <v>0.59395992309887824</v>
      </c>
      <c r="H28" s="251">
        <v>0.6275884109854073</v>
      </c>
      <c r="I28" s="251">
        <v>0.65222544897415979</v>
      </c>
      <c r="J28" s="251">
        <v>0.65446861369104137</v>
      </c>
      <c r="K28" s="359"/>
    </row>
    <row r="29" spans="1:11">
      <c r="A29" s="159"/>
      <c r="B29" s="456"/>
      <c r="C29" s="160" t="s">
        <v>13</v>
      </c>
      <c r="D29" s="251">
        <v>1</v>
      </c>
      <c r="E29" s="251">
        <v>1</v>
      </c>
      <c r="F29" s="251">
        <v>1</v>
      </c>
      <c r="G29" s="251">
        <v>0.99830311320297482</v>
      </c>
      <c r="H29" s="251">
        <v>1</v>
      </c>
      <c r="I29" s="251">
        <v>1</v>
      </c>
      <c r="J29" s="251">
        <v>1</v>
      </c>
      <c r="K29" s="359"/>
    </row>
    <row r="30" spans="1:11" ht="15.75" customHeight="1">
      <c r="A30" s="163" t="s">
        <v>17</v>
      </c>
      <c r="B30" s="164" t="s">
        <v>5</v>
      </c>
      <c r="C30" s="165" t="s">
        <v>18</v>
      </c>
      <c r="K30" s="359"/>
    </row>
    <row r="31" spans="1:11">
      <c r="A31" s="159"/>
      <c r="B31" s="455" t="s">
        <v>7</v>
      </c>
      <c r="C31" s="160" t="s">
        <v>12</v>
      </c>
      <c r="D31" s="251">
        <v>0.80967469486949573</v>
      </c>
      <c r="E31" s="251">
        <v>0.81394999743001462</v>
      </c>
      <c r="F31" s="251">
        <v>0.82492436291919402</v>
      </c>
      <c r="G31" s="251">
        <v>0.82277397352847992</v>
      </c>
      <c r="H31" s="251">
        <v>0.82252206682896511</v>
      </c>
      <c r="I31" s="251">
        <v>0.84451920784498957</v>
      </c>
      <c r="J31" s="251">
        <v>0.85437879726613053</v>
      </c>
      <c r="K31" s="359"/>
    </row>
    <row r="32" spans="1:11">
      <c r="A32" s="159"/>
      <c r="B32" s="456"/>
      <c r="C32" s="160" t="s">
        <v>13</v>
      </c>
      <c r="D32" s="251">
        <v>0.99998652575051572</v>
      </c>
      <c r="E32" s="251">
        <v>1</v>
      </c>
      <c r="F32" s="251">
        <v>0.99998852711685882</v>
      </c>
      <c r="G32" s="251">
        <v>0.99998810608935784</v>
      </c>
      <c r="H32" s="251">
        <v>0.99998977846726067</v>
      </c>
      <c r="I32" s="251">
        <v>0.99997957267148041</v>
      </c>
      <c r="J32" s="251">
        <v>0.99997999660482917</v>
      </c>
      <c r="K32" s="359"/>
    </row>
    <row r="33" spans="1:10" ht="15.75" customHeight="1">
      <c r="A33" s="159"/>
      <c r="B33" s="455" t="s">
        <v>14</v>
      </c>
      <c r="C33" s="160" t="s">
        <v>12</v>
      </c>
      <c r="D33" s="251">
        <v>0.95527128585862897</v>
      </c>
      <c r="E33" s="251">
        <v>0.96031798504525778</v>
      </c>
      <c r="F33" s="251">
        <v>0.96517783623055808</v>
      </c>
      <c r="G33" s="251">
        <v>0.95636399864292143</v>
      </c>
      <c r="H33" s="251">
        <v>0.96115443574680148</v>
      </c>
      <c r="I33" s="251">
        <v>0.97831409905455202</v>
      </c>
      <c r="J33" s="251">
        <v>0.9811664808844931</v>
      </c>
    </row>
    <row r="34" spans="1:10" ht="15.75" customHeight="1">
      <c r="A34" s="159"/>
      <c r="B34" s="456"/>
      <c r="C34" s="160" t="s">
        <v>13</v>
      </c>
      <c r="D34" s="251">
        <v>1</v>
      </c>
      <c r="E34" s="251">
        <v>1</v>
      </c>
      <c r="F34" s="251">
        <v>1</v>
      </c>
      <c r="G34" s="251">
        <v>1</v>
      </c>
      <c r="H34" s="251">
        <v>1</v>
      </c>
      <c r="I34" s="251">
        <v>1</v>
      </c>
      <c r="J34" s="251">
        <v>1</v>
      </c>
    </row>
    <row r="35" spans="1:10" ht="15.75" customHeight="1">
      <c r="A35" s="166" t="s">
        <v>19</v>
      </c>
      <c r="B35" s="167" t="s">
        <v>20</v>
      </c>
      <c r="C35" s="168" t="s">
        <v>21</v>
      </c>
    </row>
    <row r="36" spans="1:10" ht="28.5" customHeight="1">
      <c r="A36" s="169"/>
      <c r="B36" s="170"/>
      <c r="C36" s="229" t="s">
        <v>22</v>
      </c>
      <c r="D36" s="225">
        <f>'SB375 CO2 Analysis (EMFAC2014)'!E13</f>
        <v>39120.591269786135</v>
      </c>
      <c r="E36" s="225">
        <f>'SB375 CO2 Analysis (EMFAC2014)'!G13</f>
        <v>40562.73572850004</v>
      </c>
      <c r="F36" s="225">
        <f>'SB375 CO2 Analysis (EMFAC2014)'!H13</f>
        <v>43051.684253730309</v>
      </c>
      <c r="G36" s="225">
        <f>'SB375 CO2 Analysis (EMFAC2014)'!I13</f>
        <v>45492.923484374827</v>
      </c>
      <c r="H36" s="225">
        <f>'SB375 CO2 Analysis (EMFAC2014)'!F13</f>
        <v>38196.285991835641</v>
      </c>
      <c r="I36" s="225">
        <v>38013.948598594267</v>
      </c>
      <c r="J36" s="225">
        <f>'SB375 CO2 Analysis (EMFAC2014)'!L13</f>
        <v>38829.372917922949</v>
      </c>
    </row>
    <row r="37" spans="1:10" ht="15.6" customHeight="1">
      <c r="A37" s="159"/>
      <c r="B37" s="171"/>
      <c r="C37" s="172" t="s">
        <v>23</v>
      </c>
      <c r="D37" s="117">
        <f>'SB375 CO2 Analysis (EMFAC2014)'!E14</f>
        <v>23.64132641415155</v>
      </c>
      <c r="E37" s="117">
        <f>'SB375 CO2 Analysis (EMFAC2014)'!G14</f>
        <v>23.373379670795266</v>
      </c>
      <c r="F37" s="117">
        <f>'SB375 CO2 Analysis (EMFAC2014)'!H14</f>
        <v>23.783168006029424</v>
      </c>
      <c r="G37" s="117">
        <f>'SB375 CO2 Analysis (EMFAC2014)'!I14</f>
        <v>24.288301326627739</v>
      </c>
      <c r="H37" s="117">
        <f>'SB375 CO2 Analysis (EMFAC2014)'!F14</f>
        <v>22.009765329367909</v>
      </c>
      <c r="I37" s="117">
        <v>21.000156945418389</v>
      </c>
      <c r="J37" s="117">
        <f>'SB375 CO2 Analysis (EMFAC2014)'!L14</f>
        <v>20.730685951155273</v>
      </c>
    </row>
    <row r="38" spans="1:10" ht="15.75" customHeight="1">
      <c r="A38" s="163" t="s">
        <v>24</v>
      </c>
      <c r="B38" s="164" t="s">
        <v>25</v>
      </c>
      <c r="C38" s="173" t="s">
        <v>26</v>
      </c>
      <c r="H38" s="118"/>
    </row>
    <row r="39" spans="1:10" ht="15.75" customHeight="1">
      <c r="A39" s="174"/>
      <c r="B39" s="175"/>
      <c r="C39" s="160" t="s">
        <v>27</v>
      </c>
      <c r="D39" s="116">
        <v>83614703.81977576</v>
      </c>
      <c r="E39" s="116">
        <v>88268330.228511333</v>
      </c>
      <c r="F39" s="116">
        <v>94374790.558068156</v>
      </c>
      <c r="G39" s="116">
        <v>100071162.84740829</v>
      </c>
      <c r="H39" s="116">
        <v>84538406.309604332</v>
      </c>
      <c r="I39" s="116">
        <v>85412968.287173957</v>
      </c>
      <c r="J39" s="116">
        <v>88133934.014264613</v>
      </c>
    </row>
    <row r="40" spans="1:10">
      <c r="A40" s="159"/>
      <c r="B40" s="171"/>
      <c r="C40" s="160" t="s">
        <v>28</v>
      </c>
      <c r="D40" s="117">
        <v>25.60557681417783</v>
      </c>
      <c r="E40" s="117">
        <v>25.778217922059159</v>
      </c>
      <c r="F40" s="117">
        <v>26.40855959856896</v>
      </c>
      <c r="G40" s="117">
        <v>27.050851562754119</v>
      </c>
      <c r="H40" s="117">
        <v>24.688916794855821</v>
      </c>
      <c r="I40" s="117">
        <v>23.900804973067821</v>
      </c>
      <c r="J40" s="117">
        <v>23.82402581147964</v>
      </c>
    </row>
    <row r="41" spans="1:10" ht="15.75" customHeight="1">
      <c r="A41" s="166" t="s">
        <v>29</v>
      </c>
      <c r="B41" s="167" t="s">
        <v>30</v>
      </c>
      <c r="C41" s="168" t="s">
        <v>31</v>
      </c>
    </row>
    <row r="42" spans="1:10" ht="14.85" customHeight="1">
      <c r="A42" s="159"/>
      <c r="B42" s="180" t="s">
        <v>32</v>
      </c>
      <c r="C42" s="176" t="s">
        <v>12</v>
      </c>
      <c r="D42" s="34">
        <v>0.21108285186199899</v>
      </c>
      <c r="E42" s="34">
        <v>0.23323932888969059</v>
      </c>
      <c r="F42" s="34">
        <v>0.2581360804058877</v>
      </c>
      <c r="G42" s="34">
        <v>0.2543557180420386</v>
      </c>
      <c r="H42" s="34">
        <v>0.2490576213253021</v>
      </c>
      <c r="I42" s="34">
        <v>0.31126036559655401</v>
      </c>
      <c r="J42" s="34">
        <v>0.35917506289154122</v>
      </c>
    </row>
    <row r="43" spans="1:10">
      <c r="A43" s="159"/>
      <c r="B43" s="180" t="s">
        <v>33</v>
      </c>
      <c r="C43" s="176" t="s">
        <v>12</v>
      </c>
      <c r="D43" s="34">
        <v>0.3724490909223156</v>
      </c>
      <c r="E43" s="34">
        <v>0.40237898095000141</v>
      </c>
      <c r="F43" s="34">
        <v>0.42830031775427918</v>
      </c>
      <c r="G43" s="34">
        <v>0.42553743456435578</v>
      </c>
      <c r="H43" s="34">
        <v>0.4336137033605188</v>
      </c>
      <c r="I43" s="34">
        <v>0.51782579459238987</v>
      </c>
      <c r="J43" s="34">
        <v>0.58264315120898735</v>
      </c>
    </row>
    <row r="44" spans="1:10">
      <c r="A44" s="159"/>
      <c r="B44" s="180" t="s">
        <v>34</v>
      </c>
      <c r="C44" s="176" t="s">
        <v>12</v>
      </c>
      <c r="D44" s="34">
        <v>0.34081092196918522</v>
      </c>
      <c r="E44" s="34">
        <v>0.37707312936844101</v>
      </c>
      <c r="F44" s="34">
        <v>0.40555003294790848</v>
      </c>
      <c r="G44" s="34">
        <v>0.39170405496571192</v>
      </c>
      <c r="H44" s="34">
        <v>0.40051268243448579</v>
      </c>
      <c r="I44" s="34">
        <v>0.48708732854108422</v>
      </c>
      <c r="J44" s="34">
        <v>0.55759776657484672</v>
      </c>
    </row>
    <row r="45" spans="1:10">
      <c r="A45" s="159"/>
      <c r="B45" s="180" t="s">
        <v>35</v>
      </c>
      <c r="C45" s="176" t="s">
        <v>12</v>
      </c>
      <c r="D45" s="34">
        <v>0.59842110846225571</v>
      </c>
      <c r="E45" s="34">
        <v>0.62806865947661483</v>
      </c>
      <c r="F45" s="34">
        <v>0.64881542412688042</v>
      </c>
      <c r="G45" s="34">
        <v>0.63499675786136744</v>
      </c>
      <c r="H45" s="34">
        <v>0.65372678875940615</v>
      </c>
      <c r="I45" s="34">
        <v>0.71378245002073437</v>
      </c>
      <c r="J45" s="34">
        <v>0.77731685325020994</v>
      </c>
    </row>
    <row r="46" spans="1:10" s="6" customFormat="1" ht="15.75" customHeight="1">
      <c r="A46" s="166" t="s">
        <v>36</v>
      </c>
      <c r="B46" s="167" t="s">
        <v>30</v>
      </c>
      <c r="C46" s="168" t="s">
        <v>37</v>
      </c>
      <c r="D46" s="114"/>
      <c r="E46" s="114"/>
      <c r="F46" s="114"/>
      <c r="G46" s="114"/>
      <c r="H46" s="114"/>
      <c r="I46" s="114"/>
      <c r="J46" s="114"/>
    </row>
    <row r="47" spans="1:10">
      <c r="A47" s="159"/>
      <c r="B47" s="180" t="s">
        <v>32</v>
      </c>
      <c r="C47" s="176" t="s">
        <v>38</v>
      </c>
      <c r="D47" s="251">
        <v>0.46907390211200839</v>
      </c>
      <c r="E47" s="251">
        <v>0.48856428660263013</v>
      </c>
      <c r="F47" s="251">
        <v>0.50501675581975369</v>
      </c>
      <c r="G47" s="251">
        <v>0.50198448253356165</v>
      </c>
      <c r="H47" s="251">
        <v>0.51676001752359357</v>
      </c>
      <c r="I47" s="251">
        <v>0.57318889706470011</v>
      </c>
      <c r="J47" s="251">
        <v>0.59689769039836627</v>
      </c>
    </row>
    <row r="48" spans="1:10">
      <c r="A48" s="159"/>
      <c r="B48" s="180" t="s">
        <v>33</v>
      </c>
      <c r="C48" s="176" t="s">
        <v>12</v>
      </c>
      <c r="D48" s="251">
        <v>0.6708922191161294</v>
      </c>
      <c r="E48" s="251">
        <v>0.68238486696522505</v>
      </c>
      <c r="F48" s="251">
        <v>0.69554565271910029</v>
      </c>
      <c r="G48" s="251">
        <v>0.68790276150666141</v>
      </c>
      <c r="H48" s="251">
        <v>0.72137710347547535</v>
      </c>
      <c r="I48" s="251">
        <v>0.77466970641488841</v>
      </c>
      <c r="J48" s="251">
        <v>0.79674400849360494</v>
      </c>
    </row>
    <row r="49" spans="1:10">
      <c r="A49" s="159"/>
      <c r="B49" s="180" t="s">
        <v>34</v>
      </c>
      <c r="C49" s="176" t="s">
        <v>12</v>
      </c>
      <c r="D49" s="251">
        <v>0.7104872343157671</v>
      </c>
      <c r="E49" s="251">
        <v>0.72768385307098127</v>
      </c>
      <c r="F49" s="251">
        <v>0.7361907430457385</v>
      </c>
      <c r="G49" s="251">
        <v>0.71977180583846945</v>
      </c>
      <c r="H49" s="251">
        <v>0.74919106080860853</v>
      </c>
      <c r="I49" s="251">
        <v>0.7841567761523599</v>
      </c>
      <c r="J49" s="251">
        <v>0.80013199765750631</v>
      </c>
    </row>
    <row r="50" spans="1:10">
      <c r="A50" s="159"/>
      <c r="B50" s="180" t="s">
        <v>35</v>
      </c>
      <c r="C50" s="176" t="s">
        <v>12</v>
      </c>
      <c r="D50" s="251">
        <v>0.87641786656096055</v>
      </c>
      <c r="E50" s="251">
        <v>0.88269663284300459</v>
      </c>
      <c r="F50" s="251">
        <v>0.8864705186620333</v>
      </c>
      <c r="G50" s="251">
        <v>0.86561957596756556</v>
      </c>
      <c r="H50" s="251">
        <v>0.91504603277325613</v>
      </c>
      <c r="I50" s="251">
        <v>0.93759608832992647</v>
      </c>
      <c r="J50" s="251">
        <v>0.95412244796782475</v>
      </c>
    </row>
    <row r="51" spans="1:10" s="6" customFormat="1" ht="15.75" customHeight="1">
      <c r="A51" s="166" t="s">
        <v>39</v>
      </c>
      <c r="B51" s="167" t="s">
        <v>40</v>
      </c>
      <c r="C51" s="168"/>
      <c r="D51" s="114"/>
      <c r="E51" s="114"/>
      <c r="F51" s="114"/>
      <c r="G51" s="114"/>
      <c r="H51" s="114"/>
      <c r="I51" s="114"/>
      <c r="J51" s="114"/>
    </row>
    <row r="52" spans="1:10">
      <c r="A52" s="159"/>
      <c r="B52" s="180" t="s">
        <v>32</v>
      </c>
      <c r="C52" s="176" t="s">
        <v>38</v>
      </c>
      <c r="D52" s="251">
        <v>0.80499420941315858</v>
      </c>
      <c r="E52" s="251">
        <v>0.81202173792069043</v>
      </c>
      <c r="F52" s="251">
        <v>0.8238258524661094</v>
      </c>
      <c r="G52" s="251">
        <v>0.82222811142562824</v>
      </c>
      <c r="H52" s="251">
        <v>0.822917962168907</v>
      </c>
      <c r="I52" s="251">
        <v>0.84688611829939453</v>
      </c>
      <c r="J52" s="251">
        <v>0.85615649907754687</v>
      </c>
    </row>
    <row r="53" spans="1:10">
      <c r="A53" s="159"/>
      <c r="B53" s="180" t="s">
        <v>33</v>
      </c>
      <c r="C53" s="176" t="s">
        <v>38</v>
      </c>
      <c r="D53" s="251">
        <v>0.81995396624892003</v>
      </c>
      <c r="E53" s="251">
        <v>0.82537470126418611</v>
      </c>
      <c r="F53" s="251">
        <v>0.83625698962958062</v>
      </c>
      <c r="G53" s="251">
        <v>0.83427441853889084</v>
      </c>
      <c r="H53" s="251">
        <v>0.8345428422357446</v>
      </c>
      <c r="I53" s="251">
        <v>0.85748872151441746</v>
      </c>
      <c r="J53" s="251">
        <v>0.86731964488103463</v>
      </c>
    </row>
    <row r="54" spans="1:10">
      <c r="A54" s="159"/>
      <c r="B54" s="180" t="s">
        <v>34</v>
      </c>
      <c r="C54" s="176" t="s">
        <v>38</v>
      </c>
      <c r="D54" s="251">
        <v>0.95945204051818311</v>
      </c>
      <c r="E54" s="251">
        <v>0.96287849727647512</v>
      </c>
      <c r="F54" s="251">
        <v>0.967259071939083</v>
      </c>
      <c r="G54" s="251">
        <v>0.95926170936028343</v>
      </c>
      <c r="H54" s="251">
        <v>0.96569861641874943</v>
      </c>
      <c r="I54" s="251">
        <v>0.9840831723249609</v>
      </c>
      <c r="J54" s="251">
        <v>0.9853395841144228</v>
      </c>
    </row>
    <row r="55" spans="1:10">
      <c r="A55" s="159"/>
      <c r="B55" s="180" t="s">
        <v>35</v>
      </c>
      <c r="C55" s="176" t="s">
        <v>38</v>
      </c>
      <c r="D55" s="251">
        <v>0.95979446866875473</v>
      </c>
      <c r="E55" s="251">
        <v>0.96315872355717791</v>
      </c>
      <c r="F55" s="251">
        <v>0.96749914110153024</v>
      </c>
      <c r="G55" s="251">
        <v>0.95949881121583469</v>
      </c>
      <c r="H55" s="251">
        <v>0.96586001061265236</v>
      </c>
      <c r="I55" s="251">
        <v>0.98439252174446401</v>
      </c>
      <c r="J55" s="251">
        <v>0.98686034585865101</v>
      </c>
    </row>
    <row r="56" spans="1:10" s="6" customFormat="1" ht="15.75" customHeight="1">
      <c r="A56" s="166" t="s">
        <v>41</v>
      </c>
      <c r="B56" s="167" t="s">
        <v>30</v>
      </c>
      <c r="C56" s="168" t="s">
        <v>42</v>
      </c>
      <c r="D56" s="114"/>
      <c r="E56" s="114"/>
      <c r="F56" s="114"/>
      <c r="G56" s="114"/>
      <c r="H56" s="114"/>
      <c r="I56" s="114"/>
      <c r="J56" s="114"/>
    </row>
    <row r="57" spans="1:10">
      <c r="A57" s="159"/>
      <c r="B57" s="180" t="s">
        <v>32</v>
      </c>
      <c r="C57" s="176" t="s">
        <v>12</v>
      </c>
      <c r="D57" s="251">
        <v>0.43609907601145348</v>
      </c>
      <c r="E57" s="251">
        <v>0.45971720983457531</v>
      </c>
      <c r="F57" s="251">
        <v>0.47414663822586728</v>
      </c>
      <c r="G57" s="251">
        <v>0.47233873675052529</v>
      </c>
      <c r="H57" s="251">
        <v>0.48932170023674781</v>
      </c>
      <c r="I57" s="251">
        <v>0.54089295015419214</v>
      </c>
      <c r="J57" s="251">
        <v>0.55537003834156373</v>
      </c>
    </row>
    <row r="58" spans="1:10">
      <c r="A58" s="159"/>
      <c r="B58" s="180" t="s">
        <v>33</v>
      </c>
      <c r="C58" s="176" t="s">
        <v>12</v>
      </c>
      <c r="D58" s="251">
        <v>0.68346300530244808</v>
      </c>
      <c r="E58" s="251">
        <v>0.69442468122708478</v>
      </c>
      <c r="F58" s="251">
        <v>0.70202992071300419</v>
      </c>
      <c r="G58" s="251">
        <v>0.70077534723923318</v>
      </c>
      <c r="H58" s="251">
        <v>0.73572538601765136</v>
      </c>
      <c r="I58" s="251">
        <v>0.78447516804047857</v>
      </c>
      <c r="J58" s="251">
        <v>0.80443336455853276</v>
      </c>
    </row>
    <row r="59" spans="1:10">
      <c r="A59" s="159"/>
      <c r="B59" s="180" t="s">
        <v>34</v>
      </c>
      <c r="C59" s="176" t="s">
        <v>12</v>
      </c>
      <c r="D59" s="251">
        <v>0.63990516229047212</v>
      </c>
      <c r="E59" s="251">
        <v>0.65562451293522894</v>
      </c>
      <c r="F59" s="251">
        <v>0.6653414755030892</v>
      </c>
      <c r="G59" s="251">
        <v>0.65257635400224001</v>
      </c>
      <c r="H59" s="251">
        <v>0.68031667902710002</v>
      </c>
      <c r="I59" s="251">
        <v>0.72552106042847564</v>
      </c>
      <c r="J59" s="251">
        <v>0.7382034065310954</v>
      </c>
    </row>
    <row r="60" spans="1:10" s="288" customFormat="1" ht="15.75" customHeight="1">
      <c r="A60" s="159"/>
      <c r="B60" s="180" t="s">
        <v>35</v>
      </c>
      <c r="C60" s="176" t="s">
        <v>12</v>
      </c>
      <c r="D60" s="251">
        <v>0.88809020004131467</v>
      </c>
      <c r="E60" s="251">
        <v>0.89412938055455726</v>
      </c>
      <c r="F60" s="251">
        <v>0.88916196853897145</v>
      </c>
      <c r="G60" s="251">
        <v>0.87906036927631537</v>
      </c>
      <c r="H60" s="251">
        <v>0.92978486547597117</v>
      </c>
      <c r="I60" s="251">
        <v>0.94461978689558523</v>
      </c>
      <c r="J60" s="251">
        <v>0.95955542197420163</v>
      </c>
    </row>
    <row r="61" spans="1:10" ht="15.75" customHeight="1">
      <c r="A61" s="163" t="s">
        <v>43</v>
      </c>
      <c r="B61" s="164" t="s">
        <v>44</v>
      </c>
      <c r="C61" s="165"/>
    </row>
    <row r="62" spans="1:10" ht="15.75" customHeight="1" thickBot="1">
      <c r="A62" s="177"/>
      <c r="B62" s="178"/>
      <c r="C62" s="179" t="s">
        <v>45</v>
      </c>
    </row>
    <row r="64" spans="1:10">
      <c r="A64" s="7" t="s">
        <v>46</v>
      </c>
      <c r="B64" s="359"/>
      <c r="C64" s="359"/>
    </row>
    <row r="65" spans="1:1">
      <c r="A65" s="7" t="s">
        <v>47</v>
      </c>
    </row>
    <row r="72" spans="1:1" ht="14.45" customHeight="1"/>
    <row r="78" spans="1:1" ht="14.45" customHeight="1"/>
    <row r="84" ht="14.45" customHeight="1"/>
    <row r="90" ht="14.45" customHeight="1"/>
    <row r="96" ht="14.45" customHeight="1"/>
    <row r="109" ht="14.45" customHeight="1"/>
    <row r="115" ht="14.45" customHeight="1"/>
    <row r="121" ht="14.45" customHeight="1"/>
    <row r="127" ht="14.45" customHeight="1"/>
    <row r="133" ht="14.45" customHeight="1"/>
    <row r="146" ht="14.45" customHeight="1"/>
    <row r="152" ht="14.45" customHeight="1"/>
    <row r="158" ht="14.45" customHeight="1"/>
    <row r="164" ht="14.45" customHeight="1"/>
    <row r="170" ht="14.45" customHeight="1"/>
  </sheetData>
  <sheetProtection algorithmName="SHA-512" hashValue="S18pgxyUxdTob0BbvL5R4uFdPVKkmIeHCYG/C0ouuFZXnMXiDQZhwAwrQEjNGNig1b9L0z11xU/xk/aCwvkvfg==" saltValue="GzLmLVEPEG6TUm6PcS+xsQ==" spinCount="100000" sheet="1" objects="1" scenarios="1"/>
  <mergeCells count="10">
    <mergeCell ref="H1:J1"/>
    <mergeCell ref="B31:B32"/>
    <mergeCell ref="B33:B34"/>
    <mergeCell ref="A1:C2"/>
    <mergeCell ref="D1:D2"/>
    <mergeCell ref="E1:G1"/>
    <mergeCell ref="B5:B10"/>
    <mergeCell ref="B11:B16"/>
    <mergeCell ref="B18:B23"/>
    <mergeCell ref="B24:B29"/>
  </mergeCells>
  <printOptions gridLines="1"/>
  <pageMargins left="0.7" right="0.7" top="0.75" bottom="0.75" header="0.3" footer="0.3"/>
  <pageSetup paperSize="5" scale="86" fitToHeight="0" orientation="landscape" r:id="rId1"/>
  <rowBreaks count="1" manualBreakCount="1">
    <brk id="34"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0578FE-614D-4B8F-8C65-A073E617395E}">
  <sheetPr>
    <tabColor theme="7" tint="0.79998168889431442"/>
  </sheetPr>
  <dimension ref="A1:N52"/>
  <sheetViews>
    <sheetView zoomScale="85" zoomScaleNormal="85" workbookViewId="0">
      <pane xSplit="2" ySplit="6" topLeftCell="C7" activePane="bottomRight" state="frozen"/>
      <selection pane="bottomRight" activeCell="P12" sqref="P12"/>
      <selection pane="bottomLeft" activeCell="A6" sqref="A6"/>
      <selection pane="topRight" activeCell="C3" sqref="C3"/>
    </sheetView>
  </sheetViews>
  <sheetFormatPr defaultColWidth="9.140625" defaultRowHeight="15"/>
  <cols>
    <col min="1" max="1" width="7.85546875" style="289" customWidth="1"/>
    <col min="2" max="2" width="47.5703125" style="289" customWidth="1"/>
    <col min="3" max="3" width="17.85546875" style="289" customWidth="1"/>
    <col min="4" max="12" width="14.140625" style="289" customWidth="1"/>
    <col min="13" max="13" width="13.5703125" style="289" customWidth="1"/>
    <col min="14" max="14" width="11.5703125" style="289" customWidth="1"/>
    <col min="15" max="15" width="11.140625" style="289" customWidth="1"/>
    <col min="16" max="16384" width="9.140625" style="289"/>
  </cols>
  <sheetData>
    <row r="1" spans="1:14">
      <c r="A1" s="359"/>
      <c r="B1" s="359"/>
      <c r="C1" s="359" t="s">
        <v>48</v>
      </c>
      <c r="D1" s="8">
        <v>26</v>
      </c>
      <c r="E1" s="243"/>
      <c r="F1" s="9"/>
      <c r="G1" s="243"/>
      <c r="H1" s="243"/>
      <c r="I1" s="243"/>
      <c r="J1" s="9"/>
      <c r="K1" s="9"/>
      <c r="L1" s="359" t="s">
        <v>49</v>
      </c>
      <c r="M1" s="10">
        <v>2000</v>
      </c>
      <c r="N1" s="359"/>
    </row>
    <row r="2" spans="1:14">
      <c r="A2" s="359"/>
      <c r="B2" s="359"/>
      <c r="C2" s="359" t="s">
        <v>50</v>
      </c>
      <c r="D2" s="296">
        <v>39511</v>
      </c>
      <c r="E2" s="359"/>
      <c r="F2" s="359"/>
      <c r="G2" s="359"/>
      <c r="H2" s="359"/>
      <c r="I2" s="359"/>
      <c r="J2" s="359"/>
      <c r="K2" s="359"/>
      <c r="L2" s="359" t="s">
        <v>51</v>
      </c>
      <c r="M2" s="281">
        <v>2204.6226219999999</v>
      </c>
      <c r="N2" s="359"/>
    </row>
    <row r="3" spans="1:14">
      <c r="A3" s="359"/>
      <c r="B3" s="359"/>
      <c r="C3" s="11" t="s">
        <v>52</v>
      </c>
      <c r="D3" s="12" t="s">
        <v>53</v>
      </c>
      <c r="E3" s="469" t="s">
        <v>54</v>
      </c>
      <c r="F3" s="470"/>
      <c r="G3" s="470"/>
      <c r="H3" s="470"/>
      <c r="I3" s="470"/>
      <c r="J3" s="470"/>
      <c r="K3" s="470"/>
      <c r="L3" s="470"/>
      <c r="M3" s="13"/>
      <c r="N3" s="13"/>
    </row>
    <row r="4" spans="1:14">
      <c r="A4" s="359"/>
      <c r="B4" s="14" t="s">
        <v>55</v>
      </c>
      <c r="C4" s="15">
        <v>0.26700000000000002</v>
      </c>
      <c r="D4" s="16">
        <v>0.185</v>
      </c>
      <c r="E4" s="227">
        <v>0.16300000000000001</v>
      </c>
      <c r="F4" s="227">
        <v>0.186</v>
      </c>
      <c r="G4" s="227">
        <v>0.186</v>
      </c>
      <c r="H4" s="17">
        <v>0.17399999999999999</v>
      </c>
      <c r="I4" s="17">
        <v>0.17399999999999999</v>
      </c>
      <c r="J4" s="17">
        <v>0.193</v>
      </c>
      <c r="K4" s="17">
        <v>0.2</v>
      </c>
      <c r="L4" s="17">
        <v>0.19700000000000001</v>
      </c>
      <c r="M4" s="359"/>
      <c r="N4" s="359"/>
    </row>
    <row r="5" spans="1:14">
      <c r="A5" s="359"/>
      <c r="B5" s="361" t="s">
        <v>56</v>
      </c>
      <c r="C5" s="18" t="s">
        <v>57</v>
      </c>
      <c r="D5" s="19" t="s">
        <v>58</v>
      </c>
      <c r="E5" s="226">
        <v>2016</v>
      </c>
      <c r="F5" s="226" t="s">
        <v>59</v>
      </c>
      <c r="G5" s="226" t="s">
        <v>60</v>
      </c>
      <c r="H5" s="17" t="s">
        <v>61</v>
      </c>
      <c r="I5" s="17" t="s">
        <v>62</v>
      </c>
      <c r="J5" s="226" t="s">
        <v>63</v>
      </c>
      <c r="K5" s="20" t="s">
        <v>64</v>
      </c>
      <c r="L5" s="226" t="s">
        <v>65</v>
      </c>
      <c r="M5" s="359"/>
      <c r="N5" s="359"/>
    </row>
    <row r="6" spans="1:14">
      <c r="A6" s="359"/>
      <c r="B6" s="14" t="s">
        <v>66</v>
      </c>
      <c r="C6" s="21">
        <v>240</v>
      </c>
      <c r="D6" s="21">
        <v>401</v>
      </c>
      <c r="E6" s="21">
        <v>458</v>
      </c>
      <c r="F6" s="22">
        <v>462</v>
      </c>
      <c r="G6" s="22">
        <v>461</v>
      </c>
      <c r="H6" s="21">
        <v>469</v>
      </c>
      <c r="I6" s="21">
        <v>460</v>
      </c>
      <c r="J6" s="22">
        <v>463</v>
      </c>
      <c r="K6" s="22">
        <v>475</v>
      </c>
      <c r="L6" s="22">
        <v>459</v>
      </c>
      <c r="M6" s="359"/>
      <c r="N6" s="359"/>
    </row>
    <row r="7" spans="1:14">
      <c r="A7" s="181">
        <v>1</v>
      </c>
      <c r="B7" s="23" t="s">
        <v>67</v>
      </c>
      <c r="C7" s="24">
        <v>3853698</v>
      </c>
      <c r="D7" s="24">
        <v>3753635</v>
      </c>
      <c r="E7" s="24">
        <v>3309509</v>
      </c>
      <c r="F7" s="25">
        <v>3470849</v>
      </c>
      <c r="G7" s="24">
        <v>3470849</v>
      </c>
      <c r="H7" s="24">
        <v>3620349</v>
      </c>
      <c r="I7" s="24">
        <v>3746077</v>
      </c>
      <c r="J7" s="317">
        <v>3383955</v>
      </c>
      <c r="K7" s="25">
        <v>3620349</v>
      </c>
      <c r="L7" s="25">
        <v>3746077</v>
      </c>
      <c r="M7" s="359"/>
      <c r="N7" s="359"/>
    </row>
    <row r="8" spans="1:14">
      <c r="A8" s="181">
        <f t="shared" ref="A8:A15" si="0">A7+1</f>
        <v>2</v>
      </c>
      <c r="B8" s="26" t="s">
        <v>68</v>
      </c>
      <c r="C8" s="31">
        <v>84337982.793364972</v>
      </c>
      <c r="D8" s="31">
        <v>87570727</v>
      </c>
      <c r="E8" s="31">
        <v>79051889.476975203</v>
      </c>
      <c r="F8" s="31">
        <v>79535892.455389097</v>
      </c>
      <c r="G8" s="31">
        <v>83287194.360252202</v>
      </c>
      <c r="H8" s="31">
        <v>88682509.154607698</v>
      </c>
      <c r="I8" s="31">
        <v>93762686.785244495</v>
      </c>
      <c r="J8" s="318">
        <v>79214337.772559494</v>
      </c>
      <c r="K8" s="31">
        <v>79725709.960233793</v>
      </c>
      <c r="L8" s="31">
        <v>81804496.322731197</v>
      </c>
      <c r="M8" s="27"/>
      <c r="N8" s="359"/>
    </row>
    <row r="9" spans="1:14">
      <c r="A9" s="181">
        <f t="shared" si="0"/>
        <v>3</v>
      </c>
      <c r="B9" s="26" t="s">
        <v>69</v>
      </c>
      <c r="C9" s="28">
        <f>C8/C7</f>
        <v>21.884948637221953</v>
      </c>
      <c r="D9" s="28">
        <f>D8/D7</f>
        <v>23.329579727384257</v>
      </c>
      <c r="E9" s="28">
        <f t="shared" ref="E9:I9" si="1">E8/E7</f>
        <v>23.886289318740396</v>
      </c>
      <c r="F9" s="28">
        <f>F8/F7</f>
        <v>22.915399792785308</v>
      </c>
      <c r="G9" s="28">
        <f t="shared" si="1"/>
        <v>23.996202185762677</v>
      </c>
      <c r="H9" s="28">
        <f t="shared" si="1"/>
        <v>24.495569116294504</v>
      </c>
      <c r="I9" s="28">
        <f t="shared" si="1"/>
        <v>25.029567407515781</v>
      </c>
      <c r="J9" s="319">
        <f>J8/J7</f>
        <v>23.408803536855395</v>
      </c>
      <c r="K9" s="28">
        <f>K8/K7</f>
        <v>22.021553712151452</v>
      </c>
      <c r="L9" s="28">
        <f>L8/L7</f>
        <v>21.837377160888899</v>
      </c>
      <c r="M9" s="29"/>
      <c r="N9" s="359"/>
    </row>
    <row r="10" spans="1:14">
      <c r="A10" s="181">
        <f t="shared" si="0"/>
        <v>4</v>
      </c>
      <c r="B10" s="26" t="s">
        <v>70</v>
      </c>
      <c r="C10" s="30"/>
      <c r="D10" s="30">
        <v>985391.34441717295</v>
      </c>
      <c r="E10" s="30">
        <v>797011.49488983199</v>
      </c>
      <c r="F10" s="31">
        <v>880547.80202025897</v>
      </c>
      <c r="G10" s="30">
        <v>879748.43581699894</v>
      </c>
      <c r="H10" s="30">
        <v>980758.68186184403</v>
      </c>
      <c r="I10" s="30">
        <v>1096737.15359414</v>
      </c>
      <c r="J10" s="318">
        <v>832936.88665022596</v>
      </c>
      <c r="K10" s="31">
        <v>982672.56068871706</v>
      </c>
      <c r="L10" s="32">
        <v>1095193.20737459</v>
      </c>
      <c r="M10" s="33"/>
      <c r="N10" s="359"/>
    </row>
    <row r="11" spans="1:14">
      <c r="A11" s="181">
        <f t="shared" si="0"/>
        <v>5</v>
      </c>
      <c r="B11" s="26" t="s">
        <v>71</v>
      </c>
      <c r="C11" s="34"/>
      <c r="D11" s="34">
        <f>D10/D8</f>
        <v>1.1252519856517498E-2</v>
      </c>
      <c r="E11" s="34">
        <f t="shared" ref="E11:G11" si="2">E10/E8</f>
        <v>1.0082130865726758E-2</v>
      </c>
      <c r="F11" s="34">
        <f>F10/F8</f>
        <v>1.1071074641101809E-2</v>
      </c>
      <c r="G11" s="34">
        <f t="shared" si="2"/>
        <v>1.056282952709052E-2</v>
      </c>
      <c r="H11" s="34">
        <f t="shared" ref="H11:I11" si="3">H10/H8</f>
        <v>1.1059212140152741E-2</v>
      </c>
      <c r="I11" s="34">
        <f t="shared" si="3"/>
        <v>1.1696946740723458E-2</v>
      </c>
      <c r="J11" s="320">
        <f>J10/J8</f>
        <v>1.0514976329686142E-2</v>
      </c>
      <c r="K11" s="34">
        <f>K10/K8</f>
        <v>1.2325667105114048E-2</v>
      </c>
      <c r="L11" s="34">
        <f>L10/L8</f>
        <v>1.3387934118607442E-2</v>
      </c>
      <c r="M11" s="359"/>
      <c r="N11" s="359"/>
    </row>
    <row r="12" spans="1:14">
      <c r="A12" s="181">
        <f t="shared" si="0"/>
        <v>6</v>
      </c>
      <c r="B12" s="35" t="s">
        <v>72</v>
      </c>
      <c r="C12" s="36">
        <v>39672.139981694483</v>
      </c>
      <c r="D12" s="31">
        <v>42024.4</v>
      </c>
      <c r="E12" s="31">
        <v>39519.027274453401</v>
      </c>
      <c r="F12" s="31">
        <v>38623.894005298302</v>
      </c>
      <c r="G12" s="31">
        <v>40995.767026937901</v>
      </c>
      <c r="H12" s="31">
        <v>43533.1263329707</v>
      </c>
      <c r="I12" s="31">
        <v>46031.349730577</v>
      </c>
      <c r="J12" s="318">
        <v>39275.126206516201</v>
      </c>
      <c r="K12" s="31">
        <v>38472.531502877697</v>
      </c>
      <c r="L12" s="31">
        <v>39356.272095896798</v>
      </c>
      <c r="M12" s="359"/>
      <c r="N12" s="359"/>
    </row>
    <row r="13" spans="1:14">
      <c r="A13" s="181"/>
      <c r="B13" s="218" t="s">
        <v>73</v>
      </c>
      <c r="C13" s="260">
        <f t="shared" ref="C13:G13" si="4">C12*(1-C11)</f>
        <v>39672.139981694483</v>
      </c>
      <c r="D13" s="260">
        <f t="shared" si="4"/>
        <v>41551.519604541769</v>
      </c>
      <c r="E13" s="260">
        <f t="shared" si="4"/>
        <v>39120.591269786135</v>
      </c>
      <c r="F13" s="260">
        <f>F12*(1-F11)</f>
        <v>38196.285991835641</v>
      </c>
      <c r="G13" s="260">
        <f t="shared" si="4"/>
        <v>40562.73572850004</v>
      </c>
      <c r="H13" s="260">
        <f>H12*(1-H11)</f>
        <v>43051.684253730309</v>
      </c>
      <c r="I13" s="260">
        <f t="shared" ref="I13:L13" si="5">I12*(1-I11)</f>
        <v>45492.923484374827</v>
      </c>
      <c r="J13" s="321">
        <f t="shared" si="5"/>
        <v>38862.14918410925</v>
      </c>
      <c r="K13" s="260">
        <f t="shared" si="5"/>
        <v>37998.33188688221</v>
      </c>
      <c r="L13" s="260">
        <f t="shared" si="5"/>
        <v>38829.372917922949</v>
      </c>
      <c r="M13" s="359"/>
      <c r="N13" s="359"/>
    </row>
    <row r="14" spans="1:14">
      <c r="A14" s="181">
        <f>A12+1</f>
        <v>7</v>
      </c>
      <c r="B14" s="35" t="s">
        <v>74</v>
      </c>
      <c r="C14" s="37">
        <f t="shared" ref="C14:L14" si="6">(1-C11)*(C12*ton_conversion)/C7</f>
        <v>20.589127628420538</v>
      </c>
      <c r="D14" s="37">
        <f t="shared" si="6"/>
        <v>22.139350045777899</v>
      </c>
      <c r="E14" s="38">
        <f t="shared" si="6"/>
        <v>23.64132641415155</v>
      </c>
      <c r="F14" s="38">
        <f>(1-F11)*(F12*ton_conversion)/F7</f>
        <v>22.009765329367909</v>
      </c>
      <c r="G14" s="38">
        <f t="shared" si="6"/>
        <v>23.373379670795266</v>
      </c>
      <c r="H14" s="38">
        <f t="shared" si="6"/>
        <v>23.783168006029424</v>
      </c>
      <c r="I14" s="38">
        <f t="shared" si="6"/>
        <v>24.288301326627739</v>
      </c>
      <c r="J14" s="322">
        <f t="shared" si="6"/>
        <v>22.968478708558031</v>
      </c>
      <c r="K14" s="38">
        <f t="shared" si="6"/>
        <v>20.991529759634894</v>
      </c>
      <c r="L14" s="38">
        <f t="shared" si="6"/>
        <v>20.730685951155273</v>
      </c>
      <c r="M14" s="359"/>
      <c r="N14" s="359"/>
    </row>
    <row r="15" spans="1:14" ht="15.75" customHeight="1" thickBot="1">
      <c r="A15" s="446">
        <f t="shared" si="0"/>
        <v>8</v>
      </c>
      <c r="B15" s="39" t="s">
        <v>75</v>
      </c>
      <c r="C15" s="40">
        <f>1-C14/_2005_Baseline</f>
        <v>0.20811047582997932</v>
      </c>
      <c r="D15" s="40">
        <f>1-D14/_2005_Baseline</f>
        <v>0.14848653670084999</v>
      </c>
      <c r="E15" s="40"/>
      <c r="F15" s="40"/>
      <c r="G15" s="40"/>
      <c r="H15" s="40">
        <f>1-H14/_2005_Baseline</f>
        <v>8.526276899886831E-2</v>
      </c>
      <c r="I15" s="40">
        <f>1-I14/_2005_Baseline</f>
        <v>6.5834564360471637E-2</v>
      </c>
      <c r="J15" s="40">
        <f>1-J14/_2005_Baseline</f>
        <v>0.11659697274776804</v>
      </c>
      <c r="K15" s="40">
        <f>1-K14/_2005_Baseline</f>
        <v>0.19263347078327331</v>
      </c>
      <c r="L15" s="40">
        <f>1-L14/_2005_Baseline</f>
        <v>0.20266592495556646</v>
      </c>
      <c r="M15" s="359"/>
      <c r="N15" s="359"/>
    </row>
    <row r="16" spans="1:14" ht="14.25" customHeight="1">
      <c r="A16" s="315">
        <v>9</v>
      </c>
      <c r="B16" s="314" t="s">
        <v>76</v>
      </c>
      <c r="C16" s="359"/>
      <c r="D16" s="359"/>
      <c r="E16" s="359"/>
      <c r="F16" s="359"/>
      <c r="G16" s="359"/>
      <c r="H16" s="359"/>
      <c r="I16" s="359"/>
      <c r="J16" s="323"/>
      <c r="K16" s="260">
        <v>193286</v>
      </c>
      <c r="L16" s="260">
        <v>272343</v>
      </c>
      <c r="M16" s="359"/>
      <c r="N16" s="359"/>
    </row>
    <row r="17" spans="1:14" s="311" customFormat="1" ht="14.25" customHeight="1">
      <c r="A17" s="315"/>
      <c r="B17" s="314"/>
      <c r="C17" s="359"/>
      <c r="D17" s="359"/>
      <c r="E17" s="359"/>
      <c r="F17" s="359"/>
      <c r="G17" s="359"/>
      <c r="H17" s="359"/>
      <c r="I17" s="359"/>
      <c r="J17" s="323"/>
      <c r="K17" s="316"/>
      <c r="L17" s="316"/>
      <c r="M17" s="359"/>
      <c r="N17" s="359"/>
    </row>
    <row r="18" spans="1:14">
      <c r="A18" s="359"/>
      <c r="B18" s="361" t="s">
        <v>77</v>
      </c>
      <c r="C18" s="359"/>
      <c r="D18" s="359"/>
      <c r="E18" s="359"/>
      <c r="F18" s="260"/>
      <c r="G18" s="359"/>
      <c r="H18" s="359"/>
      <c r="I18" s="359"/>
      <c r="J18" s="321"/>
      <c r="K18" s="260"/>
      <c r="L18" s="359"/>
      <c r="M18" s="359"/>
      <c r="N18" s="359"/>
    </row>
    <row r="19" spans="1:14">
      <c r="A19" s="181">
        <f>A16+1</f>
        <v>10</v>
      </c>
      <c r="B19" s="359" t="s">
        <v>78</v>
      </c>
      <c r="C19" s="359"/>
      <c r="D19" s="260"/>
      <c r="E19" s="260"/>
      <c r="F19" s="260"/>
      <c r="G19" s="260"/>
      <c r="H19" s="260"/>
      <c r="I19" s="260"/>
      <c r="J19" s="321">
        <v>269804.5036049292</v>
      </c>
      <c r="K19" s="260">
        <v>338684.52196870488</v>
      </c>
      <c r="L19" s="260">
        <v>380619.12309378042</v>
      </c>
      <c r="M19" s="359"/>
      <c r="N19" s="359"/>
    </row>
    <row r="20" spans="1:14">
      <c r="A20" s="181">
        <f>1+A19</f>
        <v>11</v>
      </c>
      <c r="B20" s="359" t="s">
        <v>79</v>
      </c>
      <c r="C20" s="359"/>
      <c r="D20" s="30"/>
      <c r="E20" s="30"/>
      <c r="F20" s="260"/>
      <c r="G20" s="30"/>
      <c r="H20" s="30"/>
      <c r="I20" s="30"/>
      <c r="J20" s="321">
        <v>21764.434999999998</v>
      </c>
      <c r="K20" s="260">
        <v>176896.12500000003</v>
      </c>
      <c r="L20" s="260" t="s">
        <v>80</v>
      </c>
      <c r="M20" s="359"/>
      <c r="N20" s="33"/>
    </row>
    <row r="21" spans="1:14">
      <c r="A21" s="181">
        <f>1+A20</f>
        <v>12</v>
      </c>
      <c r="B21" s="359" t="s">
        <v>81</v>
      </c>
      <c r="C21" s="359"/>
      <c r="D21" s="359"/>
      <c r="E21" s="359"/>
      <c r="F21" s="260"/>
      <c r="G21" s="359"/>
      <c r="H21" s="359"/>
      <c r="I21" s="359"/>
      <c r="J21" s="321">
        <v>11660.252267697519</v>
      </c>
      <c r="K21" s="260">
        <v>11657.864470505378</v>
      </c>
      <c r="L21" s="260">
        <v>11540.40565197198</v>
      </c>
      <c r="M21" s="359"/>
      <c r="N21" s="359"/>
    </row>
    <row r="22" spans="1:14">
      <c r="A22" s="181">
        <f>1+A21</f>
        <v>13</v>
      </c>
      <c r="B22" s="359" t="s">
        <v>82</v>
      </c>
      <c r="C22" s="359"/>
      <c r="D22" s="359"/>
      <c r="E22" s="359"/>
      <c r="F22" s="91"/>
      <c r="G22" s="359"/>
      <c r="H22" s="359"/>
      <c r="I22" s="359"/>
      <c r="J22" s="324" t="s">
        <v>80</v>
      </c>
      <c r="K22" s="260">
        <v>364336.97036822332</v>
      </c>
      <c r="L22" s="260">
        <v>579172.24227732245</v>
      </c>
      <c r="M22" s="359"/>
      <c r="N22" s="359"/>
    </row>
    <row r="23" spans="1:14">
      <c r="A23" s="181">
        <f>1+A22</f>
        <v>14</v>
      </c>
      <c r="B23" s="361" t="s">
        <v>83</v>
      </c>
      <c r="C23" s="359"/>
      <c r="D23" s="41"/>
      <c r="E23" s="41"/>
      <c r="F23" s="41"/>
      <c r="G23" s="41"/>
      <c r="H23" s="41"/>
      <c r="I23" s="41"/>
      <c r="J23" s="325">
        <f>SUM(J19:J22)</f>
        <v>303229.19087262673</v>
      </c>
      <c r="K23" s="41">
        <f t="shared" ref="K23:L23" si="7">SUM(K19:K22)</f>
        <v>891575.48180743353</v>
      </c>
      <c r="L23" s="41">
        <f t="shared" si="7"/>
        <v>971331.77102307486</v>
      </c>
      <c r="M23" s="359"/>
      <c r="N23" s="359"/>
    </row>
    <row r="24" spans="1:14" ht="14.25" customHeight="1" thickBot="1">
      <c r="A24" s="181">
        <f>1+A23</f>
        <v>15</v>
      </c>
      <c r="B24" s="357" t="s">
        <v>84</v>
      </c>
      <c r="C24" s="42"/>
      <c r="D24" s="43"/>
      <c r="E24" s="43"/>
      <c r="F24" s="43"/>
      <c r="G24" s="43"/>
      <c r="H24" s="42"/>
      <c r="I24" s="42"/>
      <c r="J24" s="326">
        <f>J23/J7</f>
        <v>8.9607926486205261E-2</v>
      </c>
      <c r="K24" s="43">
        <f>K23/K7</f>
        <v>0.24626782716457268</v>
      </c>
      <c r="L24" s="43">
        <f>L23/L7</f>
        <v>0.25929306072007458</v>
      </c>
      <c r="M24" s="359"/>
      <c r="N24" s="359"/>
    </row>
    <row r="25" spans="1:14" ht="14.25" customHeight="1">
      <c r="A25" s="359"/>
      <c r="B25" s="359"/>
      <c r="C25" s="359"/>
      <c r="D25" s="359"/>
      <c r="E25" s="359"/>
      <c r="F25" s="359"/>
      <c r="G25" s="359"/>
      <c r="H25" s="359"/>
      <c r="I25" s="359"/>
      <c r="J25" s="323"/>
      <c r="K25" s="359"/>
      <c r="L25" s="359"/>
      <c r="M25" s="359"/>
      <c r="N25" s="359"/>
    </row>
    <row r="26" spans="1:14" ht="14.25" customHeight="1" thickBot="1">
      <c r="A26" s="359"/>
      <c r="B26" s="44" t="s">
        <v>85</v>
      </c>
      <c r="C26" s="44"/>
      <c r="D26" s="44"/>
      <c r="E26" s="44"/>
      <c r="F26" s="44"/>
      <c r="G26" s="44"/>
      <c r="H26" s="44"/>
      <c r="I26" s="44"/>
      <c r="J26" s="327"/>
      <c r="K26" s="44"/>
      <c r="L26" s="357"/>
      <c r="M26" s="359"/>
      <c r="N26" s="359"/>
    </row>
    <row r="27" spans="1:14">
      <c r="A27" s="181">
        <f>A24+1</f>
        <v>16</v>
      </c>
      <c r="B27" s="359" t="s">
        <v>78</v>
      </c>
      <c r="C27" s="359"/>
      <c r="D27" s="91"/>
      <c r="E27" s="91"/>
      <c r="F27" s="91"/>
      <c r="G27" s="91"/>
      <c r="H27" s="91"/>
      <c r="I27" s="91"/>
      <c r="J27" s="324">
        <v>129.19070705745094</v>
      </c>
      <c r="K27" s="91">
        <v>143.72672767188345</v>
      </c>
      <c r="L27" s="91">
        <v>156.17317186932246</v>
      </c>
      <c r="M27" s="359"/>
      <c r="N27" s="359"/>
    </row>
    <row r="28" spans="1:14">
      <c r="A28" s="181">
        <f t="shared" ref="A28:A31" si="8">A27+1</f>
        <v>17</v>
      </c>
      <c r="B28" s="359" t="s">
        <v>79</v>
      </c>
      <c r="C28" s="359"/>
      <c r="D28" s="91"/>
      <c r="E28" s="91"/>
      <c r="F28" s="217"/>
      <c r="G28" s="91"/>
      <c r="H28" s="91"/>
      <c r="I28" s="91"/>
      <c r="J28" s="324">
        <v>10.421481883316355</v>
      </c>
      <c r="K28" s="91">
        <v>81.955129661351947</v>
      </c>
      <c r="L28" s="91" t="s">
        <v>80</v>
      </c>
      <c r="M28" s="359"/>
      <c r="N28" s="359"/>
    </row>
    <row r="29" spans="1:14">
      <c r="A29" s="181">
        <f t="shared" si="8"/>
        <v>18</v>
      </c>
      <c r="B29" s="359" t="s">
        <v>81</v>
      </c>
      <c r="C29" s="359"/>
      <c r="D29" s="91"/>
      <c r="E29" s="91"/>
      <c r="F29" s="91"/>
      <c r="G29" s="91"/>
      <c r="H29" s="91"/>
      <c r="I29" s="91"/>
      <c r="J29" s="324">
        <v>5.7767245423547715</v>
      </c>
      <c r="K29" s="91">
        <v>5.6022779945403123</v>
      </c>
      <c r="L29" s="91">
        <v>5.5116802822352087</v>
      </c>
      <c r="M29" s="359"/>
      <c r="N29" s="359"/>
    </row>
    <row r="30" spans="1:14">
      <c r="A30" s="181">
        <f t="shared" si="8"/>
        <v>19</v>
      </c>
      <c r="B30" s="359" t="s">
        <v>82</v>
      </c>
      <c r="C30" s="359"/>
      <c r="D30" s="91"/>
      <c r="E30" s="91"/>
      <c r="F30" s="91"/>
      <c r="G30" s="91"/>
      <c r="H30" s="91"/>
      <c r="I30" s="91"/>
      <c r="J30" s="324" t="s">
        <v>80</v>
      </c>
      <c r="K30" s="91">
        <v>173.94861708285416</v>
      </c>
      <c r="L30" s="91">
        <v>274.49777540673705</v>
      </c>
      <c r="M30" s="359"/>
      <c r="N30" s="359"/>
    </row>
    <row r="31" spans="1:14" ht="15.75" customHeight="1" thickBot="1">
      <c r="A31" s="181">
        <f t="shared" si="8"/>
        <v>20</v>
      </c>
      <c r="B31" s="357" t="s">
        <v>86</v>
      </c>
      <c r="C31" s="357"/>
      <c r="D31" s="45"/>
      <c r="E31" s="45"/>
      <c r="F31" s="219"/>
      <c r="G31" s="45"/>
      <c r="H31" s="45"/>
      <c r="I31" s="45"/>
      <c r="J31" s="328"/>
      <c r="K31" s="299">
        <v>1010</v>
      </c>
      <c r="L31" s="299">
        <v>836</v>
      </c>
      <c r="M31" s="359"/>
      <c r="N31" s="359"/>
    </row>
    <row r="32" spans="1:14">
      <c r="A32" s="181">
        <f>A31+1</f>
        <v>21</v>
      </c>
      <c r="B32" s="300" t="s">
        <v>87</v>
      </c>
      <c r="C32" s="225">
        <v>1152.14091659107</v>
      </c>
      <c r="D32" s="91">
        <v>0</v>
      </c>
      <c r="E32" s="91">
        <f t="shared" ref="E32:L32" si="9">SUM(E27:E31)</f>
        <v>0</v>
      </c>
      <c r="F32" s="91">
        <f t="shared" si="9"/>
        <v>0</v>
      </c>
      <c r="G32" s="91">
        <f t="shared" si="9"/>
        <v>0</v>
      </c>
      <c r="H32" s="91">
        <f t="shared" si="9"/>
        <v>0</v>
      </c>
      <c r="I32" s="91">
        <f t="shared" si="9"/>
        <v>0</v>
      </c>
      <c r="J32" s="324">
        <f t="shared" si="9"/>
        <v>145.38891348312205</v>
      </c>
      <c r="K32" s="91">
        <f t="shared" si="9"/>
        <v>1415.2327524106299</v>
      </c>
      <c r="L32" s="91">
        <f t="shared" si="9"/>
        <v>1272.1826275582948</v>
      </c>
      <c r="M32" s="359"/>
      <c r="N32" s="359"/>
    </row>
    <row r="33" spans="1:12">
      <c r="A33" s="181">
        <f t="shared" ref="A33:A39" si="10">A32+1</f>
        <v>22</v>
      </c>
      <c r="B33" s="46" t="s">
        <v>88</v>
      </c>
      <c r="C33" s="33">
        <f t="shared" ref="C33:L33" si="11">(C32*ton_conversion)/C7</f>
        <v>0.5979404284357881</v>
      </c>
      <c r="D33" s="33">
        <f t="shared" si="11"/>
        <v>0</v>
      </c>
      <c r="E33" s="33">
        <f t="shared" si="11"/>
        <v>0</v>
      </c>
      <c r="F33" s="33">
        <f t="shared" si="11"/>
        <v>0</v>
      </c>
      <c r="G33" s="33">
        <f t="shared" si="11"/>
        <v>0</v>
      </c>
      <c r="H33" s="33">
        <f t="shared" si="11"/>
        <v>0</v>
      </c>
      <c r="I33" s="33">
        <f t="shared" si="11"/>
        <v>0</v>
      </c>
      <c r="J33" s="329">
        <f t="shared" si="11"/>
        <v>8.5928396496479445E-2</v>
      </c>
      <c r="K33" s="33">
        <f t="shared" si="11"/>
        <v>0.78182117382088301</v>
      </c>
      <c r="L33" s="33">
        <f t="shared" si="11"/>
        <v>0.67920794343431534</v>
      </c>
    </row>
    <row r="34" spans="1:12">
      <c r="A34" s="181">
        <f t="shared" si="10"/>
        <v>23</v>
      </c>
      <c r="B34" s="295" t="s">
        <v>89</v>
      </c>
      <c r="C34" s="33"/>
      <c r="D34" s="33"/>
      <c r="E34" s="9">
        <v>0</v>
      </c>
      <c r="F34" s="9">
        <v>0</v>
      </c>
      <c r="G34" s="9">
        <v>0</v>
      </c>
      <c r="H34" s="9">
        <v>0</v>
      </c>
      <c r="I34" s="9">
        <v>0</v>
      </c>
      <c r="J34" s="330">
        <f>J33/_2005_Baseline</f>
        <v>3.304938326787671E-3</v>
      </c>
      <c r="K34" s="213">
        <f>K33/_2005_Baseline</f>
        <v>3.007004514695704E-2</v>
      </c>
      <c r="L34" s="213">
        <f>L33/_2005_Baseline</f>
        <v>2.6123382439781358E-2</v>
      </c>
    </row>
    <row r="35" spans="1:12">
      <c r="A35" s="181">
        <f t="shared" si="10"/>
        <v>24</v>
      </c>
      <c r="B35" s="297" t="s">
        <v>90</v>
      </c>
      <c r="C35" s="47">
        <f t="shared" ref="C35:L35" si="12">1-(C14-C33)/_2005_Baseline</f>
        <v>0.23110818461597116</v>
      </c>
      <c r="D35" s="47">
        <f t="shared" si="12"/>
        <v>0.14848653670084999</v>
      </c>
      <c r="E35" s="47">
        <f t="shared" si="12"/>
        <v>9.0718214840325051E-2</v>
      </c>
      <c r="F35" s="47">
        <f t="shared" si="12"/>
        <v>0.15347056425508043</v>
      </c>
      <c r="G35" s="47">
        <f t="shared" si="12"/>
        <v>0.10102385881556664</v>
      </c>
      <c r="H35" s="47">
        <f t="shared" si="12"/>
        <v>8.526276899886831E-2</v>
      </c>
      <c r="I35" s="47">
        <f t="shared" si="12"/>
        <v>6.5834564360471637E-2</v>
      </c>
      <c r="J35" s="47">
        <f t="shared" si="12"/>
        <v>0.11990191107455572</v>
      </c>
      <c r="K35" s="47">
        <f>1-(K14-K33)/_2005_Baseline</f>
        <v>0.22270351593023041</v>
      </c>
      <c r="L35" s="47">
        <f t="shared" si="12"/>
        <v>0.22878930739534775</v>
      </c>
    </row>
    <row r="36" spans="1:12">
      <c r="A36" s="181">
        <f t="shared" si="10"/>
        <v>25</v>
      </c>
      <c r="B36" s="48" t="s">
        <v>91</v>
      </c>
      <c r="C36" s="49">
        <v>-0.02</v>
      </c>
      <c r="D36" s="49">
        <v>-1.7000000000000001E-2</v>
      </c>
      <c r="E36" s="49"/>
      <c r="F36" s="49">
        <v>-1.7999999999999999E-2</v>
      </c>
      <c r="G36" s="49">
        <v>-1.7999999999999999E-2</v>
      </c>
      <c r="H36" s="49">
        <v>-1.7000000000000001E-2</v>
      </c>
      <c r="I36" s="49">
        <v>-1.6E-2</v>
      </c>
      <c r="J36" s="331">
        <v>-1.7999999999999999E-2</v>
      </c>
      <c r="K36" s="49">
        <v>-1.7000000000000001E-2</v>
      </c>
      <c r="L36" s="49">
        <v>-1.6E-2</v>
      </c>
    </row>
    <row r="37" spans="1:12" s="311" customFormat="1">
      <c r="A37" s="181">
        <f t="shared" si="10"/>
        <v>26</v>
      </c>
      <c r="B37" s="313" t="s">
        <v>92</v>
      </c>
      <c r="C37" s="225"/>
      <c r="D37" s="91"/>
      <c r="E37" s="91"/>
      <c r="F37" s="91"/>
      <c r="G37" s="91"/>
      <c r="H37" s="91"/>
      <c r="I37" s="91"/>
      <c r="J37" s="324"/>
      <c r="K37" s="91">
        <v>-93.3</v>
      </c>
      <c r="L37" s="91">
        <v>-131.30000000000001</v>
      </c>
    </row>
    <row r="38" spans="1:12">
      <c r="A38" s="181">
        <f>A37+1</f>
        <v>27</v>
      </c>
      <c r="B38" s="297" t="s">
        <v>93</v>
      </c>
      <c r="C38" s="49"/>
      <c r="D38" s="49"/>
      <c r="E38" s="49"/>
      <c r="F38" s="49"/>
      <c r="G38" s="49"/>
      <c r="H38" s="49"/>
      <c r="I38" s="49"/>
      <c r="J38" s="331"/>
      <c r="K38" s="213">
        <f>K37*ton_conversion/K7/_2005_Baseline</f>
        <v>-1.9823843162421846E-3</v>
      </c>
      <c r="L38" s="213">
        <f>L37*ton_conversion/L7/_2005_Baseline</f>
        <v>-2.6961538697682936E-3</v>
      </c>
    </row>
    <row r="39" spans="1:12" ht="15.75" customHeight="1" thickBot="1">
      <c r="A39" s="446">
        <f t="shared" si="10"/>
        <v>28</v>
      </c>
      <c r="B39" s="50" t="s">
        <v>94</v>
      </c>
      <c r="C39" s="51">
        <f>C35+C36</f>
        <v>0.21110818461597117</v>
      </c>
      <c r="D39" s="51">
        <f>D35+D36</f>
        <v>0.13148653670084998</v>
      </c>
      <c r="E39" s="51">
        <f>E35+E36+E38</f>
        <v>9.0718214840325051E-2</v>
      </c>
      <c r="F39" s="51">
        <f>F35+F36+F38</f>
        <v>0.13547056425508044</v>
      </c>
      <c r="G39" s="51">
        <f t="shared" ref="G39:J39" si="13">G35+G36+G38</f>
        <v>8.3023858815566634E-2</v>
      </c>
      <c r="H39" s="51">
        <f t="shared" si="13"/>
        <v>6.8262768998868309E-2</v>
      </c>
      <c r="I39" s="51">
        <f t="shared" si="13"/>
        <v>4.9834564360471637E-2</v>
      </c>
      <c r="J39" s="332">
        <f t="shared" si="13"/>
        <v>0.10190191107455572</v>
      </c>
      <c r="K39" s="51">
        <f>K35+K36+K38</f>
        <v>0.20372113161398822</v>
      </c>
      <c r="L39" s="51">
        <f>L35+L36+L38</f>
        <v>0.21009315352557945</v>
      </c>
    </row>
    <row r="40" spans="1:12">
      <c r="A40" s="52"/>
      <c r="B40" s="359"/>
      <c r="C40" s="53">
        <f>ROUND(C39,2)</f>
        <v>0.21</v>
      </c>
      <c r="D40" s="53">
        <f>ROUND(D39,2)</f>
        <v>0.13</v>
      </c>
      <c r="E40" s="53">
        <f t="shared" ref="E40:I40" si="14">ROUND(E39,2)</f>
        <v>0.09</v>
      </c>
      <c r="F40" s="53">
        <f>ROUND(F39,2)</f>
        <v>0.14000000000000001</v>
      </c>
      <c r="G40" s="53">
        <f t="shared" si="14"/>
        <v>0.08</v>
      </c>
      <c r="H40" s="53">
        <f t="shared" si="14"/>
        <v>7.0000000000000007E-2</v>
      </c>
      <c r="I40" s="53">
        <f t="shared" si="14"/>
        <v>0.05</v>
      </c>
      <c r="J40" s="333">
        <f>ROUND(J39,2)</f>
        <v>0.1</v>
      </c>
      <c r="K40" s="53">
        <f>ROUND(K39,2)</f>
        <v>0.2</v>
      </c>
      <c r="L40" s="53">
        <f>ROUND(L39,2)</f>
        <v>0.21</v>
      </c>
    </row>
    <row r="41" spans="1:12">
      <c r="A41" s="359"/>
      <c r="B41" s="54" t="s">
        <v>95</v>
      </c>
      <c r="C41" s="53">
        <v>0.13</v>
      </c>
      <c r="D41" s="53">
        <v>0.19</v>
      </c>
      <c r="E41" s="53"/>
      <c r="F41" s="53"/>
      <c r="G41" s="53"/>
      <c r="H41" s="53"/>
      <c r="I41" s="53"/>
      <c r="J41" s="333">
        <v>0.15</v>
      </c>
      <c r="K41" s="53">
        <v>0.19</v>
      </c>
      <c r="L41" s="53">
        <v>0.19</v>
      </c>
    </row>
    <row r="42" spans="1:12">
      <c r="A42" s="359"/>
      <c r="B42" s="359"/>
      <c r="C42" s="359"/>
      <c r="D42" s="359"/>
      <c r="E42" s="359"/>
      <c r="F42" s="359"/>
      <c r="G42" s="359"/>
      <c r="H42" s="359"/>
      <c r="I42" s="359"/>
      <c r="J42" s="323"/>
      <c r="K42" s="359"/>
      <c r="L42" s="359"/>
    </row>
    <row r="43" spans="1:12">
      <c r="A43" s="359"/>
      <c r="B43" s="359"/>
      <c r="C43" s="359"/>
      <c r="D43" s="359"/>
      <c r="E43" s="359"/>
      <c r="F43" s="359"/>
      <c r="G43" s="359"/>
      <c r="H43" s="359"/>
      <c r="I43" s="359"/>
      <c r="J43" s="323"/>
      <c r="K43" s="359"/>
      <c r="L43" s="359"/>
    </row>
    <row r="44" spans="1:12">
      <c r="A44" s="359"/>
      <c r="B44" s="361" t="s">
        <v>96</v>
      </c>
      <c r="C44" s="359"/>
      <c r="D44" s="359"/>
      <c r="E44" s="359"/>
      <c r="F44" s="359"/>
      <c r="G44" s="359"/>
      <c r="H44" s="359"/>
      <c r="I44" s="359"/>
      <c r="J44" s="323"/>
      <c r="K44" s="359"/>
      <c r="L44" s="359"/>
    </row>
    <row r="45" spans="1:12">
      <c r="A45" s="359"/>
      <c r="B45" s="359" t="s">
        <v>97</v>
      </c>
      <c r="C45" s="359"/>
      <c r="D45" s="359"/>
      <c r="E45" s="260">
        <f t="shared" ref="E45" si="15">E46*E7/ton_conversion</f>
        <v>39120.051134499998</v>
      </c>
      <c r="F45" s="260">
        <f t="shared" ref="F45:L45" si="16">F46*F7/ton_conversion</f>
        <v>39008.871911000009</v>
      </c>
      <c r="G45" s="260">
        <f t="shared" si="16"/>
        <v>41374.255504500004</v>
      </c>
      <c r="H45" s="260">
        <f t="shared" si="16"/>
        <v>43851.477262500004</v>
      </c>
      <c r="I45" s="260">
        <f t="shared" si="16"/>
        <v>46271.543104000004</v>
      </c>
      <c r="J45" s="321">
        <f t="shared" si="16"/>
        <v>39509.366602499998</v>
      </c>
      <c r="K45" s="260">
        <f>K46*K7/ton_conversion</f>
        <v>37476.0426735</v>
      </c>
      <c r="L45" s="260">
        <f t="shared" si="16"/>
        <v>38468.464713000001</v>
      </c>
    </row>
    <row r="46" spans="1:12">
      <c r="A46" s="359"/>
      <c r="B46" s="359" t="s">
        <v>98</v>
      </c>
      <c r="C46" s="359"/>
      <c r="D46" s="359"/>
      <c r="E46" s="312">
        <f t="shared" ref="E46" si="17">ROUND(_2005_Baseline*(1-E39),3)</f>
        <v>23.640999999999998</v>
      </c>
      <c r="F46" s="312">
        <f t="shared" ref="F46:L46" si="18">ROUND(_2005_Baseline*(1-F39),3)</f>
        <v>22.478000000000002</v>
      </c>
      <c r="G46" s="312">
        <f t="shared" si="18"/>
        <v>23.841000000000001</v>
      </c>
      <c r="H46" s="312">
        <f t="shared" si="18"/>
        <v>24.225000000000001</v>
      </c>
      <c r="I46" s="312">
        <f t="shared" si="18"/>
        <v>24.704000000000001</v>
      </c>
      <c r="J46" s="312">
        <f t="shared" si="18"/>
        <v>23.350999999999999</v>
      </c>
      <c r="K46" s="312">
        <f>ROUND(_2005_Baseline*(1-K39),3)</f>
        <v>20.702999999999999</v>
      </c>
      <c r="L46" s="312">
        <f t="shared" si="18"/>
        <v>20.538</v>
      </c>
    </row>
    <row r="47" spans="1:12">
      <c r="A47" s="359"/>
      <c r="B47" s="361" t="s">
        <v>99</v>
      </c>
      <c r="C47" s="359"/>
      <c r="D47" s="359"/>
      <c r="E47" s="359"/>
      <c r="F47" s="359"/>
      <c r="G47" s="359"/>
      <c r="H47" s="359"/>
      <c r="I47" s="359"/>
      <c r="J47" s="323"/>
      <c r="K47" s="359"/>
      <c r="L47" s="359"/>
    </row>
    <row r="48" spans="1:12">
      <c r="A48" s="359"/>
      <c r="B48" s="359" t="s">
        <v>100</v>
      </c>
      <c r="C48" s="359"/>
      <c r="D48" s="359"/>
      <c r="E48" s="260">
        <f t="shared" ref="E48" si="19">_2005_SB375_CO2_total-(E13-E32-E37)</f>
        <v>390.40873021386506</v>
      </c>
      <c r="F48" s="260">
        <f t="shared" ref="F48:L48" si="20">_2005_SB375_CO2_total-(F13-F32-F37)</f>
        <v>1314.7140081643593</v>
      </c>
      <c r="G48" s="260">
        <f t="shared" si="20"/>
        <v>-1051.7357285000398</v>
      </c>
      <c r="H48" s="260">
        <f t="shared" si="20"/>
        <v>-3540.6842537303091</v>
      </c>
      <c r="I48" s="260">
        <f t="shared" si="20"/>
        <v>-5981.9234843748272</v>
      </c>
      <c r="J48" s="260">
        <f t="shared" si="20"/>
        <v>794.23972937386861</v>
      </c>
      <c r="K48" s="260">
        <f t="shared" si="20"/>
        <v>2834.6008655284168</v>
      </c>
      <c r="L48" s="260">
        <f t="shared" si="20"/>
        <v>1822.509709635342</v>
      </c>
    </row>
    <row r="49" spans="2:12">
      <c r="B49" s="359" t="s">
        <v>101</v>
      </c>
      <c r="C49" s="359"/>
      <c r="D49" s="359"/>
      <c r="E49" s="312">
        <f>_2005_Baseline-E46</f>
        <v>2.3590000000000018</v>
      </c>
      <c r="F49" s="312">
        <f>_2005_Baseline-F46</f>
        <v>3.5219999999999985</v>
      </c>
      <c r="G49" s="312">
        <f t="shared" ref="G49:L49" si="21">_2005_Baseline-G46</f>
        <v>2.1589999999999989</v>
      </c>
      <c r="H49" s="312">
        <f t="shared" si="21"/>
        <v>1.7749999999999986</v>
      </c>
      <c r="I49" s="312">
        <f>_2005_Baseline-I46</f>
        <v>1.2959999999999994</v>
      </c>
      <c r="J49" s="334">
        <f t="shared" si="21"/>
        <v>2.6490000000000009</v>
      </c>
      <c r="K49" s="312">
        <f t="shared" si="21"/>
        <v>5.2970000000000006</v>
      </c>
      <c r="L49" s="312">
        <f t="shared" si="21"/>
        <v>5.4619999999999997</v>
      </c>
    </row>
    <row r="52" spans="2:12">
      <c r="B52" s="359" t="s">
        <v>102</v>
      </c>
      <c r="C52" s="359"/>
      <c r="D52" s="359"/>
      <c r="E52" s="359"/>
      <c r="F52" s="359"/>
      <c r="G52" s="359"/>
      <c r="H52" s="359"/>
      <c r="I52" s="359"/>
      <c r="J52" s="359"/>
      <c r="K52" s="359"/>
      <c r="L52" s="359"/>
    </row>
  </sheetData>
  <sheetProtection algorithmName="SHA-512" hashValue="5VA+pZ8ciylbUzye1JNFofoFyL6KWU3SyeNmvfBbUZMZuLZFlMcehGTrzLESqo4WWngPAKfp370odaN06jMvfg==" saltValue="x+Hopx7FSOPKKxJ7GT0TMA==" spinCount="100000" sheet="1" objects="1" scenarios="1"/>
  <mergeCells count="1">
    <mergeCell ref="E3:L3"/>
  </mergeCells>
  <conditionalFormatting sqref="C40:L40">
    <cfRule type="cellIs" dxfId="6" priority="1" operator="lessThan">
      <formula>-0.19</formula>
    </cfRule>
  </conditionalFormatting>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4" tint="0.59999389629810485"/>
  </sheetPr>
  <dimension ref="A1:T53"/>
  <sheetViews>
    <sheetView view="pageBreakPreview" zoomScale="90" zoomScaleNormal="100" zoomScaleSheetLayoutView="90" workbookViewId="0">
      <pane xSplit="1" ySplit="3" topLeftCell="B31" activePane="bottomRight" state="frozen"/>
      <selection pane="bottomRight" activeCell="G39" sqref="G39"/>
      <selection pane="bottomLeft" activeCell="A4" sqref="A4"/>
      <selection pane="topRight" activeCell="B1" sqref="B1"/>
    </sheetView>
  </sheetViews>
  <sheetFormatPr defaultColWidth="8.7109375" defaultRowHeight="15"/>
  <cols>
    <col min="1" max="1" width="42.5703125" style="311" customWidth="1"/>
    <col min="2" max="8" width="12.42578125" style="311" customWidth="1"/>
    <col min="9" max="11" width="10.85546875" style="289" customWidth="1"/>
    <col min="12" max="14" width="8.7109375" style="289"/>
    <col min="15" max="15" width="33.140625" style="289" bestFit="1" customWidth="1"/>
    <col min="16" max="17" width="33.140625" style="359" bestFit="1" customWidth="1"/>
    <col min="18" max="18" width="35.140625" style="289" bestFit="1" customWidth="1"/>
    <col min="19" max="19" width="22" style="289" bestFit="1" customWidth="1"/>
    <col min="20" max="20" width="72.5703125" style="289" bestFit="1" customWidth="1"/>
    <col min="21" max="16384" width="8.7109375" style="289"/>
  </cols>
  <sheetData>
    <row r="1" spans="1:20" s="311" customFormat="1" ht="17.25" customHeight="1">
      <c r="A1" s="471" t="s">
        <v>103</v>
      </c>
      <c r="B1" s="476">
        <v>2016</v>
      </c>
      <c r="C1" s="478" t="s">
        <v>1</v>
      </c>
      <c r="D1" s="478"/>
      <c r="E1" s="478"/>
      <c r="F1" s="478" t="s">
        <v>2</v>
      </c>
      <c r="G1" s="477"/>
      <c r="H1" s="477"/>
      <c r="I1" s="472" t="s">
        <v>104</v>
      </c>
      <c r="J1" s="473"/>
      <c r="K1" s="473"/>
      <c r="L1" s="475" t="s">
        <v>105</v>
      </c>
      <c r="M1" s="475"/>
      <c r="N1" s="475"/>
      <c r="O1" s="474" t="s">
        <v>106</v>
      </c>
      <c r="P1" s="474"/>
      <c r="Q1" s="474"/>
      <c r="R1" s="474"/>
      <c r="S1" s="474"/>
      <c r="T1" s="359"/>
    </row>
    <row r="2" spans="1:20" ht="17.25" customHeight="1">
      <c r="A2" s="471"/>
      <c r="B2" s="477"/>
      <c r="C2" s="444">
        <v>2025</v>
      </c>
      <c r="D2" s="444">
        <v>2035</v>
      </c>
      <c r="E2" s="444">
        <v>2050</v>
      </c>
      <c r="F2" s="444">
        <v>2025</v>
      </c>
      <c r="G2" s="444">
        <v>2035</v>
      </c>
      <c r="H2" s="444">
        <v>2050</v>
      </c>
      <c r="I2" s="444">
        <v>2025</v>
      </c>
      <c r="J2" s="444">
        <v>2035</v>
      </c>
      <c r="K2" s="444">
        <v>2050</v>
      </c>
      <c r="L2" s="444">
        <v>2025</v>
      </c>
      <c r="M2" s="444">
        <v>2035</v>
      </c>
      <c r="N2" s="444">
        <v>2050</v>
      </c>
      <c r="O2" s="356" t="s">
        <v>107</v>
      </c>
      <c r="P2" s="356" t="s">
        <v>108</v>
      </c>
      <c r="Q2" s="356" t="s">
        <v>109</v>
      </c>
      <c r="R2" s="356" t="s">
        <v>110</v>
      </c>
      <c r="S2" s="356" t="s">
        <v>111</v>
      </c>
      <c r="T2" s="359" t="s">
        <v>112</v>
      </c>
    </row>
    <row r="3" spans="1:20" ht="16.5" customHeight="1">
      <c r="A3" s="347" t="s">
        <v>3</v>
      </c>
      <c r="B3" s="348">
        <v>458</v>
      </c>
      <c r="C3" s="348">
        <v>461</v>
      </c>
      <c r="D3" s="348">
        <v>469</v>
      </c>
      <c r="E3" s="348">
        <v>460</v>
      </c>
      <c r="F3" s="348">
        <v>462</v>
      </c>
      <c r="G3" s="348">
        <v>475</v>
      </c>
      <c r="H3" s="348">
        <v>459</v>
      </c>
      <c r="I3" s="349"/>
      <c r="J3" s="349"/>
      <c r="K3" s="349"/>
      <c r="L3" s="349"/>
      <c r="M3" s="349"/>
      <c r="N3" s="349"/>
      <c r="O3" s="349"/>
      <c r="P3" s="349"/>
      <c r="Q3" s="349"/>
      <c r="R3" s="349"/>
      <c r="S3" s="349"/>
      <c r="T3" s="359"/>
    </row>
    <row r="4" spans="1:20">
      <c r="A4" s="340" t="s">
        <v>113</v>
      </c>
      <c r="B4" s="359"/>
      <c r="C4" s="359"/>
      <c r="D4" s="359"/>
      <c r="E4" s="359"/>
      <c r="F4" s="359"/>
      <c r="G4" s="359"/>
      <c r="H4" s="359"/>
      <c r="I4" s="359"/>
      <c r="J4" s="359"/>
      <c r="K4" s="359"/>
      <c r="L4" s="359"/>
      <c r="M4" s="359"/>
      <c r="N4" s="359"/>
      <c r="O4" s="359"/>
      <c r="R4" s="359"/>
      <c r="S4" s="359"/>
      <c r="T4" s="359"/>
    </row>
    <row r="5" spans="1:20">
      <c r="A5" s="341" t="s">
        <v>114</v>
      </c>
      <c r="B5" s="342">
        <v>62.495000000000005</v>
      </c>
      <c r="C5" s="342">
        <v>62.495000000000005</v>
      </c>
      <c r="D5" s="342">
        <v>62.495000000000005</v>
      </c>
      <c r="E5" s="342">
        <v>62.495000000000005</v>
      </c>
      <c r="F5" s="342">
        <v>62.495000000000005</v>
      </c>
      <c r="G5" s="342">
        <v>39.43</v>
      </c>
      <c r="H5" s="342">
        <v>36.494</v>
      </c>
      <c r="I5" s="312">
        <f>F5-C5</f>
        <v>0</v>
      </c>
      <c r="J5" s="312">
        <f t="shared" ref="J5:K5" si="0">G5-D5</f>
        <v>-23.065000000000005</v>
      </c>
      <c r="K5" s="312">
        <f t="shared" si="0"/>
        <v>-26.001000000000005</v>
      </c>
      <c r="L5" s="220">
        <f>F5/C5-1</f>
        <v>0</v>
      </c>
      <c r="M5" s="220">
        <f t="shared" ref="M5:N5" si="1">G5/D5-1</f>
        <v>-0.36906952556204498</v>
      </c>
      <c r="N5" s="220">
        <f t="shared" si="1"/>
        <v>-0.41604928394271545</v>
      </c>
      <c r="O5" s="359" t="b">
        <f t="shared" ref="O5:P7" si="2">IF(F5 &lt; C5, TRUE, FALSE)</f>
        <v>0</v>
      </c>
      <c r="P5" s="359" t="b">
        <f t="shared" si="2"/>
        <v>1</v>
      </c>
      <c r="Q5" s="359" t="b">
        <f>IF(H5 &lt; E5, TRUE, FALSE)</f>
        <v>1</v>
      </c>
      <c r="R5" s="359" t="b">
        <f xml:space="preserve"> IF(AND(G5 &lt;F5, H5&lt;G5), TRUE, FALSE)</f>
        <v>1</v>
      </c>
      <c r="S5" s="359" t="b">
        <f xml:space="preserve"> IF(H5 &lt; B5, TRUE, FALSE)</f>
        <v>1</v>
      </c>
      <c r="T5" s="359" t="s">
        <v>115</v>
      </c>
    </row>
    <row r="6" spans="1:20">
      <c r="A6" s="343" t="s">
        <v>116</v>
      </c>
      <c r="B6" s="312">
        <v>60.015999999999998</v>
      </c>
      <c r="C6" s="312">
        <v>57.728000000000002</v>
      </c>
      <c r="D6" s="312">
        <v>60.182000000000002</v>
      </c>
      <c r="E6" s="312">
        <v>63.185000000000002</v>
      </c>
      <c r="F6" s="312">
        <v>59.173999999999999</v>
      </c>
      <c r="G6" s="312">
        <v>57.426000000000002</v>
      </c>
      <c r="H6" s="312">
        <v>63.356000000000002</v>
      </c>
      <c r="I6" s="312">
        <f t="shared" ref="I6:I7" si="3">F6-C6</f>
        <v>1.445999999999998</v>
      </c>
      <c r="J6" s="312">
        <f t="shared" ref="J6:J7" si="4">G6-D6</f>
        <v>-2.7560000000000002</v>
      </c>
      <c r="K6" s="312">
        <f t="shared" ref="K6:K7" si="5">H6-E6</f>
        <v>0.17099999999999937</v>
      </c>
      <c r="L6" s="220">
        <f t="shared" ref="L6:L7" si="6">F6/C6-1</f>
        <v>2.5048503325942217E-2</v>
      </c>
      <c r="M6" s="220">
        <f t="shared" ref="M6:M7" si="7">G6/D6-1</f>
        <v>-4.5794423581801857E-2</v>
      </c>
      <c r="N6" s="220">
        <f t="shared" ref="N6:N7" si="8">H6/E6-1</f>
        <v>2.7063385297143583E-3</v>
      </c>
      <c r="O6" s="359" t="b">
        <f t="shared" si="2"/>
        <v>0</v>
      </c>
      <c r="P6" s="359" t="b">
        <f t="shared" si="2"/>
        <v>1</v>
      </c>
      <c r="Q6" s="359" t="b">
        <f>IF(H6 &lt; E6, TRUE, FALSE)</f>
        <v>0</v>
      </c>
      <c r="R6" s="359" t="b">
        <f t="shared" ref="R6:R7" si="9" xml:space="preserve"> IF(AND(G6 &lt;F6, H6&lt;G6), TRUE, FALSE)</f>
        <v>0</v>
      </c>
      <c r="S6" s="359" t="b">
        <f xml:space="preserve"> IF(H6 &lt; B6, TRUE, FALSE)</f>
        <v>0</v>
      </c>
      <c r="T6" s="359"/>
    </row>
    <row r="7" spans="1:20">
      <c r="A7" s="346" t="s">
        <v>117</v>
      </c>
      <c r="B7" s="312">
        <v>59.341000000000001</v>
      </c>
      <c r="C7" s="312">
        <v>54.643000000000001</v>
      </c>
      <c r="D7" s="312">
        <v>58.241</v>
      </c>
      <c r="E7" s="312">
        <v>61.823999999999998</v>
      </c>
      <c r="F7" s="312">
        <v>46.856999999999999</v>
      </c>
      <c r="G7" s="312">
        <v>50.56</v>
      </c>
      <c r="H7" s="312">
        <v>49.982999999999997</v>
      </c>
      <c r="I7" s="312">
        <f t="shared" si="3"/>
        <v>-7.7860000000000014</v>
      </c>
      <c r="J7" s="312">
        <f t="shared" si="4"/>
        <v>-7.6809999999999974</v>
      </c>
      <c r="K7" s="312">
        <f t="shared" si="5"/>
        <v>-11.841000000000001</v>
      </c>
      <c r="L7" s="220">
        <f t="shared" si="6"/>
        <v>-0.1424885163698919</v>
      </c>
      <c r="M7" s="220">
        <f t="shared" si="7"/>
        <v>-0.13188303772256649</v>
      </c>
      <c r="N7" s="220">
        <f t="shared" si="8"/>
        <v>-0.19152756211180122</v>
      </c>
      <c r="O7" s="359" t="b">
        <f t="shared" si="2"/>
        <v>1</v>
      </c>
      <c r="P7" s="359" t="b">
        <f t="shared" si="2"/>
        <v>1</v>
      </c>
      <c r="Q7" s="359" t="b">
        <f>IF(H7 &lt; E7, TRUE, FALSE)</f>
        <v>1</v>
      </c>
      <c r="R7" s="359" t="b">
        <f t="shared" si="9"/>
        <v>0</v>
      </c>
      <c r="S7" s="359" t="b">
        <f xml:space="preserve"> IF(H7 &lt; B7, TRUE, FALSE)</f>
        <v>1</v>
      </c>
      <c r="T7" s="359"/>
    </row>
    <row r="8" spans="1:20">
      <c r="A8" s="340" t="s">
        <v>118</v>
      </c>
      <c r="B8" s="312"/>
      <c r="C8" s="312"/>
      <c r="D8" s="312"/>
      <c r="E8" s="312"/>
      <c r="F8" s="312"/>
      <c r="G8" s="312"/>
      <c r="H8" s="312"/>
      <c r="I8" s="359"/>
      <c r="J8" s="359"/>
      <c r="K8" s="359"/>
      <c r="L8" s="359"/>
      <c r="M8" s="359"/>
      <c r="N8" s="359"/>
      <c r="O8" s="359"/>
      <c r="R8" s="359"/>
      <c r="S8" s="359"/>
      <c r="T8" s="359"/>
    </row>
    <row r="9" spans="1:20">
      <c r="A9" s="341" t="s">
        <v>114</v>
      </c>
      <c r="B9" s="342">
        <v>45.57</v>
      </c>
      <c r="C9" s="342">
        <v>44.933</v>
      </c>
      <c r="D9" s="342">
        <v>46.291000000000004</v>
      </c>
      <c r="E9" s="342">
        <v>48.649000000000001</v>
      </c>
      <c r="F9" s="342">
        <v>42.332000000000001</v>
      </c>
      <c r="G9" s="342">
        <v>46.588000000000001</v>
      </c>
      <c r="H9" s="342">
        <v>48.492000000000004</v>
      </c>
      <c r="I9" s="312">
        <f>F9-C9</f>
        <v>-2.6009999999999991</v>
      </c>
      <c r="J9" s="312">
        <f t="shared" ref="J9:J11" si="10">G9-D9</f>
        <v>0.29699999999999704</v>
      </c>
      <c r="K9" s="312">
        <f t="shared" ref="K9:K11" si="11">H9-E9</f>
        <v>-0.15699999999999648</v>
      </c>
      <c r="L9" s="220">
        <f>F9/C9-1</f>
        <v>-5.7886186099303405E-2</v>
      </c>
      <c r="M9" s="220">
        <f t="shared" ref="M9:M11" si="12">G9/D9-1</f>
        <v>6.4159339828475659E-3</v>
      </c>
      <c r="N9" s="220">
        <f t="shared" ref="N9:N11" si="13">H9/E9-1</f>
        <v>-3.2271989146743785E-3</v>
      </c>
      <c r="O9" s="359" t="b">
        <f t="shared" ref="O9:P11" si="14">IF(F9 &lt; C9, TRUE, FALSE)</f>
        <v>1</v>
      </c>
      <c r="P9" s="359" t="b">
        <f t="shared" si="14"/>
        <v>0</v>
      </c>
      <c r="Q9" s="359" t="b">
        <f>IF(H9 &lt; E9, TRUE, FALSE)</f>
        <v>1</v>
      </c>
      <c r="R9" s="359" t="b">
        <f xml:space="preserve"> IF(AND(G9 &lt;F9, H9&lt;G9), TRUE, FALSE)</f>
        <v>0</v>
      </c>
      <c r="S9" s="359" t="b">
        <f xml:space="preserve"> IF(H9 &lt; B9, TRUE, FALSE)</f>
        <v>0</v>
      </c>
      <c r="T9" s="359" t="s">
        <v>119</v>
      </c>
    </row>
    <row r="10" spans="1:20">
      <c r="A10" s="343" t="s">
        <v>116</v>
      </c>
      <c r="B10" s="312">
        <v>50.749000000000002</v>
      </c>
      <c r="C10" s="312">
        <v>51.122999999999998</v>
      </c>
      <c r="D10" s="312">
        <v>52.389000000000003</v>
      </c>
      <c r="E10" s="312">
        <v>54.808</v>
      </c>
      <c r="F10" s="312">
        <v>50.841000000000001</v>
      </c>
      <c r="G10" s="312">
        <v>48.37</v>
      </c>
      <c r="H10" s="312">
        <v>49.743000000000002</v>
      </c>
      <c r="I10" s="312">
        <f t="shared" ref="I10:I11" si="15">F10-C10</f>
        <v>-0.28199999999999648</v>
      </c>
      <c r="J10" s="312">
        <f t="shared" si="10"/>
        <v>-4.0190000000000055</v>
      </c>
      <c r="K10" s="312">
        <f t="shared" si="11"/>
        <v>-5.0649999999999977</v>
      </c>
      <c r="L10" s="220">
        <f t="shared" ref="L10:L11" si="16">F10/C10-1</f>
        <v>-5.516108209612014E-3</v>
      </c>
      <c r="M10" s="220">
        <f t="shared" si="12"/>
        <v>-7.6714577487640656E-2</v>
      </c>
      <c r="N10" s="220">
        <f t="shared" si="13"/>
        <v>-9.2413516274996277E-2</v>
      </c>
      <c r="O10" s="359" t="b">
        <f t="shared" si="14"/>
        <v>1</v>
      </c>
      <c r="P10" s="359" t="b">
        <f t="shared" si="14"/>
        <v>1</v>
      </c>
      <c r="Q10" s="359" t="b">
        <f>IF(H10 &lt; E10, TRUE, FALSE)</f>
        <v>1</v>
      </c>
      <c r="R10" s="359" t="b">
        <f t="shared" ref="R10:R11" si="17" xml:space="preserve"> IF(AND(G10 &lt;F10, H10&lt;G10), TRUE, FALSE)</f>
        <v>0</v>
      </c>
      <c r="S10" s="359" t="b">
        <f xml:space="preserve"> IF(H10 &lt; B10, TRUE, FALSE)</f>
        <v>1</v>
      </c>
      <c r="T10" s="359"/>
    </row>
    <row r="11" spans="1:20">
      <c r="A11" s="346" t="s">
        <v>117</v>
      </c>
      <c r="B11" s="312">
        <v>42.42</v>
      </c>
      <c r="C11" s="312">
        <v>41.838000000000001</v>
      </c>
      <c r="D11" s="312">
        <v>43.213000000000001</v>
      </c>
      <c r="E11" s="312">
        <v>45.533000000000001</v>
      </c>
      <c r="F11" s="312">
        <v>39.345999999999997</v>
      </c>
      <c r="G11" s="312">
        <v>40.902999999999999</v>
      </c>
      <c r="H11" s="312">
        <v>42.463000000000001</v>
      </c>
      <c r="I11" s="312">
        <f t="shared" si="15"/>
        <v>-2.4920000000000044</v>
      </c>
      <c r="J11" s="312">
        <f t="shared" si="10"/>
        <v>-2.3100000000000023</v>
      </c>
      <c r="K11" s="312">
        <f t="shared" si="11"/>
        <v>-3.0700000000000003</v>
      </c>
      <c r="L11" s="220">
        <f t="shared" si="16"/>
        <v>-5.9563076628902034E-2</v>
      </c>
      <c r="M11" s="220">
        <f t="shared" si="12"/>
        <v>-5.3456135885034617E-2</v>
      </c>
      <c r="N11" s="220">
        <f t="shared" si="13"/>
        <v>-6.7423626820108495E-2</v>
      </c>
      <c r="O11" s="359" t="b">
        <f t="shared" si="14"/>
        <v>1</v>
      </c>
      <c r="P11" s="359" t="b">
        <f t="shared" si="14"/>
        <v>1</v>
      </c>
      <c r="Q11" s="359" t="b">
        <f>IF(H11 &lt; E11, TRUE, FALSE)</f>
        <v>1</v>
      </c>
      <c r="R11" s="359" t="b">
        <f t="shared" si="17"/>
        <v>0</v>
      </c>
      <c r="S11" s="359" t="b">
        <f xml:space="preserve"> IF(H11 &lt; B11, TRUE, FALSE)</f>
        <v>0</v>
      </c>
      <c r="T11" s="359"/>
    </row>
    <row r="12" spans="1:20">
      <c r="A12" s="340" t="s">
        <v>120</v>
      </c>
      <c r="B12" s="312"/>
      <c r="C12" s="312"/>
      <c r="D12" s="312"/>
      <c r="E12" s="312"/>
      <c r="F12" s="312"/>
      <c r="G12" s="312"/>
      <c r="H12" s="312"/>
      <c r="I12" s="359"/>
      <c r="J12" s="359"/>
      <c r="K12" s="359"/>
      <c r="L12" s="359"/>
      <c r="M12" s="359"/>
      <c r="N12" s="359"/>
      <c r="O12" s="359"/>
      <c r="R12" s="359"/>
      <c r="S12" s="359"/>
      <c r="T12" s="359"/>
    </row>
    <row r="13" spans="1:20">
      <c r="A13" s="341" t="s">
        <v>114</v>
      </c>
      <c r="B13" s="342">
        <v>95.085999999999999</v>
      </c>
      <c r="C13" s="342">
        <v>90.378</v>
      </c>
      <c r="D13" s="342">
        <v>91.128</v>
      </c>
      <c r="E13" s="342">
        <v>92.212999999999994</v>
      </c>
      <c r="F13" s="342">
        <v>83.588999999999999</v>
      </c>
      <c r="G13" s="342">
        <v>56.393999999999998</v>
      </c>
      <c r="H13" s="342">
        <v>25.71</v>
      </c>
      <c r="I13" s="312">
        <f>F13-C13</f>
        <v>-6.7890000000000015</v>
      </c>
      <c r="J13" s="312">
        <f t="shared" ref="J13:J15" si="18">G13-D13</f>
        <v>-34.734000000000002</v>
      </c>
      <c r="K13" s="312">
        <f t="shared" ref="K13:K15" si="19">H13-E13</f>
        <v>-66.502999999999986</v>
      </c>
      <c r="L13" s="220">
        <f>F13/C13-1</f>
        <v>-7.5117838412002924E-2</v>
      </c>
      <c r="M13" s="220">
        <f t="shared" ref="M13:M15" si="20">G13/D13-1</f>
        <v>-0.38115617592836448</v>
      </c>
      <c r="N13" s="220">
        <f t="shared" ref="N13:N15" si="21">H13/E13-1</f>
        <v>-0.72118898636851636</v>
      </c>
      <c r="O13" s="359" t="b">
        <f t="shared" ref="O13:P15" si="22">IF(F13 &lt; C13, TRUE, FALSE)</f>
        <v>1</v>
      </c>
      <c r="P13" s="359" t="b">
        <f t="shared" si="22"/>
        <v>1</v>
      </c>
      <c r="Q13" s="359" t="b">
        <f>IF(H13 &lt; E13, TRUE, FALSE)</f>
        <v>1</v>
      </c>
      <c r="R13" s="359" t="b">
        <f xml:space="preserve"> IF(AND(G13 &lt;F13, H13&lt;G13), TRUE, FALSE)</f>
        <v>1</v>
      </c>
      <c r="S13" s="359" t="b">
        <f xml:space="preserve"> IF(H13 &lt; B13, TRUE, FALSE)</f>
        <v>1</v>
      </c>
      <c r="T13" s="359"/>
    </row>
    <row r="14" spans="1:20" ht="15.75" customHeight="1">
      <c r="A14" s="343" t="s">
        <v>116</v>
      </c>
      <c r="B14" s="312">
        <v>29.292999999999999</v>
      </c>
      <c r="C14" s="312">
        <v>29.26</v>
      </c>
      <c r="D14" s="312">
        <v>29.489000000000001</v>
      </c>
      <c r="E14" s="312">
        <v>30.9</v>
      </c>
      <c r="F14" s="312">
        <v>25.122</v>
      </c>
      <c r="G14" s="312">
        <v>25.03</v>
      </c>
      <c r="H14" s="312">
        <v>24.934000000000001</v>
      </c>
      <c r="I14" s="312">
        <f t="shared" ref="I14:I15" si="23">F14-C14</f>
        <v>-4.1380000000000017</v>
      </c>
      <c r="J14" s="312">
        <f>G14-D14</f>
        <v>-4.4589999999999996</v>
      </c>
      <c r="K14" s="312">
        <f t="shared" si="19"/>
        <v>-5.9659999999999975</v>
      </c>
      <c r="L14" s="220">
        <f t="shared" ref="L14:L15" si="24">F14/C14-1</f>
        <v>-0.14142173615857834</v>
      </c>
      <c r="M14" s="220">
        <f t="shared" si="20"/>
        <v>-0.15120892536199937</v>
      </c>
      <c r="N14" s="220">
        <f t="shared" si="21"/>
        <v>-0.19307443365695787</v>
      </c>
      <c r="O14" s="359" t="b">
        <f t="shared" si="22"/>
        <v>1</v>
      </c>
      <c r="P14" s="359" t="b">
        <f t="shared" si="22"/>
        <v>1</v>
      </c>
      <c r="Q14" s="359" t="b">
        <f>IF(H14 &lt; E14, TRUE, FALSE)</f>
        <v>1</v>
      </c>
      <c r="R14" s="359" t="b">
        <f t="shared" ref="R14:R15" si="25" xml:space="preserve"> IF(AND(G14 &lt;F14, H14&lt;G14), TRUE, FALSE)</f>
        <v>1</v>
      </c>
      <c r="S14" s="359" t="b">
        <f xml:space="preserve"> IF(H14 &lt; B14, TRUE, FALSE)</f>
        <v>1</v>
      </c>
      <c r="T14" s="359"/>
    </row>
    <row r="15" spans="1:20">
      <c r="A15" s="346" t="s">
        <v>117</v>
      </c>
      <c r="B15" s="312">
        <v>29.292999999999999</v>
      </c>
      <c r="C15" s="312">
        <v>29.26</v>
      </c>
      <c r="D15" s="312">
        <v>29.489000000000001</v>
      </c>
      <c r="E15" s="312">
        <v>30.9</v>
      </c>
      <c r="F15" s="312">
        <v>25.122</v>
      </c>
      <c r="G15" s="312">
        <v>23.36</v>
      </c>
      <c r="H15" s="312">
        <v>23.375</v>
      </c>
      <c r="I15" s="312">
        <f t="shared" si="23"/>
        <v>-4.1380000000000017</v>
      </c>
      <c r="J15" s="312">
        <f t="shared" si="18"/>
        <v>-6.1290000000000013</v>
      </c>
      <c r="K15" s="312">
        <f t="shared" si="19"/>
        <v>-7.5249999999999986</v>
      </c>
      <c r="L15" s="220">
        <f t="shared" si="24"/>
        <v>-0.14142173615857834</v>
      </c>
      <c r="M15" s="220">
        <f t="shared" si="20"/>
        <v>-0.20784021160432709</v>
      </c>
      <c r="N15" s="220">
        <f t="shared" si="21"/>
        <v>-0.24352750809061485</v>
      </c>
      <c r="O15" s="359" t="b">
        <f t="shared" si="22"/>
        <v>1</v>
      </c>
      <c r="P15" s="359" t="b">
        <f t="shared" si="22"/>
        <v>1</v>
      </c>
      <c r="Q15" s="359" t="b">
        <f>IF(H15 &lt; E15, TRUE, FALSE)</f>
        <v>1</v>
      </c>
      <c r="R15" s="359" t="b">
        <f t="shared" si="25"/>
        <v>0</v>
      </c>
      <c r="S15" s="359" t="b">
        <f xml:space="preserve"> IF(H15 &lt; B15, TRUE, FALSE)</f>
        <v>1</v>
      </c>
      <c r="T15" s="359"/>
    </row>
    <row r="16" spans="1:20">
      <c r="A16" s="340" t="s">
        <v>121</v>
      </c>
      <c r="B16" s="312"/>
      <c r="C16" s="312"/>
      <c r="D16" s="312"/>
      <c r="E16" s="312"/>
      <c r="F16" s="312"/>
      <c r="G16" s="312"/>
      <c r="H16" s="312"/>
      <c r="I16" s="359"/>
      <c r="J16" s="359"/>
      <c r="K16" s="359"/>
      <c r="L16" s="359"/>
      <c r="M16" s="359"/>
      <c r="N16" s="359"/>
      <c r="O16" s="359"/>
      <c r="R16" s="359"/>
      <c r="S16" s="359"/>
      <c r="T16" s="359"/>
    </row>
    <row r="17" spans="1:19">
      <c r="A17" s="341" t="s">
        <v>114</v>
      </c>
      <c r="B17" s="342">
        <v>67.087999999999994</v>
      </c>
      <c r="C17" s="342">
        <v>56.375</v>
      </c>
      <c r="D17" s="342">
        <v>57.008000000000003</v>
      </c>
      <c r="E17" s="342">
        <v>57.698</v>
      </c>
      <c r="F17" s="342">
        <v>53.625999999999998</v>
      </c>
      <c r="G17" s="342">
        <v>13.644</v>
      </c>
      <c r="H17" s="342">
        <v>13.644</v>
      </c>
      <c r="I17" s="312">
        <f>F17-C17</f>
        <v>-2.7490000000000023</v>
      </c>
      <c r="J17" s="312">
        <f t="shared" ref="J17:J19" si="26">G17-D17</f>
        <v>-43.364000000000004</v>
      </c>
      <c r="K17" s="312">
        <f t="shared" ref="K17:K19" si="27">H17-E17</f>
        <v>-44.054000000000002</v>
      </c>
      <c r="L17" s="220">
        <f>F17/C17-1</f>
        <v>-4.8762749445676268E-2</v>
      </c>
      <c r="M17" s="220">
        <f t="shared" ref="M17:M19" si="28">G17/D17-1</f>
        <v>-0.76066516980072973</v>
      </c>
      <c r="N17" s="220">
        <f t="shared" ref="N17:N19" si="29">H17/E17-1</f>
        <v>-0.76352733196991229</v>
      </c>
      <c r="O17" s="359" t="b">
        <f t="shared" ref="O17:P19" si="30">IF(F17 &lt; C17, TRUE, FALSE)</f>
        <v>1</v>
      </c>
      <c r="P17" s="359" t="b">
        <f t="shared" si="30"/>
        <v>1</v>
      </c>
      <c r="Q17" s="359" t="b">
        <f>IF(H17 &lt; E17, TRUE, FALSE)</f>
        <v>1</v>
      </c>
      <c r="R17" s="359" t="b">
        <f xml:space="preserve"> IF(AND(G17 &lt;F17, H17&lt;G17), TRUE, FALSE)</f>
        <v>0</v>
      </c>
      <c r="S17" s="359" t="b">
        <f xml:space="preserve"> IF(H17 &lt; B17, TRUE, FALSE)</f>
        <v>1</v>
      </c>
    </row>
    <row r="18" spans="1:19" ht="15.75" customHeight="1">
      <c r="A18" s="343" t="s">
        <v>116</v>
      </c>
      <c r="B18" s="312">
        <v>27.396000000000001</v>
      </c>
      <c r="C18" s="312">
        <v>28.725999999999999</v>
      </c>
      <c r="D18" s="312">
        <v>29.986000000000001</v>
      </c>
      <c r="E18" s="312">
        <v>31.651</v>
      </c>
      <c r="F18" s="312">
        <v>25.831</v>
      </c>
      <c r="G18" s="312">
        <v>26.603999999999999</v>
      </c>
      <c r="H18" s="312">
        <v>26.222000000000001</v>
      </c>
      <c r="I18" s="312">
        <f t="shared" ref="I18:I19" si="31">F18-C18</f>
        <v>-2.8949999999999996</v>
      </c>
      <c r="J18" s="312">
        <f t="shared" si="26"/>
        <v>-3.3820000000000014</v>
      </c>
      <c r="K18" s="312">
        <f t="shared" si="27"/>
        <v>-5.4289999999999985</v>
      </c>
      <c r="L18" s="220">
        <f t="shared" ref="L18:L19" si="32">F18/C18-1</f>
        <v>-0.10077978138271948</v>
      </c>
      <c r="M18" s="220">
        <f t="shared" si="28"/>
        <v>-0.11278596678449948</v>
      </c>
      <c r="N18" s="220">
        <f t="shared" si="29"/>
        <v>-0.17152696597263906</v>
      </c>
      <c r="O18" s="359" t="b">
        <f t="shared" si="30"/>
        <v>1</v>
      </c>
      <c r="P18" s="359" t="b">
        <f t="shared" si="30"/>
        <v>1</v>
      </c>
      <c r="Q18" s="359" t="b">
        <f>IF(H18 &lt; E18, TRUE, FALSE)</f>
        <v>1</v>
      </c>
      <c r="R18" s="359" t="b">
        <f t="shared" ref="R18:R19" si="33" xml:space="preserve"> IF(AND(G18 &lt;F18, H18&lt;G18), TRUE, FALSE)</f>
        <v>0</v>
      </c>
      <c r="S18" s="359" t="b">
        <f xml:space="preserve"> IF(H18 &lt; B18, TRUE, FALSE)</f>
        <v>1</v>
      </c>
    </row>
    <row r="19" spans="1:19">
      <c r="A19" s="346" t="s">
        <v>117</v>
      </c>
      <c r="B19" s="312">
        <v>27.396000000000001</v>
      </c>
      <c r="C19" s="312">
        <v>28.725999999999999</v>
      </c>
      <c r="D19" s="312">
        <v>29.986000000000001</v>
      </c>
      <c r="E19" s="312">
        <v>31.651</v>
      </c>
      <c r="F19" s="312">
        <v>25.831</v>
      </c>
      <c r="G19" s="312">
        <v>20.132000000000001</v>
      </c>
      <c r="H19" s="312">
        <v>20.259</v>
      </c>
      <c r="I19" s="312">
        <f t="shared" si="31"/>
        <v>-2.8949999999999996</v>
      </c>
      <c r="J19" s="312">
        <f t="shared" si="26"/>
        <v>-9.8539999999999992</v>
      </c>
      <c r="K19" s="312">
        <f t="shared" si="27"/>
        <v>-11.391999999999999</v>
      </c>
      <c r="L19" s="220">
        <f t="shared" si="32"/>
        <v>-0.10077978138271948</v>
      </c>
      <c r="M19" s="220">
        <f t="shared" si="28"/>
        <v>-0.32862002267724932</v>
      </c>
      <c r="N19" s="220">
        <f t="shared" si="29"/>
        <v>-0.35992543679504596</v>
      </c>
      <c r="O19" s="359" t="b">
        <f t="shared" si="30"/>
        <v>1</v>
      </c>
      <c r="P19" s="359" t="b">
        <f t="shared" si="30"/>
        <v>1</v>
      </c>
      <c r="Q19" s="359" t="b">
        <f>IF(H19 &lt; E19, TRUE, FALSE)</f>
        <v>1</v>
      </c>
      <c r="R19" s="359" t="b">
        <f t="shared" si="33"/>
        <v>0</v>
      </c>
      <c r="S19" s="359" t="b">
        <f xml:space="preserve"> IF(H19 &lt; B19, TRUE, FALSE)</f>
        <v>1</v>
      </c>
    </row>
    <row r="20" spans="1:19">
      <c r="A20" s="340" t="s">
        <v>122</v>
      </c>
      <c r="B20" s="312"/>
      <c r="C20" s="312"/>
      <c r="D20" s="312"/>
      <c r="E20" s="312"/>
      <c r="F20" s="312"/>
      <c r="G20" s="312"/>
      <c r="H20" s="312"/>
      <c r="I20" s="359"/>
      <c r="J20" s="359"/>
      <c r="K20" s="359"/>
      <c r="L20" s="359"/>
      <c r="M20" s="359"/>
      <c r="N20" s="359"/>
      <c r="O20" s="359"/>
      <c r="R20" s="359"/>
      <c r="S20" s="359"/>
    </row>
    <row r="21" spans="1:19">
      <c r="A21" s="341" t="s">
        <v>114</v>
      </c>
      <c r="B21" s="342">
        <v>62.329000000000001</v>
      </c>
      <c r="C21" s="342">
        <v>62.429000000000002</v>
      </c>
      <c r="D21" s="342">
        <v>62.484000000000002</v>
      </c>
      <c r="E21" s="342">
        <v>62.569000000000003</v>
      </c>
      <c r="F21" s="342">
        <v>62.201999999999998</v>
      </c>
      <c r="G21" s="342">
        <v>34.741999999999997</v>
      </c>
      <c r="H21" s="342">
        <v>14.052</v>
      </c>
      <c r="I21" s="312">
        <f>F21-C21</f>
        <v>-0.22700000000000387</v>
      </c>
      <c r="J21" s="312">
        <f t="shared" ref="J21:J23" si="34">G21-D21</f>
        <v>-27.742000000000004</v>
      </c>
      <c r="K21" s="312">
        <f t="shared" ref="K21:K23" si="35">H21-E21</f>
        <v>-48.517000000000003</v>
      </c>
      <c r="L21" s="220">
        <f>F21/C21-1</f>
        <v>-3.6361306444121499E-3</v>
      </c>
      <c r="M21" s="220">
        <f t="shared" ref="M21:M23" si="36">G21/D21-1</f>
        <v>-0.4439856603290443</v>
      </c>
      <c r="N21" s="220">
        <f t="shared" ref="N21:N23" si="37">H21/E21-1</f>
        <v>-0.77541594080135534</v>
      </c>
      <c r="O21" s="359" t="b">
        <f t="shared" ref="O21:P23" si="38">IF(F21 &lt; C21, TRUE, FALSE)</f>
        <v>1</v>
      </c>
      <c r="P21" s="359" t="b">
        <f t="shared" si="38"/>
        <v>1</v>
      </c>
      <c r="Q21" s="359" t="b">
        <f>IF(H21 &lt; E21, TRUE, FALSE)</f>
        <v>1</v>
      </c>
      <c r="R21" s="359" t="b">
        <f xml:space="preserve"> IF(AND(G21 &lt;F21, H21&lt;G21), TRUE, FALSE)</f>
        <v>1</v>
      </c>
      <c r="S21" s="359" t="b">
        <f xml:space="preserve"> IF(H21 &lt; B21, TRUE, FALSE)</f>
        <v>1</v>
      </c>
    </row>
    <row r="22" spans="1:19" ht="15.75" customHeight="1">
      <c r="A22" s="343" t="s">
        <v>116</v>
      </c>
      <c r="B22" s="312">
        <v>28.312999999999999</v>
      </c>
      <c r="C22" s="312">
        <v>28.942</v>
      </c>
      <c r="D22" s="312">
        <v>29.529</v>
      </c>
      <c r="E22" s="312">
        <v>30.655999999999999</v>
      </c>
      <c r="F22" s="312">
        <v>26.419</v>
      </c>
      <c r="G22" s="312">
        <v>27.247</v>
      </c>
      <c r="H22" s="312">
        <v>26.613</v>
      </c>
      <c r="I22" s="312">
        <f t="shared" ref="I22:I23" si="39">F22-C22</f>
        <v>-2.5229999999999997</v>
      </c>
      <c r="J22" s="312">
        <f t="shared" si="34"/>
        <v>-2.282</v>
      </c>
      <c r="K22" s="312">
        <f t="shared" si="35"/>
        <v>-4.0429999999999993</v>
      </c>
      <c r="L22" s="220">
        <f t="shared" ref="L22:L23" si="40">F22/C22-1</f>
        <v>-8.7174348697394821E-2</v>
      </c>
      <c r="M22" s="220">
        <f t="shared" si="36"/>
        <v>-7.7279962071184261E-2</v>
      </c>
      <c r="N22" s="220">
        <f t="shared" si="37"/>
        <v>-0.13188282881002089</v>
      </c>
      <c r="O22" s="359" t="b">
        <f t="shared" si="38"/>
        <v>1</v>
      </c>
      <c r="P22" s="359" t="b">
        <f t="shared" si="38"/>
        <v>1</v>
      </c>
      <c r="Q22" s="359" t="b">
        <f>IF(H22 &lt; E22, TRUE, FALSE)</f>
        <v>1</v>
      </c>
      <c r="R22" s="359" t="b">
        <f t="shared" ref="R22:R23" si="41" xml:space="preserve"> IF(AND(G22 &lt;F22, H22&lt;G22), TRUE, FALSE)</f>
        <v>0</v>
      </c>
      <c r="S22" s="359" t="b">
        <f xml:space="preserve"> IF(H22 &lt; B22, TRUE, FALSE)</f>
        <v>1</v>
      </c>
    </row>
    <row r="23" spans="1:19">
      <c r="A23" s="346" t="s">
        <v>117</v>
      </c>
      <c r="B23" s="312">
        <v>28.48</v>
      </c>
      <c r="C23" s="312">
        <v>28.942</v>
      </c>
      <c r="D23" s="312">
        <v>29.529</v>
      </c>
      <c r="E23" s="312">
        <v>30.655999999999999</v>
      </c>
      <c r="F23" s="312">
        <v>26.419</v>
      </c>
      <c r="G23" s="312">
        <v>25.364000000000001</v>
      </c>
      <c r="H23" s="312">
        <v>25.164000000000001</v>
      </c>
      <c r="I23" s="312">
        <f t="shared" si="39"/>
        <v>-2.5229999999999997</v>
      </c>
      <c r="J23" s="312">
        <f t="shared" si="34"/>
        <v>-4.1649999999999991</v>
      </c>
      <c r="K23" s="312">
        <f t="shared" si="35"/>
        <v>-5.4919999999999973</v>
      </c>
      <c r="L23" s="220">
        <f t="shared" si="40"/>
        <v>-8.7174348697394821E-2</v>
      </c>
      <c r="M23" s="220">
        <f t="shared" si="36"/>
        <v>-0.14104778353483016</v>
      </c>
      <c r="N23" s="220">
        <f t="shared" si="37"/>
        <v>-0.17914926931106467</v>
      </c>
      <c r="O23" s="359" t="b">
        <f t="shared" si="38"/>
        <v>1</v>
      </c>
      <c r="P23" s="359" t="b">
        <f t="shared" si="38"/>
        <v>1</v>
      </c>
      <c r="Q23" s="359" t="b">
        <f>IF(H23 &lt; E23, TRUE, FALSE)</f>
        <v>1</v>
      </c>
      <c r="R23" s="359" t="b">
        <f t="shared" si="41"/>
        <v>1</v>
      </c>
      <c r="S23" s="359" t="b">
        <f xml:space="preserve"> IF(H23 &lt; B23, TRUE, FALSE)</f>
        <v>1</v>
      </c>
    </row>
    <row r="24" spans="1:19">
      <c r="A24" s="340" t="s">
        <v>123</v>
      </c>
      <c r="B24" s="312"/>
      <c r="C24" s="312"/>
      <c r="D24" s="312"/>
      <c r="E24" s="312"/>
      <c r="F24" s="312"/>
      <c r="G24" s="312"/>
      <c r="H24" s="312"/>
      <c r="I24" s="359"/>
      <c r="J24" s="359"/>
      <c r="K24" s="359"/>
      <c r="L24" s="359"/>
      <c r="M24" s="359"/>
      <c r="N24" s="359"/>
      <c r="O24" s="359"/>
      <c r="R24" s="359"/>
      <c r="S24" s="359"/>
    </row>
    <row r="25" spans="1:19">
      <c r="A25" s="341" t="s">
        <v>114</v>
      </c>
      <c r="B25" s="342">
        <v>42.244</v>
      </c>
      <c r="C25" s="342">
        <v>42.100999999999999</v>
      </c>
      <c r="D25" s="342">
        <v>41.775999999999996</v>
      </c>
      <c r="E25" s="342">
        <v>41.792000000000002</v>
      </c>
      <c r="F25" s="342">
        <v>40.847999999999999</v>
      </c>
      <c r="G25" s="342">
        <v>30.277999999999999</v>
      </c>
      <c r="H25" s="342">
        <v>18.451000000000001</v>
      </c>
      <c r="I25" s="312">
        <f>F25-C25</f>
        <v>-1.2530000000000001</v>
      </c>
      <c r="J25" s="312">
        <f t="shared" ref="J25:J27" si="42">G25-D25</f>
        <v>-11.497999999999998</v>
      </c>
      <c r="K25" s="312">
        <f t="shared" ref="K25:K27" si="43">H25-E25</f>
        <v>-23.341000000000001</v>
      </c>
      <c r="L25" s="220">
        <f>F25/C25-1</f>
        <v>-2.9761763378542083E-2</v>
      </c>
      <c r="M25" s="220">
        <f t="shared" ref="M25:M27" si="44">G25/D25-1</f>
        <v>-0.27522979701263883</v>
      </c>
      <c r="N25" s="220">
        <f t="shared" ref="N25:N27" si="45">H25/E25-1</f>
        <v>-0.55850401990811638</v>
      </c>
      <c r="O25" s="359" t="b">
        <f t="shared" ref="O25:P27" si="46">IF(F25 &lt; C25, TRUE, FALSE)</f>
        <v>1</v>
      </c>
      <c r="P25" s="359" t="b">
        <f t="shared" si="46"/>
        <v>1</v>
      </c>
      <c r="Q25" s="359" t="b">
        <f>IF(H25 &lt; E25, TRUE, FALSE)</f>
        <v>1</v>
      </c>
      <c r="R25" s="359" t="b">
        <f xml:space="preserve"> IF(AND(G25 &lt;F25, H25&lt;G25), TRUE, FALSE)</f>
        <v>1</v>
      </c>
      <c r="S25" s="359" t="b">
        <f xml:space="preserve"> IF(H25 &lt; B25, TRUE, FALSE)</f>
        <v>1</v>
      </c>
    </row>
    <row r="26" spans="1:19">
      <c r="A26" s="343" t="s">
        <v>116</v>
      </c>
      <c r="B26" s="312">
        <v>50.161999999999999</v>
      </c>
      <c r="C26" s="312">
        <v>47.424999999999997</v>
      </c>
      <c r="D26" s="312">
        <v>47.915999999999997</v>
      </c>
      <c r="E26" s="312">
        <v>49.529000000000003</v>
      </c>
      <c r="F26" s="312">
        <v>47.222000000000001</v>
      </c>
      <c r="G26" s="312">
        <v>44.463000000000001</v>
      </c>
      <c r="H26" s="312">
        <v>48.609000000000002</v>
      </c>
      <c r="I26" s="312">
        <f t="shared" ref="I26:I27" si="47">F26-C26</f>
        <v>-0.20299999999999585</v>
      </c>
      <c r="J26" s="312">
        <f t="shared" si="42"/>
        <v>-3.4529999999999959</v>
      </c>
      <c r="K26" s="312">
        <f t="shared" si="43"/>
        <v>-0.92000000000000171</v>
      </c>
      <c r="L26" s="220">
        <f t="shared" ref="L26:L27" si="48">F26/C26-1</f>
        <v>-4.2804428044279641E-3</v>
      </c>
      <c r="M26" s="220">
        <f t="shared" si="44"/>
        <v>-7.206361131980954E-2</v>
      </c>
      <c r="N26" s="220">
        <f t="shared" si="45"/>
        <v>-1.8574976276524935E-2</v>
      </c>
      <c r="O26" s="359" t="b">
        <f t="shared" si="46"/>
        <v>1</v>
      </c>
      <c r="P26" s="359" t="b">
        <f t="shared" si="46"/>
        <v>1</v>
      </c>
      <c r="Q26" s="359" t="b">
        <f>IF(H26 &lt; E26, TRUE, FALSE)</f>
        <v>1</v>
      </c>
      <c r="R26" s="359" t="b">
        <f t="shared" ref="R26:R27" si="49" xml:space="preserve"> IF(AND(G26 &lt;F26, H26&lt;G26), TRUE, FALSE)</f>
        <v>0</v>
      </c>
      <c r="S26" s="359" t="b">
        <f xml:space="preserve"> IF(H26 &lt; B26, TRUE, FALSE)</f>
        <v>1</v>
      </c>
    </row>
    <row r="27" spans="1:19">
      <c r="A27" s="346" t="s">
        <v>117</v>
      </c>
      <c r="B27" s="312">
        <v>46.396999999999998</v>
      </c>
      <c r="C27" s="312">
        <v>42.011000000000003</v>
      </c>
      <c r="D27" s="312">
        <v>44.472000000000001</v>
      </c>
      <c r="E27" s="312">
        <v>47.084000000000003</v>
      </c>
      <c r="F27" s="312">
        <v>32.095999999999997</v>
      </c>
      <c r="G27" s="312">
        <v>39.061</v>
      </c>
      <c r="H27" s="312">
        <v>37.648000000000003</v>
      </c>
      <c r="I27" s="312">
        <f t="shared" si="47"/>
        <v>-9.9150000000000063</v>
      </c>
      <c r="J27" s="312">
        <f t="shared" si="42"/>
        <v>-5.4110000000000014</v>
      </c>
      <c r="K27" s="312">
        <f t="shared" si="43"/>
        <v>-9.4359999999999999</v>
      </c>
      <c r="L27" s="220">
        <f t="shared" si="48"/>
        <v>-0.23600961652900443</v>
      </c>
      <c r="M27" s="220">
        <f t="shared" si="44"/>
        <v>-0.12167206332074121</v>
      </c>
      <c r="N27" s="220">
        <f t="shared" si="45"/>
        <v>-0.20040778183671737</v>
      </c>
      <c r="O27" s="359" t="b">
        <f t="shared" si="46"/>
        <v>1</v>
      </c>
      <c r="P27" s="359" t="b">
        <f t="shared" si="46"/>
        <v>1</v>
      </c>
      <c r="Q27" s="359" t="b">
        <f>IF(H27 &lt; E27, TRUE, FALSE)</f>
        <v>1</v>
      </c>
      <c r="R27" s="359" t="b">
        <f t="shared" si="49"/>
        <v>0</v>
      </c>
      <c r="S27" s="359" t="b">
        <f xml:space="preserve"> IF(H27 &lt; B27, TRUE, FALSE)</f>
        <v>1</v>
      </c>
    </row>
    <row r="28" spans="1:19">
      <c r="A28" s="340" t="s">
        <v>124</v>
      </c>
      <c r="B28" s="312"/>
      <c r="C28" s="312"/>
      <c r="D28" s="312"/>
      <c r="E28" s="312"/>
      <c r="F28" s="312"/>
      <c r="G28" s="312"/>
      <c r="H28" s="312"/>
      <c r="I28" s="359"/>
      <c r="J28" s="359"/>
      <c r="K28" s="359"/>
      <c r="L28" s="359"/>
      <c r="M28" s="359"/>
      <c r="N28" s="359"/>
      <c r="O28" s="359"/>
      <c r="R28" s="359"/>
      <c r="S28" s="359"/>
    </row>
    <row r="29" spans="1:19">
      <c r="A29" s="341" t="s">
        <v>114</v>
      </c>
      <c r="B29" s="342">
        <v>53.400000000000006</v>
      </c>
      <c r="C29" s="342">
        <v>53.400000000000006</v>
      </c>
      <c r="D29" s="342">
        <v>53.400000000000006</v>
      </c>
      <c r="E29" s="342">
        <v>53.400000000000006</v>
      </c>
      <c r="F29" s="342">
        <v>53.400000000000006</v>
      </c>
      <c r="G29" s="342">
        <v>53.400000000000006</v>
      </c>
      <c r="H29" s="342">
        <v>53.400000000000006</v>
      </c>
      <c r="I29" s="312">
        <f>F29-C29</f>
        <v>0</v>
      </c>
      <c r="J29" s="312">
        <f t="shared" ref="J29:J31" si="50">G29-D29</f>
        <v>0</v>
      </c>
      <c r="K29" s="312">
        <f t="shared" ref="K29:K31" si="51">H29-E29</f>
        <v>0</v>
      </c>
      <c r="L29" s="220">
        <f>F29/C29-1</f>
        <v>0</v>
      </c>
      <c r="M29" s="220">
        <f t="shared" ref="M29:M31" si="52">G29/D29-1</f>
        <v>0</v>
      </c>
      <c r="N29" s="220">
        <f t="shared" ref="N29:N31" si="53">H29/E29-1</f>
        <v>0</v>
      </c>
      <c r="O29" s="359" t="b">
        <f t="shared" ref="O29:P31" si="54">IF(F29 &lt; C29, TRUE, FALSE)</f>
        <v>0</v>
      </c>
      <c r="P29" s="359" t="b">
        <f t="shared" si="54"/>
        <v>0</v>
      </c>
      <c r="Q29" s="359" t="b">
        <f>IF(H29 &lt; E29, TRUE, FALSE)</f>
        <v>0</v>
      </c>
      <c r="R29" s="359" t="b">
        <f xml:space="preserve"> IF(AND(G29 &lt;F29, H29&lt;G29), TRUE, FALSE)</f>
        <v>0</v>
      </c>
      <c r="S29" s="359" t="b">
        <f xml:space="preserve"> IF(H29 &lt; B29, TRUE, FALSE)</f>
        <v>0</v>
      </c>
    </row>
    <row r="30" spans="1:19">
      <c r="A30" s="343" t="s">
        <v>116</v>
      </c>
      <c r="B30" s="312">
        <v>32.499000000000002</v>
      </c>
      <c r="C30" s="312">
        <v>32.871000000000002</v>
      </c>
      <c r="D30" s="312">
        <v>35.161000000000001</v>
      </c>
      <c r="E30" s="312">
        <v>36.430999999999997</v>
      </c>
      <c r="F30" s="312">
        <v>31.116</v>
      </c>
      <c r="G30" s="312">
        <v>33.466999999999999</v>
      </c>
      <c r="H30" s="312">
        <v>34.328000000000003</v>
      </c>
      <c r="I30" s="312">
        <f t="shared" ref="I30:I31" si="55">F30-C30</f>
        <v>-1.7550000000000026</v>
      </c>
      <c r="J30" s="312">
        <f t="shared" si="50"/>
        <v>-1.6940000000000026</v>
      </c>
      <c r="K30" s="312">
        <f t="shared" si="51"/>
        <v>-2.1029999999999944</v>
      </c>
      <c r="L30" s="220">
        <f t="shared" ref="L30:L31" si="56">F30/C30-1</f>
        <v>-5.3390526603997568E-2</v>
      </c>
      <c r="M30" s="220">
        <f t="shared" si="52"/>
        <v>-4.8178379454509312E-2</v>
      </c>
      <c r="N30" s="220">
        <f t="shared" si="53"/>
        <v>-5.7725563393812851E-2</v>
      </c>
      <c r="O30" s="359" t="b">
        <f t="shared" si="54"/>
        <v>1</v>
      </c>
      <c r="P30" s="359" t="b">
        <f t="shared" si="54"/>
        <v>1</v>
      </c>
      <c r="Q30" s="359" t="b">
        <f>IF(H30 &lt; E30, TRUE, FALSE)</f>
        <v>1</v>
      </c>
      <c r="R30" s="359" t="b">
        <f t="shared" ref="R30:R31" si="57" xml:space="preserve"> IF(AND(G30 &lt;F30, H30&lt;G30), TRUE, FALSE)</f>
        <v>0</v>
      </c>
      <c r="S30" s="359" t="b">
        <f xml:space="preserve"> IF(H30 &lt; B30, TRUE, FALSE)</f>
        <v>0</v>
      </c>
    </row>
    <row r="31" spans="1:19">
      <c r="A31" s="346" t="s">
        <v>117</v>
      </c>
      <c r="B31" s="312">
        <v>32.499000000000002</v>
      </c>
      <c r="C31" s="312">
        <v>32.871000000000002</v>
      </c>
      <c r="D31" s="312">
        <v>35.161000000000001</v>
      </c>
      <c r="E31" s="312">
        <v>36.430999999999997</v>
      </c>
      <c r="F31" s="312">
        <v>31.116</v>
      </c>
      <c r="G31" s="312">
        <v>29.126999999999999</v>
      </c>
      <c r="H31" s="312">
        <v>29.152000000000001</v>
      </c>
      <c r="I31" s="312">
        <f t="shared" si="55"/>
        <v>-1.7550000000000026</v>
      </c>
      <c r="J31" s="312">
        <f t="shared" si="50"/>
        <v>-6.0340000000000025</v>
      </c>
      <c r="K31" s="312">
        <f t="shared" si="51"/>
        <v>-7.2789999999999964</v>
      </c>
      <c r="L31" s="220">
        <f t="shared" si="56"/>
        <v>-5.3390526603997568E-2</v>
      </c>
      <c r="M31" s="220">
        <f t="shared" si="52"/>
        <v>-0.17161059128011158</v>
      </c>
      <c r="N31" s="220">
        <f t="shared" si="53"/>
        <v>-0.1998023661167686</v>
      </c>
      <c r="O31" s="359" t="b">
        <f t="shared" si="54"/>
        <v>1</v>
      </c>
      <c r="P31" s="359" t="b">
        <f t="shared" si="54"/>
        <v>1</v>
      </c>
      <c r="Q31" s="359" t="b">
        <f>IF(H31 &lt; E31, TRUE, FALSE)</f>
        <v>1</v>
      </c>
      <c r="R31" s="359" t="b">
        <f t="shared" si="57"/>
        <v>0</v>
      </c>
      <c r="S31" s="359" t="b">
        <f xml:space="preserve"> IF(H31 &lt; B31, TRUE, FALSE)</f>
        <v>1</v>
      </c>
    </row>
    <row r="32" spans="1:19">
      <c r="A32" s="340" t="s">
        <v>125</v>
      </c>
      <c r="B32" s="312"/>
      <c r="C32" s="312"/>
      <c r="D32" s="312"/>
      <c r="E32" s="312"/>
      <c r="F32" s="312"/>
      <c r="G32" s="312"/>
      <c r="H32" s="312"/>
      <c r="I32" s="359"/>
      <c r="J32" s="359"/>
      <c r="K32" s="359"/>
      <c r="L32" s="359"/>
      <c r="M32" s="359"/>
      <c r="N32" s="359"/>
      <c r="O32" s="359"/>
      <c r="R32" s="359"/>
      <c r="S32" s="359"/>
    </row>
    <row r="33" spans="1:19">
      <c r="A33" s="341" t="s">
        <v>114</v>
      </c>
      <c r="B33" s="342">
        <v>48.146000000000001</v>
      </c>
      <c r="C33" s="342">
        <v>47.784000000000006</v>
      </c>
      <c r="D33" s="342">
        <v>47.784000000000006</v>
      </c>
      <c r="E33" s="342">
        <v>47.784000000000006</v>
      </c>
      <c r="F33" s="342">
        <v>47.784000000000006</v>
      </c>
      <c r="G33" s="342">
        <v>19.099999999999998</v>
      </c>
      <c r="H33" s="342">
        <v>19.135999999999999</v>
      </c>
      <c r="I33" s="312">
        <f>F33-C33</f>
        <v>0</v>
      </c>
      <c r="J33" s="312">
        <f t="shared" ref="J33:J35" si="58">G33-D33</f>
        <v>-28.684000000000008</v>
      </c>
      <c r="K33" s="312">
        <f t="shared" ref="K33:K35" si="59">H33-E33</f>
        <v>-28.648000000000007</v>
      </c>
      <c r="L33" s="220">
        <f>F33/C33-1</f>
        <v>0</v>
      </c>
      <c r="M33" s="220">
        <f t="shared" ref="M33:M35" si="60">G33/D33-1</f>
        <v>-0.60028461409676881</v>
      </c>
      <c r="N33" s="220">
        <f t="shared" ref="N33:N35" si="61">H33/E33-1</f>
        <v>-0.59953122384061619</v>
      </c>
      <c r="O33" s="359" t="b">
        <f t="shared" ref="O33:P35" si="62">IF(F33 &lt; C33, TRUE, FALSE)</f>
        <v>0</v>
      </c>
      <c r="P33" s="359" t="b">
        <f t="shared" si="62"/>
        <v>1</v>
      </c>
      <c r="Q33" s="359" t="b">
        <f>IF(H33 &lt; E33, TRUE, FALSE)</f>
        <v>1</v>
      </c>
      <c r="R33" s="359" t="b">
        <f xml:space="preserve"> IF(AND(G33 &lt;F33, H33&lt;G33), TRUE, FALSE)</f>
        <v>0</v>
      </c>
      <c r="S33" s="359" t="b">
        <f xml:space="preserve"> IF(H33 &lt; B33, TRUE, FALSE)</f>
        <v>1</v>
      </c>
    </row>
    <row r="34" spans="1:19">
      <c r="A34" s="343" t="s">
        <v>116</v>
      </c>
      <c r="B34" s="312">
        <v>30.599</v>
      </c>
      <c r="C34" s="312">
        <v>31.445</v>
      </c>
      <c r="D34" s="312">
        <v>32.56</v>
      </c>
      <c r="E34" s="312">
        <v>33.57</v>
      </c>
      <c r="F34" s="312">
        <v>29.414999999999999</v>
      </c>
      <c r="G34" s="312">
        <v>29.25</v>
      </c>
      <c r="H34" s="312">
        <v>28.960999999999999</v>
      </c>
      <c r="I34" s="312">
        <f t="shared" ref="I34:I35" si="63">F34-C34</f>
        <v>-2.0300000000000011</v>
      </c>
      <c r="J34" s="312">
        <f t="shared" si="58"/>
        <v>-3.3100000000000023</v>
      </c>
      <c r="K34" s="312">
        <f t="shared" si="59"/>
        <v>-4.6090000000000018</v>
      </c>
      <c r="L34" s="220">
        <f t="shared" ref="L34:L35" si="64">F34/C34-1</f>
        <v>-6.4557163301001808E-2</v>
      </c>
      <c r="M34" s="220">
        <f t="shared" si="60"/>
        <v>-0.10165847665847672</v>
      </c>
      <c r="N34" s="220">
        <f t="shared" si="61"/>
        <v>-0.1372952040512363</v>
      </c>
      <c r="O34" s="359" t="b">
        <f t="shared" si="62"/>
        <v>1</v>
      </c>
      <c r="P34" s="359" t="b">
        <f t="shared" si="62"/>
        <v>1</v>
      </c>
      <c r="Q34" s="359" t="b">
        <f>IF(H34 &lt; E34, TRUE, FALSE)</f>
        <v>1</v>
      </c>
      <c r="R34" s="359" t="b">
        <f t="shared" ref="R34:R35" si="65" xml:space="preserve"> IF(AND(G34 &lt;F34, H34&lt;G34), TRUE, FALSE)</f>
        <v>1</v>
      </c>
      <c r="S34" s="359" t="b">
        <f xml:space="preserve"> IF(H34 &lt; B34, TRUE, FALSE)</f>
        <v>1</v>
      </c>
    </row>
    <row r="35" spans="1:19">
      <c r="A35" s="346" t="s">
        <v>117</v>
      </c>
      <c r="B35" s="312">
        <v>30.599</v>
      </c>
      <c r="C35" s="312">
        <v>31.445</v>
      </c>
      <c r="D35" s="312">
        <v>32.56</v>
      </c>
      <c r="E35" s="312">
        <v>33.57</v>
      </c>
      <c r="F35" s="312">
        <v>29.414999999999999</v>
      </c>
      <c r="G35" s="312">
        <v>24.17</v>
      </c>
      <c r="H35" s="312">
        <v>24.757999999999999</v>
      </c>
      <c r="I35" s="312">
        <f t="shared" si="63"/>
        <v>-2.0300000000000011</v>
      </c>
      <c r="J35" s="312">
        <f t="shared" si="58"/>
        <v>-8.39</v>
      </c>
      <c r="K35" s="312">
        <f t="shared" si="59"/>
        <v>-8.8120000000000012</v>
      </c>
      <c r="L35" s="220">
        <f t="shared" si="64"/>
        <v>-6.4557163301001808E-2</v>
      </c>
      <c r="M35" s="220">
        <f t="shared" si="60"/>
        <v>-0.25767813267813267</v>
      </c>
      <c r="N35" s="220">
        <f t="shared" si="61"/>
        <v>-0.26249627643729523</v>
      </c>
      <c r="O35" s="359" t="b">
        <f t="shared" si="62"/>
        <v>1</v>
      </c>
      <c r="P35" s="359" t="b">
        <f t="shared" si="62"/>
        <v>1</v>
      </c>
      <c r="Q35" s="359" t="b">
        <f>IF(H35 &lt; E35, TRUE, FALSE)</f>
        <v>1</v>
      </c>
      <c r="R35" s="359" t="b">
        <f t="shared" si="65"/>
        <v>0</v>
      </c>
      <c r="S35" s="359" t="b">
        <f xml:space="preserve"> IF(H35 &lt; B35, TRUE, FALSE)</f>
        <v>1</v>
      </c>
    </row>
    <row r="36" spans="1:19">
      <c r="A36" s="340" t="s">
        <v>126</v>
      </c>
      <c r="B36" s="312"/>
      <c r="C36" s="312"/>
      <c r="D36" s="312"/>
      <c r="E36" s="344"/>
      <c r="F36" s="312"/>
      <c r="G36" s="312"/>
      <c r="H36" s="312"/>
      <c r="I36" s="359"/>
      <c r="J36" s="359"/>
      <c r="K36" s="359"/>
      <c r="L36" s="359"/>
      <c r="M36" s="359"/>
      <c r="N36" s="359"/>
      <c r="O36" s="359"/>
      <c r="R36" s="359"/>
      <c r="S36" s="359"/>
    </row>
    <row r="37" spans="1:19">
      <c r="A37" s="341" t="s">
        <v>114</v>
      </c>
      <c r="B37" s="342">
        <v>119.232</v>
      </c>
      <c r="C37" s="342">
        <v>92.784999999999997</v>
      </c>
      <c r="D37" s="342">
        <v>92.657000000000011</v>
      </c>
      <c r="E37" s="342">
        <v>93.97999999999999</v>
      </c>
      <c r="F37" s="342">
        <v>78</v>
      </c>
      <c r="G37" s="342">
        <v>58.817999999999998</v>
      </c>
      <c r="H37" s="342">
        <v>51.613</v>
      </c>
      <c r="I37" s="312">
        <f>F37-C37</f>
        <v>-14.784999999999997</v>
      </c>
      <c r="J37" s="312">
        <f t="shared" ref="J37:J39" si="66">G37-D37</f>
        <v>-33.839000000000013</v>
      </c>
      <c r="K37" s="312">
        <f t="shared" ref="K37:K39" si="67">H37-E37</f>
        <v>-42.36699999999999</v>
      </c>
      <c r="L37" s="220">
        <f>F37/C37-1</f>
        <v>-0.15934687718920082</v>
      </c>
      <c r="M37" s="220">
        <f t="shared" ref="M37:M39" si="68">G37/D37-1</f>
        <v>-0.3652071618981837</v>
      </c>
      <c r="N37" s="220">
        <f t="shared" ref="N37:N39" si="69">H37/E37-1</f>
        <v>-0.45080868269844643</v>
      </c>
      <c r="O37" s="359" t="b">
        <f t="shared" ref="O37:P39" si="70">IF(F37 &lt; C37, TRUE, FALSE)</f>
        <v>1</v>
      </c>
      <c r="P37" s="359" t="b">
        <f t="shared" si="70"/>
        <v>1</v>
      </c>
      <c r="Q37" s="359" t="b">
        <f>IF(H37 &lt; E37, TRUE, FALSE)</f>
        <v>1</v>
      </c>
      <c r="R37" s="359" t="b">
        <f xml:space="preserve"> IF(AND(G37 &lt;F37, H37&lt;G37), TRUE, FALSE)</f>
        <v>1</v>
      </c>
      <c r="S37" s="359" t="b">
        <f xml:space="preserve"> IF(H37 &lt; B37, TRUE, FALSE)</f>
        <v>1</v>
      </c>
    </row>
    <row r="38" spans="1:19">
      <c r="A38" s="343" t="s">
        <v>116</v>
      </c>
      <c r="B38" s="312">
        <v>56.704000000000001</v>
      </c>
      <c r="C38" s="312">
        <v>55.987000000000002</v>
      </c>
      <c r="D38" s="312">
        <v>56.829000000000001</v>
      </c>
      <c r="E38" s="312">
        <v>56.904000000000003</v>
      </c>
      <c r="F38" s="312">
        <v>51.49</v>
      </c>
      <c r="G38" s="312">
        <v>51.796999999999997</v>
      </c>
      <c r="H38" s="312">
        <v>46.798000000000002</v>
      </c>
      <c r="I38" s="312">
        <f t="shared" ref="I38:I39" si="71">F38-C38</f>
        <v>-4.4969999999999999</v>
      </c>
      <c r="J38" s="312">
        <f t="shared" si="66"/>
        <v>-5.0320000000000036</v>
      </c>
      <c r="K38" s="312">
        <f t="shared" si="67"/>
        <v>-10.106000000000002</v>
      </c>
      <c r="L38" s="220">
        <f t="shared" ref="L38:L39" si="72">F38/C38-1</f>
        <v>-8.0322217657670558E-2</v>
      </c>
      <c r="M38" s="220">
        <f t="shared" si="68"/>
        <v>-8.8546340776716193E-2</v>
      </c>
      <c r="N38" s="220">
        <f t="shared" si="69"/>
        <v>-0.17759735695205958</v>
      </c>
      <c r="O38" s="359" t="b">
        <f t="shared" si="70"/>
        <v>1</v>
      </c>
      <c r="P38" s="359" t="b">
        <f t="shared" si="70"/>
        <v>1</v>
      </c>
      <c r="Q38" s="359" t="b">
        <f>IF(H38 &lt; E38, TRUE, FALSE)</f>
        <v>1</v>
      </c>
      <c r="R38" s="359" t="b">
        <f t="shared" ref="R38:R39" si="73" xml:space="preserve"> IF(AND(G38 &lt;F38, H38&lt;G38), TRUE, FALSE)</f>
        <v>0</v>
      </c>
      <c r="S38" s="359" t="b">
        <f xml:space="preserve"> IF(H38 &lt; B38, TRUE, FALSE)</f>
        <v>1</v>
      </c>
    </row>
    <row r="39" spans="1:19">
      <c r="A39" s="346" t="s">
        <v>117</v>
      </c>
      <c r="B39" s="312">
        <v>55.692</v>
      </c>
      <c r="C39" s="312">
        <v>51.93</v>
      </c>
      <c r="D39" s="312">
        <v>52.774000000000001</v>
      </c>
      <c r="E39" s="312">
        <v>55.999000000000002</v>
      </c>
      <c r="F39" s="312">
        <v>46.527999999999999</v>
      </c>
      <c r="G39" s="312">
        <v>39.927999999999997</v>
      </c>
      <c r="H39" s="312">
        <v>36.472999999999999</v>
      </c>
      <c r="I39" s="312">
        <f t="shared" si="71"/>
        <v>-5.402000000000001</v>
      </c>
      <c r="J39" s="312">
        <f t="shared" si="66"/>
        <v>-12.846000000000004</v>
      </c>
      <c r="K39" s="312">
        <f t="shared" si="67"/>
        <v>-19.526000000000003</v>
      </c>
      <c r="L39" s="220">
        <f t="shared" si="72"/>
        <v>-0.10402464856537652</v>
      </c>
      <c r="M39" s="220">
        <f t="shared" si="68"/>
        <v>-0.24341531814908868</v>
      </c>
      <c r="N39" s="220">
        <f t="shared" si="69"/>
        <v>-0.34868479794282048</v>
      </c>
      <c r="O39" s="359" t="b">
        <f t="shared" si="70"/>
        <v>1</v>
      </c>
      <c r="P39" s="359" t="b">
        <f t="shared" si="70"/>
        <v>1</v>
      </c>
      <c r="Q39" s="359" t="b">
        <f>IF(H39 &lt; E39, TRUE, FALSE)</f>
        <v>1</v>
      </c>
      <c r="R39" s="359" t="b">
        <f t="shared" si="73"/>
        <v>1</v>
      </c>
      <c r="S39" s="359" t="b">
        <f xml:space="preserve"> IF(H39 &lt; B39, TRUE, FALSE)</f>
        <v>1</v>
      </c>
    </row>
    <row r="40" spans="1:19" ht="16.5" customHeight="1">
      <c r="A40" s="345" t="s">
        <v>127</v>
      </c>
      <c r="B40" s="312"/>
      <c r="C40" s="312"/>
      <c r="D40" s="312"/>
      <c r="E40" s="312"/>
      <c r="F40" s="312"/>
      <c r="G40" s="312"/>
      <c r="H40" s="312"/>
      <c r="I40" s="359"/>
      <c r="J40" s="359"/>
      <c r="K40" s="359"/>
      <c r="L40" s="359"/>
      <c r="M40" s="359"/>
      <c r="N40" s="359"/>
      <c r="O40" s="359"/>
      <c r="R40" s="359"/>
      <c r="S40" s="359"/>
    </row>
    <row r="41" spans="1:19">
      <c r="A41" s="341" t="s">
        <v>114</v>
      </c>
      <c r="B41" s="342">
        <v>105.047</v>
      </c>
      <c r="C41" s="342">
        <v>143.11199999999999</v>
      </c>
      <c r="D41" s="342">
        <v>143.40699999999998</v>
      </c>
      <c r="E41" s="342">
        <v>143.91899999999998</v>
      </c>
      <c r="F41" s="342">
        <v>140.48699999999999</v>
      </c>
      <c r="G41" s="342">
        <v>133.45400000000001</v>
      </c>
      <c r="H41" s="342">
        <v>133.28700000000001</v>
      </c>
      <c r="I41" s="312">
        <f>F41-C41</f>
        <v>-2.625</v>
      </c>
      <c r="J41" s="312">
        <f t="shared" ref="J41:J43" si="74">G41-D41</f>
        <v>-9.9529999999999745</v>
      </c>
      <c r="K41" s="312">
        <f t="shared" ref="K41:K43" si="75">H41-E41</f>
        <v>-10.631999999999977</v>
      </c>
      <c r="L41" s="220">
        <f>F41/C41-1</f>
        <v>-1.83422773771591E-2</v>
      </c>
      <c r="M41" s="220">
        <f t="shared" ref="M41:M43" si="76">G41/D41-1</f>
        <v>-6.940386452544145E-2</v>
      </c>
      <c r="N41" s="220">
        <f t="shared" ref="N41:N43" si="77">H41/E41-1</f>
        <v>-7.3874887957809499E-2</v>
      </c>
      <c r="O41" s="359" t="b">
        <f t="shared" ref="O41:P43" si="78">IF(F41 &lt; C41, TRUE, FALSE)</f>
        <v>1</v>
      </c>
      <c r="P41" s="359" t="b">
        <f t="shared" si="78"/>
        <v>1</v>
      </c>
      <c r="Q41" s="359" t="b">
        <f>IF(H41 &lt; E41, TRUE, FALSE)</f>
        <v>1</v>
      </c>
      <c r="R41" s="359" t="b">
        <f xml:space="preserve"> IF(AND(G41 &lt;F41, H41&lt;G41), TRUE, FALSE)</f>
        <v>1</v>
      </c>
      <c r="S41" s="359" t="b">
        <f xml:space="preserve"> IF(H41 &lt; B41, TRUE, FALSE)</f>
        <v>0</v>
      </c>
    </row>
    <row r="42" spans="1:19">
      <c r="A42" s="343" t="s">
        <v>116</v>
      </c>
      <c r="B42" s="312">
        <v>51.829000000000001</v>
      </c>
      <c r="C42" s="312">
        <v>51.012</v>
      </c>
      <c r="D42" s="312">
        <v>52.383000000000003</v>
      </c>
      <c r="E42" s="312">
        <v>54.079000000000001</v>
      </c>
      <c r="F42" s="312">
        <v>47.470999999999997</v>
      </c>
      <c r="G42" s="312">
        <v>47.209000000000003</v>
      </c>
      <c r="H42" s="312">
        <v>47.542000000000002</v>
      </c>
      <c r="I42" s="312">
        <f t="shared" ref="I42:I43" si="79">F42-C42</f>
        <v>-3.5410000000000039</v>
      </c>
      <c r="J42" s="312">
        <f t="shared" si="74"/>
        <v>-5.1739999999999995</v>
      </c>
      <c r="K42" s="312">
        <f t="shared" si="75"/>
        <v>-6.536999999999999</v>
      </c>
      <c r="L42" s="220">
        <f t="shared" ref="L42:L43" si="80">F42/C42-1</f>
        <v>-6.9415039598525907E-2</v>
      </c>
      <c r="M42" s="220">
        <f t="shared" si="76"/>
        <v>-9.8772502529446582E-2</v>
      </c>
      <c r="N42" s="220">
        <f t="shared" si="77"/>
        <v>-0.12087871447327059</v>
      </c>
      <c r="O42" s="359" t="b">
        <f t="shared" si="78"/>
        <v>1</v>
      </c>
      <c r="P42" s="359" t="b">
        <f t="shared" si="78"/>
        <v>1</v>
      </c>
      <c r="Q42" s="359" t="b">
        <f>IF(H42 &lt; E42, TRUE, FALSE)</f>
        <v>1</v>
      </c>
      <c r="R42" s="359" t="b">
        <f t="shared" ref="R42:R43" si="81" xml:space="preserve"> IF(AND(G42 &lt;F42, H42&lt;G42), TRUE, FALSE)</f>
        <v>0</v>
      </c>
      <c r="S42" s="359" t="b">
        <f xml:space="preserve"> IF(H42 &lt; B42, TRUE, FALSE)</f>
        <v>1</v>
      </c>
    </row>
    <row r="43" spans="1:19">
      <c r="A43" s="346" t="s">
        <v>117</v>
      </c>
      <c r="B43" s="312">
        <v>51.829000000000001</v>
      </c>
      <c r="C43" s="312">
        <v>51.012</v>
      </c>
      <c r="D43" s="312">
        <v>52.383000000000003</v>
      </c>
      <c r="E43" s="312">
        <v>54.079000000000001</v>
      </c>
      <c r="F43" s="312">
        <v>47.470999999999997</v>
      </c>
      <c r="G43" s="312">
        <v>47.209000000000003</v>
      </c>
      <c r="H43" s="312">
        <v>47.542000000000002</v>
      </c>
      <c r="I43" s="312">
        <f t="shared" si="79"/>
        <v>-3.5410000000000039</v>
      </c>
      <c r="J43" s="312">
        <f t="shared" si="74"/>
        <v>-5.1739999999999995</v>
      </c>
      <c r="K43" s="312">
        <f t="shared" si="75"/>
        <v>-6.536999999999999</v>
      </c>
      <c r="L43" s="220">
        <f t="shared" si="80"/>
        <v>-6.9415039598525907E-2</v>
      </c>
      <c r="M43" s="220">
        <f t="shared" si="76"/>
        <v>-9.8772502529446582E-2</v>
      </c>
      <c r="N43" s="220">
        <f t="shared" si="77"/>
        <v>-0.12087871447327059</v>
      </c>
      <c r="O43" s="359" t="b">
        <f t="shared" si="78"/>
        <v>1</v>
      </c>
      <c r="P43" s="359" t="b">
        <f t="shared" si="78"/>
        <v>1</v>
      </c>
      <c r="Q43" s="359" t="b">
        <f>IF(H43 &lt; E43, TRUE, FALSE)</f>
        <v>1</v>
      </c>
      <c r="R43" s="359" t="b">
        <f t="shared" si="81"/>
        <v>0</v>
      </c>
      <c r="S43" s="359" t="b">
        <f xml:space="preserve"> IF(H43 &lt; B43, TRUE, FALSE)</f>
        <v>1</v>
      </c>
    </row>
    <row r="44" spans="1:19" ht="16.5" customHeight="1">
      <c r="A44" s="345" t="s">
        <v>128</v>
      </c>
      <c r="B44" s="312"/>
      <c r="C44" s="312"/>
      <c r="D44" s="312"/>
      <c r="E44" s="312"/>
      <c r="F44" s="312"/>
      <c r="G44" s="312"/>
      <c r="H44" s="312"/>
      <c r="I44" s="359"/>
      <c r="J44" s="359"/>
      <c r="K44" s="359"/>
      <c r="L44" s="359"/>
      <c r="M44" s="359"/>
      <c r="N44" s="359"/>
      <c r="O44" s="359"/>
      <c r="R44" s="359"/>
      <c r="S44" s="359"/>
    </row>
    <row r="45" spans="1:19">
      <c r="A45" s="341" t="s">
        <v>114</v>
      </c>
      <c r="B45" s="342">
        <v>132.06</v>
      </c>
      <c r="C45" s="342">
        <v>130.20999999999998</v>
      </c>
      <c r="D45" s="342">
        <v>132.49700000000001</v>
      </c>
      <c r="E45" s="342">
        <v>134.26300000000001</v>
      </c>
      <c r="F45" s="342">
        <v>112.22</v>
      </c>
      <c r="G45" s="342">
        <v>112.152</v>
      </c>
      <c r="H45" s="342">
        <v>108.211</v>
      </c>
      <c r="I45" s="312">
        <f>F45-C45</f>
        <v>-17.989999999999981</v>
      </c>
      <c r="J45" s="312">
        <f t="shared" ref="J45:J47" si="82">G45-D45</f>
        <v>-20.345000000000013</v>
      </c>
      <c r="K45" s="312">
        <f t="shared" ref="K45:K47" si="83">H45-E45</f>
        <v>-26.052000000000007</v>
      </c>
      <c r="L45" s="220">
        <f>F45/C45-1</f>
        <v>-0.13816143153367622</v>
      </c>
      <c r="M45" s="220">
        <f t="shared" ref="M45:M47" si="84">G45/D45-1</f>
        <v>-0.1535506464297306</v>
      </c>
      <c r="N45" s="220">
        <f t="shared" ref="N45:N47" si="85">H45/E45-1</f>
        <v>-0.19403707648421387</v>
      </c>
      <c r="O45" s="359" t="b">
        <f t="shared" ref="O45:P47" si="86">IF(F45 &lt; C45, TRUE, FALSE)</f>
        <v>1</v>
      </c>
      <c r="P45" s="359" t="b">
        <f t="shared" si="86"/>
        <v>1</v>
      </c>
      <c r="Q45" s="359" t="b">
        <f>IF(H45 &lt; E45, TRUE, FALSE)</f>
        <v>1</v>
      </c>
      <c r="R45" s="359" t="b">
        <f xml:space="preserve"> IF(AND(G45 &lt;F45, H45&lt;G45), TRUE, FALSE)</f>
        <v>1</v>
      </c>
      <c r="S45" s="359" t="b">
        <f xml:space="preserve"> IF(H45 &lt; B45, TRUE, FALSE)</f>
        <v>1</v>
      </c>
    </row>
    <row r="46" spans="1:19">
      <c r="A46" s="343" t="s">
        <v>116</v>
      </c>
      <c r="B46" s="312">
        <v>77.843999999999994</v>
      </c>
      <c r="C46" s="312">
        <v>77.197000000000003</v>
      </c>
      <c r="D46" s="312">
        <v>78.102999999999994</v>
      </c>
      <c r="E46" s="312">
        <v>80.234999999999999</v>
      </c>
      <c r="F46" s="312">
        <v>74.215000000000003</v>
      </c>
      <c r="G46" s="312">
        <v>71.703999999999994</v>
      </c>
      <c r="H46" s="312">
        <v>72.650000000000006</v>
      </c>
      <c r="I46" s="312">
        <f t="shared" ref="I46:I47" si="87">F46-C46</f>
        <v>-2.9819999999999993</v>
      </c>
      <c r="J46" s="312">
        <f t="shared" si="82"/>
        <v>-6.3990000000000009</v>
      </c>
      <c r="K46" s="312">
        <f t="shared" si="83"/>
        <v>-7.5849999999999937</v>
      </c>
      <c r="L46" s="220">
        <f t="shared" ref="L46:L47" si="88">F46/C46-1</f>
        <v>-3.8628444110522464E-2</v>
      </c>
      <c r="M46" s="220">
        <f t="shared" si="84"/>
        <v>-8.1930271564472523E-2</v>
      </c>
      <c r="N46" s="220">
        <f t="shared" si="85"/>
        <v>-9.4534804013211127E-2</v>
      </c>
      <c r="O46" s="359" t="b">
        <f t="shared" si="86"/>
        <v>1</v>
      </c>
      <c r="P46" s="359" t="b">
        <f t="shared" si="86"/>
        <v>1</v>
      </c>
      <c r="Q46" s="359" t="b">
        <f>IF(H46 &lt; E46, TRUE, FALSE)</f>
        <v>1</v>
      </c>
      <c r="R46" s="359" t="b">
        <f t="shared" ref="R46:R47" si="89" xml:space="preserve"> IF(AND(G46 &lt;F46, H46&lt;G46), TRUE, FALSE)</f>
        <v>0</v>
      </c>
      <c r="S46" s="359" t="b">
        <f xml:space="preserve"> IF(H46 &lt; B46, TRUE, FALSE)</f>
        <v>1</v>
      </c>
    </row>
    <row r="47" spans="1:19">
      <c r="A47" s="346" t="s">
        <v>117</v>
      </c>
      <c r="B47" s="312">
        <v>72.445999999999998</v>
      </c>
      <c r="C47" s="312">
        <v>71.406000000000006</v>
      </c>
      <c r="D47" s="312">
        <v>71.930999999999997</v>
      </c>
      <c r="E47" s="312">
        <v>74.183000000000007</v>
      </c>
      <c r="F47" s="312">
        <v>67.686999999999998</v>
      </c>
      <c r="G47" s="312">
        <v>67.436999999999998</v>
      </c>
      <c r="H47" s="312">
        <v>68.802000000000007</v>
      </c>
      <c r="I47" s="312">
        <f t="shared" si="87"/>
        <v>-3.7190000000000083</v>
      </c>
      <c r="J47" s="312">
        <f t="shared" si="82"/>
        <v>-4.4939999999999998</v>
      </c>
      <c r="K47" s="312">
        <f t="shared" si="83"/>
        <v>-5.3810000000000002</v>
      </c>
      <c r="L47" s="220">
        <f t="shared" si="88"/>
        <v>-5.208245805674605E-2</v>
      </c>
      <c r="M47" s="220">
        <f t="shared" si="84"/>
        <v>-6.2476540017516791E-2</v>
      </c>
      <c r="N47" s="220">
        <f t="shared" si="85"/>
        <v>-7.2536834584743137E-2</v>
      </c>
      <c r="O47" s="359" t="b">
        <f t="shared" si="86"/>
        <v>1</v>
      </c>
      <c r="P47" s="359" t="b">
        <f t="shared" si="86"/>
        <v>1</v>
      </c>
      <c r="Q47" s="359" t="b">
        <f>IF(H47 &lt; E47, TRUE, FALSE)</f>
        <v>1</v>
      </c>
      <c r="R47" s="359" t="b">
        <f t="shared" si="89"/>
        <v>0</v>
      </c>
      <c r="S47" s="359" t="b">
        <f xml:space="preserve"> IF(H47 &lt; B47, TRUE, FALSE)</f>
        <v>1</v>
      </c>
    </row>
    <row r="49" spans="1:19" s="359" customFormat="1">
      <c r="A49" s="341" t="s">
        <v>129</v>
      </c>
    </row>
    <row r="50" spans="1:19">
      <c r="A50" s="435" t="s">
        <v>130</v>
      </c>
      <c r="B50" s="342">
        <v>93.006</v>
      </c>
      <c r="C50" s="342">
        <v>93.95</v>
      </c>
      <c r="D50" s="342">
        <v>94.045000000000002</v>
      </c>
      <c r="E50" s="342">
        <v>94.566999999999993</v>
      </c>
      <c r="F50" s="342">
        <v>52.682000000000002</v>
      </c>
      <c r="G50" s="342">
        <v>49.494999999999997</v>
      </c>
      <c r="H50" s="342">
        <v>49.896999999999998</v>
      </c>
      <c r="I50" s="312">
        <f>F50-C50</f>
        <v>-41.268000000000001</v>
      </c>
      <c r="J50" s="312">
        <f>G50-D50</f>
        <v>-44.550000000000004</v>
      </c>
      <c r="K50" s="312">
        <f>H50-E50</f>
        <v>-44.669999999999995</v>
      </c>
      <c r="L50" s="220">
        <f t="shared" ref="L50:L51" si="90">F50/C50-1</f>
        <v>-0.43925492283129319</v>
      </c>
      <c r="M50" s="220">
        <f t="shared" ref="M50:M51" si="91">G50/D50-1</f>
        <v>-0.47370939443883253</v>
      </c>
      <c r="N50" s="220">
        <f t="shared" ref="N50:N51" si="92">H50/E50-1</f>
        <v>-0.47236350946947669</v>
      </c>
      <c r="O50" s="427" t="b">
        <v>1</v>
      </c>
      <c r="P50" s="427" t="b">
        <v>1</v>
      </c>
      <c r="Q50" s="427" t="b">
        <v>1</v>
      </c>
      <c r="R50" s="428" t="b">
        <v>0</v>
      </c>
      <c r="S50" s="427" t="b">
        <v>1</v>
      </c>
    </row>
    <row r="51" spans="1:19">
      <c r="A51" s="435" t="s">
        <v>131</v>
      </c>
      <c r="B51" s="342">
        <v>97.165000000000006</v>
      </c>
      <c r="C51" s="342">
        <v>96.975999999999999</v>
      </c>
      <c r="D51" s="342">
        <v>97.123000000000005</v>
      </c>
      <c r="E51" s="342">
        <v>97.025999999999996</v>
      </c>
      <c r="F51" s="342">
        <v>90.981999999999999</v>
      </c>
      <c r="G51" s="342">
        <v>67.8</v>
      </c>
      <c r="H51" s="342">
        <v>65.08</v>
      </c>
      <c r="I51" s="312">
        <f t="shared" ref="I51" si="93">F51-C51</f>
        <v>-5.9939999999999998</v>
      </c>
      <c r="J51" s="312">
        <f t="shared" ref="J51" si="94">G51-D51</f>
        <v>-29.323000000000008</v>
      </c>
      <c r="K51" s="312">
        <f t="shared" ref="K51" si="95">H51-E51</f>
        <v>-31.945999999999998</v>
      </c>
      <c r="L51" s="220">
        <f t="shared" si="90"/>
        <v>-6.1809107408018482E-2</v>
      </c>
      <c r="M51" s="220">
        <f t="shared" si="91"/>
        <v>-0.30191612697301362</v>
      </c>
      <c r="N51" s="220">
        <f t="shared" si="92"/>
        <v>-0.3292519530847402</v>
      </c>
      <c r="O51" s="427" t="b">
        <v>1</v>
      </c>
      <c r="P51" s="427" t="b">
        <v>1</v>
      </c>
      <c r="Q51" s="427" t="b">
        <v>1</v>
      </c>
      <c r="R51" s="427" t="b">
        <v>1</v>
      </c>
      <c r="S51" s="427" t="b">
        <v>1</v>
      </c>
    </row>
    <row r="52" spans="1:19" hidden="1">
      <c r="A52" s="435" t="s">
        <v>132</v>
      </c>
      <c r="B52" s="342">
        <v>130.49</v>
      </c>
      <c r="C52" s="342">
        <v>145.13</v>
      </c>
      <c r="D52" s="342">
        <v>145.75</v>
      </c>
      <c r="E52" s="342">
        <v>147.54</v>
      </c>
      <c r="F52" s="342">
        <v>52.34</v>
      </c>
      <c r="G52" s="342">
        <v>53.91</v>
      </c>
      <c r="H52" s="342">
        <v>53.9</v>
      </c>
      <c r="I52" s="421">
        <v>-92.78</v>
      </c>
      <c r="J52" s="422">
        <v>-91.84</v>
      </c>
      <c r="K52" s="423">
        <v>-93.64</v>
      </c>
      <c r="L52" s="424">
        <v>-0.64</v>
      </c>
      <c r="M52" s="425">
        <v>-0.63</v>
      </c>
      <c r="N52" s="426">
        <v>-0.63</v>
      </c>
      <c r="O52" s="427" t="b">
        <v>1</v>
      </c>
      <c r="P52" s="427" t="b">
        <v>1</v>
      </c>
      <c r="Q52" s="427" t="b">
        <v>1</v>
      </c>
      <c r="R52" s="428" t="b">
        <v>0</v>
      </c>
      <c r="S52" s="427" t="b">
        <v>1</v>
      </c>
    </row>
    <row r="53" spans="1:19" hidden="1">
      <c r="A53" s="435" t="s">
        <v>133</v>
      </c>
      <c r="B53" s="342">
        <v>83.49</v>
      </c>
      <c r="C53" s="342">
        <v>83.25</v>
      </c>
      <c r="D53" s="342">
        <v>83.36</v>
      </c>
      <c r="E53" s="342">
        <v>83.53</v>
      </c>
      <c r="F53" s="342">
        <v>92.13</v>
      </c>
      <c r="G53" s="342">
        <v>69.069999999999993</v>
      </c>
      <c r="H53" s="342">
        <v>66.27</v>
      </c>
      <c r="I53" s="429">
        <v>8.89</v>
      </c>
      <c r="J53" s="430">
        <v>-14.29</v>
      </c>
      <c r="K53" s="431">
        <v>-17.260000000000002</v>
      </c>
      <c r="L53" s="432">
        <v>0.11</v>
      </c>
      <c r="M53" s="433">
        <v>-0.17</v>
      </c>
      <c r="N53" s="434">
        <v>-0.21</v>
      </c>
      <c r="O53" s="428" t="b">
        <v>0</v>
      </c>
      <c r="P53" s="427" t="b">
        <v>1</v>
      </c>
      <c r="Q53" s="427" t="b">
        <v>1</v>
      </c>
      <c r="R53" s="427" t="b">
        <v>1</v>
      </c>
      <c r="S53" s="427" t="b">
        <v>1</v>
      </c>
    </row>
  </sheetData>
  <sheetProtection algorithmName="SHA-512" hashValue="Op+Pd3FYtqqpsbumz15NS8NFa+aG4sfxg6XkQFgacF+YPiKQoiHh760KZ6DoLPjaR12QCR8Hv7RoKMw2U0m1YQ==" saltValue="3WW7mjlSK9iVdjvMoe3wHw==" spinCount="100000" sheet="1" objects="1" scenarios="1"/>
  <mergeCells count="7">
    <mergeCell ref="A1:A2"/>
    <mergeCell ref="I1:K1"/>
    <mergeCell ref="O1:S1"/>
    <mergeCell ref="L1:N1"/>
    <mergeCell ref="B1:B2"/>
    <mergeCell ref="C1:E1"/>
    <mergeCell ref="F1:H1"/>
  </mergeCells>
  <conditionalFormatting sqref="I5:K47">
    <cfRule type="colorScale" priority="28">
      <colorScale>
        <cfvo type="min"/>
        <cfvo type="percentile" val="75"/>
        <cfvo type="max"/>
        <color theme="9"/>
        <color rgb="FFFFEB84"/>
        <color rgb="FFCC4E48"/>
      </colorScale>
    </cfRule>
    <cfRule type="colorScale" priority="29">
      <colorScale>
        <cfvo type="min"/>
        <cfvo type="percentile" val="55"/>
        <cfvo type="max"/>
        <color theme="9"/>
        <color rgb="FFFFEB84"/>
        <color rgb="FFCC4E48"/>
      </colorScale>
    </cfRule>
    <cfRule type="colorScale" priority="30">
      <colorScale>
        <cfvo type="min"/>
        <cfvo type="percentile" val="40"/>
        <cfvo type="max"/>
        <color theme="9"/>
        <color rgb="FFFFEB84"/>
        <color rgb="FFCC4E48"/>
      </colorScale>
    </cfRule>
    <cfRule type="colorScale" priority="31">
      <colorScale>
        <cfvo type="min"/>
        <cfvo type="percentile" val="65"/>
        <cfvo type="max"/>
        <color rgb="FF63BE7B"/>
        <color rgb="FFFFEB84"/>
        <color rgb="FFF8696B"/>
      </colorScale>
    </cfRule>
    <cfRule type="colorScale" priority="33">
      <colorScale>
        <cfvo type="min"/>
        <cfvo type="num" val="0"/>
        <cfvo type="max"/>
        <color rgb="FFF8696B"/>
        <color rgb="FFFFEB84"/>
        <color rgb="FF63BE7B"/>
      </colorScale>
    </cfRule>
    <cfRule type="colorScale" priority="34">
      <colorScale>
        <cfvo type="min"/>
        <cfvo type="percentile" val="60"/>
        <cfvo type="max"/>
        <color rgb="FFF8696B"/>
        <color rgb="FFFFEB84"/>
        <color rgb="FF63BE7B"/>
      </colorScale>
    </cfRule>
    <cfRule type="colorScale" priority="35">
      <colorScale>
        <cfvo type="min"/>
        <cfvo type="percentile" val="75"/>
        <cfvo type="max"/>
        <color rgb="FFF8696B"/>
        <color rgb="FFFFEB84"/>
        <color rgb="FF63BE7B"/>
      </colorScale>
    </cfRule>
    <cfRule type="colorScale" priority="36">
      <colorScale>
        <cfvo type="min"/>
        <cfvo type="percentile" val="50"/>
        <cfvo type="max"/>
        <color theme="9"/>
        <color rgb="FFFFEB84"/>
        <color rgb="FFCC4E48"/>
      </colorScale>
    </cfRule>
    <cfRule type="colorScale" priority="40">
      <colorScale>
        <cfvo type="min"/>
        <cfvo type="percentile" val="50"/>
        <cfvo type="max"/>
        <color rgb="FF63BE7B"/>
        <color rgb="FFFFEB84"/>
        <color rgb="FFF8696B"/>
      </colorScale>
    </cfRule>
  </conditionalFormatting>
  <conditionalFormatting sqref="L5:N47">
    <cfRule type="colorScale" priority="50">
      <colorScale>
        <cfvo type="min"/>
        <cfvo type="percentile" val="75"/>
        <cfvo type="max"/>
        <color theme="9"/>
        <color rgb="FFFFEB84"/>
        <color rgb="FFCC4E48"/>
      </colorScale>
    </cfRule>
    <cfRule type="colorScale" priority="51">
      <colorScale>
        <cfvo type="min"/>
        <cfvo type="percentile" val="50"/>
        <cfvo type="max"/>
        <color rgb="FF63BE7B"/>
        <color rgb="FFFFEB84"/>
        <color rgb="FFF8696B"/>
      </colorScale>
    </cfRule>
  </conditionalFormatting>
  <conditionalFormatting sqref="I5:N47">
    <cfRule type="colorScale" priority="52">
      <colorScale>
        <cfvo type="min"/>
        <cfvo type="percentile" val="50"/>
        <cfvo type="max"/>
        <color rgb="FF63BE7B"/>
        <color rgb="FFFFEB84"/>
        <color rgb="FFF8696B"/>
      </colorScale>
    </cfRule>
  </conditionalFormatting>
  <conditionalFormatting sqref="R5:S47 O5:O47">
    <cfRule type="containsText" dxfId="5" priority="66" operator="containsText" text="FALSE">
      <formula>NOT(ISERROR(SEARCH("FALSE",O5)))</formula>
    </cfRule>
    <cfRule type="containsText" dxfId="4" priority="67" operator="containsText" text="TRUE">
      <formula>NOT(ISERROR(SEARCH("TRUE",O5)))</formula>
    </cfRule>
    <cfRule type="dataBar" priority="68">
      <dataBar>
        <cfvo type="min"/>
        <cfvo type="max"/>
        <color rgb="FFD6007B"/>
      </dataBar>
      <extLst>
        <ext xmlns:x14="http://schemas.microsoft.com/office/spreadsheetml/2009/9/main" uri="{B025F937-C7B1-47D3-B67F-A62EFF666E3E}">
          <x14:id>{9DA5BB76-9963-451A-9EB2-BF718308620B}</x14:id>
        </ext>
      </extLst>
    </cfRule>
    <cfRule type="colorScale" priority="69">
      <colorScale>
        <cfvo type="min"/>
        <cfvo type="percentile" val="50"/>
        <cfvo type="max"/>
        <color rgb="FFF8696B"/>
        <color rgb="FFFFEB84"/>
        <color rgb="FF63BE7B"/>
      </colorScale>
    </cfRule>
  </conditionalFormatting>
  <conditionalFormatting sqref="O5:O47">
    <cfRule type="colorScale" priority="74">
      <colorScale>
        <cfvo type="min"/>
        <cfvo type="max"/>
        <color rgb="FF63BE7B"/>
        <color rgb="FFFCFCFF"/>
      </colorScale>
    </cfRule>
    <cfRule type="dataBar" priority="75">
      <dataBar>
        <cfvo type="min"/>
        <cfvo type="max"/>
        <color rgb="FF63C384"/>
      </dataBar>
      <extLst>
        <ext xmlns:x14="http://schemas.microsoft.com/office/spreadsheetml/2009/9/main" uri="{B025F937-C7B1-47D3-B67F-A62EFF666E3E}">
          <x14:id>{F7BDB134-B4A4-4C21-89D1-3D8CA00B8F8C}</x14:id>
        </ext>
      </extLst>
    </cfRule>
  </conditionalFormatting>
  <conditionalFormatting sqref="O5:O7">
    <cfRule type="colorScale" priority="78">
      <colorScale>
        <cfvo type="min"/>
        <cfvo type="percentile" val="50"/>
        <cfvo type="max"/>
        <color rgb="FFF8696B"/>
        <color rgb="FFFFEB84"/>
        <color rgb="FF63BE7B"/>
      </colorScale>
    </cfRule>
  </conditionalFormatting>
  <conditionalFormatting sqref="P5:P47">
    <cfRule type="containsText" dxfId="3" priority="20" operator="containsText" text="FALSE">
      <formula>NOT(ISERROR(SEARCH("FALSE",P5)))</formula>
    </cfRule>
    <cfRule type="containsText" dxfId="2" priority="21" operator="containsText" text="TRUE">
      <formula>NOT(ISERROR(SEARCH("TRUE",P5)))</formula>
    </cfRule>
    <cfRule type="dataBar" priority="22">
      <dataBar>
        <cfvo type="min"/>
        <cfvo type="max"/>
        <color rgb="FFD6007B"/>
      </dataBar>
      <extLst>
        <ext xmlns:x14="http://schemas.microsoft.com/office/spreadsheetml/2009/9/main" uri="{B025F937-C7B1-47D3-B67F-A62EFF666E3E}">
          <x14:id>{E466A338-8CD2-4D5F-B422-2A82F0DCAD0C}</x14:id>
        </ext>
      </extLst>
    </cfRule>
    <cfRule type="colorScale" priority="23">
      <colorScale>
        <cfvo type="min"/>
        <cfvo type="percentile" val="50"/>
        <cfvo type="max"/>
        <color rgb="FFF8696B"/>
        <color rgb="FFFFEB84"/>
        <color rgb="FF63BE7B"/>
      </colorScale>
    </cfRule>
  </conditionalFormatting>
  <conditionalFormatting sqref="P5:P47">
    <cfRule type="colorScale" priority="24">
      <colorScale>
        <cfvo type="min"/>
        <cfvo type="max"/>
        <color rgb="FF63BE7B"/>
        <color rgb="FFFCFCFF"/>
      </colorScale>
    </cfRule>
    <cfRule type="dataBar" priority="25">
      <dataBar>
        <cfvo type="min"/>
        <cfvo type="max"/>
        <color rgb="FF63C384"/>
      </dataBar>
      <extLst>
        <ext xmlns:x14="http://schemas.microsoft.com/office/spreadsheetml/2009/9/main" uri="{B025F937-C7B1-47D3-B67F-A62EFF666E3E}">
          <x14:id>{383A520C-ACD1-4634-882C-E21996A92FA4}</x14:id>
        </ext>
      </extLst>
    </cfRule>
  </conditionalFormatting>
  <conditionalFormatting sqref="P5:P7">
    <cfRule type="colorScale" priority="26">
      <colorScale>
        <cfvo type="min"/>
        <cfvo type="percentile" val="50"/>
        <cfvo type="max"/>
        <color rgb="FFF8696B"/>
        <color rgb="FFFFEB84"/>
        <color rgb="FF63BE7B"/>
      </colorScale>
    </cfRule>
  </conditionalFormatting>
  <conditionalFormatting sqref="Q5:Q47">
    <cfRule type="containsText" dxfId="1" priority="13" operator="containsText" text="FALSE">
      <formula>NOT(ISERROR(SEARCH("FALSE",Q5)))</formula>
    </cfRule>
    <cfRule type="containsText" dxfId="0" priority="14" operator="containsText" text="TRUE">
      <formula>NOT(ISERROR(SEARCH("TRUE",Q5)))</formula>
    </cfRule>
    <cfRule type="dataBar" priority="15">
      <dataBar>
        <cfvo type="min"/>
        <cfvo type="max"/>
        <color rgb="FFD6007B"/>
      </dataBar>
      <extLst>
        <ext xmlns:x14="http://schemas.microsoft.com/office/spreadsheetml/2009/9/main" uri="{B025F937-C7B1-47D3-B67F-A62EFF666E3E}">
          <x14:id>{DFBD23FD-0BAA-4618-8ECF-1D5EA35926B0}</x14:id>
        </ext>
      </extLst>
    </cfRule>
    <cfRule type="colorScale" priority="16">
      <colorScale>
        <cfvo type="min"/>
        <cfvo type="percentile" val="50"/>
        <cfvo type="max"/>
        <color rgb="FFF8696B"/>
        <color rgb="FFFFEB84"/>
        <color rgb="FF63BE7B"/>
      </colorScale>
    </cfRule>
  </conditionalFormatting>
  <conditionalFormatting sqref="Q5:Q47">
    <cfRule type="colorScale" priority="17">
      <colorScale>
        <cfvo type="min"/>
        <cfvo type="max"/>
        <color rgb="FF63BE7B"/>
        <color rgb="FFFCFCFF"/>
      </colorScale>
    </cfRule>
    <cfRule type="dataBar" priority="18">
      <dataBar>
        <cfvo type="min"/>
        <cfvo type="max"/>
        <color rgb="FF63C384"/>
      </dataBar>
      <extLst>
        <ext xmlns:x14="http://schemas.microsoft.com/office/spreadsheetml/2009/9/main" uri="{B025F937-C7B1-47D3-B67F-A62EFF666E3E}">
          <x14:id>{B068AD20-01C3-4A91-AA58-E2C2567FAEA6}</x14:id>
        </ext>
      </extLst>
    </cfRule>
  </conditionalFormatting>
  <conditionalFormatting sqref="Q5:Q7">
    <cfRule type="colorScale" priority="19">
      <colorScale>
        <cfvo type="min"/>
        <cfvo type="percentile" val="50"/>
        <cfvo type="max"/>
        <color rgb="FFF8696B"/>
        <color rgb="FFFFEB84"/>
        <color rgb="FF63BE7B"/>
      </colorScale>
    </cfRule>
  </conditionalFormatting>
  <conditionalFormatting sqref="I50:K51">
    <cfRule type="colorScale" priority="1">
      <colorScale>
        <cfvo type="min"/>
        <cfvo type="percentile" val="75"/>
        <cfvo type="max"/>
        <color theme="9"/>
        <color rgb="FFFFEB84"/>
        <color rgb="FFCC4E48"/>
      </colorScale>
    </cfRule>
    <cfRule type="colorScale" priority="2">
      <colorScale>
        <cfvo type="min"/>
        <cfvo type="percentile" val="55"/>
        <cfvo type="max"/>
        <color theme="9"/>
        <color rgb="FFFFEB84"/>
        <color rgb="FFCC4E48"/>
      </colorScale>
    </cfRule>
    <cfRule type="colorScale" priority="3">
      <colorScale>
        <cfvo type="min"/>
        <cfvo type="percentile" val="40"/>
        <cfvo type="max"/>
        <color theme="9"/>
        <color rgb="FFFFEB84"/>
        <color rgb="FFCC4E48"/>
      </colorScale>
    </cfRule>
    <cfRule type="colorScale" priority="4">
      <colorScale>
        <cfvo type="min"/>
        <cfvo type="percentile" val="65"/>
        <cfvo type="max"/>
        <color rgb="FF63BE7B"/>
        <color rgb="FFFFEB84"/>
        <color rgb="FFF8696B"/>
      </colorScale>
    </cfRule>
    <cfRule type="colorScale" priority="5">
      <colorScale>
        <cfvo type="min"/>
        <cfvo type="num" val="0"/>
        <cfvo type="max"/>
        <color rgb="FFF8696B"/>
        <color rgb="FFFFEB84"/>
        <color rgb="FF63BE7B"/>
      </colorScale>
    </cfRule>
    <cfRule type="colorScale" priority="6">
      <colorScale>
        <cfvo type="min"/>
        <cfvo type="percentile" val="60"/>
        <cfvo type="max"/>
        <color rgb="FFF8696B"/>
        <color rgb="FFFFEB84"/>
        <color rgb="FF63BE7B"/>
      </colorScale>
    </cfRule>
    <cfRule type="colorScale" priority="7">
      <colorScale>
        <cfvo type="min"/>
        <cfvo type="percentile" val="75"/>
        <cfvo type="max"/>
        <color rgb="FFF8696B"/>
        <color rgb="FFFFEB84"/>
        <color rgb="FF63BE7B"/>
      </colorScale>
    </cfRule>
    <cfRule type="colorScale" priority="8">
      <colorScale>
        <cfvo type="min"/>
        <cfvo type="percentile" val="50"/>
        <cfvo type="max"/>
        <color theme="9"/>
        <color rgb="FFFFEB84"/>
        <color rgb="FFCC4E48"/>
      </colorScale>
    </cfRule>
    <cfRule type="colorScale" priority="9">
      <colorScale>
        <cfvo type="min"/>
        <cfvo type="percentile" val="50"/>
        <cfvo type="max"/>
        <color rgb="FF63BE7B"/>
        <color rgb="FFFFEB84"/>
        <color rgb="FFF8696B"/>
      </colorScale>
    </cfRule>
  </conditionalFormatting>
  <conditionalFormatting sqref="L50:N51">
    <cfRule type="colorScale" priority="10">
      <colorScale>
        <cfvo type="min"/>
        <cfvo type="percentile" val="75"/>
        <cfvo type="max"/>
        <color theme="9"/>
        <color rgb="FFFFEB84"/>
        <color rgb="FFCC4E48"/>
      </colorScale>
    </cfRule>
    <cfRule type="colorScale" priority="11">
      <colorScale>
        <cfvo type="min"/>
        <cfvo type="percentile" val="50"/>
        <cfvo type="max"/>
        <color rgb="FF63BE7B"/>
        <color rgb="FFFFEB84"/>
        <color rgb="FFF8696B"/>
      </colorScale>
    </cfRule>
  </conditionalFormatting>
  <conditionalFormatting sqref="I50:N51">
    <cfRule type="colorScale" priority="12">
      <colorScale>
        <cfvo type="min"/>
        <cfvo type="percentile" val="50"/>
        <cfvo type="max"/>
        <color rgb="FF63BE7B"/>
        <color rgb="FFFFEB84"/>
        <color rgb="FFF8696B"/>
      </colorScale>
    </cfRule>
  </conditionalFormatting>
  <pageMargins left="0.25" right="0.25" top="0.75" bottom="0.75" header="0.3" footer="0.3"/>
  <pageSetup paperSize="5" orientation="landscape" horizontalDpi="1200" verticalDpi="1200" r:id="rId1"/>
  <headerFooter>
    <oddHeader>&amp;LDRAFT - FOR INTERNAL USE ONLY</oddHeader>
    <oddFooter>&amp;L&amp;11 &amp;Z&amp;F&amp;R&amp;D</oddFooter>
  </headerFooter>
  <rowBreaks count="1" manualBreakCount="1">
    <brk id="36" max="19" man="1"/>
  </rowBreaks>
  <colBreaks count="1" manualBreakCount="1">
    <brk id="8" max="1048575" man="1"/>
  </colBreaks>
  <extLst>
    <ext xmlns:x14="http://schemas.microsoft.com/office/spreadsheetml/2009/9/main" uri="{78C0D931-6437-407d-A8EE-F0AAD7539E65}">
      <x14:conditionalFormattings>
        <x14:conditionalFormatting xmlns:xm="http://schemas.microsoft.com/office/excel/2006/main">
          <x14:cfRule type="dataBar" id="{9DA5BB76-9963-451A-9EB2-BF718308620B}">
            <x14:dataBar minLength="0" maxLength="100" gradient="0">
              <x14:cfvo type="autoMin"/>
              <x14:cfvo type="autoMax"/>
              <x14:negativeFillColor rgb="FFFF0000"/>
              <x14:axisColor rgb="FF000000"/>
            </x14:dataBar>
          </x14:cfRule>
          <xm:sqref>R5:S47 O5:O47</xm:sqref>
        </x14:conditionalFormatting>
        <x14:conditionalFormatting xmlns:xm="http://schemas.microsoft.com/office/excel/2006/main">
          <x14:cfRule type="dataBar" id="{F7BDB134-B4A4-4C21-89D1-3D8CA00B8F8C}">
            <x14:dataBar minLength="0" maxLength="100" border="1" negativeBarBorderColorSameAsPositive="0">
              <x14:cfvo type="autoMin"/>
              <x14:cfvo type="autoMax"/>
              <x14:borderColor rgb="FF63C384"/>
              <x14:negativeFillColor rgb="FFFF0000"/>
              <x14:negativeBorderColor rgb="FFFF0000"/>
              <x14:axisColor rgb="FF000000"/>
            </x14:dataBar>
          </x14:cfRule>
          <xm:sqref>O5:O47</xm:sqref>
        </x14:conditionalFormatting>
        <x14:conditionalFormatting xmlns:xm="http://schemas.microsoft.com/office/excel/2006/main">
          <x14:cfRule type="dataBar" id="{E466A338-8CD2-4D5F-B422-2A82F0DCAD0C}">
            <x14:dataBar minLength="0" maxLength="100" gradient="0">
              <x14:cfvo type="autoMin"/>
              <x14:cfvo type="autoMax"/>
              <x14:negativeFillColor rgb="FFFF0000"/>
              <x14:axisColor rgb="FF000000"/>
            </x14:dataBar>
          </x14:cfRule>
          <xm:sqref>P5:P47</xm:sqref>
        </x14:conditionalFormatting>
        <x14:conditionalFormatting xmlns:xm="http://schemas.microsoft.com/office/excel/2006/main">
          <x14:cfRule type="dataBar" id="{383A520C-ACD1-4634-882C-E21996A92FA4}">
            <x14:dataBar minLength="0" maxLength="100" border="1" negativeBarBorderColorSameAsPositive="0">
              <x14:cfvo type="autoMin"/>
              <x14:cfvo type="autoMax"/>
              <x14:borderColor rgb="FF63C384"/>
              <x14:negativeFillColor rgb="FFFF0000"/>
              <x14:negativeBorderColor rgb="FFFF0000"/>
              <x14:axisColor rgb="FF000000"/>
            </x14:dataBar>
          </x14:cfRule>
          <xm:sqref>P5:P47</xm:sqref>
        </x14:conditionalFormatting>
        <x14:conditionalFormatting xmlns:xm="http://schemas.microsoft.com/office/excel/2006/main">
          <x14:cfRule type="dataBar" id="{DFBD23FD-0BAA-4618-8ECF-1D5EA35926B0}">
            <x14:dataBar minLength="0" maxLength="100" gradient="0">
              <x14:cfvo type="autoMin"/>
              <x14:cfvo type="autoMax"/>
              <x14:negativeFillColor rgb="FFFF0000"/>
              <x14:axisColor rgb="FF000000"/>
            </x14:dataBar>
          </x14:cfRule>
          <xm:sqref>Q5:Q47</xm:sqref>
        </x14:conditionalFormatting>
        <x14:conditionalFormatting xmlns:xm="http://schemas.microsoft.com/office/excel/2006/main">
          <x14:cfRule type="dataBar" id="{B068AD20-01C3-4A91-AA58-E2C2567FAEA6}">
            <x14:dataBar minLength="0" maxLength="100" border="1" negativeBarBorderColorSameAsPositive="0">
              <x14:cfvo type="autoMin"/>
              <x14:cfvo type="autoMax"/>
              <x14:borderColor rgb="FF63C384"/>
              <x14:negativeFillColor rgb="FFFF0000"/>
              <x14:negativeBorderColor rgb="FFFF0000"/>
              <x14:axisColor rgb="FF000000"/>
            </x14:dataBar>
          </x14:cfRule>
          <xm:sqref>Q5:Q47</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9" tint="0.39997558519241921"/>
    <pageSetUpPr fitToPage="1"/>
  </sheetPr>
  <dimension ref="A1:S360"/>
  <sheetViews>
    <sheetView zoomScale="115" zoomScaleNormal="115" zoomScaleSheetLayoutView="145" zoomScalePageLayoutView="85" workbookViewId="0">
      <pane xSplit="3" ySplit="3" topLeftCell="D169" activePane="bottomRight" state="frozen"/>
      <selection pane="bottomRight" activeCell="C175" sqref="C175"/>
      <selection pane="bottomLeft" activeCell="A4" sqref="A4"/>
      <selection pane="topRight" activeCell="D1" sqref="D1"/>
    </sheetView>
  </sheetViews>
  <sheetFormatPr defaultColWidth="9.28515625" defaultRowHeight="15"/>
  <cols>
    <col min="1" max="2" width="19.85546875" style="289" customWidth="1"/>
    <col min="3" max="3" width="58.28515625" style="289" bestFit="1" customWidth="1"/>
    <col min="4" max="4" width="14.42578125" style="289" customWidth="1"/>
    <col min="5" max="10" width="16.140625" style="289" customWidth="1"/>
    <col min="11" max="11" width="4.28515625" style="289" customWidth="1"/>
    <col min="12" max="14" width="15.5703125" style="289" customWidth="1"/>
    <col min="15" max="15" width="9.28515625" style="289" customWidth="1"/>
    <col min="16" max="16" width="34" style="289" customWidth="1"/>
    <col min="17" max="19" width="11.140625" style="289" customWidth="1"/>
    <col min="20" max="20" width="9.28515625" style="289" customWidth="1"/>
    <col min="21" max="16384" width="9.28515625" style="289"/>
  </cols>
  <sheetData>
    <row r="1" spans="1:19" ht="28.5" customHeight="1" thickBot="1">
      <c r="A1" s="491" t="s">
        <v>134</v>
      </c>
      <c r="B1" s="492"/>
      <c r="C1" s="493"/>
      <c r="D1" s="506">
        <v>2016</v>
      </c>
      <c r="E1" s="512" t="s">
        <v>1</v>
      </c>
      <c r="F1" s="513"/>
      <c r="G1" s="514"/>
      <c r="H1" s="497" t="s">
        <v>2</v>
      </c>
      <c r="I1" s="453"/>
      <c r="J1" s="498"/>
      <c r="K1" s="359"/>
      <c r="L1" s="479" t="s">
        <v>135</v>
      </c>
      <c r="M1" s="480"/>
      <c r="N1" s="480"/>
      <c r="O1" s="359"/>
      <c r="P1" s="359"/>
      <c r="Q1" s="481" t="s">
        <v>136</v>
      </c>
      <c r="R1" s="480"/>
      <c r="S1" s="480"/>
    </row>
    <row r="2" spans="1:19" s="288" customFormat="1" ht="21.75" customHeight="1" thickBot="1">
      <c r="A2" s="494"/>
      <c r="B2" s="495"/>
      <c r="C2" s="496"/>
      <c r="D2" s="461"/>
      <c r="E2" s="101">
        <v>2025</v>
      </c>
      <c r="F2" s="102">
        <v>2035</v>
      </c>
      <c r="G2" s="103">
        <v>2050</v>
      </c>
      <c r="H2" s="101">
        <v>2025</v>
      </c>
      <c r="I2" s="102">
        <v>2035</v>
      </c>
      <c r="J2" s="104">
        <v>2050</v>
      </c>
      <c r="K2" s="358"/>
      <c r="L2" s="358"/>
      <c r="M2" s="358"/>
      <c r="N2" s="358"/>
      <c r="O2" s="358"/>
      <c r="P2" s="358"/>
      <c r="Q2" s="482"/>
      <c r="R2" s="482"/>
      <c r="S2" s="482"/>
    </row>
    <row r="3" spans="1:19" s="288" customFormat="1" ht="23.25" customHeight="1" thickBot="1">
      <c r="A3" s="99"/>
      <c r="B3" s="364" t="s">
        <v>3</v>
      </c>
      <c r="C3" s="100"/>
      <c r="D3" s="105">
        <v>458</v>
      </c>
      <c r="E3" s="106">
        <v>461</v>
      </c>
      <c r="F3" s="106">
        <v>469</v>
      </c>
      <c r="G3" s="106">
        <v>460</v>
      </c>
      <c r="H3" s="106">
        <v>462</v>
      </c>
      <c r="I3" s="106">
        <v>475</v>
      </c>
      <c r="J3" s="106">
        <v>459</v>
      </c>
      <c r="K3" s="358"/>
      <c r="L3" s="212" t="s">
        <v>137</v>
      </c>
      <c r="M3" s="212" t="s">
        <v>138</v>
      </c>
      <c r="N3" s="212" t="s">
        <v>139</v>
      </c>
      <c r="O3" s="358"/>
      <c r="P3" s="358"/>
      <c r="Q3" s="6">
        <v>2025</v>
      </c>
      <c r="R3" s="6">
        <v>2035</v>
      </c>
      <c r="S3" s="6">
        <v>2050</v>
      </c>
    </row>
    <row r="4" spans="1:19" ht="15.75" customHeight="1">
      <c r="A4" s="366" t="s">
        <v>140</v>
      </c>
      <c r="B4" s="367" t="s">
        <v>5</v>
      </c>
      <c r="C4" s="363"/>
      <c r="D4" s="359"/>
      <c r="E4" s="359"/>
      <c r="F4" s="359"/>
      <c r="G4" s="359"/>
      <c r="H4" s="359"/>
      <c r="I4" s="359"/>
      <c r="J4" s="359"/>
      <c r="K4" s="359"/>
      <c r="L4" s="359"/>
      <c r="M4" s="359"/>
      <c r="N4" s="359"/>
      <c r="O4" s="359"/>
      <c r="P4" s="359"/>
      <c r="Q4" s="359"/>
      <c r="R4" s="359"/>
      <c r="S4" s="359"/>
    </row>
    <row r="5" spans="1:19">
      <c r="A5" s="141"/>
      <c r="B5" s="499" t="s">
        <v>141</v>
      </c>
      <c r="C5" s="500"/>
      <c r="D5" s="359"/>
      <c r="E5" s="359"/>
      <c r="F5" s="359"/>
      <c r="G5" s="359"/>
      <c r="H5" s="359"/>
      <c r="I5" s="359"/>
      <c r="J5" s="359"/>
      <c r="K5" s="359"/>
      <c r="L5" s="359"/>
      <c r="M5" s="359"/>
      <c r="N5" s="359"/>
      <c r="O5" s="359"/>
      <c r="P5" s="359"/>
      <c r="Q5" s="359"/>
      <c r="R5" s="359"/>
      <c r="S5" s="359"/>
    </row>
    <row r="6" spans="1:19">
      <c r="A6" s="507" t="s">
        <v>142</v>
      </c>
      <c r="B6" s="510" t="s">
        <v>143</v>
      </c>
      <c r="C6" s="142" t="s">
        <v>8</v>
      </c>
      <c r="D6" s="251">
        <v>0.76660571535963351</v>
      </c>
      <c r="E6" s="251">
        <v>0.79250113987637139</v>
      </c>
      <c r="F6" s="251">
        <v>0.80709644276611658</v>
      </c>
      <c r="G6" s="251">
        <v>0.81654830653972221</v>
      </c>
      <c r="H6" s="251">
        <v>0.78691567126365447</v>
      </c>
      <c r="I6" s="251">
        <v>0.80459132760351559</v>
      </c>
      <c r="J6" s="251">
        <v>0.81006052738270262</v>
      </c>
      <c r="K6" s="359"/>
      <c r="L6" s="49">
        <f>(H6-E6)</f>
        <v>-5.5854686127169151E-3</v>
      </c>
      <c r="M6" s="213">
        <f t="shared" ref="M6:M17" si="0">(I6-F6)</f>
        <v>-2.5051151626009904E-3</v>
      </c>
      <c r="N6" s="251">
        <f t="shared" ref="N6:N17" si="1">(J6-G6)</f>
        <v>-6.4877791570195908E-3</v>
      </c>
      <c r="O6" s="359"/>
      <c r="P6" s="214" t="s">
        <v>144</v>
      </c>
      <c r="Q6" s="312">
        <f t="shared" ref="Q6:S10" si="2">(L6-L19)*100</f>
        <v>0.8562897966893801</v>
      </c>
      <c r="R6" s="312">
        <f t="shared" si="2"/>
        <v>0.500445277842132</v>
      </c>
      <c r="S6" s="312">
        <f t="shared" si="2"/>
        <v>0.95845763317919941</v>
      </c>
    </row>
    <row r="7" spans="1:19" s="288" customFormat="1" ht="15.75" customHeight="1">
      <c r="A7" s="508"/>
      <c r="B7" s="511"/>
      <c r="C7" s="5" t="s">
        <v>9</v>
      </c>
      <c r="D7" s="251">
        <v>0.95963789745797567</v>
      </c>
      <c r="E7" s="251">
        <v>0.96639063440151818</v>
      </c>
      <c r="F7" s="251">
        <v>0.96674787930860107</v>
      </c>
      <c r="G7" s="251">
        <v>0.96878208866946514</v>
      </c>
      <c r="H7" s="251">
        <v>0.96226535526165913</v>
      </c>
      <c r="I7" s="251">
        <v>0.96699532880059169</v>
      </c>
      <c r="J7" s="251">
        <v>0.97030963974331152</v>
      </c>
      <c r="K7" s="358"/>
      <c r="L7" s="49">
        <f t="shared" ref="L7:L17" si="3">(H7-E7)</f>
        <v>-4.1252791398590505E-3</v>
      </c>
      <c r="M7" s="213">
        <f t="shared" si="0"/>
        <v>2.474494919906256E-4</v>
      </c>
      <c r="N7" s="251">
        <f t="shared" si="1"/>
        <v>1.5275510738463893E-3</v>
      </c>
      <c r="O7" s="358"/>
      <c r="P7" s="358"/>
      <c r="Q7" s="312">
        <f t="shared" si="2"/>
        <v>6.7830973003413231E-2</v>
      </c>
      <c r="R7" s="312">
        <f t="shared" si="2"/>
        <v>-0.27048772242113106</v>
      </c>
      <c r="S7" s="312">
        <f t="shared" si="2"/>
        <v>-0.27167614783095706</v>
      </c>
    </row>
    <row r="8" spans="1:19" s="288" customFormat="1" ht="15.75" customHeight="1">
      <c r="A8" s="508"/>
      <c r="B8" s="511"/>
      <c r="C8" s="150" t="s">
        <v>10</v>
      </c>
      <c r="D8" s="251">
        <v>0.77212297525479212</v>
      </c>
      <c r="E8" s="251">
        <v>0.79855848722895317</v>
      </c>
      <c r="F8" s="251">
        <v>0.81300864298782416</v>
      </c>
      <c r="G8" s="251">
        <v>0.82273397517517843</v>
      </c>
      <c r="H8" s="251">
        <v>0.80956411757081082</v>
      </c>
      <c r="I8" s="251">
        <v>0.84696442101449199</v>
      </c>
      <c r="J8" s="251">
        <v>0.85153591305024423</v>
      </c>
      <c r="K8" s="358"/>
      <c r="L8" s="49">
        <f t="shared" si="3"/>
        <v>1.1005630341857642E-2</v>
      </c>
      <c r="M8" s="213">
        <f t="shared" si="0"/>
        <v>3.3955778026667827E-2</v>
      </c>
      <c r="N8" s="251">
        <f t="shared" si="1"/>
        <v>2.8801937875065797E-2</v>
      </c>
      <c r="O8" s="358"/>
      <c r="P8" s="358"/>
      <c r="Q8" s="312">
        <f t="shared" si="2"/>
        <v>0.40565283820676035</v>
      </c>
      <c r="R8" s="312">
        <f t="shared" si="2"/>
        <v>-1.4041120688765174</v>
      </c>
      <c r="S8" s="312">
        <f t="shared" si="2"/>
        <v>-0.81493629076817564</v>
      </c>
    </row>
    <row r="9" spans="1:19" s="288" customFormat="1" ht="15.75" customHeight="1">
      <c r="A9" s="508"/>
      <c r="B9" s="511"/>
      <c r="C9" s="150" t="s">
        <v>11</v>
      </c>
      <c r="D9" s="251">
        <v>0.95963789745797567</v>
      </c>
      <c r="E9" s="251">
        <v>0.96639063440151818</v>
      </c>
      <c r="F9" s="251">
        <v>0.96674787930860107</v>
      </c>
      <c r="G9" s="251">
        <v>0.96878208866946514</v>
      </c>
      <c r="H9" s="251">
        <v>0.96226535526165913</v>
      </c>
      <c r="I9" s="251">
        <v>0.96699532880059169</v>
      </c>
      <c r="J9" s="251">
        <v>0.97030963974331152</v>
      </c>
      <c r="K9" s="358"/>
      <c r="L9" s="49">
        <f t="shared" si="3"/>
        <v>-4.1252791398590505E-3</v>
      </c>
      <c r="M9" s="213">
        <f t="shared" si="0"/>
        <v>2.474494919906256E-4</v>
      </c>
      <c r="N9" s="251">
        <f t="shared" si="1"/>
        <v>1.5275510738463893E-3</v>
      </c>
      <c r="O9" s="358"/>
      <c r="P9" s="358"/>
      <c r="Q9" s="312">
        <f t="shared" si="2"/>
        <v>6.7830973003413231E-2</v>
      </c>
      <c r="R9" s="312">
        <f t="shared" si="2"/>
        <v>-0.27048772242113106</v>
      </c>
      <c r="S9" s="312">
        <f t="shared" si="2"/>
        <v>-0.27167614783095706</v>
      </c>
    </row>
    <row r="10" spans="1:19">
      <c r="A10" s="508"/>
      <c r="B10" s="511"/>
      <c r="C10" s="5" t="s">
        <v>12</v>
      </c>
      <c r="D10" s="251">
        <v>0.70419854464771137</v>
      </c>
      <c r="E10" s="251">
        <v>0.71631702251489715</v>
      </c>
      <c r="F10" s="251">
        <v>0.73159372049032012</v>
      </c>
      <c r="G10" s="251">
        <v>0.73169456926223786</v>
      </c>
      <c r="H10" s="251">
        <v>0.72768837371900374</v>
      </c>
      <c r="I10" s="251">
        <v>0.75485061069901838</v>
      </c>
      <c r="J10" s="251">
        <v>0.75985412818864229</v>
      </c>
      <c r="K10" s="359"/>
      <c r="L10" s="49">
        <f t="shared" si="3"/>
        <v>1.1371351204106595E-2</v>
      </c>
      <c r="M10" s="213">
        <f t="shared" si="0"/>
        <v>2.3256890208698255E-2</v>
      </c>
      <c r="N10" s="251">
        <f t="shared" si="1"/>
        <v>2.8159558926404427E-2</v>
      </c>
      <c r="O10" s="359"/>
      <c r="P10" s="359"/>
      <c r="Q10" s="312">
        <f t="shared" si="2"/>
        <v>-0.48339346220419577</v>
      </c>
      <c r="R10" s="312">
        <f t="shared" si="2"/>
        <v>-0.72731067778170067</v>
      </c>
      <c r="S10" s="312">
        <f t="shared" si="2"/>
        <v>-1.6288365024547558</v>
      </c>
    </row>
    <row r="11" spans="1:19">
      <c r="A11" s="509"/>
      <c r="B11" s="511"/>
      <c r="C11" s="5" t="s">
        <v>13</v>
      </c>
      <c r="D11" s="251">
        <v>0.98459597146059719</v>
      </c>
      <c r="E11" s="251">
        <v>0.9853948108297611</v>
      </c>
      <c r="F11" s="251">
        <v>0.98560203001563174</v>
      </c>
      <c r="G11" s="251">
        <v>0.98848093779008162</v>
      </c>
      <c r="H11" s="251">
        <v>0.98548138750211123</v>
      </c>
      <c r="I11" s="251">
        <v>0.98685818550877236</v>
      </c>
      <c r="J11" s="251">
        <v>0.98905961414817334</v>
      </c>
      <c r="K11" s="359"/>
      <c r="L11" s="49">
        <f t="shared" si="3"/>
        <v>8.6576672350124895E-5</v>
      </c>
      <c r="M11" s="213">
        <f t="shared" si="0"/>
        <v>1.2561554931406205E-3</v>
      </c>
      <c r="N11" s="251">
        <f t="shared" si="1"/>
        <v>5.7867635809172313E-4</v>
      </c>
      <c r="O11" s="359"/>
      <c r="P11" s="359"/>
      <c r="Q11" s="312">
        <f t="shared" ref="Q11" si="4">(L11-L24)*100</f>
        <v>4.9843240234981323E-2</v>
      </c>
      <c r="R11" s="312">
        <f t="shared" ref="R11" si="5">(M11-M24)*100</f>
        <v>9.8980186352237709E-2</v>
      </c>
      <c r="S11" s="312">
        <f t="shared" ref="S11" si="6">(N11-N24)*100</f>
        <v>7.1695146957384548E-2</v>
      </c>
    </row>
    <row r="12" spans="1:19">
      <c r="A12" s="507" t="s">
        <v>145</v>
      </c>
      <c r="B12" s="511"/>
      <c r="C12" s="142" t="s">
        <v>8</v>
      </c>
      <c r="D12" s="251">
        <v>0.94229434069748808</v>
      </c>
      <c r="E12" s="251">
        <v>0.95339781128091117</v>
      </c>
      <c r="F12" s="251">
        <v>0.95481981499339263</v>
      </c>
      <c r="G12" s="251">
        <v>0.9584336335758854</v>
      </c>
      <c r="H12" s="251">
        <v>0.95127580698225778</v>
      </c>
      <c r="I12" s="251">
        <v>0.95938887629620817</v>
      </c>
      <c r="J12" s="251">
        <v>0.96026276786975973</v>
      </c>
      <c r="K12" s="359"/>
      <c r="L12" s="49">
        <f t="shared" si="3"/>
        <v>-2.1220042986533905E-3</v>
      </c>
      <c r="M12" s="213">
        <f t="shared" si="0"/>
        <v>4.5690613028155358E-3</v>
      </c>
      <c r="N12" s="251">
        <f t="shared" si="1"/>
        <v>1.8291342938743238E-3</v>
      </c>
      <c r="O12" s="359"/>
      <c r="P12" s="214" t="s">
        <v>146</v>
      </c>
      <c r="Q12" s="312">
        <f t="shared" ref="Q12:S17" si="7">(L12-L25)*100</f>
        <v>0.22590364307397692</v>
      </c>
      <c r="R12" s="312">
        <f t="shared" si="7"/>
        <v>-8.8136605565392045E-3</v>
      </c>
      <c r="S12" s="312">
        <f t="shared" si="7"/>
        <v>0.29382376610391781</v>
      </c>
    </row>
    <row r="13" spans="1:19" s="288" customFormat="1" ht="15.75" customHeight="1">
      <c r="A13" s="508"/>
      <c r="B13" s="511"/>
      <c r="C13" s="5" t="s">
        <v>9</v>
      </c>
      <c r="D13" s="251">
        <v>0.99927011197550419</v>
      </c>
      <c r="E13" s="251">
        <v>1</v>
      </c>
      <c r="F13" s="251">
        <v>1</v>
      </c>
      <c r="G13" s="251">
        <v>1</v>
      </c>
      <c r="H13" s="251">
        <v>1</v>
      </c>
      <c r="I13" s="251">
        <v>1</v>
      </c>
      <c r="J13" s="251">
        <v>1</v>
      </c>
      <c r="K13" s="358"/>
      <c r="L13" s="49">
        <f t="shared" si="3"/>
        <v>0</v>
      </c>
      <c r="M13" s="213">
        <f t="shared" si="0"/>
        <v>0</v>
      </c>
      <c r="N13" s="251">
        <f t="shared" si="1"/>
        <v>0</v>
      </c>
      <c r="O13" s="358"/>
      <c r="P13" s="358"/>
      <c r="Q13" s="312">
        <f t="shared" si="7"/>
        <v>0</v>
      </c>
      <c r="R13" s="312">
        <f t="shared" si="7"/>
        <v>0</v>
      </c>
      <c r="S13" s="312">
        <f t="shared" si="7"/>
        <v>-3.1384561306468939E-4</v>
      </c>
    </row>
    <row r="14" spans="1:19" s="288" customFormat="1" ht="15.75" customHeight="1">
      <c r="A14" s="508"/>
      <c r="B14" s="511"/>
      <c r="C14" s="150" t="s">
        <v>10</v>
      </c>
      <c r="D14" s="251">
        <v>0.94725223861997754</v>
      </c>
      <c r="E14" s="251">
        <v>0.95924333949538543</v>
      </c>
      <c r="F14" s="251">
        <v>0.96056151665280565</v>
      </c>
      <c r="G14" s="251">
        <v>0.9644585160486111</v>
      </c>
      <c r="H14" s="251">
        <v>0.98572412179098001</v>
      </c>
      <c r="I14" s="251">
        <v>0.98556824426684231</v>
      </c>
      <c r="J14" s="251">
        <v>0.98650669243080003</v>
      </c>
      <c r="K14" s="358"/>
      <c r="L14" s="49">
        <f t="shared" si="3"/>
        <v>2.6480782295594585E-2</v>
      </c>
      <c r="M14" s="213">
        <f t="shared" si="0"/>
        <v>2.5006727614036661E-2</v>
      </c>
      <c r="N14" s="251">
        <f t="shared" si="1"/>
        <v>2.2048176382188922E-2</v>
      </c>
      <c r="O14" s="358"/>
      <c r="P14" s="358"/>
      <c r="Q14" s="312">
        <f t="shared" si="7"/>
        <v>-1.7935497969313263</v>
      </c>
      <c r="R14" s="312">
        <f t="shared" si="7"/>
        <v>-1.3022058170126249</v>
      </c>
      <c r="S14" s="312">
        <f t="shared" si="7"/>
        <v>-0.75045264466516715</v>
      </c>
    </row>
    <row r="15" spans="1:19" s="288" customFormat="1" ht="15.75" customHeight="1">
      <c r="A15" s="508"/>
      <c r="B15" s="511"/>
      <c r="C15" s="150" t="s">
        <v>11</v>
      </c>
      <c r="D15" s="251">
        <v>0.99927011197550419</v>
      </c>
      <c r="E15" s="251">
        <v>1</v>
      </c>
      <c r="F15" s="251">
        <v>1</v>
      </c>
      <c r="G15" s="251">
        <v>1</v>
      </c>
      <c r="H15" s="251">
        <v>1</v>
      </c>
      <c r="I15" s="251">
        <v>1</v>
      </c>
      <c r="J15" s="251">
        <v>1</v>
      </c>
      <c r="K15" s="358"/>
      <c r="L15" s="49">
        <f t="shared" si="3"/>
        <v>0</v>
      </c>
      <c r="M15" s="213">
        <f t="shared" si="0"/>
        <v>0</v>
      </c>
      <c r="N15" s="251">
        <f t="shared" si="1"/>
        <v>0</v>
      </c>
      <c r="O15" s="358"/>
      <c r="P15" s="358"/>
      <c r="Q15" s="312">
        <f t="shared" si="7"/>
        <v>0</v>
      </c>
      <c r="R15" s="312">
        <f t="shared" si="7"/>
        <v>0</v>
      </c>
      <c r="S15" s="312">
        <f t="shared" si="7"/>
        <v>-3.1384561306468939E-4</v>
      </c>
    </row>
    <row r="16" spans="1:19">
      <c r="A16" s="508"/>
      <c r="B16" s="511"/>
      <c r="C16" s="5" t="s">
        <v>12</v>
      </c>
      <c r="D16" s="251">
        <v>0.89774090755345093</v>
      </c>
      <c r="E16" s="251">
        <v>0.90883066785377642</v>
      </c>
      <c r="F16" s="251">
        <v>0.91092198871048113</v>
      </c>
      <c r="G16" s="251">
        <v>0.9021166928219938</v>
      </c>
      <c r="H16" s="251">
        <v>0.91498068398042287</v>
      </c>
      <c r="I16" s="251">
        <v>0.93275291040407282</v>
      </c>
      <c r="J16" s="251">
        <v>0.93432939312978358</v>
      </c>
      <c r="K16" s="359"/>
      <c r="L16" s="49">
        <f t="shared" si="3"/>
        <v>6.1500161266464515E-3</v>
      </c>
      <c r="M16" s="213">
        <f t="shared" si="0"/>
        <v>2.1830921693591687E-2</v>
      </c>
      <c r="N16" s="251">
        <f t="shared" si="1"/>
        <v>3.2212700307789777E-2</v>
      </c>
      <c r="O16" s="359"/>
      <c r="P16" s="359"/>
      <c r="Q16" s="312">
        <f t="shared" si="7"/>
        <v>-1.3703122135097945</v>
      </c>
      <c r="R16" s="312">
        <f t="shared" si="7"/>
        <v>-1.4097753708837035</v>
      </c>
      <c r="S16" s="312">
        <f t="shared" si="7"/>
        <v>-2.8637390266205265</v>
      </c>
    </row>
    <row r="17" spans="1:19">
      <c r="A17" s="509"/>
      <c r="B17" s="507"/>
      <c r="C17" s="5" t="s">
        <v>13</v>
      </c>
      <c r="D17" s="251">
        <v>1</v>
      </c>
      <c r="E17" s="251">
        <v>1</v>
      </c>
      <c r="F17" s="251">
        <v>1</v>
      </c>
      <c r="G17" s="251">
        <v>1</v>
      </c>
      <c r="H17" s="251">
        <v>1</v>
      </c>
      <c r="I17" s="251">
        <v>1</v>
      </c>
      <c r="J17" s="251">
        <v>1</v>
      </c>
      <c r="K17" s="359"/>
      <c r="L17" s="49">
        <f t="shared" si="3"/>
        <v>0</v>
      </c>
      <c r="M17" s="213">
        <f t="shared" si="0"/>
        <v>0</v>
      </c>
      <c r="N17" s="251">
        <f t="shared" si="1"/>
        <v>0</v>
      </c>
      <c r="O17" s="359"/>
      <c r="P17" s="359"/>
      <c r="Q17" s="312">
        <f>(L17-L30)*100</f>
        <v>0</v>
      </c>
      <c r="R17" s="312">
        <f t="shared" si="7"/>
        <v>0</v>
      </c>
      <c r="S17" s="312">
        <f t="shared" si="7"/>
        <v>0</v>
      </c>
    </row>
    <row r="18" spans="1:19">
      <c r="A18" s="4"/>
      <c r="B18" s="487" t="s">
        <v>141</v>
      </c>
      <c r="C18" s="488"/>
      <c r="D18" s="359"/>
      <c r="E18" s="359"/>
      <c r="F18" s="359"/>
      <c r="G18" s="359"/>
      <c r="H18" s="359"/>
      <c r="I18" s="359"/>
      <c r="J18" s="359"/>
      <c r="K18" s="359"/>
      <c r="L18" s="359"/>
      <c r="M18" s="359"/>
      <c r="N18" s="359"/>
      <c r="O18" s="359"/>
      <c r="P18" s="359"/>
      <c r="Q18" s="359"/>
      <c r="R18" s="359"/>
      <c r="S18" s="359"/>
    </row>
    <row r="19" spans="1:19">
      <c r="A19" s="507" t="s">
        <v>147</v>
      </c>
      <c r="B19" s="510" t="s">
        <v>143</v>
      </c>
      <c r="C19" s="5" t="s">
        <v>8</v>
      </c>
      <c r="D19" s="251">
        <v>0.65420171791418891</v>
      </c>
      <c r="E19" s="251">
        <v>0.70035201809453551</v>
      </c>
      <c r="F19" s="251">
        <v>0.72191480413245512</v>
      </c>
      <c r="G19" s="251">
        <v>0.74099140417125908</v>
      </c>
      <c r="H19" s="251">
        <v>0.6862036515149248</v>
      </c>
      <c r="I19" s="251">
        <v>0.71440523619143281</v>
      </c>
      <c r="J19" s="251">
        <v>0.7249190486824475</v>
      </c>
      <c r="K19" s="359"/>
      <c r="L19" s="49">
        <f t="shared" ref="L19:L30" si="8">(H19-E19)</f>
        <v>-1.4148366579610716E-2</v>
      </c>
      <c r="M19" s="213">
        <f t="shared" ref="M19:M30" si="9">(I19-F19)</f>
        <v>-7.5095679410223104E-3</v>
      </c>
      <c r="N19" s="251">
        <f t="shared" ref="N19:N30" si="10">(J19-G19)</f>
        <v>-1.6072355488811585E-2</v>
      </c>
      <c r="O19" s="359"/>
      <c r="P19" s="359"/>
      <c r="Q19" s="359"/>
      <c r="R19" s="359"/>
      <c r="S19" s="359"/>
    </row>
    <row r="20" spans="1:19">
      <c r="A20" s="508"/>
      <c r="B20" s="511"/>
      <c r="C20" s="5" t="s">
        <v>9</v>
      </c>
      <c r="D20" s="251">
        <v>0.95431973396671166</v>
      </c>
      <c r="E20" s="251">
        <v>0.96797544550279135</v>
      </c>
      <c r="F20" s="251">
        <v>0.96904114940752173</v>
      </c>
      <c r="G20" s="251">
        <v>0.9724921005551993</v>
      </c>
      <c r="H20" s="251">
        <v>0.96317185663289817</v>
      </c>
      <c r="I20" s="251">
        <v>0.97199347612372367</v>
      </c>
      <c r="J20" s="251">
        <v>0.97673641310735526</v>
      </c>
      <c r="K20" s="359"/>
      <c r="L20" s="49">
        <f t="shared" si="8"/>
        <v>-4.8035888698931828E-3</v>
      </c>
      <c r="M20" s="213">
        <f t="shared" si="9"/>
        <v>2.9523267162019362E-3</v>
      </c>
      <c r="N20" s="251">
        <f t="shared" si="10"/>
        <v>4.2443125521559599E-3</v>
      </c>
      <c r="O20" s="359"/>
      <c r="P20" s="359"/>
      <c r="Q20" s="359"/>
      <c r="R20" s="359"/>
      <c r="S20" s="359"/>
    </row>
    <row r="21" spans="1:19">
      <c r="A21" s="508"/>
      <c r="B21" s="511"/>
      <c r="C21" s="150" t="s">
        <v>10</v>
      </c>
      <c r="D21" s="251">
        <v>0.66577116044019136</v>
      </c>
      <c r="E21" s="251">
        <v>0.71081458207659542</v>
      </c>
      <c r="F21" s="251">
        <v>0.73172051132588312</v>
      </c>
      <c r="G21" s="251">
        <v>0.7505195361745407</v>
      </c>
      <c r="H21" s="251">
        <v>0.71776368403638546</v>
      </c>
      <c r="I21" s="251">
        <v>0.77971741004131612</v>
      </c>
      <c r="J21" s="251">
        <v>0.78747083695728826</v>
      </c>
      <c r="K21" s="359"/>
      <c r="L21" s="49">
        <f t="shared" si="8"/>
        <v>6.9491019597900383E-3</v>
      </c>
      <c r="M21" s="213">
        <f t="shared" si="9"/>
        <v>4.7996898715433001E-2</v>
      </c>
      <c r="N21" s="251">
        <f t="shared" si="10"/>
        <v>3.6951300782747554E-2</v>
      </c>
      <c r="O21" s="359"/>
      <c r="P21" s="359"/>
      <c r="Q21" s="359"/>
      <c r="R21" s="359"/>
      <c r="S21" s="359"/>
    </row>
    <row r="22" spans="1:19">
      <c r="A22" s="508"/>
      <c r="B22" s="511"/>
      <c r="C22" s="150" t="s">
        <v>11</v>
      </c>
      <c r="D22" s="251">
        <v>0.95431973396671166</v>
      </c>
      <c r="E22" s="251">
        <v>0.96797544550279135</v>
      </c>
      <c r="F22" s="251">
        <v>0.96904114940752173</v>
      </c>
      <c r="G22" s="251">
        <v>0.9724921005551993</v>
      </c>
      <c r="H22" s="251">
        <v>0.96317185663289817</v>
      </c>
      <c r="I22" s="251">
        <v>0.97199347612372367</v>
      </c>
      <c r="J22" s="251">
        <v>0.97673641310735526</v>
      </c>
      <c r="K22" s="359"/>
      <c r="L22" s="49">
        <f t="shared" si="8"/>
        <v>-4.8035888698931828E-3</v>
      </c>
      <c r="M22" s="213">
        <f t="shared" si="9"/>
        <v>2.9523267162019362E-3</v>
      </c>
      <c r="N22" s="251">
        <f t="shared" si="10"/>
        <v>4.2443125521559599E-3</v>
      </c>
      <c r="O22" s="359"/>
      <c r="P22" s="359"/>
      <c r="Q22" s="359"/>
      <c r="R22" s="359"/>
      <c r="S22" s="359"/>
    </row>
    <row r="23" spans="1:19">
      <c r="A23" s="508"/>
      <c r="B23" s="511"/>
      <c r="C23" s="5" t="s">
        <v>12</v>
      </c>
      <c r="D23" s="251">
        <v>0.55611611555764717</v>
      </c>
      <c r="E23" s="251">
        <v>0.57485688237098864</v>
      </c>
      <c r="F23" s="251">
        <v>0.59997957306145056</v>
      </c>
      <c r="G23" s="251">
        <v>0.5988157070168203</v>
      </c>
      <c r="H23" s="251">
        <v>0.59106216819713719</v>
      </c>
      <c r="I23" s="251">
        <v>0.63050957004796582</v>
      </c>
      <c r="J23" s="251">
        <v>0.64326363096777228</v>
      </c>
      <c r="K23" s="359"/>
      <c r="L23" s="49">
        <f t="shared" si="8"/>
        <v>1.6205285826148552E-2</v>
      </c>
      <c r="M23" s="213">
        <f t="shared" si="9"/>
        <v>3.0529996986515262E-2</v>
      </c>
      <c r="N23" s="251">
        <f t="shared" si="10"/>
        <v>4.4447923950951984E-2</v>
      </c>
      <c r="O23" s="359"/>
      <c r="P23" s="359"/>
      <c r="Q23" s="359"/>
      <c r="R23" s="359"/>
      <c r="S23" s="359"/>
    </row>
    <row r="24" spans="1:19">
      <c r="A24" s="509"/>
      <c r="B24" s="511"/>
      <c r="C24" s="5" t="s">
        <v>13</v>
      </c>
      <c r="D24" s="251">
        <v>0.99283984956215277</v>
      </c>
      <c r="E24" s="251">
        <v>0.99382027439891429</v>
      </c>
      <c r="F24" s="251">
        <v>0.99331736200457388</v>
      </c>
      <c r="G24" s="251">
        <v>0.99394204676706144</v>
      </c>
      <c r="H24" s="251">
        <v>0.99340841866891461</v>
      </c>
      <c r="I24" s="251">
        <v>0.99358371563419212</v>
      </c>
      <c r="J24" s="251">
        <v>0.99380377165557932</v>
      </c>
      <c r="K24" s="359"/>
      <c r="L24" s="49">
        <f t="shared" si="8"/>
        <v>-4.1185572999968834E-4</v>
      </c>
      <c r="M24" s="213">
        <f t="shared" si="9"/>
        <v>2.6635362961824338E-4</v>
      </c>
      <c r="N24" s="251">
        <f t="shared" si="10"/>
        <v>-1.3827511148212235E-4</v>
      </c>
      <c r="O24" s="359"/>
      <c r="P24" s="359"/>
      <c r="Q24" s="359"/>
      <c r="R24" s="359"/>
      <c r="S24" s="359"/>
    </row>
    <row r="25" spans="1:19" ht="14.65" customHeight="1">
      <c r="A25" s="507" t="s">
        <v>148</v>
      </c>
      <c r="B25" s="511"/>
      <c r="C25" s="5" t="s">
        <v>8</v>
      </c>
      <c r="D25" s="251">
        <v>0.89211034460470928</v>
      </c>
      <c r="E25" s="251">
        <v>0.92389728865233267</v>
      </c>
      <c r="F25" s="251">
        <v>0.92956019920383937</v>
      </c>
      <c r="G25" s="251">
        <v>0.94073260981457996</v>
      </c>
      <c r="H25" s="251">
        <v>0.91951624792293951</v>
      </c>
      <c r="I25" s="251">
        <v>0.93421739711222029</v>
      </c>
      <c r="J25" s="251">
        <v>0.9396235064474151</v>
      </c>
      <c r="K25" s="359"/>
      <c r="L25" s="49">
        <f t="shared" si="8"/>
        <v>-4.3810407293931597E-3</v>
      </c>
      <c r="M25" s="213">
        <f t="shared" si="9"/>
        <v>4.6571979083809278E-3</v>
      </c>
      <c r="N25" s="251">
        <f t="shared" si="10"/>
        <v>-1.1091033671648542E-3</v>
      </c>
      <c r="O25" s="359"/>
      <c r="P25" s="359"/>
      <c r="Q25" s="359"/>
      <c r="R25" s="359"/>
      <c r="S25" s="359"/>
    </row>
    <row r="26" spans="1:19">
      <c r="A26" s="508"/>
      <c r="B26" s="511"/>
      <c r="C26" s="5" t="s">
        <v>9</v>
      </c>
      <c r="D26" s="251">
        <v>0.99766739418729866</v>
      </c>
      <c r="E26" s="251">
        <v>1</v>
      </c>
      <c r="F26" s="251">
        <v>1</v>
      </c>
      <c r="G26" s="251">
        <v>0.99999686154386935</v>
      </c>
      <c r="H26" s="251">
        <v>1</v>
      </c>
      <c r="I26" s="251">
        <v>1</v>
      </c>
      <c r="J26" s="251">
        <v>1</v>
      </c>
      <c r="K26" s="359"/>
      <c r="L26" s="49">
        <f t="shared" si="8"/>
        <v>0</v>
      </c>
      <c r="M26" s="213">
        <f t="shared" si="9"/>
        <v>0</v>
      </c>
      <c r="N26" s="251">
        <f t="shared" si="10"/>
        <v>3.1384561306468939E-6</v>
      </c>
      <c r="O26" s="359"/>
      <c r="P26" s="359"/>
      <c r="Q26" s="359"/>
      <c r="R26" s="359"/>
      <c r="S26" s="359"/>
    </row>
    <row r="27" spans="1:19">
      <c r="A27" s="508"/>
      <c r="B27" s="511"/>
      <c r="C27" s="150" t="s">
        <v>10</v>
      </c>
      <c r="D27" s="251">
        <v>0.89909892857101636</v>
      </c>
      <c r="E27" s="251">
        <v>0.92969506459392892</v>
      </c>
      <c r="F27" s="251">
        <v>0.93498136232890339</v>
      </c>
      <c r="G27" s="251">
        <v>0.94604915449991844</v>
      </c>
      <c r="H27" s="251">
        <v>0.97411134485883677</v>
      </c>
      <c r="I27" s="251">
        <v>0.9730101481130663</v>
      </c>
      <c r="J27" s="251">
        <v>0.97560185732875904</v>
      </c>
      <c r="K27" s="359"/>
      <c r="L27" s="49">
        <f t="shared" si="8"/>
        <v>4.4416280264907848E-2</v>
      </c>
      <c r="M27" s="213">
        <f t="shared" si="9"/>
        <v>3.8028785784162911E-2</v>
      </c>
      <c r="N27" s="251">
        <f t="shared" si="10"/>
        <v>2.9552702828840594E-2</v>
      </c>
      <c r="O27" s="359"/>
      <c r="P27" s="359"/>
      <c r="Q27" s="359"/>
      <c r="R27" s="359"/>
      <c r="S27" s="359"/>
    </row>
    <row r="28" spans="1:19">
      <c r="A28" s="508"/>
      <c r="B28" s="511"/>
      <c r="C28" s="150" t="s">
        <v>11</v>
      </c>
      <c r="D28" s="251">
        <v>0.99766739418729866</v>
      </c>
      <c r="E28" s="251">
        <v>1</v>
      </c>
      <c r="F28" s="251">
        <v>1</v>
      </c>
      <c r="G28" s="251">
        <v>0.99999686154386935</v>
      </c>
      <c r="H28" s="251">
        <v>1</v>
      </c>
      <c r="I28" s="251">
        <v>1</v>
      </c>
      <c r="J28" s="251">
        <v>1</v>
      </c>
      <c r="K28" s="359"/>
      <c r="L28" s="49">
        <f t="shared" si="8"/>
        <v>0</v>
      </c>
      <c r="M28" s="213">
        <f t="shared" si="9"/>
        <v>0</v>
      </c>
      <c r="N28" s="251">
        <f t="shared" si="10"/>
        <v>3.1384561306468939E-6</v>
      </c>
      <c r="O28" s="359"/>
      <c r="P28" s="359"/>
      <c r="Q28" s="359"/>
      <c r="R28" s="359"/>
      <c r="S28" s="359"/>
    </row>
    <row r="29" spans="1:19">
      <c r="A29" s="508"/>
      <c r="B29" s="511"/>
      <c r="C29" s="5" t="s">
        <v>12</v>
      </c>
      <c r="D29" s="251">
        <v>0.80754097641655886</v>
      </c>
      <c r="E29" s="251">
        <v>0.82638816307132246</v>
      </c>
      <c r="F29" s="251">
        <v>0.83966606393233756</v>
      </c>
      <c r="G29" s="251">
        <v>0.81958584932899803</v>
      </c>
      <c r="H29" s="251">
        <v>0.84624130133306685</v>
      </c>
      <c r="I29" s="251">
        <v>0.87559473933476628</v>
      </c>
      <c r="J29" s="251">
        <v>0.88043593990299307</v>
      </c>
      <c r="K29" s="359"/>
      <c r="L29" s="49">
        <f t="shared" si="8"/>
        <v>1.9853138261744396E-2</v>
      </c>
      <c r="M29" s="213">
        <f t="shared" si="9"/>
        <v>3.5928675402428722E-2</v>
      </c>
      <c r="N29" s="251">
        <f t="shared" si="10"/>
        <v>6.0850090573995042E-2</v>
      </c>
      <c r="O29" s="359"/>
      <c r="P29" s="359"/>
      <c r="Q29" s="359"/>
      <c r="R29" s="359"/>
      <c r="S29" s="359"/>
    </row>
    <row r="30" spans="1:19">
      <c r="A30" s="509"/>
      <c r="B30" s="507"/>
      <c r="C30" s="5" t="s">
        <v>13</v>
      </c>
      <c r="D30" s="251">
        <v>1</v>
      </c>
      <c r="E30" s="251">
        <v>1</v>
      </c>
      <c r="F30" s="251">
        <v>1</v>
      </c>
      <c r="G30" s="251">
        <v>1</v>
      </c>
      <c r="H30" s="251">
        <v>1</v>
      </c>
      <c r="I30" s="251">
        <v>1</v>
      </c>
      <c r="J30" s="251">
        <v>1</v>
      </c>
      <c r="K30" s="359"/>
      <c r="L30" s="49">
        <f t="shared" si="8"/>
        <v>0</v>
      </c>
      <c r="M30" s="213">
        <f t="shared" si="9"/>
        <v>0</v>
      </c>
      <c r="N30" s="251">
        <f t="shared" si="10"/>
        <v>0</v>
      </c>
      <c r="O30" s="359"/>
      <c r="P30" s="359"/>
      <c r="Q30" s="359"/>
      <c r="R30" s="359"/>
      <c r="S30" s="359"/>
    </row>
    <row r="31" spans="1:19">
      <c r="A31" s="4"/>
      <c r="B31" s="487" t="s">
        <v>141</v>
      </c>
      <c r="C31" s="488"/>
      <c r="D31" s="359"/>
      <c r="E31" s="359"/>
      <c r="F31" s="359"/>
      <c r="G31" s="359"/>
      <c r="H31" s="359"/>
      <c r="I31" s="359"/>
      <c r="J31" s="359"/>
      <c r="K31" s="359"/>
      <c r="L31" s="359"/>
      <c r="M31" s="359"/>
      <c r="N31" s="359"/>
      <c r="O31" s="359"/>
      <c r="P31" s="359"/>
      <c r="Q31" s="359"/>
      <c r="R31" s="359"/>
      <c r="S31" s="359"/>
    </row>
    <row r="32" spans="1:19">
      <c r="A32" s="507" t="s">
        <v>149</v>
      </c>
      <c r="B32" s="510" t="s">
        <v>143</v>
      </c>
      <c r="C32" s="5" t="s">
        <v>8</v>
      </c>
      <c r="D32" s="251">
        <v>0.73247680024662676</v>
      </c>
      <c r="E32" s="251">
        <v>0.75928218264193803</v>
      </c>
      <c r="F32" s="251">
        <v>0.77032807482644383</v>
      </c>
      <c r="G32" s="251">
        <v>0.77832884780288225</v>
      </c>
      <c r="H32" s="251">
        <v>0.75054132119139683</v>
      </c>
      <c r="I32" s="251">
        <v>0.76567323087721728</v>
      </c>
      <c r="J32" s="251">
        <v>0.76607397219902751</v>
      </c>
      <c r="K32" s="359"/>
      <c r="L32" s="49">
        <f t="shared" ref="L32:L43" si="11">(H32-E32)</f>
        <v>-8.7408614505412041E-3</v>
      </c>
      <c r="M32" s="213">
        <f t="shared" ref="M32:M43" si="12">(I32-F32)</f>
        <v>-4.6548439492265503E-3</v>
      </c>
      <c r="N32" s="251">
        <f t="shared" ref="N32:N43" si="13">(J32-G32)</f>
        <v>-1.2254875603854742E-2</v>
      </c>
      <c r="O32" s="359"/>
      <c r="P32" s="214" t="s">
        <v>150</v>
      </c>
      <c r="Q32" s="312">
        <f t="shared" ref="Q32:S36" si="14">(L32-L45)*100</f>
        <v>0.64987130500160362</v>
      </c>
      <c r="R32" s="312">
        <f t="shared" si="14"/>
        <v>0.37484441187399797</v>
      </c>
      <c r="S32" s="312">
        <f t="shared" si="14"/>
        <v>0.38539828856944958</v>
      </c>
    </row>
    <row r="33" spans="1:19" ht="15.75" customHeight="1">
      <c r="A33" s="508"/>
      <c r="B33" s="511"/>
      <c r="C33" s="5" t="s">
        <v>9</v>
      </c>
      <c r="D33" s="251">
        <v>0.97053096107351133</v>
      </c>
      <c r="E33" s="251">
        <v>0.97720678128131044</v>
      </c>
      <c r="F33" s="251">
        <v>0.97733087136295693</v>
      </c>
      <c r="G33" s="251">
        <v>0.97797832290670295</v>
      </c>
      <c r="H33" s="251">
        <v>0.97406611880876659</v>
      </c>
      <c r="I33" s="251">
        <v>0.97864441884506381</v>
      </c>
      <c r="J33" s="251">
        <v>0.98126848869248595</v>
      </c>
      <c r="K33" s="359"/>
      <c r="L33" s="49">
        <f t="shared" si="11"/>
        <v>-3.1406624725438537E-3</v>
      </c>
      <c r="M33" s="213">
        <f t="shared" si="12"/>
        <v>1.3135474821068804E-3</v>
      </c>
      <c r="N33" s="251">
        <f t="shared" si="13"/>
        <v>3.2901657857830058E-3</v>
      </c>
      <c r="O33" s="359"/>
      <c r="P33" s="358"/>
      <c r="Q33" s="312">
        <f t="shared" si="14"/>
        <v>0.34154592971425979</v>
      </c>
      <c r="R33" s="312">
        <f t="shared" si="14"/>
        <v>-0.22974249615372866</v>
      </c>
      <c r="S33" s="312">
        <f t="shared" si="14"/>
        <v>-7.4130641558178834E-2</v>
      </c>
    </row>
    <row r="34" spans="1:19" ht="15.75" customHeight="1">
      <c r="A34" s="508"/>
      <c r="B34" s="511"/>
      <c r="C34" s="150" t="s">
        <v>10</v>
      </c>
      <c r="D34" s="251">
        <v>0.73779925612356456</v>
      </c>
      <c r="E34" s="251">
        <v>0.76507879118421174</v>
      </c>
      <c r="F34" s="251">
        <v>0.77616843586694451</v>
      </c>
      <c r="G34" s="251">
        <v>0.78445016110282662</v>
      </c>
      <c r="H34" s="251">
        <v>0.77559632146716428</v>
      </c>
      <c r="I34" s="251">
        <v>0.81924175321611159</v>
      </c>
      <c r="J34" s="251">
        <v>0.81919464958827748</v>
      </c>
      <c r="K34" s="359"/>
      <c r="L34" s="49">
        <f t="shared" si="11"/>
        <v>1.0517530282952547E-2</v>
      </c>
      <c r="M34" s="213">
        <f t="shared" si="12"/>
        <v>4.3073317349167084E-2</v>
      </c>
      <c r="N34" s="251">
        <f t="shared" si="13"/>
        <v>3.4744488485450864E-2</v>
      </c>
      <c r="O34" s="359"/>
      <c r="P34" s="358"/>
      <c r="Q34" s="312">
        <f t="shared" si="14"/>
        <v>0.5342371789791911</v>
      </c>
      <c r="R34" s="312">
        <f t="shared" si="14"/>
        <v>-0.26312907223743354</v>
      </c>
      <c r="S34" s="312">
        <f t="shared" si="14"/>
        <v>-3.6162109117898744E-2</v>
      </c>
    </row>
    <row r="35" spans="1:19" ht="15.75" customHeight="1">
      <c r="A35" s="508"/>
      <c r="B35" s="511"/>
      <c r="C35" s="150" t="s">
        <v>11</v>
      </c>
      <c r="D35" s="251">
        <v>0.97053096107351133</v>
      </c>
      <c r="E35" s="251">
        <v>0.97720678128131044</v>
      </c>
      <c r="F35" s="251">
        <v>0.97733087136295693</v>
      </c>
      <c r="G35" s="251">
        <v>0.97797832290670295</v>
      </c>
      <c r="H35" s="251">
        <v>0.97406611880876659</v>
      </c>
      <c r="I35" s="251">
        <v>0.97864441884506381</v>
      </c>
      <c r="J35" s="251">
        <v>0.98126848869248595</v>
      </c>
      <c r="K35" s="359"/>
      <c r="L35" s="49">
        <f t="shared" si="11"/>
        <v>-3.1406624725438537E-3</v>
      </c>
      <c r="M35" s="213">
        <f t="shared" si="12"/>
        <v>1.3135474821068804E-3</v>
      </c>
      <c r="N35" s="251">
        <f t="shared" si="13"/>
        <v>3.2901657857830058E-3</v>
      </c>
      <c r="O35" s="359"/>
      <c r="P35" s="358"/>
      <c r="Q35" s="312">
        <f t="shared" si="14"/>
        <v>0.34154592971425979</v>
      </c>
      <c r="R35" s="312">
        <f t="shared" si="14"/>
        <v>-0.22974249615372866</v>
      </c>
      <c r="S35" s="312">
        <f t="shared" si="14"/>
        <v>-7.4130641558178834E-2</v>
      </c>
    </row>
    <row r="36" spans="1:19">
      <c r="A36" s="508"/>
      <c r="B36" s="511"/>
      <c r="C36" s="5" t="s">
        <v>12</v>
      </c>
      <c r="D36" s="251">
        <v>0.66051203589788965</v>
      </c>
      <c r="E36" s="251">
        <v>0.65902654153223295</v>
      </c>
      <c r="F36" s="251">
        <v>0.668519508478706</v>
      </c>
      <c r="G36" s="251">
        <v>0.65144081575262847</v>
      </c>
      <c r="H36" s="251">
        <v>0.6762363061058988</v>
      </c>
      <c r="I36" s="251">
        <v>0.69783552892977518</v>
      </c>
      <c r="J36" s="251">
        <v>0.6968733808777603</v>
      </c>
      <c r="K36" s="359"/>
      <c r="L36" s="49">
        <f t="shared" si="11"/>
        <v>1.7209764573665853E-2</v>
      </c>
      <c r="M36" s="213">
        <f t="shared" si="12"/>
        <v>2.931602045106918E-2</v>
      </c>
      <c r="N36" s="251">
        <f t="shared" si="13"/>
        <v>4.543256512513183E-2</v>
      </c>
      <c r="O36" s="359"/>
      <c r="P36" s="359"/>
      <c r="Q36" s="312">
        <f t="shared" si="14"/>
        <v>0.54227299719037392</v>
      </c>
      <c r="R36" s="312">
        <f t="shared" si="14"/>
        <v>0.20750326184433288</v>
      </c>
      <c r="S36" s="312">
        <f t="shared" si="14"/>
        <v>1.6303283549626069</v>
      </c>
    </row>
    <row r="37" spans="1:19">
      <c r="A37" s="509"/>
      <c r="B37" s="511"/>
      <c r="C37" s="5" t="s">
        <v>13</v>
      </c>
      <c r="D37" s="251">
        <v>0.99205485161006712</v>
      </c>
      <c r="E37" s="251">
        <v>0.9930707266927925</v>
      </c>
      <c r="F37" s="251">
        <v>0.99320048875748679</v>
      </c>
      <c r="G37" s="251">
        <v>0.99414009509720624</v>
      </c>
      <c r="H37" s="251">
        <v>0.99303176636168833</v>
      </c>
      <c r="I37" s="251">
        <v>0.99353322671302435</v>
      </c>
      <c r="J37" s="251">
        <v>0.99428841013485358</v>
      </c>
      <c r="K37" s="359"/>
      <c r="L37" s="49">
        <f t="shared" si="11"/>
        <v>-3.8960331104176404E-5</v>
      </c>
      <c r="M37" s="213">
        <f t="shared" si="12"/>
        <v>3.3273795553756536E-4</v>
      </c>
      <c r="N37" s="251">
        <f t="shared" si="13"/>
        <v>1.4831503764733966E-4</v>
      </c>
      <c r="O37" s="359"/>
      <c r="P37" s="359"/>
      <c r="Q37" s="312">
        <f t="shared" ref="Q37" si="15">(L37-L50)*100</f>
        <v>5.4122631384756481E-2</v>
      </c>
      <c r="R37" s="312">
        <f t="shared" ref="R37" si="16">(M37-M50)*100</f>
        <v>-5.4496715574736676E-2</v>
      </c>
      <c r="S37" s="312">
        <f t="shared" ref="S37" si="17">(N37-N50)*100</f>
        <v>3.1858092421332973E-2</v>
      </c>
    </row>
    <row r="38" spans="1:19">
      <c r="A38" s="507" t="s">
        <v>151</v>
      </c>
      <c r="B38" s="511"/>
      <c r="C38" s="5" t="s">
        <v>8</v>
      </c>
      <c r="D38" s="251">
        <v>0.9108243486900206</v>
      </c>
      <c r="E38" s="251">
        <v>0.9335215669952085</v>
      </c>
      <c r="F38" s="251">
        <v>0.93678756924833395</v>
      </c>
      <c r="G38" s="251">
        <v>0.94568919578188915</v>
      </c>
      <c r="H38" s="251">
        <v>0.93114827834028391</v>
      </c>
      <c r="I38" s="251">
        <v>0.94197664768572154</v>
      </c>
      <c r="J38" s="251">
        <v>0.94508778297287876</v>
      </c>
      <c r="K38" s="359"/>
      <c r="L38" s="49">
        <f t="shared" si="11"/>
        <v>-2.373288654924588E-3</v>
      </c>
      <c r="M38" s="213">
        <f t="shared" si="12"/>
        <v>5.1890784373875842E-3</v>
      </c>
      <c r="N38" s="251">
        <f t="shared" si="13"/>
        <v>-6.0141280901038208E-4</v>
      </c>
      <c r="O38" s="359"/>
      <c r="P38" s="214" t="s">
        <v>152</v>
      </c>
      <c r="Q38" s="312">
        <f t="shared" ref="Q38:S43" si="18">(L38-L51)*100</f>
        <v>0.31848160284859706</v>
      </c>
      <c r="R38" s="312">
        <f t="shared" si="18"/>
        <v>0.20022793194836019</v>
      </c>
      <c r="S38" s="312">
        <f t="shared" si="18"/>
        <v>-0.12120111482719631</v>
      </c>
    </row>
    <row r="39" spans="1:19">
      <c r="A39" s="508"/>
      <c r="B39" s="511"/>
      <c r="C39" s="5" t="s">
        <v>9</v>
      </c>
      <c r="D39" s="251">
        <v>0.99846601780983224</v>
      </c>
      <c r="E39" s="251">
        <v>1</v>
      </c>
      <c r="F39" s="251">
        <v>1</v>
      </c>
      <c r="G39" s="251">
        <v>0.99999699778586704</v>
      </c>
      <c r="H39" s="251">
        <v>1</v>
      </c>
      <c r="I39" s="251">
        <v>1</v>
      </c>
      <c r="J39" s="251">
        <v>1</v>
      </c>
      <c r="K39" s="359"/>
      <c r="L39" s="49">
        <f t="shared" si="11"/>
        <v>0</v>
      </c>
      <c r="M39" s="213">
        <f t="shared" si="12"/>
        <v>0</v>
      </c>
      <c r="N39" s="251">
        <f t="shared" si="13"/>
        <v>3.0022141329633101E-6</v>
      </c>
      <c r="O39" s="359"/>
      <c r="P39" s="359"/>
      <c r="Q39" s="312">
        <f t="shared" si="18"/>
        <v>0</v>
      </c>
      <c r="R39" s="312">
        <f t="shared" si="18"/>
        <v>0</v>
      </c>
      <c r="S39" s="312">
        <f t="shared" si="18"/>
        <v>3.0022141329633101E-4</v>
      </c>
    </row>
    <row r="40" spans="1:19">
      <c r="A40" s="508"/>
      <c r="B40" s="511"/>
      <c r="C40" s="150" t="s">
        <v>10</v>
      </c>
      <c r="D40" s="251">
        <v>0.91491343464821906</v>
      </c>
      <c r="E40" s="251">
        <v>0.93779884678533654</v>
      </c>
      <c r="F40" s="251">
        <v>0.94117016169837353</v>
      </c>
      <c r="G40" s="251">
        <v>0.95026832288813001</v>
      </c>
      <c r="H40" s="251">
        <v>0.97250233449528456</v>
      </c>
      <c r="I40" s="251">
        <v>0.97276686304960513</v>
      </c>
      <c r="J40" s="251">
        <v>0.97563212992022319</v>
      </c>
      <c r="K40" s="359"/>
      <c r="L40" s="49">
        <f t="shared" si="11"/>
        <v>3.4703487709948022E-2</v>
      </c>
      <c r="M40" s="213">
        <f t="shared" si="12"/>
        <v>3.1596701351231604E-2</v>
      </c>
      <c r="N40" s="251">
        <f t="shared" si="13"/>
        <v>2.5363807032093177E-2</v>
      </c>
      <c r="O40" s="359"/>
      <c r="P40" s="359"/>
      <c r="Q40" s="312">
        <f t="shared" si="18"/>
        <v>-0.86430698712860465</v>
      </c>
      <c r="R40" s="312">
        <f t="shared" si="18"/>
        <v>-0.57916914597628821</v>
      </c>
      <c r="S40" s="312">
        <f t="shared" si="18"/>
        <v>-0.63277091259180684</v>
      </c>
    </row>
    <row r="41" spans="1:19">
      <c r="A41" s="508"/>
      <c r="B41" s="511"/>
      <c r="C41" s="150" t="s">
        <v>11</v>
      </c>
      <c r="D41" s="251">
        <v>0.99846601780983224</v>
      </c>
      <c r="E41" s="251">
        <v>1</v>
      </c>
      <c r="F41" s="251">
        <v>1</v>
      </c>
      <c r="G41" s="251">
        <v>0.99999699778586704</v>
      </c>
      <c r="H41" s="251">
        <v>1</v>
      </c>
      <c r="I41" s="251">
        <v>1</v>
      </c>
      <c r="J41" s="251">
        <v>1</v>
      </c>
      <c r="K41" s="359"/>
      <c r="L41" s="49">
        <f t="shared" si="11"/>
        <v>0</v>
      </c>
      <c r="M41" s="213">
        <f t="shared" si="12"/>
        <v>0</v>
      </c>
      <c r="N41" s="251">
        <f t="shared" si="13"/>
        <v>3.0022141329633101E-6</v>
      </c>
      <c r="O41" s="359"/>
      <c r="P41" s="359"/>
      <c r="Q41" s="312">
        <f t="shared" si="18"/>
        <v>0</v>
      </c>
      <c r="R41" s="312">
        <f t="shared" si="18"/>
        <v>0</v>
      </c>
      <c r="S41" s="312">
        <f t="shared" si="18"/>
        <v>3.0022141329633101E-4</v>
      </c>
    </row>
    <row r="42" spans="1:19">
      <c r="A42" s="508"/>
      <c r="B42" s="511"/>
      <c r="C42" s="5" t="s">
        <v>12</v>
      </c>
      <c r="D42" s="251">
        <v>0.84983188291139244</v>
      </c>
      <c r="E42" s="251">
        <v>0.85747103206008801</v>
      </c>
      <c r="F42" s="251">
        <v>0.8621035924803121</v>
      </c>
      <c r="G42" s="251">
        <v>0.83737831650842498</v>
      </c>
      <c r="H42" s="251">
        <v>0.8741983269857877</v>
      </c>
      <c r="I42" s="251">
        <v>0.89352511483060948</v>
      </c>
      <c r="J42" s="251">
        <v>0.89475935296085174</v>
      </c>
      <c r="K42" s="359"/>
      <c r="L42" s="49">
        <f t="shared" si="11"/>
        <v>1.6727294925699687E-2</v>
      </c>
      <c r="M42" s="213">
        <f t="shared" si="12"/>
        <v>3.1421522350297382E-2</v>
      </c>
      <c r="N42" s="251">
        <f t="shared" si="13"/>
        <v>5.7381036452426759E-2</v>
      </c>
      <c r="O42" s="359"/>
      <c r="P42" s="359"/>
      <c r="Q42" s="312">
        <f t="shared" si="18"/>
        <v>0.48240500891412186</v>
      </c>
      <c r="R42" s="312">
        <f t="shared" si="18"/>
        <v>0.14637058060971153</v>
      </c>
      <c r="S42" s="312">
        <f t="shared" si="18"/>
        <v>2.0175001210183563</v>
      </c>
    </row>
    <row r="43" spans="1:19">
      <c r="A43" s="509"/>
      <c r="B43" s="507"/>
      <c r="C43" s="5" t="s">
        <v>13</v>
      </c>
      <c r="D43" s="251">
        <v>1</v>
      </c>
      <c r="E43" s="251">
        <v>1</v>
      </c>
      <c r="F43" s="251">
        <v>1</v>
      </c>
      <c r="G43" s="251">
        <v>1</v>
      </c>
      <c r="H43" s="251">
        <v>1</v>
      </c>
      <c r="I43" s="251">
        <v>1</v>
      </c>
      <c r="J43" s="251">
        <v>1</v>
      </c>
      <c r="K43" s="359"/>
      <c r="L43" s="49">
        <f t="shared" si="11"/>
        <v>0</v>
      </c>
      <c r="M43" s="213">
        <f t="shared" si="12"/>
        <v>0</v>
      </c>
      <c r="N43" s="251">
        <f t="shared" si="13"/>
        <v>0</v>
      </c>
      <c r="O43" s="359"/>
      <c r="P43" s="359"/>
      <c r="Q43" s="312">
        <f t="shared" si="18"/>
        <v>0</v>
      </c>
      <c r="R43" s="312">
        <f t="shared" si="18"/>
        <v>0</v>
      </c>
      <c r="S43" s="312">
        <f t="shared" si="18"/>
        <v>0</v>
      </c>
    </row>
    <row r="44" spans="1:19">
      <c r="A44" s="4"/>
      <c r="B44" s="487" t="s">
        <v>141</v>
      </c>
      <c r="C44" s="488"/>
      <c r="D44" s="359"/>
      <c r="E44" s="359"/>
      <c r="F44" s="359"/>
      <c r="G44" s="359"/>
      <c r="H44" s="359"/>
      <c r="I44" s="359"/>
      <c r="J44" s="359"/>
      <c r="K44" s="359"/>
      <c r="L44" s="359"/>
      <c r="M44" s="359"/>
      <c r="N44" s="359"/>
      <c r="O44" s="359"/>
      <c r="P44" s="359"/>
      <c r="Q44" s="359"/>
      <c r="R44" s="359"/>
      <c r="S44" s="359"/>
    </row>
    <row r="45" spans="1:19" ht="14.65" customHeight="1">
      <c r="A45" s="507" t="s">
        <v>153</v>
      </c>
      <c r="B45" s="510" t="s">
        <v>143</v>
      </c>
      <c r="C45" s="5" t="s">
        <v>8</v>
      </c>
      <c r="D45" s="251">
        <v>0.64106818825870149</v>
      </c>
      <c r="E45" s="251">
        <v>0.6854645174053331</v>
      </c>
      <c r="F45" s="251">
        <v>0.70630887041593271</v>
      </c>
      <c r="G45" s="251">
        <v>0.72337936653479051</v>
      </c>
      <c r="H45" s="251">
        <v>0.67022494290477586</v>
      </c>
      <c r="I45" s="251">
        <v>0.69790558234796618</v>
      </c>
      <c r="J45" s="251">
        <v>0.70727050804524128</v>
      </c>
      <c r="K45" s="359"/>
      <c r="L45" s="49">
        <f t="shared" ref="L45:L56" si="19">(H45-E45)</f>
        <v>-1.523957450055724E-2</v>
      </c>
      <c r="M45" s="213">
        <f t="shared" ref="M45:M56" si="20">(I45-F45)</f>
        <v>-8.4032880679665301E-3</v>
      </c>
      <c r="N45" s="251">
        <f t="shared" ref="N45:N56" si="21">(J45-G45)</f>
        <v>-1.6108858489549238E-2</v>
      </c>
      <c r="O45" s="359"/>
      <c r="P45" s="359"/>
      <c r="Q45" s="359"/>
      <c r="R45" s="359"/>
      <c r="S45" s="359"/>
    </row>
    <row r="46" spans="1:19">
      <c r="A46" s="508"/>
      <c r="B46" s="511"/>
      <c r="C46" s="5" t="s">
        <v>9</v>
      </c>
      <c r="D46" s="251">
        <v>0.93922593541116606</v>
      </c>
      <c r="E46" s="251">
        <v>0.95454626073550575</v>
      </c>
      <c r="F46" s="251">
        <v>0.95409963749654236</v>
      </c>
      <c r="G46" s="251">
        <v>0.95762340294929194</v>
      </c>
      <c r="H46" s="251">
        <v>0.9479901389658193</v>
      </c>
      <c r="I46" s="251">
        <v>0.95771060994018653</v>
      </c>
      <c r="J46" s="251">
        <v>0.96165487515065673</v>
      </c>
      <c r="K46" s="359"/>
      <c r="L46" s="49">
        <f t="shared" si="19"/>
        <v>-6.5561217696864516E-3</v>
      </c>
      <c r="M46" s="213">
        <f t="shared" si="20"/>
        <v>3.610972443644167E-3</v>
      </c>
      <c r="N46" s="251">
        <f t="shared" si="21"/>
        <v>4.0314722013647941E-3</v>
      </c>
      <c r="O46" s="359"/>
      <c r="P46" s="359"/>
      <c r="Q46" s="359"/>
      <c r="R46" s="359"/>
      <c r="S46" s="359"/>
    </row>
    <row r="47" spans="1:19">
      <c r="A47" s="508"/>
      <c r="B47" s="511"/>
      <c r="C47" s="150" t="s">
        <v>10</v>
      </c>
      <c r="D47" s="251">
        <v>0.65569642495011071</v>
      </c>
      <c r="E47" s="251">
        <v>0.69910841581794492</v>
      </c>
      <c r="F47" s="251">
        <v>0.71963414811687465</v>
      </c>
      <c r="G47" s="251">
        <v>0.73745920906667617</v>
      </c>
      <c r="H47" s="251">
        <v>0.70428357431110555</v>
      </c>
      <c r="I47" s="251">
        <v>0.76533875618841607</v>
      </c>
      <c r="J47" s="251">
        <v>0.77256531864330602</v>
      </c>
      <c r="K47" s="359"/>
      <c r="L47" s="49">
        <f t="shared" si="19"/>
        <v>5.1751584931606365E-3</v>
      </c>
      <c r="M47" s="213">
        <f t="shared" si="20"/>
        <v>4.5704608071541419E-2</v>
      </c>
      <c r="N47" s="251">
        <f t="shared" si="21"/>
        <v>3.5106109576629851E-2</v>
      </c>
      <c r="O47" s="359"/>
      <c r="P47" s="359"/>
      <c r="Q47" s="359"/>
      <c r="R47" s="359"/>
      <c r="S47" s="359"/>
    </row>
    <row r="48" spans="1:19">
      <c r="A48" s="508"/>
      <c r="B48" s="511"/>
      <c r="C48" s="150" t="s">
        <v>11</v>
      </c>
      <c r="D48" s="251">
        <v>0.93922593541116606</v>
      </c>
      <c r="E48" s="251">
        <v>0.95454626073550575</v>
      </c>
      <c r="F48" s="251">
        <v>0.95409963749654236</v>
      </c>
      <c r="G48" s="251">
        <v>0.95762340294929194</v>
      </c>
      <c r="H48" s="251">
        <v>0.9479901389658193</v>
      </c>
      <c r="I48" s="251">
        <v>0.95771060994018653</v>
      </c>
      <c r="J48" s="251">
        <v>0.96165487515065673</v>
      </c>
      <c r="K48" s="359"/>
      <c r="L48" s="49">
        <f t="shared" si="19"/>
        <v>-6.5561217696864516E-3</v>
      </c>
      <c r="M48" s="213">
        <f t="shared" si="20"/>
        <v>3.610972443644167E-3</v>
      </c>
      <c r="N48" s="251">
        <f t="shared" si="21"/>
        <v>4.0314722013647941E-3</v>
      </c>
      <c r="O48" s="359"/>
      <c r="P48" s="359"/>
      <c r="Q48" s="359"/>
      <c r="R48" s="359"/>
      <c r="S48" s="359"/>
    </row>
    <row r="49" spans="1:19">
      <c r="A49" s="508"/>
      <c r="B49" s="511"/>
      <c r="C49" s="5" t="s">
        <v>12</v>
      </c>
      <c r="D49" s="251">
        <v>0.53733816955807467</v>
      </c>
      <c r="E49" s="251">
        <v>0.5604121615629668</v>
      </c>
      <c r="F49" s="251">
        <v>0.58589657732679179</v>
      </c>
      <c r="G49" s="251">
        <v>0.59586901608820797</v>
      </c>
      <c r="H49" s="251">
        <v>0.57219919616472892</v>
      </c>
      <c r="I49" s="251">
        <v>0.61313756515941764</v>
      </c>
      <c r="J49" s="251">
        <v>0.62499829766371373</v>
      </c>
      <c r="K49" s="359"/>
      <c r="L49" s="49">
        <f t="shared" si="19"/>
        <v>1.1787034601762114E-2</v>
      </c>
      <c r="M49" s="213">
        <f t="shared" si="20"/>
        <v>2.7240987832625851E-2</v>
      </c>
      <c r="N49" s="251">
        <f t="shared" si="21"/>
        <v>2.9129281575505761E-2</v>
      </c>
      <c r="O49" s="359"/>
      <c r="P49" s="359"/>
      <c r="Q49" s="359"/>
      <c r="R49" s="359"/>
      <c r="S49" s="359"/>
    </row>
    <row r="50" spans="1:19">
      <c r="A50" s="509"/>
      <c r="B50" s="511"/>
      <c r="C50" s="5" t="s">
        <v>13</v>
      </c>
      <c r="D50" s="251">
        <v>0.98806885476991491</v>
      </c>
      <c r="E50" s="251">
        <v>0.98898514935910997</v>
      </c>
      <c r="F50" s="251">
        <v>0.98789616969238159</v>
      </c>
      <c r="G50" s="251">
        <v>0.98898846998987733</v>
      </c>
      <c r="H50" s="251">
        <v>0.98840496271415823</v>
      </c>
      <c r="I50" s="251">
        <v>0.98877387480366652</v>
      </c>
      <c r="J50" s="251">
        <v>0.98881820410331134</v>
      </c>
      <c r="K50" s="359"/>
      <c r="L50" s="49">
        <f t="shared" si="19"/>
        <v>-5.8018664495174121E-4</v>
      </c>
      <c r="M50" s="213">
        <f t="shared" si="20"/>
        <v>8.7770511128493212E-4</v>
      </c>
      <c r="N50" s="251">
        <f t="shared" si="21"/>
        <v>-1.7026588656599007E-4</v>
      </c>
      <c r="O50" s="359"/>
      <c r="P50" s="359"/>
      <c r="Q50" s="359"/>
      <c r="R50" s="359"/>
      <c r="S50" s="359"/>
    </row>
    <row r="51" spans="1:19" ht="14.65" customHeight="1">
      <c r="A51" s="507" t="s">
        <v>154</v>
      </c>
      <c r="B51" s="511"/>
      <c r="C51" s="5" t="s">
        <v>8</v>
      </c>
      <c r="D51" s="251">
        <v>0.91344485605475989</v>
      </c>
      <c r="E51" s="251">
        <v>0.93631956076363521</v>
      </c>
      <c r="F51" s="251">
        <v>0.94052156892522376</v>
      </c>
      <c r="G51" s="251">
        <v>0.94779633230393834</v>
      </c>
      <c r="H51" s="251">
        <v>0.93076145608022465</v>
      </c>
      <c r="I51" s="251">
        <v>0.94370836804312774</v>
      </c>
      <c r="J51" s="251">
        <v>0.94840693064319992</v>
      </c>
      <c r="K51" s="359"/>
      <c r="L51" s="49">
        <f t="shared" si="19"/>
        <v>-5.5581046834105585E-3</v>
      </c>
      <c r="M51" s="213">
        <f t="shared" si="20"/>
        <v>3.1867991179039823E-3</v>
      </c>
      <c r="N51" s="251">
        <f t="shared" si="21"/>
        <v>6.1059833926158102E-4</v>
      </c>
      <c r="O51" s="359"/>
      <c r="P51" s="359"/>
      <c r="Q51" s="359"/>
      <c r="R51" s="359"/>
      <c r="S51" s="359"/>
    </row>
    <row r="52" spans="1:19">
      <c r="A52" s="508"/>
      <c r="B52" s="511"/>
      <c r="C52" s="5" t="s">
        <v>9</v>
      </c>
      <c r="D52" s="251">
        <v>0.99803584889106933</v>
      </c>
      <c r="E52" s="251">
        <v>1</v>
      </c>
      <c r="F52" s="251">
        <v>1</v>
      </c>
      <c r="G52" s="251">
        <v>1</v>
      </c>
      <c r="H52" s="251">
        <v>1</v>
      </c>
      <c r="I52" s="251">
        <v>1</v>
      </c>
      <c r="J52" s="251">
        <v>1</v>
      </c>
      <c r="K52" s="359"/>
      <c r="L52" s="49">
        <f t="shared" si="19"/>
        <v>0</v>
      </c>
      <c r="M52" s="213">
        <f t="shared" si="20"/>
        <v>0</v>
      </c>
      <c r="N52" s="251">
        <f t="shared" si="21"/>
        <v>0</v>
      </c>
      <c r="O52" s="359"/>
      <c r="P52" s="359"/>
      <c r="Q52" s="359"/>
      <c r="R52" s="359"/>
      <c r="S52" s="359"/>
    </row>
    <row r="53" spans="1:19">
      <c r="A53" s="508"/>
      <c r="B53" s="511"/>
      <c r="C53" s="150" t="s">
        <v>10</v>
      </c>
      <c r="D53" s="251">
        <v>0.92290572611819643</v>
      </c>
      <c r="E53" s="251">
        <v>0.94474550587947503</v>
      </c>
      <c r="F53" s="251">
        <v>0.94828688821956175</v>
      </c>
      <c r="G53" s="251">
        <v>0.95577223683708867</v>
      </c>
      <c r="H53" s="251">
        <v>0.9880920634607091</v>
      </c>
      <c r="I53" s="251">
        <v>0.98567528103055624</v>
      </c>
      <c r="J53" s="251">
        <v>0.98746375299509992</v>
      </c>
      <c r="K53" s="359"/>
      <c r="L53" s="49">
        <f t="shared" si="19"/>
        <v>4.3346557581234069E-2</v>
      </c>
      <c r="M53" s="213">
        <f t="shared" si="20"/>
        <v>3.7388392810994486E-2</v>
      </c>
      <c r="N53" s="251">
        <f t="shared" si="21"/>
        <v>3.1691516158011246E-2</v>
      </c>
      <c r="O53" s="359"/>
      <c r="P53" s="359"/>
      <c r="Q53" s="359"/>
      <c r="R53" s="359"/>
      <c r="S53" s="359"/>
    </row>
    <row r="54" spans="1:19">
      <c r="A54" s="508"/>
      <c r="B54" s="511"/>
      <c r="C54" s="150" t="s">
        <v>11</v>
      </c>
      <c r="D54" s="251">
        <v>0.99803584889106933</v>
      </c>
      <c r="E54" s="251">
        <v>1</v>
      </c>
      <c r="F54" s="251">
        <v>1</v>
      </c>
      <c r="G54" s="251">
        <v>1</v>
      </c>
      <c r="H54" s="251">
        <v>1</v>
      </c>
      <c r="I54" s="251">
        <v>1</v>
      </c>
      <c r="J54" s="251">
        <v>1</v>
      </c>
      <c r="K54" s="359"/>
      <c r="L54" s="49">
        <f t="shared" si="19"/>
        <v>0</v>
      </c>
      <c r="M54" s="213">
        <f t="shared" si="20"/>
        <v>0</v>
      </c>
      <c r="N54" s="251">
        <f t="shared" si="21"/>
        <v>0</v>
      </c>
      <c r="O54" s="359"/>
      <c r="P54" s="359"/>
      <c r="Q54" s="359"/>
      <c r="R54" s="359"/>
      <c r="S54" s="359"/>
    </row>
    <row r="55" spans="1:19">
      <c r="A55" s="508"/>
      <c r="B55" s="511"/>
      <c r="C55" s="5" t="s">
        <v>12</v>
      </c>
      <c r="D55" s="251">
        <v>0.83241153710490934</v>
      </c>
      <c r="E55" s="251">
        <v>0.85399501917921783</v>
      </c>
      <c r="F55" s="251">
        <v>0.86658904722130825</v>
      </c>
      <c r="G55" s="251">
        <v>0.86602615425673868</v>
      </c>
      <c r="H55" s="251">
        <v>0.8658982640157763</v>
      </c>
      <c r="I55" s="251">
        <v>0.89654686376550852</v>
      </c>
      <c r="J55" s="251">
        <v>0.90323218949898187</v>
      </c>
      <c r="K55" s="359"/>
      <c r="L55" s="49">
        <f t="shared" si="19"/>
        <v>1.1903244836558469E-2</v>
      </c>
      <c r="M55" s="213">
        <f t="shared" si="20"/>
        <v>2.9957816544200266E-2</v>
      </c>
      <c r="N55" s="251">
        <f t="shared" si="21"/>
        <v>3.7206035242243196E-2</v>
      </c>
      <c r="O55" s="359"/>
      <c r="P55" s="359"/>
      <c r="Q55" s="359"/>
      <c r="R55" s="359"/>
      <c r="S55" s="359"/>
    </row>
    <row r="56" spans="1:19">
      <c r="A56" s="509"/>
      <c r="B56" s="507"/>
      <c r="C56" s="5" t="s">
        <v>13</v>
      </c>
      <c r="D56" s="251">
        <v>1</v>
      </c>
      <c r="E56" s="251">
        <v>1</v>
      </c>
      <c r="F56" s="251">
        <v>1</v>
      </c>
      <c r="G56" s="251">
        <v>1</v>
      </c>
      <c r="H56" s="251">
        <v>1</v>
      </c>
      <c r="I56" s="251">
        <v>1</v>
      </c>
      <c r="J56" s="251">
        <v>1</v>
      </c>
      <c r="K56" s="359"/>
      <c r="L56" s="49">
        <f t="shared" si="19"/>
        <v>0</v>
      </c>
      <c r="M56" s="213">
        <f t="shared" si="20"/>
        <v>0</v>
      </c>
      <c r="N56" s="251">
        <f t="shared" si="21"/>
        <v>0</v>
      </c>
      <c r="O56" s="359"/>
      <c r="P56" s="359"/>
      <c r="Q56" s="359"/>
      <c r="R56" s="359"/>
      <c r="S56" s="359"/>
    </row>
    <row r="57" spans="1:19">
      <c r="A57" s="4"/>
      <c r="B57" s="487" t="s">
        <v>141</v>
      </c>
      <c r="C57" s="488"/>
      <c r="D57" s="359"/>
      <c r="E57" s="359"/>
      <c r="F57" s="359"/>
      <c r="G57" s="359"/>
      <c r="H57" s="359"/>
      <c r="I57" s="359"/>
      <c r="J57" s="359"/>
      <c r="K57" s="359"/>
      <c r="L57" s="359"/>
      <c r="M57" s="359"/>
      <c r="N57" s="359"/>
      <c r="O57" s="359"/>
      <c r="P57" s="359"/>
      <c r="Q57" s="359"/>
      <c r="R57" s="359"/>
      <c r="S57" s="359"/>
    </row>
    <row r="58" spans="1:19">
      <c r="A58" s="507" t="s">
        <v>155</v>
      </c>
      <c r="B58" s="510" t="s">
        <v>143</v>
      </c>
      <c r="C58" s="5" t="s">
        <v>8</v>
      </c>
      <c r="D58" s="251">
        <v>0.66950733485966252</v>
      </c>
      <c r="E58" s="251">
        <v>0.70486341911182859</v>
      </c>
      <c r="F58" s="251">
        <v>0.72820276254744831</v>
      </c>
      <c r="G58" s="251">
        <v>0.75480977482190337</v>
      </c>
      <c r="H58" s="251">
        <v>0.68899756275124235</v>
      </c>
      <c r="I58" s="251">
        <v>0.71767977646562631</v>
      </c>
      <c r="J58" s="251">
        <v>0.7383629105885019</v>
      </c>
      <c r="K58" s="359"/>
      <c r="L58" s="49">
        <f t="shared" ref="L58:L69" si="22">(H58-E58)</f>
        <v>-1.5865856360586239E-2</v>
      </c>
      <c r="M58" s="213">
        <f t="shared" ref="M58:M69" si="23">(I58-F58)</f>
        <v>-1.0522986081822006E-2</v>
      </c>
      <c r="N58" s="251">
        <f t="shared" ref="N58:N69" si="24">(J58-G58)</f>
        <v>-1.644686423340147E-2</v>
      </c>
      <c r="O58" s="359"/>
      <c r="P58" s="214" t="s">
        <v>156</v>
      </c>
      <c r="Q58" s="312">
        <f t="shared" ref="Q58:Q69" si="25">(L58-L71)*100</f>
        <v>-0.46878277296976689</v>
      </c>
      <c r="R58" s="312">
        <f t="shared" ref="R58:R69" si="26">(M58-M71)*100</f>
        <v>-0.4949593108623529</v>
      </c>
      <c r="S58" s="312">
        <f t="shared" ref="S58:S69" si="27">(N58-N71)*100</f>
        <v>-0.33747032827659007</v>
      </c>
    </row>
    <row r="59" spans="1:19">
      <c r="A59" s="508"/>
      <c r="B59" s="511"/>
      <c r="C59" s="5" t="s">
        <v>9</v>
      </c>
      <c r="D59" s="251">
        <v>0.95048969727804633</v>
      </c>
      <c r="E59" s="251">
        <v>0.96327113601114167</v>
      </c>
      <c r="F59" s="251">
        <v>0.96547606495149729</v>
      </c>
      <c r="G59" s="251">
        <v>0.97147788536508972</v>
      </c>
      <c r="H59" s="251">
        <v>0.95790206691355684</v>
      </c>
      <c r="I59" s="251">
        <v>0.96880535638970899</v>
      </c>
      <c r="J59" s="251">
        <v>0.97579618683317892</v>
      </c>
      <c r="K59" s="359"/>
      <c r="L59" s="49">
        <f t="shared" si="22"/>
        <v>-5.3690690975848332E-3</v>
      </c>
      <c r="M59" s="213">
        <f t="shared" si="23"/>
        <v>3.3292914382117011E-3</v>
      </c>
      <c r="N59" s="251">
        <f t="shared" si="24"/>
        <v>4.3183014680892029E-3</v>
      </c>
      <c r="O59" s="359"/>
      <c r="P59" s="359"/>
      <c r="Q59" s="312">
        <f t="shared" si="25"/>
        <v>-8.2691106012500182E-2</v>
      </c>
      <c r="R59" s="312">
        <f t="shared" si="26"/>
        <v>0.12681096522465518</v>
      </c>
      <c r="S59" s="312">
        <f t="shared" si="27"/>
        <v>9.0422505839393708E-2</v>
      </c>
    </row>
    <row r="60" spans="1:19">
      <c r="A60" s="508"/>
      <c r="B60" s="511"/>
      <c r="C60" s="150" t="s">
        <v>10</v>
      </c>
      <c r="D60" s="251">
        <v>0.68570338336301195</v>
      </c>
      <c r="E60" s="251">
        <v>0.71756401734561448</v>
      </c>
      <c r="F60" s="251">
        <v>0.73976433994095314</v>
      </c>
      <c r="G60" s="251">
        <v>0.7648458273079255</v>
      </c>
      <c r="H60" s="251">
        <v>0.72116845503750826</v>
      </c>
      <c r="I60" s="251">
        <v>0.78336408688317161</v>
      </c>
      <c r="J60" s="251">
        <v>0.79860366033804486</v>
      </c>
      <c r="K60" s="359"/>
      <c r="L60" s="49">
        <f t="shared" si="22"/>
        <v>3.6044376918937804E-3</v>
      </c>
      <c r="M60" s="213">
        <f t="shared" si="23"/>
        <v>4.3599746942218465E-2</v>
      </c>
      <c r="N60" s="251">
        <f t="shared" si="24"/>
        <v>3.3757833030119366E-2</v>
      </c>
      <c r="O60" s="359"/>
      <c r="P60" s="359"/>
      <c r="Q60" s="312">
        <f t="shared" si="25"/>
        <v>-0.49936577864438947</v>
      </c>
      <c r="R60" s="312">
        <f t="shared" si="26"/>
        <v>-5.4003524371115663E-2</v>
      </c>
      <c r="S60" s="312">
        <f t="shared" si="27"/>
        <v>-0.12502228114044112</v>
      </c>
    </row>
    <row r="61" spans="1:19">
      <c r="A61" s="508"/>
      <c r="B61" s="511"/>
      <c r="C61" s="150" t="s">
        <v>11</v>
      </c>
      <c r="D61" s="251">
        <v>0.95048969727804633</v>
      </c>
      <c r="E61" s="251">
        <v>0.96327113601114167</v>
      </c>
      <c r="F61" s="251">
        <v>0.96547606495149729</v>
      </c>
      <c r="G61" s="251">
        <v>0.97147788536508972</v>
      </c>
      <c r="H61" s="251">
        <v>0.95790206691355684</v>
      </c>
      <c r="I61" s="251">
        <v>0.96880535638970899</v>
      </c>
      <c r="J61" s="251">
        <v>0.97579618683317892</v>
      </c>
      <c r="K61" s="359"/>
      <c r="L61" s="49">
        <f t="shared" si="22"/>
        <v>-5.3690690975848332E-3</v>
      </c>
      <c r="M61" s="213">
        <f t="shared" si="23"/>
        <v>3.3292914382117011E-3</v>
      </c>
      <c r="N61" s="251">
        <f t="shared" si="24"/>
        <v>4.3183014680892029E-3</v>
      </c>
      <c r="O61" s="359"/>
      <c r="P61" s="359"/>
      <c r="Q61" s="312">
        <f t="shared" si="25"/>
        <v>-8.2691106012500182E-2</v>
      </c>
      <c r="R61" s="312">
        <f t="shared" si="26"/>
        <v>0.12681096522465518</v>
      </c>
      <c r="S61" s="312">
        <f t="shared" si="27"/>
        <v>9.0422505839393708E-2</v>
      </c>
    </row>
    <row r="62" spans="1:19">
      <c r="A62" s="508"/>
      <c r="B62" s="511"/>
      <c r="C62" s="5" t="s">
        <v>12</v>
      </c>
      <c r="D62" s="251">
        <v>0.57651784957177987</v>
      </c>
      <c r="E62" s="251">
        <v>0.58173487797929924</v>
      </c>
      <c r="F62" s="251">
        <v>0.60885702235343742</v>
      </c>
      <c r="G62" s="251">
        <v>0.62469206556532209</v>
      </c>
      <c r="H62" s="251">
        <v>0.59536527078783275</v>
      </c>
      <c r="I62" s="251">
        <v>0.63532001265288907</v>
      </c>
      <c r="J62" s="251">
        <v>0.65912296718846142</v>
      </c>
      <c r="K62" s="359"/>
      <c r="L62" s="49">
        <f t="shared" si="22"/>
        <v>1.3630392808533509E-2</v>
      </c>
      <c r="M62" s="213">
        <f t="shared" si="23"/>
        <v>2.646299029945165E-2</v>
      </c>
      <c r="N62" s="251">
        <f t="shared" si="24"/>
        <v>3.4430901623139332E-2</v>
      </c>
      <c r="O62" s="359"/>
      <c r="P62" s="359"/>
      <c r="Q62" s="312">
        <f t="shared" si="25"/>
        <v>-0.1356679147069717</v>
      </c>
      <c r="R62" s="312">
        <f t="shared" si="26"/>
        <v>-0.22952541146330496</v>
      </c>
      <c r="S62" s="312">
        <f t="shared" si="27"/>
        <v>-0.66263448640674349</v>
      </c>
    </row>
    <row r="63" spans="1:19">
      <c r="A63" s="509"/>
      <c r="B63" s="511"/>
      <c r="C63" s="5" t="s">
        <v>13</v>
      </c>
      <c r="D63" s="251">
        <v>0.99168468583057745</v>
      </c>
      <c r="E63" s="251">
        <v>0.99264077485518942</v>
      </c>
      <c r="F63" s="251">
        <v>0.99163854913538596</v>
      </c>
      <c r="G63" s="251">
        <v>0.99255626120392648</v>
      </c>
      <c r="H63" s="251">
        <v>0.99178219858829486</v>
      </c>
      <c r="I63" s="251">
        <v>0.99193378321383385</v>
      </c>
      <c r="J63" s="251">
        <v>0.99248295670369657</v>
      </c>
      <c r="K63" s="359"/>
      <c r="L63" s="49">
        <f t="shared" si="22"/>
        <v>-8.5857626689456179E-4</v>
      </c>
      <c r="M63" s="213">
        <f t="shared" si="23"/>
        <v>2.952340784478924E-4</v>
      </c>
      <c r="N63" s="251">
        <f t="shared" si="24"/>
        <v>-7.3304500229909308E-5</v>
      </c>
      <c r="O63" s="359"/>
      <c r="P63" s="359"/>
      <c r="Q63" s="312">
        <f t="shared" si="25"/>
        <v>-6.3470037612078922E-2</v>
      </c>
      <c r="R63" s="312">
        <f t="shared" si="26"/>
        <v>-2.7609896520131016E-2</v>
      </c>
      <c r="S63" s="312">
        <f t="shared" si="27"/>
        <v>-1.3670481938587997E-2</v>
      </c>
    </row>
    <row r="64" spans="1:19">
      <c r="A64" s="507" t="s">
        <v>157</v>
      </c>
      <c r="B64" s="511"/>
      <c r="C64" s="5" t="s">
        <v>8</v>
      </c>
      <c r="D64" s="251">
        <v>0.91963467859259662</v>
      </c>
      <c r="E64" s="251">
        <v>0.93569327613016839</v>
      </c>
      <c r="F64" s="251">
        <v>0.94063099120180249</v>
      </c>
      <c r="G64" s="251">
        <v>0.94933615256820403</v>
      </c>
      <c r="H64" s="251">
        <v>0.93036677947498403</v>
      </c>
      <c r="I64" s="251">
        <v>0.94262623161149883</v>
      </c>
      <c r="J64" s="251">
        <v>0.94764079939962609</v>
      </c>
      <c r="K64" s="359"/>
      <c r="L64" s="49">
        <f t="shared" si="22"/>
        <v>-5.3264966551843651E-3</v>
      </c>
      <c r="M64" s="213">
        <f t="shared" si="23"/>
        <v>1.9952404096963416E-3</v>
      </c>
      <c r="N64" s="251">
        <f t="shared" si="24"/>
        <v>-1.6953531685779399E-3</v>
      </c>
      <c r="O64" s="359"/>
      <c r="P64" s="214" t="s">
        <v>158</v>
      </c>
      <c r="Q64" s="312">
        <f t="shared" si="25"/>
        <v>-0.1899528826924235</v>
      </c>
      <c r="R64" s="312">
        <f t="shared" si="26"/>
        <v>-0.27960546164764732</v>
      </c>
      <c r="S64" s="312">
        <f t="shared" si="27"/>
        <v>-0.16317794673499364</v>
      </c>
    </row>
    <row r="65" spans="1:19">
      <c r="A65" s="508"/>
      <c r="B65" s="511"/>
      <c r="C65" s="5" t="s">
        <v>9</v>
      </c>
      <c r="D65" s="251">
        <v>0.99866641521633703</v>
      </c>
      <c r="E65" s="251">
        <v>1</v>
      </c>
      <c r="F65" s="251">
        <v>1</v>
      </c>
      <c r="G65" s="251">
        <v>0.99999542332001523</v>
      </c>
      <c r="H65" s="251">
        <v>1</v>
      </c>
      <c r="I65" s="251">
        <v>1</v>
      </c>
      <c r="J65" s="251">
        <v>1</v>
      </c>
      <c r="K65" s="359"/>
      <c r="L65" s="49">
        <f t="shared" si="22"/>
        <v>0</v>
      </c>
      <c r="M65" s="213">
        <f t="shared" si="23"/>
        <v>0</v>
      </c>
      <c r="N65" s="251">
        <f t="shared" si="24"/>
        <v>4.576679984769072E-6</v>
      </c>
      <c r="O65" s="359"/>
      <c r="P65" s="214"/>
      <c r="Q65" s="312">
        <f t="shared" si="25"/>
        <v>0</v>
      </c>
      <c r="R65" s="312">
        <f t="shared" si="26"/>
        <v>0</v>
      </c>
      <c r="S65" s="312">
        <f t="shared" si="27"/>
        <v>2.7456599418496097E-4</v>
      </c>
    </row>
    <row r="66" spans="1:19">
      <c r="A66" s="508"/>
      <c r="B66" s="511"/>
      <c r="C66" s="150" t="s">
        <v>10</v>
      </c>
      <c r="D66" s="251">
        <v>0.92785171614849937</v>
      </c>
      <c r="E66" s="251">
        <v>0.94243775408883979</v>
      </c>
      <c r="F66" s="251">
        <v>0.94663739726265428</v>
      </c>
      <c r="G66" s="251">
        <v>0.95468629147044148</v>
      </c>
      <c r="H66" s="251">
        <v>0.98124942833622975</v>
      </c>
      <c r="I66" s="251">
        <v>0.97975140226885182</v>
      </c>
      <c r="J66" s="251">
        <v>0.98111251371880459</v>
      </c>
      <c r="K66" s="359"/>
      <c r="L66" s="49">
        <f t="shared" si="22"/>
        <v>3.881167424738996E-2</v>
      </c>
      <c r="M66" s="213">
        <f t="shared" si="23"/>
        <v>3.3114005006197544E-2</v>
      </c>
      <c r="N66" s="251">
        <f t="shared" si="24"/>
        <v>2.6426222248363107E-2</v>
      </c>
      <c r="O66" s="359"/>
      <c r="P66" s="359"/>
      <c r="Q66" s="312">
        <f t="shared" si="25"/>
        <v>9.3596355666281106E-2</v>
      </c>
      <c r="R66" s="312">
        <f t="shared" si="26"/>
        <v>-5.3329866621443234E-2</v>
      </c>
      <c r="S66" s="312">
        <f t="shared" si="27"/>
        <v>-8.3521539123565525E-2</v>
      </c>
    </row>
    <row r="67" spans="1:19">
      <c r="A67" s="508"/>
      <c r="B67" s="511"/>
      <c r="C67" s="150" t="s">
        <v>11</v>
      </c>
      <c r="D67" s="251">
        <v>0.99866641521633703</v>
      </c>
      <c r="E67" s="251">
        <v>1</v>
      </c>
      <c r="F67" s="251">
        <v>1</v>
      </c>
      <c r="G67" s="251">
        <v>0.99999542332001523</v>
      </c>
      <c r="H67" s="251">
        <v>1</v>
      </c>
      <c r="I67" s="251">
        <v>1</v>
      </c>
      <c r="J67" s="251">
        <v>1</v>
      </c>
      <c r="K67" s="359"/>
      <c r="L67" s="49">
        <f t="shared" si="22"/>
        <v>0</v>
      </c>
      <c r="M67" s="213">
        <f t="shared" si="23"/>
        <v>0</v>
      </c>
      <c r="N67" s="251">
        <f t="shared" si="24"/>
        <v>4.576679984769072E-6</v>
      </c>
      <c r="O67" s="359"/>
      <c r="P67" s="359"/>
      <c r="Q67" s="312">
        <f t="shared" si="25"/>
        <v>0</v>
      </c>
      <c r="R67" s="312">
        <f t="shared" si="26"/>
        <v>0</v>
      </c>
      <c r="S67" s="312">
        <f t="shared" si="27"/>
        <v>2.7456599418496097E-4</v>
      </c>
    </row>
    <row r="68" spans="1:19">
      <c r="A68" s="508"/>
      <c r="B68" s="511"/>
      <c r="C68" s="5" t="s">
        <v>12</v>
      </c>
      <c r="D68" s="251">
        <v>0.84954738940675678</v>
      </c>
      <c r="E68" s="251">
        <v>0.85103134308784678</v>
      </c>
      <c r="F68" s="251">
        <v>0.86327172471314628</v>
      </c>
      <c r="G68" s="251">
        <v>0.85439750296340033</v>
      </c>
      <c r="H68" s="251">
        <v>0.86744717826763007</v>
      </c>
      <c r="I68" s="251">
        <v>0.89397038101138815</v>
      </c>
      <c r="J68" s="251">
        <v>0.89713390854708641</v>
      </c>
      <c r="K68" s="359"/>
      <c r="L68" s="49">
        <f t="shared" si="22"/>
        <v>1.6415835179783289E-2</v>
      </c>
      <c r="M68" s="213">
        <f t="shared" si="23"/>
        <v>3.0698656298241866E-2</v>
      </c>
      <c r="N68" s="251">
        <f t="shared" si="24"/>
        <v>4.2736405583686077E-2</v>
      </c>
      <c r="O68" s="359"/>
      <c r="P68" s="359"/>
      <c r="Q68" s="312">
        <f t="shared" si="25"/>
        <v>0.16013857292793698</v>
      </c>
      <c r="R68" s="312">
        <f t="shared" si="26"/>
        <v>-2.6076887497950008E-2</v>
      </c>
      <c r="S68" s="312">
        <f t="shared" si="27"/>
        <v>-1.0147476365882868</v>
      </c>
    </row>
    <row r="69" spans="1:19">
      <c r="A69" s="509"/>
      <c r="B69" s="507"/>
      <c r="C69" s="5" t="s">
        <v>13</v>
      </c>
      <c r="D69" s="251">
        <v>1</v>
      </c>
      <c r="E69" s="251">
        <v>1</v>
      </c>
      <c r="F69" s="251">
        <v>1</v>
      </c>
      <c r="G69" s="251">
        <v>1</v>
      </c>
      <c r="H69" s="251">
        <v>1</v>
      </c>
      <c r="I69" s="251">
        <v>1</v>
      </c>
      <c r="J69" s="251">
        <v>1</v>
      </c>
      <c r="K69" s="359"/>
      <c r="L69" s="49">
        <f t="shared" si="22"/>
        <v>0</v>
      </c>
      <c r="M69" s="213">
        <f t="shared" si="23"/>
        <v>0</v>
      </c>
      <c r="N69" s="251">
        <f t="shared" si="24"/>
        <v>0</v>
      </c>
      <c r="O69" s="359"/>
      <c r="P69" s="359"/>
      <c r="Q69" s="312">
        <f t="shared" si="25"/>
        <v>0</v>
      </c>
      <c r="R69" s="312">
        <f t="shared" si="26"/>
        <v>0</v>
      </c>
      <c r="S69" s="312">
        <f t="shared" si="27"/>
        <v>0</v>
      </c>
    </row>
    <row r="70" spans="1:19">
      <c r="A70" s="4"/>
      <c r="B70" s="487" t="s">
        <v>141</v>
      </c>
      <c r="C70" s="488"/>
      <c r="D70" s="359"/>
      <c r="E70" s="359"/>
      <c r="F70" s="359"/>
      <c r="G70" s="359"/>
      <c r="H70" s="359"/>
      <c r="I70" s="359"/>
      <c r="J70" s="359"/>
      <c r="K70" s="359"/>
      <c r="L70" s="359"/>
      <c r="M70" s="359"/>
      <c r="N70" s="359"/>
      <c r="O70" s="359"/>
      <c r="P70" s="359"/>
      <c r="Q70" s="359"/>
      <c r="R70" s="359"/>
      <c r="S70" s="359"/>
    </row>
    <row r="71" spans="1:19">
      <c r="A71" s="507" t="s">
        <v>159</v>
      </c>
      <c r="B71" s="510" t="s">
        <v>143</v>
      </c>
      <c r="C71" s="5" t="s">
        <v>8</v>
      </c>
      <c r="D71" s="251">
        <v>0.69136342953718144</v>
      </c>
      <c r="E71" s="251">
        <v>0.72949801349561705</v>
      </c>
      <c r="F71" s="251">
        <v>0.74779794157313506</v>
      </c>
      <c r="G71" s="251">
        <v>0.76172313449946838</v>
      </c>
      <c r="H71" s="251">
        <v>0.71831998486472848</v>
      </c>
      <c r="I71" s="251">
        <v>0.74222454859993658</v>
      </c>
      <c r="J71" s="251">
        <v>0.74865097354883281</v>
      </c>
      <c r="K71" s="359"/>
      <c r="L71" s="49">
        <f t="shared" ref="L71:L82" si="28">(H71-E71)</f>
        <v>-1.117802863088857E-2</v>
      </c>
      <c r="M71" s="213">
        <f t="shared" ref="M71:M82" si="29">(I71-F71)</f>
        <v>-5.5733929731984766E-3</v>
      </c>
      <c r="N71" s="251">
        <f t="shared" ref="N71:N82" si="30">(J71-G71)</f>
        <v>-1.307216095063557E-2</v>
      </c>
      <c r="O71" s="359"/>
      <c r="P71" s="359"/>
      <c r="Q71" s="359"/>
      <c r="R71" s="359"/>
      <c r="S71" s="359"/>
    </row>
    <row r="72" spans="1:19">
      <c r="A72" s="508"/>
      <c r="B72" s="511"/>
      <c r="C72" s="5" t="s">
        <v>9</v>
      </c>
      <c r="D72" s="251">
        <v>0.9563572542901716</v>
      </c>
      <c r="E72" s="251">
        <v>0.96784290849467114</v>
      </c>
      <c r="F72" s="251">
        <v>0.9687476129235848</v>
      </c>
      <c r="G72" s="251">
        <v>0.97152063818884371</v>
      </c>
      <c r="H72" s="251">
        <v>0.96330075045721131</v>
      </c>
      <c r="I72" s="251">
        <v>0.97080879470954995</v>
      </c>
      <c r="J72" s="251">
        <v>0.97493471459853898</v>
      </c>
      <c r="K72" s="359"/>
      <c r="L72" s="49">
        <f t="shared" si="28"/>
        <v>-4.5421580374598314E-3</v>
      </c>
      <c r="M72" s="213">
        <f t="shared" si="29"/>
        <v>2.0611817859651493E-3</v>
      </c>
      <c r="N72" s="251">
        <f t="shared" si="30"/>
        <v>3.4140764096952658E-3</v>
      </c>
      <c r="O72" s="359"/>
      <c r="P72" s="359"/>
      <c r="Q72" s="359"/>
      <c r="R72" s="359"/>
      <c r="S72" s="359"/>
    </row>
    <row r="73" spans="1:19">
      <c r="A73" s="508"/>
      <c r="B73" s="511"/>
      <c r="C73" s="150" t="s">
        <v>10</v>
      </c>
      <c r="D73" s="251">
        <v>0.70059769890795631</v>
      </c>
      <c r="E73" s="251">
        <v>0.73837169704231564</v>
      </c>
      <c r="F73" s="251">
        <v>0.75617791029225956</v>
      </c>
      <c r="G73" s="251">
        <v>0.77017907512476169</v>
      </c>
      <c r="H73" s="251">
        <v>0.74696979252065332</v>
      </c>
      <c r="I73" s="251">
        <v>0.80031769247818918</v>
      </c>
      <c r="J73" s="251">
        <v>0.80518713096628547</v>
      </c>
      <c r="K73" s="359"/>
      <c r="L73" s="49">
        <f t="shared" si="28"/>
        <v>8.5980954783376751E-3</v>
      </c>
      <c r="M73" s="213">
        <f t="shared" si="29"/>
        <v>4.4139782185929621E-2</v>
      </c>
      <c r="N73" s="251">
        <f t="shared" si="30"/>
        <v>3.5008055841523777E-2</v>
      </c>
      <c r="O73" s="359"/>
      <c r="P73" s="359"/>
      <c r="Q73" s="359"/>
      <c r="R73" s="359"/>
      <c r="S73" s="359"/>
    </row>
    <row r="74" spans="1:19">
      <c r="A74" s="508"/>
      <c r="B74" s="511"/>
      <c r="C74" s="150" t="s">
        <v>11</v>
      </c>
      <c r="D74" s="251">
        <v>0.9563572542901716</v>
      </c>
      <c r="E74" s="251">
        <v>0.96784290849467114</v>
      </c>
      <c r="F74" s="251">
        <v>0.9687476129235848</v>
      </c>
      <c r="G74" s="251">
        <v>0.97152063818884371</v>
      </c>
      <c r="H74" s="251">
        <v>0.96330075045721131</v>
      </c>
      <c r="I74" s="251">
        <v>0.97080879470954995</v>
      </c>
      <c r="J74" s="251">
        <v>0.97493471459853898</v>
      </c>
      <c r="K74" s="359"/>
      <c r="L74" s="49">
        <f t="shared" si="28"/>
        <v>-4.5421580374598314E-3</v>
      </c>
      <c r="M74" s="213">
        <f t="shared" si="29"/>
        <v>2.0611817859651493E-3</v>
      </c>
      <c r="N74" s="251">
        <f t="shared" si="30"/>
        <v>3.4140764096952658E-3</v>
      </c>
      <c r="O74" s="359"/>
      <c r="P74" s="359"/>
      <c r="Q74" s="359"/>
      <c r="R74" s="359"/>
      <c r="S74" s="359"/>
    </row>
    <row r="75" spans="1:19">
      <c r="A75" s="508"/>
      <c r="B75" s="511"/>
      <c r="C75" s="5" t="s">
        <v>12</v>
      </c>
      <c r="D75" s="251">
        <v>0.60505882735309413</v>
      </c>
      <c r="E75" s="251">
        <v>0.61960332975972754</v>
      </c>
      <c r="F75" s="251">
        <v>0.64007113957306239</v>
      </c>
      <c r="G75" s="251">
        <v>0.6350576065763982</v>
      </c>
      <c r="H75" s="251">
        <v>0.63459040171533077</v>
      </c>
      <c r="I75" s="251">
        <v>0.66882938398714709</v>
      </c>
      <c r="J75" s="251">
        <v>0.67611485306360497</v>
      </c>
      <c r="K75" s="359"/>
      <c r="L75" s="49">
        <f t="shared" si="28"/>
        <v>1.4987071955603226E-2</v>
      </c>
      <c r="M75" s="213">
        <f t="shared" si="29"/>
        <v>2.8758244414084699E-2</v>
      </c>
      <c r="N75" s="251">
        <f t="shared" si="30"/>
        <v>4.1057246487206767E-2</v>
      </c>
      <c r="O75" s="359"/>
      <c r="P75" s="359"/>
      <c r="Q75" s="359"/>
      <c r="R75" s="359"/>
      <c r="S75" s="359"/>
    </row>
    <row r="76" spans="1:19">
      <c r="A76" s="509"/>
      <c r="B76" s="511"/>
      <c r="C76" s="5" t="s">
        <v>13</v>
      </c>
      <c r="D76" s="251">
        <v>0.99011635465418613</v>
      </c>
      <c r="E76" s="251">
        <v>0.99121649744592288</v>
      </c>
      <c r="F76" s="251">
        <v>0.99110473583438419</v>
      </c>
      <c r="G76" s="251">
        <v>0.99249721854182349</v>
      </c>
      <c r="H76" s="251">
        <v>0.99099262155514911</v>
      </c>
      <c r="I76" s="251">
        <v>0.99167606887803339</v>
      </c>
      <c r="J76" s="251">
        <v>0.99256061886097946</v>
      </c>
      <c r="K76" s="359"/>
      <c r="L76" s="49">
        <f t="shared" si="28"/>
        <v>-2.2387589077377257E-4</v>
      </c>
      <c r="M76" s="213">
        <f t="shared" si="29"/>
        <v>5.7133304364920257E-4</v>
      </c>
      <c r="N76" s="251">
        <f t="shared" si="30"/>
        <v>6.3400319155970664E-5</v>
      </c>
      <c r="O76" s="359"/>
      <c r="P76" s="359"/>
      <c r="Q76" s="359"/>
      <c r="R76" s="359"/>
      <c r="S76" s="359"/>
    </row>
    <row r="77" spans="1:19">
      <c r="A77" s="507" t="s">
        <v>160</v>
      </c>
      <c r="B77" s="511"/>
      <c r="C77" s="5" t="s">
        <v>8</v>
      </c>
      <c r="D77" s="251">
        <v>0.91142227641928142</v>
      </c>
      <c r="E77" s="251">
        <v>0.93447691361583285</v>
      </c>
      <c r="F77" s="251">
        <v>0.93777055624746619</v>
      </c>
      <c r="G77" s="251">
        <v>0.94587748889028589</v>
      </c>
      <c r="H77" s="251">
        <v>0.93104994578757272</v>
      </c>
      <c r="I77" s="251">
        <v>0.94256185127363901</v>
      </c>
      <c r="J77" s="251">
        <v>0.94581391518905789</v>
      </c>
      <c r="K77" s="359"/>
      <c r="L77" s="49">
        <f t="shared" si="28"/>
        <v>-3.4269678282601301E-3</v>
      </c>
      <c r="M77" s="213">
        <f t="shared" si="29"/>
        <v>4.7912950261728149E-3</v>
      </c>
      <c r="N77" s="251">
        <f t="shared" si="30"/>
        <v>-6.3573701228003543E-5</v>
      </c>
      <c r="O77" s="359"/>
      <c r="P77" s="359"/>
      <c r="Q77" s="359"/>
      <c r="R77" s="359"/>
      <c r="S77" s="359"/>
    </row>
    <row r="78" spans="1:19">
      <c r="A78" s="508"/>
      <c r="B78" s="511"/>
      <c r="C78" s="5" t="s">
        <v>9</v>
      </c>
      <c r="D78" s="251">
        <v>0.99827757741115153</v>
      </c>
      <c r="E78" s="251">
        <v>1</v>
      </c>
      <c r="F78" s="251">
        <v>1</v>
      </c>
      <c r="G78" s="251">
        <v>0.99999816897995708</v>
      </c>
      <c r="H78" s="251">
        <v>1</v>
      </c>
      <c r="I78" s="251">
        <v>1</v>
      </c>
      <c r="J78" s="251">
        <v>1</v>
      </c>
      <c r="K78" s="359"/>
      <c r="L78" s="49">
        <f t="shared" si="28"/>
        <v>0</v>
      </c>
      <c r="M78" s="213">
        <f t="shared" si="29"/>
        <v>0</v>
      </c>
      <c r="N78" s="251">
        <f t="shared" si="30"/>
        <v>1.8310200429194623E-6</v>
      </c>
      <c r="O78" s="359"/>
      <c r="P78" s="359"/>
      <c r="Q78" s="359"/>
      <c r="R78" s="359"/>
      <c r="S78" s="359"/>
    </row>
    <row r="79" spans="1:19">
      <c r="A79" s="508"/>
      <c r="B79" s="511"/>
      <c r="C79" s="150" t="s">
        <v>10</v>
      </c>
      <c r="D79" s="251">
        <v>0.91750098049570616</v>
      </c>
      <c r="E79" s="251">
        <v>0.94022496727693472</v>
      </c>
      <c r="F79" s="251">
        <v>0.94324718887974568</v>
      </c>
      <c r="G79" s="251">
        <v>0.95144134846081407</v>
      </c>
      <c r="H79" s="251">
        <v>0.97810067796766187</v>
      </c>
      <c r="I79" s="251">
        <v>0.97689449255215766</v>
      </c>
      <c r="J79" s="251">
        <v>0.97870278610041284</v>
      </c>
      <c r="K79" s="359"/>
      <c r="L79" s="49">
        <f t="shared" si="28"/>
        <v>3.7875710690727149E-2</v>
      </c>
      <c r="M79" s="213">
        <f t="shared" si="29"/>
        <v>3.3647303672411977E-2</v>
      </c>
      <c r="N79" s="251">
        <f t="shared" si="30"/>
        <v>2.7261437639598762E-2</v>
      </c>
      <c r="O79" s="359"/>
      <c r="P79" s="359"/>
      <c r="Q79" s="359"/>
      <c r="R79" s="359"/>
      <c r="S79" s="359"/>
    </row>
    <row r="80" spans="1:19">
      <c r="A80" s="508"/>
      <c r="B80" s="511"/>
      <c r="C80" s="150" t="s">
        <v>11</v>
      </c>
      <c r="D80" s="251">
        <v>0.99827757741115153</v>
      </c>
      <c r="E80" s="251">
        <v>1</v>
      </c>
      <c r="F80" s="251">
        <v>1</v>
      </c>
      <c r="G80" s="251">
        <v>0.99999816897995708</v>
      </c>
      <c r="H80" s="251">
        <v>1</v>
      </c>
      <c r="I80" s="251">
        <v>1</v>
      </c>
      <c r="J80" s="251">
        <v>1</v>
      </c>
      <c r="K80" s="359"/>
      <c r="L80" s="49">
        <f t="shared" si="28"/>
        <v>0</v>
      </c>
      <c r="M80" s="213">
        <f t="shared" si="29"/>
        <v>0</v>
      </c>
      <c r="N80" s="251">
        <f t="shared" si="30"/>
        <v>1.8310200429194623E-6</v>
      </c>
      <c r="O80" s="359"/>
      <c r="P80" s="359"/>
      <c r="Q80" s="359"/>
      <c r="R80" s="359"/>
      <c r="S80" s="359"/>
    </row>
    <row r="81" spans="1:19">
      <c r="A81" s="508"/>
      <c r="B81" s="511"/>
      <c r="C81" s="5" t="s">
        <v>12</v>
      </c>
      <c r="D81" s="251">
        <v>0.84266127584834116</v>
      </c>
      <c r="E81" s="251">
        <v>0.85655382750168596</v>
      </c>
      <c r="F81" s="251">
        <v>0.86366217449977822</v>
      </c>
      <c r="G81" s="251">
        <v>0.84428090044682991</v>
      </c>
      <c r="H81" s="251">
        <v>0.87136827695218988</v>
      </c>
      <c r="I81" s="251">
        <v>0.89462159967299959</v>
      </c>
      <c r="J81" s="251">
        <v>0.89716478239639885</v>
      </c>
      <c r="K81" s="359"/>
      <c r="L81" s="49">
        <f t="shared" si="28"/>
        <v>1.4814449450503919E-2</v>
      </c>
      <c r="M81" s="213">
        <f t="shared" si="29"/>
        <v>3.0959425173221367E-2</v>
      </c>
      <c r="N81" s="251">
        <f t="shared" si="30"/>
        <v>5.2883881949568945E-2</v>
      </c>
      <c r="O81" s="359"/>
      <c r="P81" s="359"/>
      <c r="Q81" s="359"/>
      <c r="R81" s="359"/>
      <c r="S81" s="359"/>
    </row>
    <row r="82" spans="1:19">
      <c r="A82" s="509"/>
      <c r="B82" s="507"/>
      <c r="C82" s="5" t="s">
        <v>13</v>
      </c>
      <c r="D82" s="251">
        <v>1</v>
      </c>
      <c r="E82" s="251">
        <v>1</v>
      </c>
      <c r="F82" s="251">
        <v>1</v>
      </c>
      <c r="G82" s="251">
        <v>1</v>
      </c>
      <c r="H82" s="251">
        <v>1</v>
      </c>
      <c r="I82" s="251">
        <v>1</v>
      </c>
      <c r="J82" s="251">
        <v>1</v>
      </c>
      <c r="K82" s="359"/>
      <c r="L82" s="49">
        <f t="shared" si="28"/>
        <v>0</v>
      </c>
      <c r="M82" s="213">
        <f t="shared" si="29"/>
        <v>0</v>
      </c>
      <c r="N82" s="251">
        <f t="shared" si="30"/>
        <v>0</v>
      </c>
      <c r="O82" s="359"/>
      <c r="P82" s="359"/>
      <c r="Q82" s="359"/>
      <c r="R82" s="359"/>
      <c r="S82" s="359"/>
    </row>
    <row r="83" spans="1:19" ht="15.75" customHeight="1">
      <c r="A83" s="94" t="s">
        <v>161</v>
      </c>
      <c r="B83" s="95" t="s">
        <v>5</v>
      </c>
      <c r="C83" s="93"/>
      <c r="D83" s="359"/>
      <c r="E83" s="359"/>
      <c r="F83" s="359"/>
      <c r="G83" s="359"/>
      <c r="H83" s="359"/>
      <c r="I83" s="359"/>
      <c r="J83" s="359"/>
      <c r="K83" s="359"/>
      <c r="L83" s="359"/>
      <c r="M83" s="359"/>
      <c r="N83" s="359"/>
      <c r="O83" s="359"/>
      <c r="P83" s="359"/>
      <c r="Q83" s="359"/>
      <c r="R83" s="359"/>
      <c r="S83" s="359"/>
    </row>
    <row r="84" spans="1:19">
      <c r="A84" s="4"/>
      <c r="B84" s="487" t="s">
        <v>162</v>
      </c>
      <c r="C84" s="488"/>
      <c r="D84" s="359"/>
      <c r="E84" s="359"/>
      <c r="F84" s="359"/>
      <c r="G84" s="359"/>
      <c r="H84" s="359"/>
      <c r="I84" s="359"/>
      <c r="J84" s="359"/>
      <c r="K84" s="359"/>
      <c r="L84" s="359"/>
      <c r="M84" s="359"/>
      <c r="N84" s="359"/>
      <c r="O84" s="359"/>
      <c r="P84" s="359"/>
      <c r="Q84" s="359"/>
      <c r="R84" s="359"/>
      <c r="S84" s="359"/>
    </row>
    <row r="85" spans="1:19">
      <c r="A85" s="507" t="s">
        <v>142</v>
      </c>
      <c r="B85" s="510" t="s">
        <v>143</v>
      </c>
      <c r="C85" s="5" t="s">
        <v>8</v>
      </c>
      <c r="D85" s="251">
        <v>0.52551564901635717</v>
      </c>
      <c r="E85" s="251">
        <v>0.53652183589522395</v>
      </c>
      <c r="F85" s="251">
        <v>0.54369109955508288</v>
      </c>
      <c r="G85" s="251">
        <v>0.54182719558377757</v>
      </c>
      <c r="H85" s="251">
        <v>0.54207304379249532</v>
      </c>
      <c r="I85" s="251">
        <v>0.54868927165521808</v>
      </c>
      <c r="J85" s="251">
        <v>0.55072751620684146</v>
      </c>
      <c r="K85" s="359"/>
      <c r="L85" s="49">
        <f t="shared" ref="L85:L96" si="31">(H85-E85)</f>
        <v>5.5512078972713708E-3</v>
      </c>
      <c r="M85" s="213">
        <f t="shared" ref="M85:M96" si="32">(I85-F85)</f>
        <v>4.9981721001352009E-3</v>
      </c>
      <c r="N85" s="251">
        <f t="shared" ref="N85:N96" si="33">(J85-G85)</f>
        <v>8.9003206230638954E-3</v>
      </c>
      <c r="O85" s="359"/>
      <c r="P85" s="214" t="s">
        <v>144</v>
      </c>
      <c r="Q85" s="312">
        <f t="shared" ref="Q85:Q96" si="34">(L85-L98)*100</f>
        <v>0.22964016317088554</v>
      </c>
      <c r="R85" s="312">
        <f t="shared" ref="R85:R96" si="35">(M85-M98)*100</f>
        <v>0.33363074439409779</v>
      </c>
      <c r="S85" s="312">
        <f t="shared" ref="S85:S96" si="36">(N85-N98)*100</f>
        <v>0.53514952421299666</v>
      </c>
    </row>
    <row r="86" spans="1:19">
      <c r="A86" s="508"/>
      <c r="B86" s="511"/>
      <c r="C86" s="5" t="s">
        <v>9</v>
      </c>
      <c r="D86" s="251">
        <v>0.93993723325812706</v>
      </c>
      <c r="E86" s="251">
        <v>0.93876278852659034</v>
      </c>
      <c r="F86" s="251">
        <v>0.94037730331970448</v>
      </c>
      <c r="G86" s="251">
        <v>0.9404855298070367</v>
      </c>
      <c r="H86" s="251">
        <v>0.95017813164065723</v>
      </c>
      <c r="I86" s="251">
        <v>0.9523811906904307</v>
      </c>
      <c r="J86" s="251">
        <v>0.9559046959911871</v>
      </c>
      <c r="K86" s="359"/>
      <c r="L86" s="49">
        <f t="shared" si="31"/>
        <v>1.1415343114066889E-2</v>
      </c>
      <c r="M86" s="213">
        <f t="shared" si="32"/>
        <v>1.2003887370726218E-2</v>
      </c>
      <c r="N86" s="251">
        <f t="shared" si="33"/>
        <v>1.5419166184150401E-2</v>
      </c>
      <c r="O86" s="359"/>
      <c r="P86" s="359"/>
      <c r="Q86" s="312">
        <f t="shared" si="34"/>
        <v>0.25895371688722246</v>
      </c>
      <c r="R86" s="312">
        <f t="shared" si="35"/>
        <v>-0.15024167488171258</v>
      </c>
      <c r="S86" s="312">
        <f t="shared" si="36"/>
        <v>-0.2733284241578704</v>
      </c>
    </row>
    <row r="87" spans="1:19">
      <c r="A87" s="508"/>
      <c r="B87" s="511"/>
      <c r="C87" s="150" t="s">
        <v>10</v>
      </c>
      <c r="D87" s="251">
        <v>0.56011694213013796</v>
      </c>
      <c r="E87" s="251">
        <v>0.57670654018224232</v>
      </c>
      <c r="F87" s="251">
        <v>0.58867749568651717</v>
      </c>
      <c r="G87" s="251">
        <v>0.58827207905826684</v>
      </c>
      <c r="H87" s="251">
        <v>0.7495581078373994</v>
      </c>
      <c r="I87" s="251">
        <v>0.79140847622012189</v>
      </c>
      <c r="J87" s="251">
        <v>0.79323121214479064</v>
      </c>
      <c r="K87" s="359"/>
      <c r="L87" s="49">
        <f t="shared" si="31"/>
        <v>0.17285156765515708</v>
      </c>
      <c r="M87" s="213">
        <f t="shared" si="32"/>
        <v>0.20273098053360472</v>
      </c>
      <c r="N87" s="251">
        <f t="shared" si="33"/>
        <v>0.2049591330865238</v>
      </c>
      <c r="O87" s="359"/>
      <c r="P87" s="359"/>
      <c r="Q87" s="312">
        <f t="shared" si="34"/>
        <v>4.6549227278784633</v>
      </c>
      <c r="R87" s="312">
        <f t="shared" si="35"/>
        <v>3.2778906701484645</v>
      </c>
      <c r="S87" s="312">
        <f t="shared" si="36"/>
        <v>3.2280110280126562</v>
      </c>
    </row>
    <row r="88" spans="1:19">
      <c r="A88" s="508"/>
      <c r="B88" s="511"/>
      <c r="C88" s="150" t="s">
        <v>11</v>
      </c>
      <c r="D88" s="251">
        <v>0.93993723325812706</v>
      </c>
      <c r="E88" s="251">
        <v>0.93876278852659034</v>
      </c>
      <c r="F88" s="251">
        <v>0.94037730331970448</v>
      </c>
      <c r="G88" s="251">
        <v>0.9404855298070367</v>
      </c>
      <c r="H88" s="251">
        <v>0.9503313209236921</v>
      </c>
      <c r="I88" s="251">
        <v>0.95239019878871101</v>
      </c>
      <c r="J88" s="251">
        <v>0.9559046959911871</v>
      </c>
      <c r="K88" s="359"/>
      <c r="L88" s="49">
        <f t="shared" si="31"/>
        <v>1.1568532397101761E-2</v>
      </c>
      <c r="M88" s="213">
        <f t="shared" si="32"/>
        <v>1.2012895469006524E-2</v>
      </c>
      <c r="N88" s="251">
        <f t="shared" si="33"/>
        <v>1.5419166184150401E-2</v>
      </c>
      <c r="O88" s="359"/>
      <c r="P88" s="359"/>
      <c r="Q88" s="312">
        <f t="shared" si="34"/>
        <v>0.23623949524782528</v>
      </c>
      <c r="R88" s="312">
        <f t="shared" si="35"/>
        <v>-0.15073917147155891</v>
      </c>
      <c r="S88" s="312">
        <f t="shared" si="36"/>
        <v>-0.2733284241578704</v>
      </c>
    </row>
    <row r="89" spans="1:19">
      <c r="A89" s="508"/>
      <c r="B89" s="511"/>
      <c r="C89" s="5" t="s">
        <v>12</v>
      </c>
      <c r="D89" s="251">
        <v>0.46044956942552029</v>
      </c>
      <c r="E89" s="251">
        <v>0.46409364810662351</v>
      </c>
      <c r="F89" s="251">
        <v>0.47755336651936242</v>
      </c>
      <c r="G89" s="251">
        <v>0.48032682181495567</v>
      </c>
      <c r="H89" s="251">
        <v>0.49186034636489689</v>
      </c>
      <c r="I89" s="251">
        <v>0.52672652714790602</v>
      </c>
      <c r="J89" s="251">
        <v>0.53590383599454516</v>
      </c>
      <c r="K89" s="359"/>
      <c r="L89" s="49">
        <f t="shared" si="31"/>
        <v>2.7766698258273381E-2</v>
      </c>
      <c r="M89" s="213">
        <f t="shared" si="32"/>
        <v>4.91731606285436E-2</v>
      </c>
      <c r="N89" s="251">
        <f t="shared" si="33"/>
        <v>5.557701417958949E-2</v>
      </c>
      <c r="O89" s="359"/>
      <c r="P89" s="359"/>
      <c r="Q89" s="312">
        <f t="shared" si="34"/>
        <v>0.66262630445870219</v>
      </c>
      <c r="R89" s="312">
        <f t="shared" si="35"/>
        <v>1.6643752058676464</v>
      </c>
      <c r="S89" s="312">
        <f t="shared" si="36"/>
        <v>1.401969237527001</v>
      </c>
    </row>
    <row r="90" spans="1:19">
      <c r="A90" s="509"/>
      <c r="B90" s="511"/>
      <c r="C90" s="5" t="s">
        <v>13</v>
      </c>
      <c r="D90" s="251">
        <v>0.97953320951300638</v>
      </c>
      <c r="E90" s="251">
        <v>0.97936208283725323</v>
      </c>
      <c r="F90" s="251">
        <v>0.9809145284509615</v>
      </c>
      <c r="G90" s="251">
        <v>0.98218026336326225</v>
      </c>
      <c r="H90" s="251">
        <v>0.98125689842764952</v>
      </c>
      <c r="I90" s="251">
        <v>0.98271345940000066</v>
      </c>
      <c r="J90" s="251">
        <v>0.98457125072178286</v>
      </c>
      <c r="K90" s="359"/>
      <c r="L90" s="49">
        <f t="shared" si="31"/>
        <v>1.8948155903962816E-3</v>
      </c>
      <c r="M90" s="213">
        <f t="shared" si="32"/>
        <v>1.798930949039157E-3</v>
      </c>
      <c r="N90" s="251">
        <f t="shared" si="33"/>
        <v>2.3909873585206132E-3</v>
      </c>
      <c r="O90" s="359"/>
      <c r="P90" s="359"/>
      <c r="Q90" s="312">
        <f t="shared" si="34"/>
        <v>0.13419174650864951</v>
      </c>
      <c r="R90" s="312">
        <f t="shared" si="35"/>
        <v>0.10175883082051973</v>
      </c>
      <c r="S90" s="312">
        <f t="shared" si="36"/>
        <v>8.3584331626296304E-2</v>
      </c>
    </row>
    <row r="91" spans="1:19">
      <c r="A91" s="507" t="s">
        <v>145</v>
      </c>
      <c r="B91" s="511"/>
      <c r="C91" s="5" t="s">
        <v>8</v>
      </c>
      <c r="D91" s="251">
        <v>0.62450109483203675</v>
      </c>
      <c r="E91" s="251">
        <v>0.64018029664966725</v>
      </c>
      <c r="F91" s="251">
        <v>0.64232055906758578</v>
      </c>
      <c r="G91" s="251">
        <v>0.63571867627717549</v>
      </c>
      <c r="H91" s="251">
        <v>0.64010134550745679</v>
      </c>
      <c r="I91" s="251">
        <v>0.63831411001726923</v>
      </c>
      <c r="J91" s="251">
        <v>0.63987229665559209</v>
      </c>
      <c r="K91" s="359"/>
      <c r="L91" s="49">
        <f t="shared" si="31"/>
        <v>-7.8951142210459402E-5</v>
      </c>
      <c r="M91" s="213">
        <f t="shared" si="32"/>
        <v>-4.0064490503165517E-3</v>
      </c>
      <c r="N91" s="251">
        <f t="shared" si="33"/>
        <v>4.1536203784166004E-3</v>
      </c>
      <c r="O91" s="359"/>
      <c r="P91" s="214" t="s">
        <v>163</v>
      </c>
      <c r="Q91" s="312">
        <f t="shared" si="34"/>
        <v>0.17494121961662001</v>
      </c>
      <c r="R91" s="312">
        <f t="shared" si="35"/>
        <v>0.80432135202570532</v>
      </c>
      <c r="S91" s="312">
        <f t="shared" si="36"/>
        <v>1.213285137783382</v>
      </c>
    </row>
    <row r="92" spans="1:19">
      <c r="A92" s="508"/>
      <c r="B92" s="511"/>
      <c r="C92" s="5" t="s">
        <v>9</v>
      </c>
      <c r="D92" s="251">
        <v>0.99915617823509517</v>
      </c>
      <c r="E92" s="251">
        <v>0.99700318672760191</v>
      </c>
      <c r="F92" s="251">
        <v>0.99534337110679127</v>
      </c>
      <c r="G92" s="251">
        <v>0.99616941784079471</v>
      </c>
      <c r="H92" s="251">
        <v>0.99713566663161857</v>
      </c>
      <c r="I92" s="251">
        <v>0.99149749441890578</v>
      </c>
      <c r="J92" s="251">
        <v>0.99249422443057655</v>
      </c>
      <c r="K92" s="359"/>
      <c r="L92" s="49">
        <f t="shared" si="31"/>
        <v>1.3247990401665799E-4</v>
      </c>
      <c r="M92" s="213">
        <f t="shared" si="32"/>
        <v>-3.8458766878854966E-3</v>
      </c>
      <c r="N92" s="251">
        <f t="shared" si="33"/>
        <v>-3.6751934102181583E-3</v>
      </c>
      <c r="O92" s="359"/>
      <c r="P92" s="359"/>
      <c r="Q92" s="312">
        <f t="shared" si="34"/>
        <v>9.0999761874499541E-2</v>
      </c>
      <c r="R92" s="312">
        <f t="shared" si="35"/>
        <v>0.21265132711201229</v>
      </c>
      <c r="S92" s="312">
        <f t="shared" si="36"/>
        <v>0.14539381333695811</v>
      </c>
    </row>
    <row r="93" spans="1:19">
      <c r="A93" s="508"/>
      <c r="B93" s="511"/>
      <c r="C93" s="150" t="s">
        <v>10</v>
      </c>
      <c r="D93" s="251">
        <v>0.67856621508553927</v>
      </c>
      <c r="E93" s="251">
        <v>0.70184844139574831</v>
      </c>
      <c r="F93" s="251">
        <v>0.71019203066776193</v>
      </c>
      <c r="G93" s="251">
        <v>0.7047910607158433</v>
      </c>
      <c r="H93" s="251">
        <v>0.98944487218187926</v>
      </c>
      <c r="I93" s="251">
        <v>0.98198558128992175</v>
      </c>
      <c r="J93" s="251">
        <v>0.97786552042563402</v>
      </c>
      <c r="K93" s="359"/>
      <c r="L93" s="49">
        <f t="shared" si="31"/>
        <v>0.28759643078613095</v>
      </c>
      <c r="M93" s="213">
        <f t="shared" si="32"/>
        <v>0.27179355062215982</v>
      </c>
      <c r="N93" s="251">
        <f t="shared" si="33"/>
        <v>0.27307445970979072</v>
      </c>
      <c r="O93" s="359"/>
      <c r="P93" s="359"/>
      <c r="Q93" s="312">
        <f t="shared" si="34"/>
        <v>0.52722588405067494</v>
      </c>
      <c r="R93" s="312">
        <f t="shared" si="35"/>
        <v>0.425860365044195</v>
      </c>
      <c r="S93" s="312">
        <f t="shared" si="36"/>
        <v>0.73932689766832427</v>
      </c>
    </row>
    <row r="94" spans="1:19">
      <c r="A94" s="508"/>
      <c r="B94" s="511"/>
      <c r="C94" s="150" t="s">
        <v>11</v>
      </c>
      <c r="D94" s="251">
        <v>0.99915617823509517</v>
      </c>
      <c r="E94" s="251">
        <v>0.99700318672760191</v>
      </c>
      <c r="F94" s="251">
        <v>0.99534337110679127</v>
      </c>
      <c r="G94" s="251">
        <v>0.99616941784079471</v>
      </c>
      <c r="H94" s="251">
        <v>0.99740022317718846</v>
      </c>
      <c r="I94" s="251">
        <v>0.99151217078066833</v>
      </c>
      <c r="J94" s="251">
        <v>0.99249422443057655</v>
      </c>
      <c r="K94" s="359"/>
      <c r="L94" s="49">
        <f t="shared" si="31"/>
        <v>3.9703644958655193E-4</v>
      </c>
      <c r="M94" s="213">
        <f t="shared" si="32"/>
        <v>-3.831200326122941E-3</v>
      </c>
      <c r="N94" s="251">
        <f t="shared" si="33"/>
        <v>-3.6751934102181583E-3</v>
      </c>
      <c r="O94" s="359"/>
      <c r="P94" s="359"/>
      <c r="Q94" s="312">
        <f t="shared" si="34"/>
        <v>2.9519714248082973E-2</v>
      </c>
      <c r="R94" s="312">
        <f t="shared" si="35"/>
        <v>0.21120446731391906</v>
      </c>
      <c r="S94" s="312">
        <f t="shared" si="36"/>
        <v>0.14539381333695811</v>
      </c>
    </row>
    <row r="95" spans="1:19">
      <c r="A95" s="508"/>
      <c r="B95" s="511"/>
      <c r="C95" s="5" t="s">
        <v>12</v>
      </c>
      <c r="D95" s="251">
        <v>0.63492425186477486</v>
      </c>
      <c r="E95" s="251">
        <v>0.637056293046522</v>
      </c>
      <c r="F95" s="251">
        <v>0.64178992787157363</v>
      </c>
      <c r="G95" s="251">
        <v>0.63368405509445103</v>
      </c>
      <c r="H95" s="251">
        <v>0.66965027659726017</v>
      </c>
      <c r="I95" s="251">
        <v>0.7046806179074443</v>
      </c>
      <c r="J95" s="251">
        <v>0.70648112547198638</v>
      </c>
      <c r="K95" s="359"/>
      <c r="L95" s="49">
        <f t="shared" si="31"/>
        <v>3.259398355073817E-2</v>
      </c>
      <c r="M95" s="213">
        <f t="shared" si="32"/>
        <v>6.2890690035870667E-2</v>
      </c>
      <c r="N95" s="251">
        <f t="shared" si="33"/>
        <v>7.2797070377535356E-2</v>
      </c>
      <c r="O95" s="359"/>
      <c r="P95" s="359"/>
      <c r="Q95" s="312">
        <f t="shared" si="34"/>
        <v>0.32752537720616148</v>
      </c>
      <c r="R95" s="312">
        <f t="shared" si="35"/>
        <v>2.4379183144733974</v>
      </c>
      <c r="S95" s="312">
        <f t="shared" si="36"/>
        <v>1.7540448753410876</v>
      </c>
    </row>
    <row r="96" spans="1:19">
      <c r="A96" s="509"/>
      <c r="B96" s="507"/>
      <c r="C96" s="5" t="s">
        <v>13</v>
      </c>
      <c r="D96" s="251">
        <v>1</v>
      </c>
      <c r="E96" s="251">
        <v>1</v>
      </c>
      <c r="F96" s="251">
        <v>1</v>
      </c>
      <c r="G96" s="251">
        <v>0.99905566105443167</v>
      </c>
      <c r="H96" s="251">
        <v>1</v>
      </c>
      <c r="I96" s="251">
        <v>1</v>
      </c>
      <c r="J96" s="251">
        <v>1</v>
      </c>
      <c r="K96" s="359"/>
      <c r="L96" s="49">
        <f t="shared" si="31"/>
        <v>0</v>
      </c>
      <c r="M96" s="213">
        <f t="shared" si="32"/>
        <v>0</v>
      </c>
      <c r="N96" s="251">
        <f t="shared" si="33"/>
        <v>9.4433894556833486E-4</v>
      </c>
      <c r="O96" s="359"/>
      <c r="P96" s="359"/>
      <c r="Q96" s="312">
        <f t="shared" si="34"/>
        <v>0</v>
      </c>
      <c r="R96" s="312">
        <f t="shared" si="35"/>
        <v>0</v>
      </c>
      <c r="S96" s="312">
        <f t="shared" si="36"/>
        <v>-0.10964421533934399</v>
      </c>
    </row>
    <row r="97" spans="1:19" ht="14.45" customHeight="1">
      <c r="A97" s="4"/>
      <c r="B97" s="489" t="s">
        <v>162</v>
      </c>
      <c r="C97" s="490"/>
      <c r="D97" s="359"/>
      <c r="E97" s="359"/>
      <c r="F97" s="359"/>
      <c r="G97" s="359"/>
      <c r="H97" s="359"/>
      <c r="I97" s="359"/>
      <c r="J97" s="359"/>
      <c r="K97" s="359"/>
      <c r="L97" s="49"/>
      <c r="M97" s="213"/>
      <c r="N97" s="251"/>
      <c r="O97" s="359"/>
      <c r="P97" s="359"/>
      <c r="Q97" s="359"/>
      <c r="R97" s="359"/>
      <c r="S97" s="359"/>
    </row>
    <row r="98" spans="1:19" ht="14.65" customHeight="1">
      <c r="A98" s="507" t="s">
        <v>147</v>
      </c>
      <c r="B98" s="510" t="s">
        <v>143</v>
      </c>
      <c r="C98" s="5" t="s">
        <v>8</v>
      </c>
      <c r="D98" s="251">
        <v>0.50279382645116322</v>
      </c>
      <c r="E98" s="251">
        <v>0.51728434169211968</v>
      </c>
      <c r="F98" s="251">
        <v>0.52570085564018454</v>
      </c>
      <c r="G98" s="251">
        <v>0.52569942924401614</v>
      </c>
      <c r="H98" s="251">
        <v>0.52053914795768219</v>
      </c>
      <c r="I98" s="251">
        <v>0.52736272029637876</v>
      </c>
      <c r="J98" s="251">
        <v>0.52924825462495007</v>
      </c>
      <c r="K98" s="359"/>
      <c r="L98" s="49">
        <f t="shared" ref="L98:L109" si="37">(H98-E98)</f>
        <v>3.2548062655625154E-3</v>
      </c>
      <c r="M98" s="213">
        <f t="shared" ref="M98:M109" si="38">(I98-F98)</f>
        <v>1.661864656194223E-3</v>
      </c>
      <c r="N98" s="251">
        <f t="shared" ref="N98:N109" si="39">(J98-G98)</f>
        <v>3.5488253809339287E-3</v>
      </c>
      <c r="O98" s="359"/>
      <c r="P98" s="359"/>
      <c r="Q98" s="359"/>
      <c r="R98" s="359"/>
      <c r="S98" s="359"/>
    </row>
    <row r="99" spans="1:19">
      <c r="A99" s="508"/>
      <c r="B99" s="511"/>
      <c r="C99" s="5" t="s">
        <v>9</v>
      </c>
      <c r="D99" s="251">
        <v>0.93242084983255935</v>
      </c>
      <c r="E99" s="251">
        <v>0.93629672314704759</v>
      </c>
      <c r="F99" s="251">
        <v>0.93762444024945724</v>
      </c>
      <c r="G99" s="251">
        <v>0.93872995419569494</v>
      </c>
      <c r="H99" s="251">
        <v>0.94512252909224226</v>
      </c>
      <c r="I99" s="251">
        <v>0.95113074436900058</v>
      </c>
      <c r="J99" s="251">
        <v>0.95688240462142404</v>
      </c>
      <c r="K99" s="359"/>
      <c r="L99" s="49">
        <f t="shared" si="37"/>
        <v>8.8258059451946647E-3</v>
      </c>
      <c r="M99" s="213">
        <f t="shared" si="38"/>
        <v>1.3506304119543344E-2</v>
      </c>
      <c r="N99" s="251">
        <f t="shared" si="39"/>
        <v>1.8152450425729105E-2</v>
      </c>
      <c r="O99" s="359"/>
      <c r="P99" s="359"/>
      <c r="Q99" s="359"/>
      <c r="R99" s="359"/>
      <c r="S99" s="359"/>
    </row>
    <row r="100" spans="1:19">
      <c r="A100" s="508"/>
      <c r="B100" s="511"/>
      <c r="C100" s="150" t="s">
        <v>10</v>
      </c>
      <c r="D100" s="251">
        <v>0.53370071435031108</v>
      </c>
      <c r="E100" s="251">
        <v>0.54612582892809058</v>
      </c>
      <c r="F100" s="251">
        <v>0.55516807370474375</v>
      </c>
      <c r="G100" s="251">
        <v>0.55514971887809539</v>
      </c>
      <c r="H100" s="251">
        <v>0.67242816930446303</v>
      </c>
      <c r="I100" s="251">
        <v>0.72512014753686382</v>
      </c>
      <c r="J100" s="251">
        <v>0.72782874168449263</v>
      </c>
      <c r="K100" s="359"/>
      <c r="L100" s="49">
        <f t="shared" si="37"/>
        <v>0.12630234037637245</v>
      </c>
      <c r="M100" s="213">
        <f t="shared" si="38"/>
        <v>0.16995207383212008</v>
      </c>
      <c r="N100" s="251">
        <f t="shared" si="39"/>
        <v>0.17267902280639724</v>
      </c>
      <c r="O100" s="359"/>
      <c r="P100" s="359"/>
      <c r="Q100" s="359"/>
      <c r="R100" s="359"/>
      <c r="S100" s="359"/>
    </row>
    <row r="101" spans="1:19">
      <c r="A101" s="508"/>
      <c r="B101" s="511"/>
      <c r="C101" s="150" t="s">
        <v>11</v>
      </c>
      <c r="D101" s="251">
        <v>0.93242084983255935</v>
      </c>
      <c r="E101" s="251">
        <v>0.93629672314704759</v>
      </c>
      <c r="F101" s="251">
        <v>0.93762444024945724</v>
      </c>
      <c r="G101" s="251">
        <v>0.93872995419569494</v>
      </c>
      <c r="H101" s="251">
        <v>0.9455028605916711</v>
      </c>
      <c r="I101" s="251">
        <v>0.95114472743317935</v>
      </c>
      <c r="J101" s="251">
        <v>0.95688240462142404</v>
      </c>
      <c r="K101" s="359"/>
      <c r="L101" s="49">
        <f t="shared" si="37"/>
        <v>9.2061374446235078E-3</v>
      </c>
      <c r="M101" s="213">
        <f t="shared" si="38"/>
        <v>1.3520287183722113E-2</v>
      </c>
      <c r="N101" s="251">
        <f t="shared" si="39"/>
        <v>1.8152450425729105E-2</v>
      </c>
      <c r="O101" s="359"/>
      <c r="P101" s="359"/>
      <c r="Q101" s="359"/>
      <c r="R101" s="359"/>
      <c r="S101" s="359"/>
    </row>
    <row r="102" spans="1:19">
      <c r="A102" s="508"/>
      <c r="B102" s="511"/>
      <c r="C102" s="5" t="s">
        <v>12</v>
      </c>
      <c r="D102" s="251">
        <v>0.35726379129830699</v>
      </c>
      <c r="E102" s="251">
        <v>0.36528385013719122</v>
      </c>
      <c r="F102" s="251">
        <v>0.38393673707229148</v>
      </c>
      <c r="G102" s="251">
        <v>0.38417535373222172</v>
      </c>
      <c r="H102" s="251">
        <v>0.38642428535087758</v>
      </c>
      <c r="I102" s="251">
        <v>0.41646614564215861</v>
      </c>
      <c r="J102" s="251">
        <v>0.42573267553654121</v>
      </c>
      <c r="K102" s="359"/>
      <c r="L102" s="49">
        <f t="shared" si="37"/>
        <v>2.1140435213686359E-2</v>
      </c>
      <c r="M102" s="213">
        <f t="shared" si="38"/>
        <v>3.2529408569867135E-2</v>
      </c>
      <c r="N102" s="251">
        <f t="shared" si="39"/>
        <v>4.155732180431948E-2</v>
      </c>
      <c r="O102" s="359"/>
      <c r="P102" s="359"/>
      <c r="Q102" s="359"/>
      <c r="R102" s="359"/>
      <c r="S102" s="359"/>
    </row>
    <row r="103" spans="1:19">
      <c r="A103" s="509"/>
      <c r="B103" s="511"/>
      <c r="C103" s="5" t="s">
        <v>13</v>
      </c>
      <c r="D103" s="251">
        <v>0.98840986079684912</v>
      </c>
      <c r="E103" s="251">
        <v>0.98862490414886472</v>
      </c>
      <c r="F103" s="251">
        <v>0.98893489049258043</v>
      </c>
      <c r="G103" s="251">
        <v>0.98823595454498758</v>
      </c>
      <c r="H103" s="251">
        <v>0.98917780227417451</v>
      </c>
      <c r="I103" s="251">
        <v>0.98971623313341439</v>
      </c>
      <c r="J103" s="251">
        <v>0.98979109858724523</v>
      </c>
      <c r="K103" s="359"/>
      <c r="L103" s="49">
        <f t="shared" si="37"/>
        <v>5.5289812530978644E-4</v>
      </c>
      <c r="M103" s="213">
        <f t="shared" si="38"/>
        <v>7.8134264083395966E-4</v>
      </c>
      <c r="N103" s="251">
        <f t="shared" si="39"/>
        <v>1.5551440422576501E-3</v>
      </c>
      <c r="O103" s="359"/>
      <c r="P103" s="359"/>
      <c r="Q103" s="359"/>
      <c r="R103" s="359"/>
      <c r="S103" s="359"/>
    </row>
    <row r="104" spans="1:19" ht="14.65" customHeight="1">
      <c r="A104" s="507" t="s">
        <v>148</v>
      </c>
      <c r="B104" s="511"/>
      <c r="C104" s="5" t="s">
        <v>8</v>
      </c>
      <c r="D104" s="251">
        <v>0.64760570305385534</v>
      </c>
      <c r="E104" s="251">
        <v>0.6596892865383136</v>
      </c>
      <c r="F104" s="251">
        <v>0.65784044223872584</v>
      </c>
      <c r="G104" s="251">
        <v>0.64923751208305613</v>
      </c>
      <c r="H104" s="251">
        <v>0.65786092319993694</v>
      </c>
      <c r="I104" s="251">
        <v>0.64579077966815224</v>
      </c>
      <c r="J104" s="251">
        <v>0.64125828108363891</v>
      </c>
      <c r="K104" s="359"/>
      <c r="L104" s="49">
        <f t="shared" si="37"/>
        <v>-1.8283633383766595E-3</v>
      </c>
      <c r="M104" s="213">
        <f t="shared" si="38"/>
        <v>-1.2049662570573605E-2</v>
      </c>
      <c r="N104" s="251">
        <f t="shared" si="39"/>
        <v>-7.9792309994172195E-3</v>
      </c>
      <c r="O104" s="359"/>
      <c r="P104" s="359"/>
      <c r="Q104" s="359"/>
      <c r="R104" s="359"/>
      <c r="S104" s="359"/>
    </row>
    <row r="105" spans="1:19">
      <c r="A105" s="508"/>
      <c r="B105" s="511"/>
      <c r="C105" s="5" t="s">
        <v>9</v>
      </c>
      <c r="D105" s="251">
        <v>0.99665171228963556</v>
      </c>
      <c r="E105" s="251">
        <v>0.99476425335886454</v>
      </c>
      <c r="F105" s="251">
        <v>0.99079272342592006</v>
      </c>
      <c r="G105" s="251">
        <v>0.99086866188784417</v>
      </c>
      <c r="H105" s="251">
        <v>0.9939867356441362</v>
      </c>
      <c r="I105" s="251">
        <v>0.98482033346691444</v>
      </c>
      <c r="J105" s="251">
        <v>0.98573953034425643</v>
      </c>
      <c r="K105" s="359"/>
      <c r="L105" s="49">
        <f t="shared" si="37"/>
        <v>-7.7751771472833742E-4</v>
      </c>
      <c r="M105" s="213">
        <f t="shared" si="38"/>
        <v>-5.9723899590056195E-3</v>
      </c>
      <c r="N105" s="251">
        <f t="shared" si="39"/>
        <v>-5.1291315435877394E-3</v>
      </c>
      <c r="O105" s="359"/>
      <c r="P105" s="359"/>
      <c r="Q105" s="359"/>
      <c r="R105" s="359"/>
      <c r="S105" s="359"/>
    </row>
    <row r="106" spans="1:19">
      <c r="A106" s="508"/>
      <c r="B106" s="511"/>
      <c r="C106" s="150" t="s">
        <v>10</v>
      </c>
      <c r="D106" s="251">
        <v>0.694577528268851</v>
      </c>
      <c r="E106" s="251">
        <v>0.70051923619232048</v>
      </c>
      <c r="F106" s="251">
        <v>0.69917584192567162</v>
      </c>
      <c r="G106" s="251">
        <v>0.68986639592251775</v>
      </c>
      <c r="H106" s="251">
        <v>0.98284340813794469</v>
      </c>
      <c r="I106" s="251">
        <v>0.96671078889738948</v>
      </c>
      <c r="J106" s="251">
        <v>0.95554758665562523</v>
      </c>
      <c r="K106" s="359"/>
      <c r="L106" s="49">
        <f t="shared" si="37"/>
        <v>0.2823241719456242</v>
      </c>
      <c r="M106" s="213">
        <f t="shared" si="38"/>
        <v>0.26753494697171787</v>
      </c>
      <c r="N106" s="251">
        <f t="shared" si="39"/>
        <v>0.26568119073310748</v>
      </c>
      <c r="O106" s="359"/>
      <c r="P106" s="359"/>
      <c r="Q106" s="359"/>
      <c r="R106" s="359"/>
      <c r="S106" s="359"/>
    </row>
    <row r="107" spans="1:19">
      <c r="A107" s="508"/>
      <c r="B107" s="511"/>
      <c r="C107" s="150" t="s">
        <v>11</v>
      </c>
      <c r="D107" s="251">
        <v>0.99665171228963556</v>
      </c>
      <c r="E107" s="251">
        <v>0.99476425335886454</v>
      </c>
      <c r="F107" s="251">
        <v>0.99079272342592006</v>
      </c>
      <c r="G107" s="251">
        <v>0.99086866188784417</v>
      </c>
      <c r="H107" s="251">
        <v>0.99486609266597026</v>
      </c>
      <c r="I107" s="251">
        <v>0.98484947842665793</v>
      </c>
      <c r="J107" s="251">
        <v>0.98573953034425643</v>
      </c>
      <c r="K107" s="359"/>
      <c r="L107" s="49">
        <f t="shared" si="37"/>
        <v>1.018393071057222E-4</v>
      </c>
      <c r="M107" s="213">
        <f t="shared" si="38"/>
        <v>-5.9432449992621317E-3</v>
      </c>
      <c r="N107" s="251">
        <f t="shared" si="39"/>
        <v>-5.1291315435877394E-3</v>
      </c>
      <c r="O107" s="359"/>
      <c r="P107" s="359"/>
      <c r="Q107" s="359"/>
      <c r="R107" s="359"/>
      <c r="S107" s="359"/>
    </row>
    <row r="108" spans="1:19">
      <c r="A108" s="508"/>
      <c r="B108" s="511"/>
      <c r="C108" s="5" t="s">
        <v>12</v>
      </c>
      <c r="D108" s="251">
        <v>0.56789083266294482</v>
      </c>
      <c r="E108" s="251">
        <v>0.57443338572366698</v>
      </c>
      <c r="F108" s="251">
        <v>0.58767200110955953</v>
      </c>
      <c r="G108" s="251">
        <v>0.57580705399399923</v>
      </c>
      <c r="H108" s="251">
        <v>0.60375211550234353</v>
      </c>
      <c r="I108" s="251">
        <v>0.62618350800069622</v>
      </c>
      <c r="J108" s="251">
        <v>0.63106367561812371</v>
      </c>
      <c r="K108" s="359"/>
      <c r="L108" s="49">
        <f t="shared" si="37"/>
        <v>2.9318729778676555E-2</v>
      </c>
      <c r="M108" s="213">
        <f t="shared" si="38"/>
        <v>3.8511506891136693E-2</v>
      </c>
      <c r="N108" s="251">
        <f t="shared" si="39"/>
        <v>5.525662162412448E-2</v>
      </c>
      <c r="O108" s="359"/>
      <c r="P108" s="359"/>
      <c r="Q108" s="359"/>
      <c r="R108" s="359"/>
      <c r="S108" s="359"/>
    </row>
    <row r="109" spans="1:19">
      <c r="A109" s="509"/>
      <c r="B109" s="507"/>
      <c r="C109" s="5" t="s">
        <v>13</v>
      </c>
      <c r="D109" s="251">
        <v>1</v>
      </c>
      <c r="E109" s="251">
        <v>1</v>
      </c>
      <c r="F109" s="251">
        <v>1</v>
      </c>
      <c r="G109" s="251">
        <v>0.99795921890103823</v>
      </c>
      <c r="H109" s="251">
        <v>1</v>
      </c>
      <c r="I109" s="251">
        <v>1</v>
      </c>
      <c r="J109" s="251">
        <v>1</v>
      </c>
      <c r="K109" s="359"/>
      <c r="L109" s="49">
        <f t="shared" si="37"/>
        <v>0</v>
      </c>
      <c r="M109" s="213">
        <f t="shared" si="38"/>
        <v>0</v>
      </c>
      <c r="N109" s="251">
        <f t="shared" si="39"/>
        <v>2.0407810989617747E-3</v>
      </c>
      <c r="O109" s="359"/>
      <c r="P109" s="359"/>
      <c r="Q109" s="359"/>
      <c r="R109" s="359"/>
      <c r="S109" s="359"/>
    </row>
    <row r="110" spans="1:19">
      <c r="A110" s="4"/>
      <c r="B110" s="487" t="s">
        <v>162</v>
      </c>
      <c r="C110" s="488"/>
      <c r="D110" s="359"/>
      <c r="E110" s="359"/>
      <c r="F110" s="359"/>
      <c r="G110" s="359"/>
      <c r="H110" s="359"/>
      <c r="I110" s="359"/>
      <c r="J110" s="359"/>
      <c r="K110" s="359"/>
      <c r="L110" s="49"/>
      <c r="M110" s="213"/>
      <c r="N110" s="251"/>
      <c r="O110" s="359"/>
      <c r="P110" s="359"/>
      <c r="Q110" s="359"/>
      <c r="R110" s="359"/>
      <c r="S110" s="359"/>
    </row>
    <row r="111" spans="1:19">
      <c r="A111" s="507" t="s">
        <v>149</v>
      </c>
      <c r="B111" s="510" t="s">
        <v>143</v>
      </c>
      <c r="C111" s="5" t="s">
        <v>8</v>
      </c>
      <c r="D111" s="251">
        <v>0.55162062872687523</v>
      </c>
      <c r="E111" s="251">
        <v>0.55772709213599736</v>
      </c>
      <c r="F111" s="251">
        <v>0.55772493208671081</v>
      </c>
      <c r="G111" s="251">
        <v>0.54700816109094441</v>
      </c>
      <c r="H111" s="251">
        <v>0.56224223408362495</v>
      </c>
      <c r="I111" s="251">
        <v>0.55754678125167634</v>
      </c>
      <c r="J111" s="251">
        <v>0.55133657303023631</v>
      </c>
      <c r="K111" s="359"/>
      <c r="L111" s="49">
        <f t="shared" ref="L111:L121" si="40">(H111-E111)</f>
        <v>4.5151419476275878E-3</v>
      </c>
      <c r="M111" s="213">
        <f t="shared" ref="M111:M121" si="41">(I111-F111)</f>
        <v>-1.7815083503447404E-4</v>
      </c>
      <c r="N111" s="287">
        <f t="shared" ref="N111:N121" si="42">(J111-G111)</f>
        <v>4.3284119392918985E-3</v>
      </c>
      <c r="O111" s="359"/>
      <c r="P111" s="214" t="s">
        <v>150</v>
      </c>
      <c r="Q111" s="312">
        <f t="shared" ref="Q111:Q121" si="43">(L111-L124)*100</f>
        <v>0.13084071806375164</v>
      </c>
      <c r="R111" s="312">
        <f t="shared" ref="R111:R121" si="44">(M111-M124)*100</f>
        <v>-0.72264859355205546</v>
      </c>
      <c r="S111" s="222">
        <f t="shared" ref="S111:S121" si="45">(N111-N124)*100</f>
        <v>-0.20462509549652452</v>
      </c>
    </row>
    <row r="112" spans="1:19">
      <c r="A112" s="508"/>
      <c r="B112" s="511"/>
      <c r="C112" s="5" t="s">
        <v>9</v>
      </c>
      <c r="D112" s="251">
        <v>0.95755222977389698</v>
      </c>
      <c r="E112" s="251">
        <v>0.95475009370783781</v>
      </c>
      <c r="F112" s="251">
        <v>0.95242251339173689</v>
      </c>
      <c r="G112" s="251">
        <v>0.95030824406830683</v>
      </c>
      <c r="H112" s="251">
        <v>0.96235979270462457</v>
      </c>
      <c r="I112" s="251">
        <v>0.96062246500214121</v>
      </c>
      <c r="J112" s="251">
        <v>0.96336525496372372</v>
      </c>
      <c r="K112" s="359"/>
      <c r="L112" s="49">
        <f t="shared" si="40"/>
        <v>7.6096989967867623E-3</v>
      </c>
      <c r="M112" s="213">
        <f t="shared" si="41"/>
        <v>8.1999516104043213E-3</v>
      </c>
      <c r="N112" s="251">
        <f t="shared" si="42"/>
        <v>1.3057010895416887E-2</v>
      </c>
      <c r="O112" s="359"/>
      <c r="P112" s="359"/>
      <c r="Q112" s="312">
        <f t="shared" si="43"/>
        <v>-0.46454048552557747</v>
      </c>
      <c r="R112" s="312">
        <f t="shared" si="44"/>
        <v>-1.2714589810886689</v>
      </c>
      <c r="S112" s="312">
        <f t="shared" si="45"/>
        <v>-1.3784393385799953</v>
      </c>
    </row>
    <row r="113" spans="1:19">
      <c r="A113" s="508"/>
      <c r="B113" s="511"/>
      <c r="C113" s="150" t="s">
        <v>10</v>
      </c>
      <c r="D113" s="251">
        <v>0.57899962035469721</v>
      </c>
      <c r="E113" s="251">
        <v>0.58506373664982481</v>
      </c>
      <c r="F113" s="251">
        <v>0.58656126015062748</v>
      </c>
      <c r="G113" s="251">
        <v>0.57567238398517107</v>
      </c>
      <c r="H113" s="251">
        <v>0.73686121546013328</v>
      </c>
      <c r="I113" s="251">
        <v>0.77329470392861588</v>
      </c>
      <c r="J113" s="251">
        <v>0.76513755507986481</v>
      </c>
      <c r="K113" s="359"/>
      <c r="L113" s="49">
        <f t="shared" si="40"/>
        <v>0.15179747881030847</v>
      </c>
      <c r="M113" s="213">
        <f t="shared" si="41"/>
        <v>0.18673344377798839</v>
      </c>
      <c r="N113" s="251">
        <f t="shared" si="42"/>
        <v>0.18946517109469374</v>
      </c>
      <c r="O113" s="359"/>
      <c r="P113" s="359"/>
      <c r="Q113" s="312">
        <f t="shared" si="43"/>
        <v>2.7152289411881414</v>
      </c>
      <c r="R113" s="312">
        <f t="shared" si="44"/>
        <v>1.9794049433129568</v>
      </c>
      <c r="S113" s="312">
        <f t="shared" si="45"/>
        <v>2.5929262029395161</v>
      </c>
    </row>
    <row r="114" spans="1:19">
      <c r="A114" s="508"/>
      <c r="B114" s="511"/>
      <c r="C114" s="150" t="s">
        <v>11</v>
      </c>
      <c r="D114" s="251">
        <v>0.95755222977389698</v>
      </c>
      <c r="E114" s="251">
        <v>0.95475009370783781</v>
      </c>
      <c r="F114" s="251">
        <v>0.95242251339173689</v>
      </c>
      <c r="G114" s="251">
        <v>0.95030824406830683</v>
      </c>
      <c r="H114" s="251">
        <v>0.96268662814093964</v>
      </c>
      <c r="I114" s="251">
        <v>0.96063928543178045</v>
      </c>
      <c r="J114" s="251">
        <v>0.96336525496372372</v>
      </c>
      <c r="K114" s="359"/>
      <c r="L114" s="49">
        <f t="shared" si="40"/>
        <v>7.9365344331018273E-3</v>
      </c>
      <c r="M114" s="213">
        <f t="shared" si="41"/>
        <v>8.2167720400435629E-3</v>
      </c>
      <c r="N114" s="251">
        <f t="shared" si="42"/>
        <v>1.3057010895416887E-2</v>
      </c>
      <c r="O114" s="359"/>
      <c r="P114" s="359"/>
      <c r="Q114" s="312">
        <f t="shared" si="43"/>
        <v>-0.46125723057625079</v>
      </c>
      <c r="R114" s="312">
        <f t="shared" si="44"/>
        <v>-1.2703592060291147</v>
      </c>
      <c r="S114" s="312">
        <f t="shared" si="45"/>
        <v>-1.3784393385799953</v>
      </c>
    </row>
    <row r="115" spans="1:19">
      <c r="A115" s="508"/>
      <c r="B115" s="511"/>
      <c r="C115" s="5" t="s">
        <v>12</v>
      </c>
      <c r="D115" s="251">
        <v>0.44670836104553752</v>
      </c>
      <c r="E115" s="251">
        <v>0.43962866162738079</v>
      </c>
      <c r="F115" s="251">
        <v>0.4438901677558249</v>
      </c>
      <c r="G115" s="251">
        <v>0.42994037116031658</v>
      </c>
      <c r="H115" s="251">
        <v>0.46431825192066889</v>
      </c>
      <c r="I115" s="251">
        <v>0.47789568242301472</v>
      </c>
      <c r="J115" s="251">
        <v>0.47373199456846382</v>
      </c>
      <c r="K115" s="359"/>
      <c r="L115" s="49">
        <f t="shared" si="40"/>
        <v>2.46895902932881E-2</v>
      </c>
      <c r="M115" s="213">
        <f t="shared" si="41"/>
        <v>3.4005514667189818E-2</v>
      </c>
      <c r="N115" s="251">
        <f t="shared" si="42"/>
        <v>4.379162340814724E-2</v>
      </c>
      <c r="O115" s="359"/>
      <c r="P115" s="359"/>
      <c r="Q115" s="312">
        <f t="shared" si="43"/>
        <v>0.34893529097979603</v>
      </c>
      <c r="R115" s="222">
        <f t="shared" si="44"/>
        <v>-0.83069875879801525</v>
      </c>
      <c r="S115" s="222">
        <f t="shared" si="45"/>
        <v>-0.48710843731884501</v>
      </c>
    </row>
    <row r="116" spans="1:19">
      <c r="A116" s="509"/>
      <c r="B116" s="511"/>
      <c r="C116" s="5" t="s">
        <v>13</v>
      </c>
      <c r="D116" s="251">
        <v>0.98835659255495578</v>
      </c>
      <c r="E116" s="251">
        <v>0.98877650757271673</v>
      </c>
      <c r="F116" s="251">
        <v>0.98938979864209786</v>
      </c>
      <c r="G116" s="251">
        <v>0.98879746196210772</v>
      </c>
      <c r="H116" s="251">
        <v>0.9896704681713353</v>
      </c>
      <c r="I116" s="251">
        <v>0.99013277228866037</v>
      </c>
      <c r="J116" s="251">
        <v>0.99056532024356347</v>
      </c>
      <c r="K116" s="359"/>
      <c r="L116" s="49">
        <f t="shared" si="40"/>
        <v>8.9396059861857058E-4</v>
      </c>
      <c r="M116" s="213">
        <f t="shared" si="41"/>
        <v>7.4297364656250586E-4</v>
      </c>
      <c r="N116" s="251">
        <f t="shared" si="42"/>
        <v>1.7678582814557586E-3</v>
      </c>
      <c r="O116" s="359"/>
      <c r="P116" s="359"/>
      <c r="Q116" s="312">
        <f t="shared" si="43"/>
        <v>-1.1748828962243607E-2</v>
      </c>
      <c r="R116" s="222">
        <f t="shared" si="44"/>
        <v>-8.3772689060990224E-2</v>
      </c>
      <c r="S116" s="222">
        <f t="shared" si="45"/>
        <v>-1.1797956607884075E-3</v>
      </c>
    </row>
    <row r="117" spans="1:19">
      <c r="A117" s="507" t="s">
        <v>151</v>
      </c>
      <c r="B117" s="511"/>
      <c r="C117" s="5" t="s">
        <v>8</v>
      </c>
      <c r="D117" s="251">
        <v>0.64674023035030914</v>
      </c>
      <c r="E117" s="251">
        <v>0.6603499665321616</v>
      </c>
      <c r="F117" s="251">
        <v>0.65645647463813561</v>
      </c>
      <c r="G117" s="251">
        <v>0.64210305100011256</v>
      </c>
      <c r="H117" s="251">
        <v>0.65909915371490313</v>
      </c>
      <c r="I117" s="251">
        <v>0.64355428468130915</v>
      </c>
      <c r="J117" s="251">
        <v>0.63717699637766245</v>
      </c>
      <c r="K117" s="359"/>
      <c r="L117" s="49">
        <f t="shared" si="40"/>
        <v>-1.2508128172584732E-3</v>
      </c>
      <c r="M117" s="213">
        <f t="shared" si="41"/>
        <v>-1.290218995682646E-2</v>
      </c>
      <c r="N117" s="251">
        <f t="shared" si="42"/>
        <v>-4.9260546224501045E-3</v>
      </c>
      <c r="O117" s="359"/>
      <c r="P117" s="214" t="s">
        <v>152</v>
      </c>
      <c r="Q117" s="312">
        <f t="shared" si="43"/>
        <v>-2.4258452333381086E-2</v>
      </c>
      <c r="R117" s="222">
        <f t="shared" si="44"/>
        <v>-1.0599907426153909</v>
      </c>
      <c r="S117" s="222">
        <f t="shared" si="45"/>
        <v>-0.26347128293474631</v>
      </c>
    </row>
    <row r="118" spans="1:19">
      <c r="A118" s="508"/>
      <c r="B118" s="511"/>
      <c r="C118" s="5" t="s">
        <v>9</v>
      </c>
      <c r="D118" s="251">
        <v>0.99791061046511631</v>
      </c>
      <c r="E118" s="251">
        <v>0.99410385735597073</v>
      </c>
      <c r="F118" s="251">
        <v>0.99033701937007257</v>
      </c>
      <c r="G118" s="251">
        <v>0.99081322475325551</v>
      </c>
      <c r="H118" s="251">
        <v>0.99357292669929254</v>
      </c>
      <c r="I118" s="251">
        <v>0.98281115192151258</v>
      </c>
      <c r="J118" s="251">
        <v>0.98477408427450064</v>
      </c>
      <c r="K118" s="359"/>
      <c r="L118" s="49">
        <f t="shared" si="40"/>
        <v>-5.3093065667819683E-4</v>
      </c>
      <c r="M118" s="213">
        <f t="shared" si="41"/>
        <v>-7.5258674485599864E-3</v>
      </c>
      <c r="N118" s="251">
        <f t="shared" si="42"/>
        <v>-6.0391404787548675E-3</v>
      </c>
      <c r="O118" s="359"/>
      <c r="P118" s="359"/>
      <c r="Q118" s="312">
        <f t="shared" si="43"/>
        <v>-2.0233804559610657E-2</v>
      </c>
      <c r="R118" s="222">
        <f t="shared" si="44"/>
        <v>-0.65068024422727522</v>
      </c>
      <c r="S118" s="222">
        <f t="shared" si="45"/>
        <v>-0.47192892369669615</v>
      </c>
    </row>
    <row r="119" spans="1:19">
      <c r="A119" s="508"/>
      <c r="B119" s="511"/>
      <c r="C119" s="150" t="s">
        <v>10</v>
      </c>
      <c r="D119" s="251">
        <v>0.69082554459817491</v>
      </c>
      <c r="E119" s="251">
        <v>0.7021112252830759</v>
      </c>
      <c r="F119" s="251">
        <v>0.69983869084429995</v>
      </c>
      <c r="G119" s="251">
        <v>0.68466919353022859</v>
      </c>
      <c r="H119" s="251">
        <v>0.98253259737656506</v>
      </c>
      <c r="I119" s="251">
        <v>0.96651629814052475</v>
      </c>
      <c r="J119" s="251">
        <v>0.95564166613292345</v>
      </c>
      <c r="K119" s="359"/>
      <c r="L119" s="49">
        <f t="shared" si="40"/>
        <v>0.28042137209348916</v>
      </c>
      <c r="M119" s="213">
        <f t="shared" si="41"/>
        <v>0.26667760729622481</v>
      </c>
      <c r="N119" s="251">
        <f t="shared" si="42"/>
        <v>0.27097247260269486</v>
      </c>
      <c r="O119" s="359"/>
      <c r="P119" s="359"/>
      <c r="Q119" s="312">
        <f t="shared" si="43"/>
        <v>-1.0240794549312482</v>
      </c>
      <c r="R119" s="222">
        <f t="shared" si="44"/>
        <v>-0.64303429498869802</v>
      </c>
      <c r="S119" s="222">
        <f t="shared" si="45"/>
        <v>1.0866083304575169</v>
      </c>
    </row>
    <row r="120" spans="1:19">
      <c r="A120" s="508"/>
      <c r="B120" s="511"/>
      <c r="C120" s="150" t="s">
        <v>11</v>
      </c>
      <c r="D120" s="251">
        <v>0.99791061046511631</v>
      </c>
      <c r="E120" s="251">
        <v>0.99410385735597073</v>
      </c>
      <c r="F120" s="251">
        <v>0.99033701937007257</v>
      </c>
      <c r="G120" s="251">
        <v>0.99081322475325551</v>
      </c>
      <c r="H120" s="251">
        <v>0.99419871810541649</v>
      </c>
      <c r="I120" s="251">
        <v>0.98284155430111497</v>
      </c>
      <c r="J120" s="251">
        <v>0.98477408427450064</v>
      </c>
      <c r="K120" s="359"/>
      <c r="L120" s="49">
        <f t="shared" si="40"/>
        <v>9.4860749445757619E-5</v>
      </c>
      <c r="M120" s="213">
        <f t="shared" si="41"/>
        <v>-7.4954650689575963E-3</v>
      </c>
      <c r="N120" s="251">
        <f t="shared" si="42"/>
        <v>-6.0391404787548675E-3</v>
      </c>
      <c r="O120" s="359"/>
      <c r="P120" s="359"/>
      <c r="Q120" s="312">
        <f t="shared" si="43"/>
        <v>-2.8601866717947733E-2</v>
      </c>
      <c r="R120" s="222">
        <f t="shared" si="44"/>
        <v>-0.64890697975243938</v>
      </c>
      <c r="S120" s="222">
        <f t="shared" si="45"/>
        <v>-0.47192892369669615</v>
      </c>
    </row>
    <row r="121" spans="1:19">
      <c r="A121" s="508"/>
      <c r="B121" s="511"/>
      <c r="C121" s="5" t="s">
        <v>12</v>
      </c>
      <c r="D121" s="251">
        <v>0.61519930269355316</v>
      </c>
      <c r="E121" s="251">
        <v>0.61623645402999794</v>
      </c>
      <c r="F121" s="251">
        <v>0.61750528687514328</v>
      </c>
      <c r="G121" s="251">
        <v>0.59709160505873082</v>
      </c>
      <c r="H121" s="251">
        <v>0.64623327352462345</v>
      </c>
      <c r="I121" s="251">
        <v>0.6560365157229604</v>
      </c>
      <c r="J121" s="251">
        <v>0.65261213945643592</v>
      </c>
      <c r="K121" s="359"/>
      <c r="L121" s="49">
        <f t="shared" si="40"/>
        <v>2.9996819494625515E-2</v>
      </c>
      <c r="M121" s="213">
        <f t="shared" si="41"/>
        <v>3.8531228847817123E-2</v>
      </c>
      <c r="N121" s="251">
        <f t="shared" si="42"/>
        <v>5.5520534397705101E-2</v>
      </c>
      <c r="O121" s="359"/>
      <c r="P121" s="359"/>
      <c r="Q121" s="312">
        <f t="shared" si="43"/>
        <v>-0.16887677331562934</v>
      </c>
      <c r="R121" s="222">
        <f t="shared" si="44"/>
        <v>-2.3185443051739973</v>
      </c>
      <c r="S121" s="222">
        <f t="shared" si="45"/>
        <v>-1.7634746103942445</v>
      </c>
    </row>
    <row r="122" spans="1:19">
      <c r="A122" s="509"/>
      <c r="B122" s="507"/>
      <c r="C122" s="5" t="s">
        <v>13</v>
      </c>
      <c r="D122" s="251">
        <v>1</v>
      </c>
      <c r="E122" s="251">
        <v>1</v>
      </c>
      <c r="F122" s="251">
        <v>1</v>
      </c>
      <c r="G122" s="251">
        <v>0.99787593350095694</v>
      </c>
      <c r="H122" s="251">
        <v>1</v>
      </c>
      <c r="I122" s="251">
        <v>1</v>
      </c>
      <c r="J122" s="251">
        <v>1</v>
      </c>
      <c r="K122" s="359"/>
      <c r="L122" s="49">
        <f>(H122-E122)</f>
        <v>0</v>
      </c>
      <c r="M122" s="213">
        <f>(I122-F122)</f>
        <v>0</v>
      </c>
      <c r="N122" s="251">
        <f>(J122-G122)</f>
        <v>2.1240664990430647E-3</v>
      </c>
      <c r="O122" s="359"/>
      <c r="P122" s="359"/>
      <c r="Q122" s="312">
        <f t="shared" ref="Q122" si="46">(L122-L135)*100</f>
        <v>0</v>
      </c>
      <c r="R122" s="222">
        <f t="shared" ref="R122" si="47">(M122-M135)*100</f>
        <v>0</v>
      </c>
      <c r="S122" s="222">
        <f t="shared" ref="S122" si="48">(N122-N135)*100</f>
        <v>0.15121483931297419</v>
      </c>
    </row>
    <row r="123" spans="1:19">
      <c r="A123" s="4"/>
      <c r="B123" s="487" t="s">
        <v>162</v>
      </c>
      <c r="C123" s="488"/>
      <c r="D123" s="359"/>
      <c r="E123" s="359"/>
      <c r="F123" s="359"/>
      <c r="G123" s="359"/>
      <c r="H123" s="359"/>
      <c r="I123" s="359"/>
      <c r="J123" s="359"/>
      <c r="K123" s="359"/>
      <c r="L123" s="359"/>
      <c r="M123" s="359"/>
      <c r="N123" s="359"/>
      <c r="O123" s="359"/>
      <c r="P123" s="359"/>
      <c r="Q123" s="359"/>
      <c r="R123" s="359"/>
      <c r="S123" s="359"/>
    </row>
    <row r="124" spans="1:19" ht="14.65" customHeight="1">
      <c r="A124" s="507" t="s">
        <v>153</v>
      </c>
      <c r="B124" s="510" t="s">
        <v>143</v>
      </c>
      <c r="C124" s="5" t="s">
        <v>8</v>
      </c>
      <c r="D124" s="251">
        <v>0.46195106129855412</v>
      </c>
      <c r="E124" s="251">
        <v>0.47658619442947481</v>
      </c>
      <c r="F124" s="251">
        <v>0.48749727030528911</v>
      </c>
      <c r="G124" s="251">
        <v>0.49326784648561578</v>
      </c>
      <c r="H124" s="251">
        <v>0.47979292919646488</v>
      </c>
      <c r="I124" s="251">
        <v>0.49454560540577519</v>
      </c>
      <c r="J124" s="251">
        <v>0.49964250937987292</v>
      </c>
      <c r="K124" s="359"/>
      <c r="L124" s="49">
        <f t="shared" ref="L124:L135" si="49">(H124-E124)</f>
        <v>3.2067347669900714E-3</v>
      </c>
      <c r="M124" s="213">
        <f t="shared" ref="M124:M135" si="50">(I124-F124)</f>
        <v>7.0483351004860806E-3</v>
      </c>
      <c r="N124" s="287">
        <f t="shared" ref="N124:N135" si="51">(J124-G124)</f>
        <v>6.3746628942571437E-3</v>
      </c>
      <c r="O124" s="359"/>
      <c r="P124" s="359"/>
      <c r="Q124" s="359"/>
      <c r="R124" s="359"/>
      <c r="S124" s="359"/>
    </row>
    <row r="125" spans="1:19">
      <c r="A125" s="508"/>
      <c r="B125" s="511"/>
      <c r="C125" s="5" t="s">
        <v>9</v>
      </c>
      <c r="D125" s="251">
        <v>0.9085201799646333</v>
      </c>
      <c r="E125" s="251">
        <v>0.9133546622280736</v>
      </c>
      <c r="F125" s="251">
        <v>0.91592904249588725</v>
      </c>
      <c r="G125" s="251">
        <v>0.91529788768307496</v>
      </c>
      <c r="H125" s="251">
        <v>0.92560976608011614</v>
      </c>
      <c r="I125" s="251">
        <v>0.93684358391717826</v>
      </c>
      <c r="J125" s="251">
        <v>0.9421392919642918</v>
      </c>
      <c r="K125" s="359"/>
      <c r="L125" s="49">
        <f t="shared" si="49"/>
        <v>1.2255103852042537E-2</v>
      </c>
      <c r="M125" s="213">
        <f t="shared" si="50"/>
        <v>2.0914541421291011E-2</v>
      </c>
      <c r="N125" s="251">
        <f t="shared" si="51"/>
        <v>2.6841404281216841E-2</v>
      </c>
      <c r="O125" s="359"/>
      <c r="P125" s="359"/>
      <c r="Q125" s="359"/>
      <c r="R125" s="359"/>
      <c r="S125" s="359"/>
    </row>
    <row r="126" spans="1:19">
      <c r="A126" s="508"/>
      <c r="B126" s="511"/>
      <c r="C126" s="150" t="s">
        <v>10</v>
      </c>
      <c r="D126" s="251">
        <v>0.49948508871072689</v>
      </c>
      <c r="E126" s="251">
        <v>0.51529540973989207</v>
      </c>
      <c r="F126" s="251">
        <v>0.52925577603400831</v>
      </c>
      <c r="G126" s="251">
        <v>0.53849821256322439</v>
      </c>
      <c r="H126" s="251">
        <v>0.63994059913831913</v>
      </c>
      <c r="I126" s="251">
        <v>0.69619517037886713</v>
      </c>
      <c r="J126" s="251">
        <v>0.70203412162852297</v>
      </c>
      <c r="K126" s="359"/>
      <c r="L126" s="49">
        <f t="shared" si="49"/>
        <v>0.12464518939842706</v>
      </c>
      <c r="M126" s="213">
        <f t="shared" si="50"/>
        <v>0.16693939434485883</v>
      </c>
      <c r="N126" s="251">
        <f t="shared" si="51"/>
        <v>0.16353590906529858</v>
      </c>
      <c r="O126" s="359"/>
      <c r="P126" s="359"/>
      <c r="Q126" s="359"/>
      <c r="R126" s="359"/>
      <c r="S126" s="359"/>
    </row>
    <row r="127" spans="1:19">
      <c r="A127" s="508"/>
      <c r="B127" s="511"/>
      <c r="C127" s="150" t="s">
        <v>11</v>
      </c>
      <c r="D127" s="251">
        <v>0.9085201799646333</v>
      </c>
      <c r="E127" s="251">
        <v>0.9133546622280736</v>
      </c>
      <c r="F127" s="251">
        <v>0.91592904249588725</v>
      </c>
      <c r="G127" s="251">
        <v>0.91529788768307496</v>
      </c>
      <c r="H127" s="251">
        <v>0.92590376896693793</v>
      </c>
      <c r="I127" s="251">
        <v>0.93684940659622196</v>
      </c>
      <c r="J127" s="251">
        <v>0.9421392919642918</v>
      </c>
      <c r="K127" s="359"/>
      <c r="L127" s="49">
        <f t="shared" si="49"/>
        <v>1.2549106738864335E-2</v>
      </c>
      <c r="M127" s="213">
        <f t="shared" si="50"/>
        <v>2.092036410033471E-2</v>
      </c>
      <c r="N127" s="251">
        <f t="shared" si="51"/>
        <v>2.6841404281216841E-2</v>
      </c>
      <c r="O127" s="359"/>
      <c r="P127" s="359"/>
      <c r="Q127" s="359"/>
      <c r="R127" s="359"/>
      <c r="S127" s="359"/>
    </row>
    <row r="128" spans="1:19">
      <c r="A128" s="508"/>
      <c r="B128" s="511"/>
      <c r="C128" s="5" t="s">
        <v>12</v>
      </c>
      <c r="D128" s="251">
        <v>0.32485584795881772</v>
      </c>
      <c r="E128" s="251">
        <v>0.33441910596003899</v>
      </c>
      <c r="F128" s="251">
        <v>0.35598276288779862</v>
      </c>
      <c r="G128" s="251">
        <v>0.3655233711934493</v>
      </c>
      <c r="H128" s="251">
        <v>0.35561934334352913</v>
      </c>
      <c r="I128" s="251">
        <v>0.39829526514296859</v>
      </c>
      <c r="J128" s="251">
        <v>0.41418607897478499</v>
      </c>
      <c r="K128" s="359"/>
      <c r="L128" s="49">
        <f t="shared" si="49"/>
        <v>2.1200237383490139E-2</v>
      </c>
      <c r="M128" s="213">
        <f t="shared" si="50"/>
        <v>4.231250225516997E-2</v>
      </c>
      <c r="N128" s="251">
        <f t="shared" si="51"/>
        <v>4.866270778133569E-2</v>
      </c>
      <c r="O128" s="359"/>
      <c r="P128" s="359"/>
      <c r="Q128" s="359"/>
      <c r="R128" s="359"/>
      <c r="S128" s="359"/>
    </row>
    <row r="129" spans="1:19">
      <c r="A129" s="509"/>
      <c r="B129" s="511"/>
      <c r="C129" s="5" t="s">
        <v>13</v>
      </c>
      <c r="D129" s="251">
        <v>0.98235627897820987</v>
      </c>
      <c r="E129" s="251">
        <v>0.98200596208550206</v>
      </c>
      <c r="F129" s="251">
        <v>0.98237636302755904</v>
      </c>
      <c r="G129" s="251">
        <v>0.98200814413917403</v>
      </c>
      <c r="H129" s="251">
        <v>0.98301741097374307</v>
      </c>
      <c r="I129" s="251">
        <v>0.98395706356473145</v>
      </c>
      <c r="J129" s="251">
        <v>0.98378780037723768</v>
      </c>
      <c r="K129" s="359"/>
      <c r="L129" s="49">
        <f t="shared" si="49"/>
        <v>1.0114488882410066E-3</v>
      </c>
      <c r="M129" s="213">
        <f t="shared" si="50"/>
        <v>1.5807005371724081E-3</v>
      </c>
      <c r="N129" s="251">
        <f t="shared" si="51"/>
        <v>1.7796562380636427E-3</v>
      </c>
      <c r="O129" s="359"/>
      <c r="P129" s="359"/>
      <c r="Q129" s="359"/>
      <c r="R129" s="359"/>
      <c r="S129" s="359"/>
    </row>
    <row r="130" spans="1:19" ht="14.65" customHeight="1">
      <c r="A130" s="507" t="s">
        <v>154</v>
      </c>
      <c r="B130" s="511"/>
      <c r="C130" s="5" t="s">
        <v>8</v>
      </c>
      <c r="D130" s="251">
        <v>0.62571551858423557</v>
      </c>
      <c r="E130" s="251">
        <v>0.63954622208480982</v>
      </c>
      <c r="F130" s="251">
        <v>0.6451424569929215</v>
      </c>
      <c r="G130" s="251">
        <v>0.65234854550306909</v>
      </c>
      <c r="H130" s="251">
        <v>0.63853799379088516</v>
      </c>
      <c r="I130" s="251">
        <v>0.64284017446224895</v>
      </c>
      <c r="J130" s="251">
        <v>0.65005720370996645</v>
      </c>
      <c r="K130" s="359"/>
      <c r="L130" s="49">
        <f t="shared" si="49"/>
        <v>-1.0082282939246623E-3</v>
      </c>
      <c r="M130" s="213">
        <f t="shared" si="50"/>
        <v>-2.3022825306725503E-3</v>
      </c>
      <c r="N130" s="251">
        <f t="shared" si="51"/>
        <v>-2.2913417931026414E-3</v>
      </c>
      <c r="O130" s="359"/>
      <c r="P130" s="359"/>
      <c r="Q130" s="359"/>
      <c r="R130" s="359"/>
      <c r="S130" s="359"/>
    </row>
    <row r="131" spans="1:19">
      <c r="A131" s="508"/>
      <c r="B131" s="511"/>
      <c r="C131" s="5" t="s">
        <v>9</v>
      </c>
      <c r="D131" s="251">
        <v>0.99721043990181035</v>
      </c>
      <c r="E131" s="251">
        <v>0.99806848798453429</v>
      </c>
      <c r="F131" s="251">
        <v>0.99619664717743639</v>
      </c>
      <c r="G131" s="251">
        <v>0.99689465858401005</v>
      </c>
      <c r="H131" s="251">
        <v>0.9977398953734522</v>
      </c>
      <c r="I131" s="251">
        <v>0.99517758217114916</v>
      </c>
      <c r="J131" s="251">
        <v>0.99557480734222215</v>
      </c>
      <c r="K131" s="359"/>
      <c r="L131" s="49">
        <f t="shared" si="49"/>
        <v>-3.2859261108209026E-4</v>
      </c>
      <c r="M131" s="213">
        <f t="shared" si="50"/>
        <v>-1.0190650062872342E-3</v>
      </c>
      <c r="N131" s="251">
        <f t="shared" si="51"/>
        <v>-1.319851241787906E-3</v>
      </c>
      <c r="O131" s="359"/>
      <c r="P131" s="359"/>
      <c r="Q131" s="359"/>
      <c r="R131" s="359"/>
      <c r="S131" s="359"/>
    </row>
    <row r="132" spans="1:19">
      <c r="A132" s="508"/>
      <c r="B132" s="511"/>
      <c r="C132" s="150" t="s">
        <v>10</v>
      </c>
      <c r="D132" s="251">
        <v>0.68431597587155846</v>
      </c>
      <c r="E132" s="251">
        <v>0.69911221796017387</v>
      </c>
      <c r="F132" s="251">
        <v>0.70881233811705346</v>
      </c>
      <c r="G132" s="251">
        <v>0.71963666171032059</v>
      </c>
      <c r="H132" s="251">
        <v>0.98977438460297551</v>
      </c>
      <c r="I132" s="251">
        <v>0.98192028836316525</v>
      </c>
      <c r="J132" s="251">
        <v>0.97974305100844028</v>
      </c>
      <c r="K132" s="359"/>
      <c r="L132" s="49">
        <f t="shared" si="49"/>
        <v>0.29066216664280164</v>
      </c>
      <c r="M132" s="213">
        <f t="shared" si="50"/>
        <v>0.27310795024611179</v>
      </c>
      <c r="N132" s="251">
        <f t="shared" si="51"/>
        <v>0.26010638929811969</v>
      </c>
      <c r="O132" s="359"/>
      <c r="P132" s="359"/>
      <c r="Q132" s="359"/>
      <c r="R132" s="359"/>
      <c r="S132" s="359"/>
    </row>
    <row r="133" spans="1:19">
      <c r="A133" s="508"/>
      <c r="B133" s="511"/>
      <c r="C133" s="150" t="s">
        <v>11</v>
      </c>
      <c r="D133" s="251">
        <v>0.99721043990181035</v>
      </c>
      <c r="E133" s="251">
        <v>0.99806848798453429</v>
      </c>
      <c r="F133" s="251">
        <v>0.99619664717743639</v>
      </c>
      <c r="G133" s="251">
        <v>0.99689465858401005</v>
      </c>
      <c r="H133" s="251">
        <v>0.99844936740115953</v>
      </c>
      <c r="I133" s="251">
        <v>0.99519025190600319</v>
      </c>
      <c r="J133" s="251">
        <v>0.99557480734222215</v>
      </c>
      <c r="K133" s="359"/>
      <c r="L133" s="49">
        <f t="shared" si="49"/>
        <v>3.8087941662523495E-4</v>
      </c>
      <c r="M133" s="213">
        <f t="shared" si="50"/>
        <v>-1.0063952714332025E-3</v>
      </c>
      <c r="N133" s="251">
        <f t="shared" si="51"/>
        <v>-1.319851241787906E-3</v>
      </c>
      <c r="O133" s="359"/>
      <c r="P133" s="359"/>
      <c r="Q133" s="359"/>
      <c r="R133" s="359"/>
      <c r="S133" s="359"/>
    </row>
    <row r="134" spans="1:19">
      <c r="A134" s="508"/>
      <c r="B134" s="511"/>
      <c r="C134" s="5" t="s">
        <v>12</v>
      </c>
      <c r="D134" s="251">
        <v>0.56164874102748197</v>
      </c>
      <c r="E134" s="251">
        <v>0.56451453985166256</v>
      </c>
      <c r="F134" s="251">
        <v>0.58316332987420583</v>
      </c>
      <c r="G134" s="251">
        <v>0.58600594761523506</v>
      </c>
      <c r="H134" s="251">
        <v>0.59620012707944436</v>
      </c>
      <c r="I134" s="251">
        <v>0.64488000177376292</v>
      </c>
      <c r="J134" s="251">
        <v>0.6591612281168826</v>
      </c>
      <c r="K134" s="359"/>
      <c r="L134" s="49">
        <f t="shared" si="49"/>
        <v>3.1685587227781808E-2</v>
      </c>
      <c r="M134" s="213">
        <f t="shared" si="50"/>
        <v>6.1716671899557096E-2</v>
      </c>
      <c r="N134" s="251">
        <f t="shared" si="51"/>
        <v>7.3155280501647546E-2</v>
      </c>
      <c r="O134" s="359"/>
      <c r="P134" s="359"/>
      <c r="Q134" s="359"/>
      <c r="R134" s="359"/>
      <c r="S134" s="359"/>
    </row>
    <row r="135" spans="1:19">
      <c r="A135" s="509"/>
      <c r="B135" s="507"/>
      <c r="C135" s="5" t="s">
        <v>13</v>
      </c>
      <c r="D135" s="251">
        <v>1</v>
      </c>
      <c r="E135" s="251">
        <v>1</v>
      </c>
      <c r="F135" s="251">
        <v>1</v>
      </c>
      <c r="G135" s="251">
        <v>0.99938808189408668</v>
      </c>
      <c r="H135" s="251">
        <v>1</v>
      </c>
      <c r="I135" s="251">
        <v>1</v>
      </c>
      <c r="J135" s="251">
        <v>1</v>
      </c>
      <c r="K135" s="359"/>
      <c r="L135" s="49">
        <f t="shared" si="49"/>
        <v>0</v>
      </c>
      <c r="M135" s="213">
        <f t="shared" si="50"/>
        <v>0</v>
      </c>
      <c r="N135" s="251">
        <f t="shared" si="51"/>
        <v>6.1191810591332274E-4</v>
      </c>
      <c r="O135" s="359"/>
      <c r="P135" s="359"/>
      <c r="Q135" s="359"/>
      <c r="R135" s="359"/>
      <c r="S135" s="359"/>
    </row>
    <row r="136" spans="1:19">
      <c r="A136" s="4"/>
      <c r="B136" s="487" t="s">
        <v>162</v>
      </c>
      <c r="C136" s="488"/>
      <c r="D136" s="359"/>
      <c r="E136" s="359"/>
      <c r="F136" s="359"/>
      <c r="G136" s="359"/>
      <c r="H136" s="359"/>
      <c r="I136" s="359"/>
      <c r="J136" s="359"/>
      <c r="K136" s="359"/>
      <c r="L136" s="49"/>
      <c r="M136" s="213"/>
      <c r="N136" s="251"/>
      <c r="O136" s="359"/>
      <c r="P136" s="359"/>
      <c r="Q136" s="359"/>
      <c r="R136" s="359"/>
      <c r="S136" s="359"/>
    </row>
    <row r="137" spans="1:19">
      <c r="A137" s="507" t="s">
        <v>155</v>
      </c>
      <c r="B137" s="510" t="s">
        <v>143</v>
      </c>
      <c r="C137" s="5" t="s">
        <v>8</v>
      </c>
      <c r="D137" s="251">
        <v>0.48220872551513611</v>
      </c>
      <c r="E137" s="251">
        <v>0.50361235083721079</v>
      </c>
      <c r="F137" s="251">
        <v>0.52129902994517086</v>
      </c>
      <c r="G137" s="251">
        <v>0.53151093903064794</v>
      </c>
      <c r="H137" s="251">
        <v>0.50602586015889595</v>
      </c>
      <c r="I137" s="251">
        <v>0.52536904259805994</v>
      </c>
      <c r="J137" s="251">
        <v>0.53777514177756747</v>
      </c>
      <c r="K137" s="359"/>
      <c r="L137" s="49">
        <f t="shared" ref="L137:L148" si="52">(H137-E137)</f>
        <v>2.4135093216851589E-3</v>
      </c>
      <c r="M137" s="213">
        <f t="shared" ref="M137:M148" si="53">(I137-F137)</f>
        <v>4.0700126528890879E-3</v>
      </c>
      <c r="N137" s="251">
        <f t="shared" ref="N137:N148" si="54">(J137-G137)</f>
        <v>6.2642027469195227E-3</v>
      </c>
      <c r="O137" s="359"/>
      <c r="P137" s="214" t="s">
        <v>156</v>
      </c>
      <c r="Q137" s="312">
        <f t="shared" ref="Q137:Q148" si="55">(L137-L150)*100</f>
        <v>-0.16632391174900008</v>
      </c>
      <c r="R137" s="312">
        <f t="shared" ref="R137:R148" si="56">(M137-M150)*100</f>
        <v>0.16478736070184574</v>
      </c>
      <c r="S137" s="312">
        <f t="shared" ref="S137:S148" si="57">(N137-N150)*100</f>
        <v>0.14685533629952285</v>
      </c>
    </row>
    <row r="138" spans="1:19">
      <c r="A138" s="508"/>
      <c r="B138" s="511"/>
      <c r="C138" s="5" t="s">
        <v>9</v>
      </c>
      <c r="D138" s="251">
        <v>0.92498198083608918</v>
      </c>
      <c r="E138" s="251">
        <v>0.92731776026334944</v>
      </c>
      <c r="F138" s="251">
        <v>0.93392292281737666</v>
      </c>
      <c r="G138" s="251">
        <v>0.9397259300230798</v>
      </c>
      <c r="H138" s="251">
        <v>0.93718545247364926</v>
      </c>
      <c r="I138" s="251">
        <v>0.95006590046393924</v>
      </c>
      <c r="J138" s="251">
        <v>0.95848966073344488</v>
      </c>
      <c r="K138" s="359"/>
      <c r="L138" s="49">
        <f t="shared" si="52"/>
        <v>9.8676922102998166E-3</v>
      </c>
      <c r="M138" s="213">
        <f t="shared" si="53"/>
        <v>1.6142977646562584E-2</v>
      </c>
      <c r="N138" s="251">
        <f t="shared" si="54"/>
        <v>1.8763730710365079E-2</v>
      </c>
      <c r="O138" s="359"/>
      <c r="P138" s="359"/>
      <c r="Q138" s="312">
        <f t="shared" si="55"/>
        <v>2.9116449383392862E-2</v>
      </c>
      <c r="R138" s="312">
        <f t="shared" si="56"/>
        <v>0.34193124996939606</v>
      </c>
      <c r="S138" s="312">
        <f t="shared" si="57"/>
        <v>0.15160739830833991</v>
      </c>
    </row>
    <row r="139" spans="1:19">
      <c r="A139" s="508"/>
      <c r="B139" s="511"/>
      <c r="C139" s="150" t="s">
        <v>10</v>
      </c>
      <c r="D139" s="251">
        <v>0.51781777325532097</v>
      </c>
      <c r="E139" s="251">
        <v>0.53448153071883009</v>
      </c>
      <c r="F139" s="251">
        <v>0.5540963728384648</v>
      </c>
      <c r="G139" s="251">
        <v>0.56368939328308643</v>
      </c>
      <c r="H139" s="251">
        <v>0.66271405058082489</v>
      </c>
      <c r="I139" s="251">
        <v>0.72279892450442851</v>
      </c>
      <c r="J139" s="251">
        <v>0.73860725892260159</v>
      </c>
      <c r="K139" s="359"/>
      <c r="L139" s="49">
        <f t="shared" si="52"/>
        <v>0.1282325198619948</v>
      </c>
      <c r="M139" s="213">
        <f t="shared" si="53"/>
        <v>0.16870255166596371</v>
      </c>
      <c r="N139" s="251">
        <f t="shared" si="54"/>
        <v>0.17491786563951517</v>
      </c>
      <c r="O139" s="359"/>
      <c r="P139" s="359"/>
      <c r="Q139" s="312">
        <f t="shared" si="55"/>
        <v>-1.2890958727902468</v>
      </c>
      <c r="R139" s="312">
        <f t="shared" si="56"/>
        <v>-1.1655550494019562</v>
      </c>
      <c r="S139" s="312">
        <f t="shared" si="57"/>
        <v>-0.71841627090449833</v>
      </c>
    </row>
    <row r="140" spans="1:19">
      <c r="A140" s="508"/>
      <c r="B140" s="511"/>
      <c r="C140" s="150" t="s">
        <v>11</v>
      </c>
      <c r="D140" s="251">
        <v>0.92498198083608918</v>
      </c>
      <c r="E140" s="251">
        <v>0.92731776026334944</v>
      </c>
      <c r="F140" s="251">
        <v>0.93392292281737666</v>
      </c>
      <c r="G140" s="251">
        <v>0.9397259300230798</v>
      </c>
      <c r="H140" s="251">
        <v>0.9375098914316462</v>
      </c>
      <c r="I140" s="251">
        <v>0.95006590046393924</v>
      </c>
      <c r="J140" s="251">
        <v>0.95848966073344488</v>
      </c>
      <c r="K140" s="359"/>
      <c r="L140" s="49">
        <f t="shared" si="52"/>
        <v>1.0192131168296759E-2</v>
      </c>
      <c r="M140" s="213">
        <f t="shared" si="53"/>
        <v>1.6142977646562584E-2</v>
      </c>
      <c r="N140" s="251">
        <f t="shared" si="54"/>
        <v>1.8763730710365079E-2</v>
      </c>
      <c r="O140" s="359"/>
      <c r="P140" s="359"/>
      <c r="Q140" s="312">
        <f t="shared" si="55"/>
        <v>3.0375379552771697E-2</v>
      </c>
      <c r="R140" s="312">
        <f t="shared" si="56"/>
        <v>0.34052248356040149</v>
      </c>
      <c r="S140" s="312">
        <f t="shared" si="57"/>
        <v>0.15160739830833991</v>
      </c>
    </row>
    <row r="141" spans="1:19">
      <c r="A141" s="508"/>
      <c r="B141" s="511"/>
      <c r="C141" s="5" t="s">
        <v>12</v>
      </c>
      <c r="D141" s="251">
        <v>0.36600101755278552</v>
      </c>
      <c r="E141" s="251">
        <v>0.3682580001899155</v>
      </c>
      <c r="F141" s="251">
        <v>0.38990404892450442</v>
      </c>
      <c r="G141" s="251">
        <v>0.40412993111598328</v>
      </c>
      <c r="H141" s="251">
        <v>0.38785094799480901</v>
      </c>
      <c r="I141" s="251">
        <v>0.42161271615352169</v>
      </c>
      <c r="J141" s="251">
        <v>0.44391650395288962</v>
      </c>
      <c r="K141" s="359"/>
      <c r="L141" s="49">
        <f t="shared" si="52"/>
        <v>1.9592947804893512E-2</v>
      </c>
      <c r="M141" s="213">
        <f t="shared" si="53"/>
        <v>3.1708667229017273E-2</v>
      </c>
      <c r="N141" s="251">
        <f t="shared" si="54"/>
        <v>3.9786572836906342E-2</v>
      </c>
      <c r="O141" s="359"/>
      <c r="P141" s="359"/>
      <c r="Q141" s="312">
        <f t="shared" si="55"/>
        <v>-0.38884799557168392</v>
      </c>
      <c r="R141" s="312">
        <f t="shared" si="56"/>
        <v>-0.61383119375189032</v>
      </c>
      <c r="S141" s="312">
        <f t="shared" si="57"/>
        <v>-0.63159233198340492</v>
      </c>
    </row>
    <row r="142" spans="1:19">
      <c r="A142" s="509"/>
      <c r="B142" s="511"/>
      <c r="C142" s="5" t="s">
        <v>13</v>
      </c>
      <c r="D142" s="251">
        <v>0.98710039854150766</v>
      </c>
      <c r="E142" s="251">
        <v>0.98575238185674041</v>
      </c>
      <c r="F142" s="251">
        <v>0.98669601433994092</v>
      </c>
      <c r="G142" s="251">
        <v>0.98695624165605977</v>
      </c>
      <c r="H142" s="251">
        <v>0.98686813534643747</v>
      </c>
      <c r="I142" s="251">
        <v>0.98773987768873894</v>
      </c>
      <c r="J142" s="251">
        <v>0.98832014963003445</v>
      </c>
      <c r="K142" s="359"/>
      <c r="L142" s="49">
        <f t="shared" si="52"/>
        <v>1.1157534896970578E-3</v>
      </c>
      <c r="M142" s="213">
        <f t="shared" si="53"/>
        <v>1.0438633487980242E-3</v>
      </c>
      <c r="N142" s="251">
        <f t="shared" si="54"/>
        <v>1.3639079739746762E-3</v>
      </c>
      <c r="O142" s="359"/>
      <c r="P142" s="359"/>
      <c r="Q142" s="312">
        <f t="shared" si="55"/>
        <v>1.8524961128374429E-2</v>
      </c>
      <c r="R142" s="312">
        <f t="shared" si="56"/>
        <v>-2.3355470818553492E-3</v>
      </c>
      <c r="S142" s="312">
        <f t="shared" si="57"/>
        <v>-4.6362161412338843E-2</v>
      </c>
    </row>
    <row r="143" spans="1:19">
      <c r="A143" s="507" t="s">
        <v>157</v>
      </c>
      <c r="B143" s="511"/>
      <c r="C143" s="5" t="s">
        <v>8</v>
      </c>
      <c r="D143" s="251">
        <v>0.63865240584083194</v>
      </c>
      <c r="E143" s="251">
        <v>0.66020945350993876</v>
      </c>
      <c r="F143" s="251">
        <v>0.66702384606919241</v>
      </c>
      <c r="G143" s="251">
        <v>0.66377420491626959</v>
      </c>
      <c r="H143" s="251">
        <v>0.65682795207170952</v>
      </c>
      <c r="I143" s="251">
        <v>0.66093879363756491</v>
      </c>
      <c r="J143" s="251">
        <v>0.65946131188644952</v>
      </c>
      <c r="K143" s="359"/>
      <c r="L143" s="49">
        <f t="shared" si="52"/>
        <v>-3.3815014382292397E-3</v>
      </c>
      <c r="M143" s="213">
        <f t="shared" si="53"/>
        <v>-6.0850524316274912E-3</v>
      </c>
      <c r="N143" s="251">
        <f t="shared" si="54"/>
        <v>-4.3128930298200752E-3</v>
      </c>
      <c r="O143" s="359"/>
      <c r="P143" s="214" t="s">
        <v>158</v>
      </c>
      <c r="Q143" s="312">
        <f t="shared" si="55"/>
        <v>-0.23377702603837314</v>
      </c>
      <c r="R143" s="312">
        <f t="shared" si="56"/>
        <v>0.35792467214078583</v>
      </c>
      <c r="S143" s="312">
        <f t="shared" si="57"/>
        <v>-1.6563614279474503E-2</v>
      </c>
    </row>
    <row r="144" spans="1:19">
      <c r="A144" s="508"/>
      <c r="B144" s="511"/>
      <c r="C144" s="5" t="s">
        <v>9</v>
      </c>
      <c r="D144" s="251">
        <v>0.99801982865456118</v>
      </c>
      <c r="E144" s="251">
        <v>0.99717106618955731</v>
      </c>
      <c r="F144" s="251">
        <v>0.99617721504323797</v>
      </c>
      <c r="G144" s="251">
        <v>0.99515329589609103</v>
      </c>
      <c r="H144" s="251">
        <v>0.99719198756059635</v>
      </c>
      <c r="I144" s="251">
        <v>0.99450606690316534</v>
      </c>
      <c r="J144" s="251">
        <v>0.99226541386325873</v>
      </c>
      <c r="K144" s="359"/>
      <c r="L144" s="49">
        <f t="shared" si="52"/>
        <v>2.0921371039039904E-5</v>
      </c>
      <c r="M144" s="213">
        <f t="shared" si="53"/>
        <v>-1.6711481400726313E-3</v>
      </c>
      <c r="N144" s="251">
        <f t="shared" si="54"/>
        <v>-2.8878820328323007E-3</v>
      </c>
      <c r="O144" s="359"/>
      <c r="P144" s="359"/>
      <c r="Q144" s="312">
        <f t="shared" si="55"/>
        <v>5.0196898580456839E-2</v>
      </c>
      <c r="R144" s="312">
        <f t="shared" si="56"/>
        <v>0.40116487149859381</v>
      </c>
      <c r="S144" s="312">
        <f t="shared" si="57"/>
        <v>0.20479521925075295</v>
      </c>
    </row>
    <row r="145" spans="1:19">
      <c r="A145" s="508"/>
      <c r="B145" s="511"/>
      <c r="C145" s="150" t="s">
        <v>10</v>
      </c>
      <c r="D145" s="251">
        <v>0.68512581496847891</v>
      </c>
      <c r="E145" s="251">
        <v>0.70070442325346127</v>
      </c>
      <c r="F145" s="251">
        <v>0.71121755700872868</v>
      </c>
      <c r="G145" s="251">
        <v>0.7070970576524378</v>
      </c>
      <c r="H145" s="251">
        <v>0.98683801335406562</v>
      </c>
      <c r="I145" s="251">
        <v>0.97976236820317686</v>
      </c>
      <c r="J145" s="251">
        <v>0.97094433093444044</v>
      </c>
      <c r="K145" s="359"/>
      <c r="L145" s="49">
        <f t="shared" si="52"/>
        <v>0.28613359010060435</v>
      </c>
      <c r="M145" s="213">
        <f t="shared" si="53"/>
        <v>0.26854481119444817</v>
      </c>
      <c r="N145" s="251">
        <f t="shared" si="54"/>
        <v>0.26384727328200264</v>
      </c>
      <c r="O145" s="359"/>
      <c r="P145" s="359"/>
      <c r="Q145" s="312">
        <f t="shared" si="55"/>
        <v>0.20387224060216536</v>
      </c>
      <c r="R145" s="312">
        <f t="shared" si="56"/>
        <v>-3.9310325274677371E-2</v>
      </c>
      <c r="S145" s="312">
        <f t="shared" si="57"/>
        <v>-0.46242223696770779</v>
      </c>
    </row>
    <row r="146" spans="1:19">
      <c r="A146" s="508"/>
      <c r="B146" s="511"/>
      <c r="C146" s="150" t="s">
        <v>11</v>
      </c>
      <c r="D146" s="251">
        <v>0.99801982865456118</v>
      </c>
      <c r="E146" s="251">
        <v>0.99717106618955731</v>
      </c>
      <c r="F146" s="251">
        <v>0.99617721504323797</v>
      </c>
      <c r="G146" s="251">
        <v>0.99515329589609103</v>
      </c>
      <c r="H146" s="251">
        <v>0.99794201042714714</v>
      </c>
      <c r="I146" s="251">
        <v>0.99450606690316534</v>
      </c>
      <c r="J146" s="251">
        <v>0.99226541386325873</v>
      </c>
      <c r="K146" s="359"/>
      <c r="L146" s="49">
        <f t="shared" si="52"/>
        <v>7.7094423758983233E-4</v>
      </c>
      <c r="M146" s="213">
        <f t="shared" si="53"/>
        <v>-1.6711481400726313E-3</v>
      </c>
      <c r="N146" s="251">
        <f t="shared" si="54"/>
        <v>-2.8878820328323007E-3</v>
      </c>
      <c r="O146" s="359"/>
      <c r="P146" s="359"/>
      <c r="Q146" s="312">
        <f t="shared" si="55"/>
        <v>6.0170573303808261E-2</v>
      </c>
      <c r="R146" s="312">
        <f t="shared" si="56"/>
        <v>0.39846387699241648</v>
      </c>
      <c r="S146" s="312">
        <f t="shared" si="57"/>
        <v>0.20479521925075295</v>
      </c>
    </row>
    <row r="147" spans="1:19">
      <c r="A147" s="508"/>
      <c r="B147" s="511"/>
      <c r="C147" s="5" t="s">
        <v>12</v>
      </c>
      <c r="D147" s="251">
        <v>0.59161323347163097</v>
      </c>
      <c r="E147" s="251">
        <v>0.59204338947486745</v>
      </c>
      <c r="F147" s="251">
        <v>0.6069192407717392</v>
      </c>
      <c r="G147" s="251">
        <v>0.60450162243305461</v>
      </c>
      <c r="H147" s="251">
        <v>0.62062562883014727</v>
      </c>
      <c r="I147" s="251">
        <v>0.64802640596985461</v>
      </c>
      <c r="J147" s="251">
        <v>0.65557449798935463</v>
      </c>
      <c r="K147" s="359"/>
      <c r="L147" s="49">
        <f t="shared" si="52"/>
        <v>2.8582239355279815E-2</v>
      </c>
      <c r="M147" s="213">
        <f t="shared" si="53"/>
        <v>4.1107165198115414E-2</v>
      </c>
      <c r="N147" s="251">
        <f t="shared" si="54"/>
        <v>5.1072875556300024E-2</v>
      </c>
      <c r="O147" s="359"/>
      <c r="P147" s="359"/>
      <c r="Q147" s="312">
        <f t="shared" si="55"/>
        <v>-0.20797237844376593</v>
      </c>
      <c r="R147" s="312">
        <f t="shared" si="56"/>
        <v>-0.58257127191442271</v>
      </c>
      <c r="S147" s="312">
        <f t="shared" si="57"/>
        <v>-1.069433003015019</v>
      </c>
    </row>
    <row r="148" spans="1:19">
      <c r="A148" s="509"/>
      <c r="B148" s="507"/>
      <c r="C148" s="5" t="s">
        <v>13</v>
      </c>
      <c r="D148" s="251">
        <v>1</v>
      </c>
      <c r="E148" s="251">
        <v>1</v>
      </c>
      <c r="F148" s="251">
        <v>1</v>
      </c>
      <c r="G148" s="251">
        <v>0.99886498336376828</v>
      </c>
      <c r="H148" s="251">
        <v>1</v>
      </c>
      <c r="I148" s="251">
        <v>1</v>
      </c>
      <c r="J148" s="251">
        <v>1</v>
      </c>
      <c r="K148" s="359"/>
      <c r="L148" s="49">
        <f t="shared" si="52"/>
        <v>0</v>
      </c>
      <c r="M148" s="213">
        <f t="shared" si="53"/>
        <v>0</v>
      </c>
      <c r="N148" s="251">
        <f t="shared" si="54"/>
        <v>1.1350166362317227E-3</v>
      </c>
      <c r="O148" s="359"/>
      <c r="P148" s="359"/>
      <c r="Q148" s="312">
        <f t="shared" si="55"/>
        <v>0</v>
      </c>
      <c r="R148" s="312">
        <f t="shared" si="56"/>
        <v>0</v>
      </c>
      <c r="S148" s="312">
        <f t="shared" si="57"/>
        <v>-6.368004253350934E-2</v>
      </c>
    </row>
    <row r="149" spans="1:19">
      <c r="A149" s="4"/>
      <c r="B149" s="487" t="s">
        <v>162</v>
      </c>
      <c r="C149" s="488"/>
      <c r="D149" s="359"/>
      <c r="E149" s="359"/>
      <c r="F149" s="359"/>
      <c r="G149" s="359"/>
      <c r="H149" s="359"/>
      <c r="I149" s="359"/>
      <c r="J149" s="359"/>
      <c r="K149" s="359"/>
      <c r="L149" s="49"/>
      <c r="M149" s="213"/>
      <c r="N149" s="251"/>
      <c r="O149" s="359"/>
      <c r="P149" s="359"/>
      <c r="Q149" s="359"/>
      <c r="R149" s="359"/>
      <c r="S149" s="359"/>
    </row>
    <row r="150" spans="1:19">
      <c r="A150" s="507" t="s">
        <v>159</v>
      </c>
      <c r="B150" s="510" t="s">
        <v>143</v>
      </c>
      <c r="C150" s="5" t="s">
        <v>8</v>
      </c>
      <c r="D150" s="251">
        <v>0.51175799531981281</v>
      </c>
      <c r="E150" s="251">
        <v>0.52453364444724726</v>
      </c>
      <c r="F150" s="251">
        <v>0.53184782567861844</v>
      </c>
      <c r="G150" s="251">
        <v>0.5297281326605513</v>
      </c>
      <c r="H150" s="251">
        <v>0.52861039288642242</v>
      </c>
      <c r="I150" s="251">
        <v>0.53426996472448907</v>
      </c>
      <c r="J150" s="251">
        <v>0.53452378204447559</v>
      </c>
      <c r="K150" s="359"/>
      <c r="L150" s="49">
        <f t="shared" ref="L150:L161" si="58">(H150-E150)</f>
        <v>4.0767484391751596E-3</v>
      </c>
      <c r="M150" s="213">
        <f t="shared" ref="M150:M161" si="59">(I150-F150)</f>
        <v>2.4221390458706304E-3</v>
      </c>
      <c r="N150" s="251">
        <f t="shared" ref="N150:N161" si="60">(J150-G150)</f>
        <v>4.7956493839242942E-3</v>
      </c>
      <c r="O150" s="359"/>
      <c r="P150" s="359"/>
      <c r="Q150" s="359"/>
      <c r="R150" s="359"/>
      <c r="S150" s="359"/>
    </row>
    <row r="151" spans="1:19">
      <c r="A151" s="508"/>
      <c r="B151" s="511"/>
      <c r="C151" s="5" t="s">
        <v>9</v>
      </c>
      <c r="D151" s="251">
        <v>0.93542479199167972</v>
      </c>
      <c r="E151" s="251">
        <v>0.93780191713438865</v>
      </c>
      <c r="F151" s="251">
        <v>0.93892465416349957</v>
      </c>
      <c r="G151" s="251">
        <v>0.93911815080350669</v>
      </c>
      <c r="H151" s="251">
        <v>0.94737844485085454</v>
      </c>
      <c r="I151" s="251">
        <v>0.9516483193103682</v>
      </c>
      <c r="J151" s="251">
        <v>0.95636580753078837</v>
      </c>
      <c r="K151" s="359"/>
      <c r="L151" s="49">
        <f t="shared" si="58"/>
        <v>9.576527716465888E-3</v>
      </c>
      <c r="M151" s="213">
        <f t="shared" si="59"/>
        <v>1.2723665146868623E-2</v>
      </c>
      <c r="N151" s="251">
        <f t="shared" si="60"/>
        <v>1.7247656727281679E-2</v>
      </c>
      <c r="O151" s="359"/>
      <c r="P151" s="359"/>
      <c r="Q151" s="359"/>
      <c r="R151" s="359"/>
      <c r="S151" s="359"/>
    </row>
    <row r="152" spans="1:19">
      <c r="A152" s="508"/>
      <c r="B152" s="511"/>
      <c r="C152" s="150" t="s">
        <v>10</v>
      </c>
      <c r="D152" s="251">
        <v>0.54362877015080602</v>
      </c>
      <c r="E152" s="251">
        <v>0.55684555716718165</v>
      </c>
      <c r="F152" s="251">
        <v>0.56577123386649397</v>
      </c>
      <c r="G152" s="251">
        <v>0.56389413377775111</v>
      </c>
      <c r="H152" s="251">
        <v>0.69796903575707891</v>
      </c>
      <c r="I152" s="251">
        <v>0.74612933602647724</v>
      </c>
      <c r="J152" s="251">
        <v>0.74599616212631126</v>
      </c>
      <c r="K152" s="359"/>
      <c r="L152" s="49">
        <f t="shared" si="58"/>
        <v>0.14112347858989727</v>
      </c>
      <c r="M152" s="213">
        <f t="shared" si="59"/>
        <v>0.18035810215998327</v>
      </c>
      <c r="N152" s="251">
        <f t="shared" si="60"/>
        <v>0.18210202834856015</v>
      </c>
      <c r="O152" s="359"/>
      <c r="P152" s="359"/>
      <c r="Q152" s="359"/>
      <c r="R152" s="359"/>
      <c r="S152" s="359"/>
    </row>
    <row r="153" spans="1:19">
      <c r="A153" s="508"/>
      <c r="B153" s="511"/>
      <c r="C153" s="150" t="s">
        <v>11</v>
      </c>
      <c r="D153" s="251">
        <v>0.93542479199167972</v>
      </c>
      <c r="E153" s="251">
        <v>0.93780191713438865</v>
      </c>
      <c r="F153" s="251">
        <v>0.93892465416349957</v>
      </c>
      <c r="G153" s="251">
        <v>0.93911815080350669</v>
      </c>
      <c r="H153" s="251">
        <v>0.94769029450715769</v>
      </c>
      <c r="I153" s="251">
        <v>0.95166240697445814</v>
      </c>
      <c r="J153" s="251">
        <v>0.95636580753078837</v>
      </c>
      <c r="K153" s="359"/>
      <c r="L153" s="49">
        <f t="shared" si="58"/>
        <v>9.8883773727690416E-3</v>
      </c>
      <c r="M153" s="213">
        <f t="shared" si="59"/>
        <v>1.2737752810958569E-2</v>
      </c>
      <c r="N153" s="251">
        <f t="shared" si="60"/>
        <v>1.7247656727281679E-2</v>
      </c>
      <c r="O153" s="359"/>
      <c r="P153" s="359"/>
      <c r="Q153" s="359"/>
      <c r="R153" s="359"/>
      <c r="S153" s="359"/>
    </row>
    <row r="154" spans="1:19">
      <c r="A154" s="508"/>
      <c r="B154" s="511"/>
      <c r="C154" s="5" t="s">
        <v>12</v>
      </c>
      <c r="D154" s="251">
        <v>0.39170371814872601</v>
      </c>
      <c r="E154" s="251">
        <v>0.39668506022576783</v>
      </c>
      <c r="F154" s="251">
        <v>0.41249494409388771</v>
      </c>
      <c r="G154" s="251">
        <v>0.41022961071896269</v>
      </c>
      <c r="H154" s="251">
        <v>0.42016648798637818</v>
      </c>
      <c r="I154" s="251">
        <v>0.45034192326042388</v>
      </c>
      <c r="J154" s="251">
        <v>0.45633210687570308</v>
      </c>
      <c r="K154" s="359"/>
      <c r="L154" s="49">
        <f t="shared" si="58"/>
        <v>2.3481427760610352E-2</v>
      </c>
      <c r="M154" s="213">
        <f t="shared" si="59"/>
        <v>3.7846979166536177E-2</v>
      </c>
      <c r="N154" s="251">
        <f t="shared" si="60"/>
        <v>4.6102496156740391E-2</v>
      </c>
      <c r="O154" s="359"/>
      <c r="P154" s="359"/>
      <c r="Q154" s="359"/>
      <c r="R154" s="359"/>
      <c r="S154" s="359"/>
    </row>
    <row r="155" spans="1:19">
      <c r="A155" s="509"/>
      <c r="B155" s="511"/>
      <c r="C155" s="5" t="s">
        <v>13</v>
      </c>
      <c r="D155" s="251">
        <v>0.9854813442537701</v>
      </c>
      <c r="E155" s="251">
        <v>0.98588793592735069</v>
      </c>
      <c r="F155" s="251">
        <v>0.98669341861900817</v>
      </c>
      <c r="G155" s="251">
        <v>0.98659821894346134</v>
      </c>
      <c r="H155" s="251">
        <v>0.986818439805764</v>
      </c>
      <c r="I155" s="251">
        <v>0.98776063743862474</v>
      </c>
      <c r="J155" s="251">
        <v>0.9884257485315594</v>
      </c>
      <c r="K155" s="359"/>
      <c r="L155" s="49">
        <f t="shared" si="58"/>
        <v>9.305038784133135E-4</v>
      </c>
      <c r="M155" s="213">
        <f t="shared" si="59"/>
        <v>1.0672188196165777E-3</v>
      </c>
      <c r="N155" s="251">
        <f t="shared" si="60"/>
        <v>1.8275295880980647E-3</v>
      </c>
      <c r="O155" s="359"/>
      <c r="P155" s="359"/>
      <c r="Q155" s="359"/>
      <c r="R155" s="359"/>
      <c r="S155" s="359"/>
    </row>
    <row r="156" spans="1:19">
      <c r="A156" s="507" t="s">
        <v>160</v>
      </c>
      <c r="B156" s="511"/>
      <c r="C156" s="5" t="s">
        <v>8</v>
      </c>
      <c r="D156" s="251">
        <v>0.63851062148286408</v>
      </c>
      <c r="E156" s="251">
        <v>0.65209322985261631</v>
      </c>
      <c r="F156" s="251">
        <v>0.6510448554738727</v>
      </c>
      <c r="G156" s="251">
        <v>0.64249333661289365</v>
      </c>
      <c r="H156" s="251">
        <v>0.6510494986747708</v>
      </c>
      <c r="I156" s="251">
        <v>0.64138055632083735</v>
      </c>
      <c r="J156" s="251">
        <v>0.63834607972586832</v>
      </c>
      <c r="K156" s="359"/>
      <c r="L156" s="49">
        <f t="shared" si="58"/>
        <v>-1.0437311778455083E-3</v>
      </c>
      <c r="M156" s="213">
        <f t="shared" si="59"/>
        <v>-9.6642991530353495E-3</v>
      </c>
      <c r="N156" s="251">
        <f t="shared" si="60"/>
        <v>-4.1472568870253301E-3</v>
      </c>
      <c r="O156" s="359"/>
      <c r="P156" s="359"/>
      <c r="Q156" s="359"/>
      <c r="R156" s="359"/>
      <c r="S156" s="359"/>
    </row>
    <row r="157" spans="1:19">
      <c r="A157" s="508"/>
      <c r="B157" s="511"/>
      <c r="C157" s="5" t="s">
        <v>9</v>
      </c>
      <c r="D157" s="251">
        <v>0.99761578897221148</v>
      </c>
      <c r="E157" s="251">
        <v>0.99545826129983639</v>
      </c>
      <c r="F157" s="251">
        <v>0.99190052222153846</v>
      </c>
      <c r="G157" s="251">
        <v>0.99218154441657902</v>
      </c>
      <c r="H157" s="251">
        <v>0.99497721368507086</v>
      </c>
      <c r="I157" s="251">
        <v>0.98621772536647989</v>
      </c>
      <c r="J157" s="251">
        <v>0.98724571019123919</v>
      </c>
      <c r="K157" s="359"/>
      <c r="L157" s="49">
        <f t="shared" si="58"/>
        <v>-4.8104761476552849E-4</v>
      </c>
      <c r="M157" s="213">
        <f t="shared" si="59"/>
        <v>-5.6827968550585695E-3</v>
      </c>
      <c r="N157" s="251">
        <f t="shared" si="60"/>
        <v>-4.9358342253398302E-3</v>
      </c>
      <c r="O157" s="359"/>
      <c r="P157" s="359"/>
      <c r="Q157" s="359"/>
      <c r="R157" s="359"/>
      <c r="S157" s="359"/>
    </row>
    <row r="158" spans="1:19">
      <c r="A158" s="508"/>
      <c r="B158" s="511"/>
      <c r="C158" s="150" t="s">
        <v>10</v>
      </c>
      <c r="D158" s="251">
        <v>0.68845275192461519</v>
      </c>
      <c r="E158" s="251">
        <v>0.701020878632024</v>
      </c>
      <c r="F158" s="251">
        <v>0.70196637251126315</v>
      </c>
      <c r="G158" s="251">
        <v>0.69287385309482064</v>
      </c>
      <c r="H158" s="251">
        <v>0.9851157463266067</v>
      </c>
      <c r="I158" s="251">
        <v>0.9709042869584581</v>
      </c>
      <c r="J158" s="251">
        <v>0.96134534874650035</v>
      </c>
      <c r="K158" s="359"/>
      <c r="L158" s="49">
        <f t="shared" si="58"/>
        <v>0.2840948676945827</v>
      </c>
      <c r="M158" s="213">
        <f t="shared" si="59"/>
        <v>0.26893791444719495</v>
      </c>
      <c r="N158" s="251">
        <f t="shared" si="60"/>
        <v>0.26847149565167971</v>
      </c>
      <c r="O158" s="359"/>
      <c r="P158" s="359"/>
      <c r="Q158" s="359"/>
      <c r="R158" s="359"/>
      <c r="S158" s="359"/>
    </row>
    <row r="159" spans="1:19">
      <c r="A159" s="508"/>
      <c r="B159" s="511"/>
      <c r="C159" s="150" t="s">
        <v>11</v>
      </c>
      <c r="D159" s="251">
        <v>0.99761578897221148</v>
      </c>
      <c r="E159" s="251">
        <v>0.99545826129983639</v>
      </c>
      <c r="F159" s="251">
        <v>0.99190052222153846</v>
      </c>
      <c r="G159" s="251">
        <v>0.99218154441657902</v>
      </c>
      <c r="H159" s="251">
        <v>0.99562749980438814</v>
      </c>
      <c r="I159" s="251">
        <v>0.98624473531154166</v>
      </c>
      <c r="J159" s="251">
        <v>0.98724571019123919</v>
      </c>
      <c r="K159" s="359"/>
      <c r="L159" s="49">
        <f t="shared" si="58"/>
        <v>1.6923850455174971E-4</v>
      </c>
      <c r="M159" s="213">
        <f t="shared" si="59"/>
        <v>-5.6557869099967961E-3</v>
      </c>
      <c r="N159" s="251">
        <f t="shared" si="60"/>
        <v>-4.9358342253398302E-3</v>
      </c>
      <c r="O159" s="359"/>
      <c r="P159" s="359"/>
      <c r="Q159" s="359"/>
      <c r="R159" s="359"/>
      <c r="S159" s="359"/>
    </row>
    <row r="160" spans="1:19">
      <c r="A160" s="508"/>
      <c r="B160" s="511"/>
      <c r="C160" s="5" t="s">
        <v>12</v>
      </c>
      <c r="D160" s="251">
        <v>0.59440197886560897</v>
      </c>
      <c r="E160" s="251">
        <v>0.59742697811689305</v>
      </c>
      <c r="F160" s="251">
        <v>0.60575224074343126</v>
      </c>
      <c r="G160" s="251">
        <v>0.59255409596131914</v>
      </c>
      <c r="H160" s="251">
        <v>0.62808894125661052</v>
      </c>
      <c r="I160" s="251">
        <v>0.6526851186606909</v>
      </c>
      <c r="J160" s="251">
        <v>0.65432130154776935</v>
      </c>
      <c r="K160" s="359"/>
      <c r="L160" s="49">
        <f t="shared" si="58"/>
        <v>3.0661963139717474E-2</v>
      </c>
      <c r="M160" s="213">
        <f t="shared" si="59"/>
        <v>4.6932877917259641E-2</v>
      </c>
      <c r="N160" s="251">
        <f t="shared" si="60"/>
        <v>6.1767205586450213E-2</v>
      </c>
      <c r="O160" s="359"/>
      <c r="P160" s="359"/>
      <c r="Q160" s="359"/>
      <c r="R160" s="359"/>
      <c r="S160" s="359"/>
    </row>
    <row r="161" spans="1:19">
      <c r="A161" s="509"/>
      <c r="B161" s="507"/>
      <c r="C161" s="5" t="s">
        <v>13</v>
      </c>
      <c r="D161" s="251">
        <v>1</v>
      </c>
      <c r="E161" s="251">
        <v>1</v>
      </c>
      <c r="F161" s="251">
        <v>1</v>
      </c>
      <c r="G161" s="251">
        <v>0.99822818293843318</v>
      </c>
      <c r="H161" s="251">
        <v>1</v>
      </c>
      <c r="I161" s="251">
        <v>1</v>
      </c>
      <c r="J161" s="251">
        <v>1</v>
      </c>
      <c r="K161" s="359"/>
      <c r="L161" s="49">
        <f t="shared" si="58"/>
        <v>0</v>
      </c>
      <c r="M161" s="213">
        <f t="shared" si="59"/>
        <v>0</v>
      </c>
      <c r="N161" s="251">
        <f t="shared" si="60"/>
        <v>1.7718170615668161E-3</v>
      </c>
      <c r="O161" s="359"/>
      <c r="P161" s="359"/>
      <c r="Q161" s="359"/>
      <c r="R161" s="359"/>
      <c r="S161" s="359"/>
    </row>
    <row r="162" spans="1:19" ht="15.75" customHeight="1">
      <c r="A162" s="94" t="s">
        <v>164</v>
      </c>
      <c r="B162" s="95" t="s">
        <v>5</v>
      </c>
      <c r="C162" s="93"/>
      <c r="D162" s="359"/>
      <c r="E162" s="359"/>
      <c r="F162" s="359"/>
      <c r="G162" s="359"/>
      <c r="H162" s="359"/>
      <c r="I162" s="359"/>
      <c r="J162" s="359"/>
      <c r="K162" s="359"/>
      <c r="L162" s="49"/>
      <c r="M162" s="213"/>
      <c r="N162" s="251"/>
      <c r="O162" s="359"/>
      <c r="P162" s="359"/>
      <c r="Q162" s="359"/>
      <c r="R162" s="359"/>
      <c r="S162" s="359"/>
    </row>
    <row r="163" spans="1:19">
      <c r="A163" s="4"/>
      <c r="B163" s="487" t="s">
        <v>165</v>
      </c>
      <c r="C163" s="488"/>
      <c r="D163" s="359"/>
      <c r="E163" s="359"/>
      <c r="F163" s="359"/>
      <c r="G163" s="359"/>
      <c r="H163" s="359"/>
      <c r="I163" s="359"/>
      <c r="J163" s="359"/>
      <c r="K163" s="359"/>
      <c r="L163" s="49"/>
      <c r="M163" s="213"/>
      <c r="N163" s="251"/>
      <c r="O163" s="359"/>
      <c r="P163" s="359"/>
      <c r="Q163" s="359"/>
      <c r="R163" s="359"/>
      <c r="S163" s="359"/>
    </row>
    <row r="164" spans="1:19">
      <c r="A164" s="515" t="s">
        <v>142</v>
      </c>
      <c r="B164" s="516" t="s">
        <v>166</v>
      </c>
      <c r="C164" s="5" t="s">
        <v>12</v>
      </c>
      <c r="D164" s="251">
        <v>0.87141543509548769</v>
      </c>
      <c r="E164" s="251">
        <v>0.87720749492102601</v>
      </c>
      <c r="F164" s="251">
        <v>0.8846019428947951</v>
      </c>
      <c r="G164" s="251">
        <v>0.88205848044490809</v>
      </c>
      <c r="H164" s="251">
        <v>0.88195390966545817</v>
      </c>
      <c r="I164" s="251">
        <v>0.89441207645673459</v>
      </c>
      <c r="J164" s="251">
        <v>0.89764606633440769</v>
      </c>
      <c r="K164" s="359"/>
      <c r="L164" s="49">
        <f t="shared" ref="L164:N167" si="61">(H164-E164)</f>
        <v>4.7464147444321592E-3</v>
      </c>
      <c r="M164" s="213">
        <f t="shared" si="61"/>
        <v>9.8101335619394936E-3</v>
      </c>
      <c r="N164" s="251">
        <f t="shared" si="61"/>
        <v>1.55875858894996E-2</v>
      </c>
      <c r="O164" s="359"/>
      <c r="P164" s="214" t="s">
        <v>144</v>
      </c>
      <c r="Q164" s="312">
        <f t="shared" ref="Q164:S167" si="62">(L164-L169)*100</f>
        <v>-0.53371011528281498</v>
      </c>
      <c r="R164" s="312">
        <f t="shared" si="62"/>
        <v>-1.356615851833487</v>
      </c>
      <c r="S164" s="312">
        <f t="shared" si="62"/>
        <v>-2.167822375628381</v>
      </c>
    </row>
    <row r="165" spans="1:19">
      <c r="A165" s="509"/>
      <c r="B165" s="511"/>
      <c r="C165" s="5" t="s">
        <v>13</v>
      </c>
      <c r="D165" s="251">
        <v>0.99997986401498118</v>
      </c>
      <c r="E165" s="251">
        <v>1</v>
      </c>
      <c r="F165" s="251">
        <v>0.99998297638825051</v>
      </c>
      <c r="G165" s="251">
        <v>0.99997843641411943</v>
      </c>
      <c r="H165" s="251">
        <v>0.99998527026124662</v>
      </c>
      <c r="I165" s="251">
        <v>0.99996797120611425</v>
      </c>
      <c r="J165" s="251">
        <v>0.9999764524728999</v>
      </c>
      <c r="K165" s="359"/>
      <c r="L165" s="49">
        <f t="shared" si="61"/>
        <v>-1.4729738753382904E-5</v>
      </c>
      <c r="M165" s="213">
        <f t="shared" si="61"/>
        <v>-1.5005182136262896E-5</v>
      </c>
      <c r="N165" s="251">
        <f t="shared" si="61"/>
        <v>-1.9839412195299388E-6</v>
      </c>
      <c r="O165" s="359"/>
      <c r="P165" s="359"/>
      <c r="Q165" s="312">
        <f t="shared" si="62"/>
        <v>-6.4164819352230396E-4</v>
      </c>
      <c r="R165" s="312">
        <f t="shared" si="62"/>
        <v>-8.4003018546718877E-4</v>
      </c>
      <c r="S165" s="312">
        <f t="shared" si="62"/>
        <v>8.3091941827095894E-4</v>
      </c>
    </row>
    <row r="166" spans="1:19">
      <c r="A166" s="515" t="s">
        <v>145</v>
      </c>
      <c r="B166" s="511"/>
      <c r="C166" s="5" t="s">
        <v>12</v>
      </c>
      <c r="D166" s="251">
        <v>0.97917682872554435</v>
      </c>
      <c r="E166" s="251">
        <v>0.98149816270953738</v>
      </c>
      <c r="F166" s="251">
        <v>0.9838463618598623</v>
      </c>
      <c r="G166" s="251">
        <v>0.97924171299650764</v>
      </c>
      <c r="H166" s="251">
        <v>0.98224757744214519</v>
      </c>
      <c r="I166" s="251">
        <v>0.98966621061231408</v>
      </c>
      <c r="J166" s="251">
        <v>0.99027108206073633</v>
      </c>
      <c r="K166" s="359"/>
      <c r="L166" s="49">
        <f t="shared" si="61"/>
        <v>7.4941473260781155E-4</v>
      </c>
      <c r="M166" s="213">
        <f t="shared" si="61"/>
        <v>5.8198487524517839E-3</v>
      </c>
      <c r="N166" s="251">
        <f t="shared" si="61"/>
        <v>1.1029369064228689E-2</v>
      </c>
      <c r="O166" s="359"/>
      <c r="P166" s="214" t="s">
        <v>146</v>
      </c>
      <c r="Q166" s="312">
        <f t="shared" si="62"/>
        <v>-1.1986074327852148E-2</v>
      </c>
      <c r="R166" s="312">
        <f t="shared" si="62"/>
        <v>-1.1136515172552763</v>
      </c>
      <c r="S166" s="312">
        <f t="shared" si="62"/>
        <v>-2.0130669260935652</v>
      </c>
    </row>
    <row r="167" spans="1:19">
      <c r="A167" s="509"/>
      <c r="B167" s="507"/>
      <c r="C167" s="5" t="s">
        <v>13</v>
      </c>
      <c r="D167" s="251">
        <v>1</v>
      </c>
      <c r="E167" s="251">
        <v>1</v>
      </c>
      <c r="F167" s="251">
        <v>1</v>
      </c>
      <c r="G167" s="251">
        <v>1</v>
      </c>
      <c r="H167" s="251">
        <v>1</v>
      </c>
      <c r="I167" s="251">
        <v>1</v>
      </c>
      <c r="J167" s="251">
        <v>1</v>
      </c>
      <c r="K167" s="359"/>
      <c r="L167" s="49">
        <f t="shared" si="61"/>
        <v>0</v>
      </c>
      <c r="M167" s="213">
        <f t="shared" si="61"/>
        <v>0</v>
      </c>
      <c r="N167" s="251">
        <f t="shared" si="61"/>
        <v>0</v>
      </c>
      <c r="O167" s="359"/>
      <c r="P167" s="359"/>
      <c r="Q167" s="312">
        <f t="shared" si="62"/>
        <v>0</v>
      </c>
      <c r="R167" s="312">
        <f t="shared" si="62"/>
        <v>0</v>
      </c>
      <c r="S167" s="312">
        <f t="shared" si="62"/>
        <v>0</v>
      </c>
    </row>
    <row r="168" spans="1:19">
      <c r="A168" s="4"/>
      <c r="B168" s="487" t="s">
        <v>167</v>
      </c>
      <c r="C168" s="488"/>
      <c r="D168" s="359"/>
      <c r="E168" s="359"/>
      <c r="F168" s="359"/>
      <c r="G168" s="359"/>
      <c r="H168" s="359"/>
      <c r="I168" s="359"/>
      <c r="J168" s="359"/>
      <c r="K168" s="359"/>
      <c r="L168" s="49"/>
      <c r="M168" s="213"/>
      <c r="N168" s="251"/>
      <c r="O168" s="359"/>
      <c r="P168" s="359"/>
      <c r="Q168" s="312"/>
      <c r="R168" s="312"/>
      <c r="S168" s="312"/>
    </row>
    <row r="169" spans="1:19" ht="14.65" customHeight="1">
      <c r="A169" s="515" t="s">
        <v>147</v>
      </c>
      <c r="B169" s="516" t="s">
        <v>166</v>
      </c>
      <c r="C169" s="5" t="s">
        <v>12</v>
      </c>
      <c r="D169" s="251">
        <v>0.78070385799559883</v>
      </c>
      <c r="E169" s="251">
        <v>0.78728168048680547</v>
      </c>
      <c r="F169" s="251">
        <v>0.80178102710219801</v>
      </c>
      <c r="G169" s="251">
        <v>0.8015907493208605</v>
      </c>
      <c r="H169" s="251">
        <v>0.79736519638406578</v>
      </c>
      <c r="I169" s="251">
        <v>0.82515731918247237</v>
      </c>
      <c r="J169" s="251">
        <v>0.83885655896664391</v>
      </c>
      <c r="K169" s="359"/>
      <c r="L169" s="49">
        <f t="shared" ref="L169:N172" si="63">(H169-E169)</f>
        <v>1.0083515897260309E-2</v>
      </c>
      <c r="M169" s="213">
        <f t="shared" si="63"/>
        <v>2.3376292080274363E-2</v>
      </c>
      <c r="N169" s="251">
        <f t="shared" si="63"/>
        <v>3.726580964578341E-2</v>
      </c>
      <c r="O169" s="359"/>
      <c r="P169" s="359"/>
      <c r="Q169" s="359"/>
      <c r="R169" s="359"/>
      <c r="S169" s="359"/>
    </row>
    <row r="170" spans="1:19">
      <c r="A170" s="509"/>
      <c r="B170" s="511"/>
      <c r="C170" s="5" t="s">
        <v>13</v>
      </c>
      <c r="D170" s="251">
        <v>0.99998965166142573</v>
      </c>
      <c r="E170" s="251">
        <v>1</v>
      </c>
      <c r="F170" s="251">
        <v>0.9999906797238558</v>
      </c>
      <c r="G170" s="251">
        <v>0.99999156120620447</v>
      </c>
      <c r="H170" s="251">
        <v>0.99999168674318184</v>
      </c>
      <c r="I170" s="251">
        <v>0.99998407484357421</v>
      </c>
      <c r="J170" s="251">
        <v>0.99998126807080223</v>
      </c>
      <c r="K170" s="359"/>
      <c r="L170" s="49">
        <f t="shared" si="63"/>
        <v>-8.3132568181598643E-6</v>
      </c>
      <c r="M170" s="213">
        <f t="shared" si="63"/>
        <v>-6.6048802815910079E-6</v>
      </c>
      <c r="N170" s="251">
        <f t="shared" si="63"/>
        <v>-1.0293135402239528E-5</v>
      </c>
      <c r="O170" s="359"/>
      <c r="P170" s="359"/>
      <c r="Q170" s="359"/>
      <c r="R170" s="359"/>
      <c r="S170" s="359"/>
    </row>
    <row r="171" spans="1:19" ht="14.65" customHeight="1">
      <c r="A171" s="515" t="s">
        <v>148</v>
      </c>
      <c r="B171" s="511"/>
      <c r="C171" s="5" t="s">
        <v>12</v>
      </c>
      <c r="D171" s="251">
        <v>0.93977237183652595</v>
      </c>
      <c r="E171" s="251">
        <v>0.94833175899394784</v>
      </c>
      <c r="F171" s="251">
        <v>0.95572185547987154</v>
      </c>
      <c r="G171" s="251">
        <v>0.94590949320210405</v>
      </c>
      <c r="H171" s="251">
        <v>0.94920103446983417</v>
      </c>
      <c r="I171" s="251">
        <v>0.97267821940487609</v>
      </c>
      <c r="J171" s="251">
        <v>0.97706953152726839</v>
      </c>
      <c r="K171" s="359"/>
      <c r="L171" s="49">
        <f t="shared" si="63"/>
        <v>8.6927547588633303E-4</v>
      </c>
      <c r="M171" s="213">
        <f t="shared" si="63"/>
        <v>1.6956363925004547E-2</v>
      </c>
      <c r="N171" s="251">
        <f t="shared" si="63"/>
        <v>3.1160038325164341E-2</v>
      </c>
      <c r="O171" s="359"/>
      <c r="P171" s="359"/>
      <c r="Q171" s="359"/>
      <c r="R171" s="359"/>
      <c r="S171" s="359"/>
    </row>
    <row r="172" spans="1:19">
      <c r="A172" s="509"/>
      <c r="B172" s="507"/>
      <c r="C172" s="5" t="s">
        <v>13</v>
      </c>
      <c r="D172" s="251">
        <v>1</v>
      </c>
      <c r="E172" s="251">
        <v>1</v>
      </c>
      <c r="F172" s="251">
        <v>1</v>
      </c>
      <c r="G172" s="251">
        <v>1</v>
      </c>
      <c r="H172" s="251">
        <v>1</v>
      </c>
      <c r="I172" s="251">
        <v>1</v>
      </c>
      <c r="J172" s="251">
        <v>1</v>
      </c>
      <c r="K172" s="359"/>
      <c r="L172" s="49">
        <f t="shared" si="63"/>
        <v>0</v>
      </c>
      <c r="M172" s="213">
        <f t="shared" si="63"/>
        <v>0</v>
      </c>
      <c r="N172" s="251">
        <f t="shared" si="63"/>
        <v>0</v>
      </c>
      <c r="O172" s="359"/>
      <c r="P172" s="359"/>
      <c r="Q172" s="359"/>
      <c r="R172" s="359"/>
      <c r="S172" s="359"/>
    </row>
    <row r="173" spans="1:19">
      <c r="A173" s="4"/>
      <c r="B173" s="487" t="s">
        <v>165</v>
      </c>
      <c r="C173" s="488"/>
      <c r="D173" s="359"/>
      <c r="E173" s="359"/>
      <c r="F173" s="359"/>
      <c r="G173" s="359"/>
      <c r="H173" s="359"/>
      <c r="I173" s="359"/>
      <c r="J173" s="359"/>
      <c r="K173" s="359"/>
      <c r="L173" s="49"/>
      <c r="M173" s="213"/>
      <c r="N173" s="251"/>
      <c r="O173" s="359"/>
      <c r="P173" s="359"/>
      <c r="Q173" s="359"/>
      <c r="R173" s="359"/>
      <c r="S173" s="359"/>
    </row>
    <row r="174" spans="1:19">
      <c r="A174" s="515" t="s">
        <v>149</v>
      </c>
      <c r="B174" s="516" t="s">
        <v>166</v>
      </c>
      <c r="C174" s="5" t="s">
        <v>12</v>
      </c>
      <c r="D174" s="251">
        <v>0.85262340613198528</v>
      </c>
      <c r="E174" s="251">
        <v>0.84592184510988078</v>
      </c>
      <c r="F174" s="251">
        <v>0.84927568249673613</v>
      </c>
      <c r="G174" s="251">
        <v>0.83808799561150749</v>
      </c>
      <c r="H174" s="251">
        <v>0.85498515962846977</v>
      </c>
      <c r="I174" s="251">
        <v>0.86891793721524602</v>
      </c>
      <c r="J174" s="251">
        <v>0.87264766790941317</v>
      </c>
      <c r="K174" s="359"/>
      <c r="L174" s="49">
        <f t="shared" ref="L174:N177" si="64">(H174-E174)</f>
        <v>9.0633145185889941E-3</v>
      </c>
      <c r="M174" s="213">
        <f t="shared" si="64"/>
        <v>1.9642254718509888E-2</v>
      </c>
      <c r="N174" s="251">
        <f t="shared" si="64"/>
        <v>3.4559672297905686E-2</v>
      </c>
      <c r="O174" s="359"/>
      <c r="P174" s="214" t="s">
        <v>150</v>
      </c>
      <c r="Q174" s="312">
        <f t="shared" ref="Q174:S177" si="65">(L174-L179)*100</f>
        <v>0.11452861670976366</v>
      </c>
      <c r="R174" s="312">
        <f t="shared" si="65"/>
        <v>1.1602933550858285E-2</v>
      </c>
      <c r="S174" s="312">
        <f t="shared" si="65"/>
        <v>0.92931471731395598</v>
      </c>
    </row>
    <row r="175" spans="1:19">
      <c r="A175" s="509"/>
      <c r="B175" s="511"/>
      <c r="C175" s="5" t="s">
        <v>13</v>
      </c>
      <c r="D175" s="251">
        <v>0.99998058956346503</v>
      </c>
      <c r="E175" s="251">
        <v>1</v>
      </c>
      <c r="F175" s="251">
        <v>0.99999499969089001</v>
      </c>
      <c r="G175" s="251">
        <v>0.99999445497339379</v>
      </c>
      <c r="H175" s="251">
        <v>0.99999336115519988</v>
      </c>
      <c r="I175" s="251">
        <v>0.99998908945104481</v>
      </c>
      <c r="J175" s="251">
        <v>0.99999009711168396</v>
      </c>
      <c r="K175" s="359"/>
      <c r="L175" s="49">
        <f t="shared" si="64"/>
        <v>-6.6388448001220013E-6</v>
      </c>
      <c r="M175" s="213">
        <f t="shared" si="64"/>
        <v>-5.9102398451971183E-6</v>
      </c>
      <c r="N175" s="251">
        <f t="shared" si="64"/>
        <v>-4.357861709824995E-6</v>
      </c>
      <c r="O175" s="359"/>
      <c r="P175" s="359"/>
      <c r="Q175" s="312">
        <f t="shared" si="65"/>
        <v>8.3682631119019746E-4</v>
      </c>
      <c r="R175" s="312">
        <f t="shared" si="65"/>
        <v>7.9161116101067464E-4</v>
      </c>
      <c r="S175" s="312">
        <f t="shared" si="65"/>
        <v>1.1808485059550122E-3</v>
      </c>
    </row>
    <row r="176" spans="1:19">
      <c r="A176" s="515" t="s">
        <v>151</v>
      </c>
      <c r="B176" s="511"/>
      <c r="C176" s="5" t="s">
        <v>12</v>
      </c>
      <c r="D176" s="251">
        <v>0.95955990579923467</v>
      </c>
      <c r="E176" s="251">
        <v>0.96249300877367638</v>
      </c>
      <c r="F176" s="251">
        <v>0.96602042096067597</v>
      </c>
      <c r="G176" s="251">
        <v>0.95477990017638004</v>
      </c>
      <c r="H176" s="251">
        <v>0.96308515163219111</v>
      </c>
      <c r="I176" s="251">
        <v>0.97896401837289748</v>
      </c>
      <c r="J176" s="251">
        <v>0.98122433584548485</v>
      </c>
      <c r="K176" s="359"/>
      <c r="L176" s="49">
        <f t="shared" si="64"/>
        <v>5.9214285851472148E-4</v>
      </c>
      <c r="M176" s="213">
        <f t="shared" si="64"/>
        <v>1.2943597412221508E-2</v>
      </c>
      <c r="N176" s="251">
        <f t="shared" si="64"/>
        <v>2.6444435669104815E-2</v>
      </c>
      <c r="O176" s="359"/>
      <c r="P176" s="214" t="s">
        <v>152</v>
      </c>
      <c r="Q176" s="312">
        <f t="shared" si="65"/>
        <v>-6.8689890333495374E-2</v>
      </c>
      <c r="R176" s="312">
        <f t="shared" si="65"/>
        <v>-5.8380053963247303E-2</v>
      </c>
      <c r="S176" s="312">
        <f t="shared" si="65"/>
        <v>0.58115524148941722</v>
      </c>
    </row>
    <row r="177" spans="1:19">
      <c r="A177" s="509"/>
      <c r="B177" s="507"/>
      <c r="C177" s="5" t="s">
        <v>13</v>
      </c>
      <c r="D177" s="251">
        <v>1</v>
      </c>
      <c r="E177" s="251">
        <v>1</v>
      </c>
      <c r="F177" s="251">
        <v>1</v>
      </c>
      <c r="G177" s="251">
        <v>1</v>
      </c>
      <c r="H177" s="251">
        <v>1</v>
      </c>
      <c r="I177" s="251">
        <v>1</v>
      </c>
      <c r="J177" s="251">
        <v>1</v>
      </c>
      <c r="K177" s="359"/>
      <c r="L177" s="49">
        <f t="shared" si="64"/>
        <v>0</v>
      </c>
      <c r="M177" s="213">
        <f t="shared" si="64"/>
        <v>0</v>
      </c>
      <c r="N177" s="251">
        <f t="shared" si="64"/>
        <v>0</v>
      </c>
      <c r="O177" s="359"/>
      <c r="P177" s="359"/>
      <c r="Q177" s="312">
        <f t="shared" si="65"/>
        <v>0</v>
      </c>
      <c r="R177" s="312">
        <f t="shared" si="65"/>
        <v>0</v>
      </c>
      <c r="S177" s="312">
        <f t="shared" si="65"/>
        <v>0</v>
      </c>
    </row>
    <row r="178" spans="1:19">
      <c r="A178" s="4"/>
      <c r="B178" s="487" t="s">
        <v>165</v>
      </c>
      <c r="C178" s="488"/>
      <c r="D178" s="359"/>
      <c r="E178" s="359"/>
      <c r="F178" s="359"/>
      <c r="G178" s="359"/>
      <c r="H178" s="359"/>
      <c r="I178" s="359"/>
      <c r="J178" s="359"/>
      <c r="K178" s="359"/>
      <c r="L178" s="49"/>
      <c r="M178" s="213"/>
      <c r="N178" s="251"/>
      <c r="O178" s="359"/>
      <c r="P178" s="359"/>
      <c r="Q178" s="312"/>
      <c r="R178" s="312"/>
      <c r="S178" s="312"/>
    </row>
    <row r="179" spans="1:19" ht="14.65" customHeight="1">
      <c r="A179" s="515" t="s">
        <v>153</v>
      </c>
      <c r="B179" s="516" t="s">
        <v>166</v>
      </c>
      <c r="C179" s="5" t="s">
        <v>12</v>
      </c>
      <c r="D179" s="251">
        <v>0.75997999805793559</v>
      </c>
      <c r="E179" s="251">
        <v>0.77124146446283248</v>
      </c>
      <c r="F179" s="251">
        <v>0.7859300615819127</v>
      </c>
      <c r="G179" s="251">
        <v>0.78985634950838035</v>
      </c>
      <c r="H179" s="251">
        <v>0.77915949281432384</v>
      </c>
      <c r="I179" s="251">
        <v>0.805456286964914</v>
      </c>
      <c r="J179" s="251">
        <v>0.81512287463314648</v>
      </c>
      <c r="K179" s="359"/>
      <c r="L179" s="49">
        <f t="shared" ref="L179:N182" si="66">(H179-E179)</f>
        <v>7.9180283514913574E-3</v>
      </c>
      <c r="M179" s="213">
        <f t="shared" si="66"/>
        <v>1.9526225383001306E-2</v>
      </c>
      <c r="N179" s="251">
        <f t="shared" si="66"/>
        <v>2.5266525124766126E-2</v>
      </c>
      <c r="O179" s="359"/>
      <c r="P179" s="359"/>
      <c r="Q179" s="312"/>
      <c r="R179" s="312"/>
      <c r="S179" s="312"/>
    </row>
    <row r="180" spans="1:19">
      <c r="A180" s="509"/>
      <c r="B180" s="511"/>
      <c r="C180" s="5" t="s">
        <v>13</v>
      </c>
      <c r="D180" s="251">
        <v>0.99999339433881629</v>
      </c>
      <c r="E180" s="251">
        <v>1</v>
      </c>
      <c r="F180" s="251">
        <v>0.99997816244231241</v>
      </c>
      <c r="G180" s="251">
        <v>0.99997445910775451</v>
      </c>
      <c r="H180" s="251">
        <v>0.99998499289208798</v>
      </c>
      <c r="I180" s="251">
        <v>0.99996433609085711</v>
      </c>
      <c r="J180" s="251">
        <v>0.99995829276098513</v>
      </c>
      <c r="K180" s="359"/>
      <c r="L180" s="49">
        <f t="shared" si="66"/>
        <v>-1.5007107912023976E-5</v>
      </c>
      <c r="M180" s="213">
        <f t="shared" si="66"/>
        <v>-1.3826351455303865E-5</v>
      </c>
      <c r="N180" s="251">
        <f t="shared" si="66"/>
        <v>-1.6166346769375117E-5</v>
      </c>
      <c r="O180" s="359"/>
      <c r="P180" s="359"/>
      <c r="Q180" s="312"/>
      <c r="R180" s="312"/>
      <c r="S180" s="312"/>
    </row>
    <row r="181" spans="1:19" ht="14.65" customHeight="1">
      <c r="A181" s="515" t="s">
        <v>154</v>
      </c>
      <c r="B181" s="511"/>
      <c r="C181" s="5" t="s">
        <v>12</v>
      </c>
      <c r="D181" s="251">
        <v>0.94859367138695572</v>
      </c>
      <c r="E181" s="251">
        <v>0.9566250692252547</v>
      </c>
      <c r="F181" s="251">
        <v>0.96353404709475476</v>
      </c>
      <c r="G181" s="251">
        <v>0.96038735750505166</v>
      </c>
      <c r="H181" s="251">
        <v>0.95790411098710437</v>
      </c>
      <c r="I181" s="251">
        <v>0.97706144504660875</v>
      </c>
      <c r="J181" s="251">
        <v>0.98102024075926231</v>
      </c>
      <c r="K181" s="359"/>
      <c r="L181" s="49">
        <f t="shared" si="66"/>
        <v>1.2790417618496752E-3</v>
      </c>
      <c r="M181" s="213">
        <f t="shared" si="66"/>
        <v>1.3527397951853981E-2</v>
      </c>
      <c r="N181" s="251">
        <f t="shared" si="66"/>
        <v>2.0632883254210643E-2</v>
      </c>
      <c r="O181" s="359"/>
      <c r="P181" s="359"/>
      <c r="Q181" s="312"/>
      <c r="R181" s="312"/>
      <c r="S181" s="312"/>
    </row>
    <row r="182" spans="1:19">
      <c r="A182" s="509"/>
      <c r="B182" s="507"/>
      <c r="C182" s="5" t="s">
        <v>13</v>
      </c>
      <c r="D182" s="251">
        <v>1</v>
      </c>
      <c r="E182" s="251">
        <v>1</v>
      </c>
      <c r="F182" s="251">
        <v>1</v>
      </c>
      <c r="G182" s="251">
        <v>1</v>
      </c>
      <c r="H182" s="251">
        <v>1</v>
      </c>
      <c r="I182" s="251">
        <v>1</v>
      </c>
      <c r="J182" s="251">
        <v>1</v>
      </c>
      <c r="K182" s="359"/>
      <c r="L182" s="49">
        <f t="shared" si="66"/>
        <v>0</v>
      </c>
      <c r="M182" s="213">
        <f t="shared" si="66"/>
        <v>0</v>
      </c>
      <c r="N182" s="251">
        <f t="shared" si="66"/>
        <v>0</v>
      </c>
      <c r="O182" s="359"/>
      <c r="P182" s="359"/>
      <c r="Q182" s="312"/>
      <c r="R182" s="312"/>
      <c r="S182" s="312"/>
    </row>
    <row r="183" spans="1:19">
      <c r="A183" s="4"/>
      <c r="B183" s="487" t="s">
        <v>165</v>
      </c>
      <c r="C183" s="488"/>
      <c r="D183" s="359"/>
      <c r="E183" s="359"/>
      <c r="F183" s="359"/>
      <c r="G183" s="359"/>
      <c r="H183" s="359"/>
      <c r="I183" s="359"/>
      <c r="J183" s="359"/>
      <c r="K183" s="359"/>
      <c r="L183" s="49"/>
      <c r="M183" s="213"/>
      <c r="N183" s="251"/>
      <c r="O183" s="359"/>
      <c r="P183" s="359"/>
      <c r="Q183" s="312"/>
      <c r="R183" s="312"/>
      <c r="S183" s="312"/>
    </row>
    <row r="184" spans="1:19">
      <c r="A184" s="515" t="s">
        <v>155</v>
      </c>
      <c r="B184" s="516" t="s">
        <v>166</v>
      </c>
      <c r="C184" s="5" t="s">
        <v>12</v>
      </c>
      <c r="D184" s="251">
        <v>0.79524930043245989</v>
      </c>
      <c r="E184" s="251">
        <v>0.78915028645586049</v>
      </c>
      <c r="F184" s="251">
        <v>0.80440478700970053</v>
      </c>
      <c r="G184" s="251">
        <v>0.81504386052597089</v>
      </c>
      <c r="H184" s="251">
        <v>0.79773209255214761</v>
      </c>
      <c r="I184" s="251">
        <v>0.82366090257275415</v>
      </c>
      <c r="J184" s="251">
        <v>0.84487212807406864</v>
      </c>
      <c r="K184" s="359"/>
      <c r="L184" s="49">
        <f t="shared" ref="L184:N187" si="67">(H184-E184)</f>
        <v>8.5818060962871145E-3</v>
      </c>
      <c r="M184" s="213">
        <f t="shared" si="67"/>
        <v>1.9256115563053622E-2</v>
      </c>
      <c r="N184" s="251">
        <f t="shared" si="67"/>
        <v>2.9828267548097753E-2</v>
      </c>
      <c r="O184" s="359"/>
      <c r="P184" s="214" t="s">
        <v>156</v>
      </c>
      <c r="Q184" s="312">
        <f>(L184-L189)*100</f>
        <v>1.0512661211103946E-3</v>
      </c>
      <c r="R184" s="312">
        <f>(M184-M189)*100</f>
        <v>-3.7895758635952959E-2</v>
      </c>
      <c r="S184" s="223">
        <f>(N184-N189)*100</f>
        <v>-0.20226986142901637</v>
      </c>
    </row>
    <row r="185" spans="1:19">
      <c r="A185" s="509"/>
      <c r="B185" s="511"/>
      <c r="C185" s="5" t="s">
        <v>13</v>
      </c>
      <c r="D185" s="251">
        <v>0.99996290172136015</v>
      </c>
      <c r="E185" s="251">
        <v>1</v>
      </c>
      <c r="F185" s="251">
        <v>0.99998945592576971</v>
      </c>
      <c r="G185" s="251">
        <v>0.99999555730301637</v>
      </c>
      <c r="H185" s="251">
        <v>0.9999960434273415</v>
      </c>
      <c r="I185" s="251">
        <v>0.99998945592576971</v>
      </c>
      <c r="J185" s="251">
        <v>0.99997334381809821</v>
      </c>
      <c r="K185" s="359"/>
      <c r="L185" s="49">
        <f t="shared" si="67"/>
        <v>-3.9565726585033545E-6</v>
      </c>
      <c r="M185" s="213">
        <f t="shared" si="67"/>
        <v>0</v>
      </c>
      <c r="N185" s="251">
        <f t="shared" si="67"/>
        <v>-2.2213484918154336E-5</v>
      </c>
      <c r="O185" s="359"/>
      <c r="P185" s="359"/>
      <c r="Q185" s="312">
        <f t="shared" ref="Q185:Q187" si="68">(L185-L190)*100</f>
        <v>6.7642446461846362E-4</v>
      </c>
      <c r="R185" s="312">
        <f t="shared" ref="R185:R187" si="69">(M185-M190)*100</f>
        <v>1.0017894463976162E-3</v>
      </c>
      <c r="S185" s="223">
        <f t="shared" ref="S185:S187" si="70">(N185-N190)*100</f>
        <v>-1.6058114126304979E-3</v>
      </c>
    </row>
    <row r="186" spans="1:19">
      <c r="A186" s="515" t="s">
        <v>157</v>
      </c>
      <c r="B186" s="511"/>
      <c r="C186" s="5" t="s">
        <v>12</v>
      </c>
      <c r="D186" s="251">
        <v>0.964060563607953</v>
      </c>
      <c r="E186" s="251">
        <v>0.9591771736890421</v>
      </c>
      <c r="F186" s="251">
        <v>0.96229923138853979</v>
      </c>
      <c r="G186" s="251">
        <v>0.95788081409983572</v>
      </c>
      <c r="H186" s="251">
        <v>0.96121832982712885</v>
      </c>
      <c r="I186" s="251">
        <v>0.97792557420373605</v>
      </c>
      <c r="J186" s="251">
        <v>0.98079150453533925</v>
      </c>
      <c r="K186" s="359"/>
      <c r="L186" s="49">
        <f t="shared" si="67"/>
        <v>2.0411561380867527E-3</v>
      </c>
      <c r="M186" s="213">
        <f t="shared" si="67"/>
        <v>1.5626342815196259E-2</v>
      </c>
      <c r="N186" s="251">
        <f t="shared" si="67"/>
        <v>2.2910690435503533E-2</v>
      </c>
      <c r="O186" s="359"/>
      <c r="P186" s="214" t="s">
        <v>158</v>
      </c>
      <c r="Q186" s="312">
        <f t="shared" si="68"/>
        <v>0.12915103598976074</v>
      </c>
      <c r="R186" s="312">
        <f t="shared" si="69"/>
        <v>0.27628657956758618</v>
      </c>
      <c r="S186" s="223">
        <f t="shared" si="70"/>
        <v>-0.21440220000149557</v>
      </c>
    </row>
    <row r="187" spans="1:19">
      <c r="A187" s="509"/>
      <c r="B187" s="507"/>
      <c r="C187" s="5" t="s">
        <v>13</v>
      </c>
      <c r="D187" s="251">
        <v>1</v>
      </c>
      <c r="E187" s="251">
        <v>1</v>
      </c>
      <c r="F187" s="251">
        <v>1</v>
      </c>
      <c r="G187" s="251">
        <v>1</v>
      </c>
      <c r="H187" s="251">
        <v>1</v>
      </c>
      <c r="I187" s="251">
        <v>1</v>
      </c>
      <c r="J187" s="251">
        <v>1</v>
      </c>
      <c r="K187" s="359"/>
      <c r="L187" s="49">
        <f t="shared" si="67"/>
        <v>0</v>
      </c>
      <c r="M187" s="213">
        <f t="shared" si="67"/>
        <v>0</v>
      </c>
      <c r="N187" s="251">
        <f t="shared" si="67"/>
        <v>0</v>
      </c>
      <c r="O187" s="359"/>
      <c r="P187" s="359"/>
      <c r="Q187" s="312">
        <f t="shared" si="68"/>
        <v>0</v>
      </c>
      <c r="R187" s="312">
        <f t="shared" si="69"/>
        <v>0</v>
      </c>
      <c r="S187" s="223">
        <f t="shared" si="70"/>
        <v>0</v>
      </c>
    </row>
    <row r="188" spans="1:19">
      <c r="A188" s="4"/>
      <c r="B188" s="487" t="s">
        <v>165</v>
      </c>
      <c r="C188" s="488"/>
      <c r="D188" s="359"/>
      <c r="E188" s="359"/>
      <c r="F188" s="359"/>
      <c r="G188" s="359"/>
      <c r="H188" s="359"/>
      <c r="I188" s="359"/>
      <c r="J188" s="359"/>
      <c r="K188" s="359"/>
      <c r="L188" s="49"/>
      <c r="M188" s="213"/>
      <c r="N188" s="251"/>
      <c r="O188" s="359"/>
      <c r="P188" s="359"/>
      <c r="Q188" s="312"/>
      <c r="R188" s="312"/>
      <c r="S188" s="312"/>
    </row>
    <row r="189" spans="1:19">
      <c r="A189" s="515" t="s">
        <v>159</v>
      </c>
      <c r="B189" s="516" t="s">
        <v>166</v>
      </c>
      <c r="C189" s="5" t="s">
        <v>12</v>
      </c>
      <c r="D189" s="251">
        <v>0.8105593473738949</v>
      </c>
      <c r="E189" s="251">
        <v>0.81592640474238509</v>
      </c>
      <c r="F189" s="251">
        <v>0.82736131164292215</v>
      </c>
      <c r="G189" s="251">
        <v>0.82384498314197829</v>
      </c>
      <c r="H189" s="251">
        <v>0.8244976981774611</v>
      </c>
      <c r="I189" s="251">
        <v>0.8469963847923353</v>
      </c>
      <c r="J189" s="251">
        <v>0.85569594930436621</v>
      </c>
      <c r="K189" s="359"/>
      <c r="L189" s="49">
        <f t="shared" ref="L189:N192" si="71">(H189-E189)</f>
        <v>8.5712934350760106E-3</v>
      </c>
      <c r="M189" s="213">
        <f t="shared" si="71"/>
        <v>1.9635073149413151E-2</v>
      </c>
      <c r="N189" s="251">
        <f t="shared" si="71"/>
        <v>3.1850966162387917E-2</v>
      </c>
      <c r="O189" s="359"/>
      <c r="P189" s="359"/>
      <c r="Q189" s="312"/>
      <c r="R189" s="312"/>
      <c r="S189" s="312"/>
    </row>
    <row r="190" spans="1:19">
      <c r="A190" s="509"/>
      <c r="B190" s="511"/>
      <c r="C190" s="5" t="s">
        <v>13</v>
      </c>
      <c r="D190" s="251">
        <v>0.9999879745189808</v>
      </c>
      <c r="E190" s="251">
        <v>1</v>
      </c>
      <c r="F190" s="251">
        <v>0.99998841680952599</v>
      </c>
      <c r="G190" s="251">
        <v>0.99998707372133711</v>
      </c>
      <c r="H190" s="251">
        <v>0.99998927918269531</v>
      </c>
      <c r="I190" s="251">
        <v>0.99997839891506202</v>
      </c>
      <c r="J190" s="251">
        <v>0.99998091835054526</v>
      </c>
      <c r="K190" s="359"/>
      <c r="L190" s="49">
        <f t="shared" si="71"/>
        <v>-1.0720817304687991E-5</v>
      </c>
      <c r="M190" s="213">
        <f t="shared" si="71"/>
        <v>-1.0017894463976162E-5</v>
      </c>
      <c r="N190" s="251">
        <f t="shared" si="71"/>
        <v>-6.1553707918493572E-6</v>
      </c>
      <c r="O190" s="359"/>
      <c r="P190" s="359"/>
      <c r="Q190" s="312"/>
      <c r="R190" s="312"/>
      <c r="S190" s="312"/>
    </row>
    <row r="191" spans="1:19">
      <c r="A191" s="515" t="s">
        <v>160</v>
      </c>
      <c r="B191" s="511"/>
      <c r="C191" s="5" t="s">
        <v>12</v>
      </c>
      <c r="D191" s="251">
        <v>0.95478936145540272</v>
      </c>
      <c r="E191" s="251">
        <v>0.9604001968446797</v>
      </c>
      <c r="F191" s="251">
        <v>0.9654931538919812</v>
      </c>
      <c r="G191" s="251">
        <v>0.95616171813155393</v>
      </c>
      <c r="H191" s="251">
        <v>0.96114984262286884</v>
      </c>
      <c r="I191" s="251">
        <v>0.9783566309115016</v>
      </c>
      <c r="J191" s="251">
        <v>0.98121643056707242</v>
      </c>
      <c r="K191" s="359"/>
      <c r="L191" s="49">
        <f t="shared" si="71"/>
        <v>7.4964577818914524E-4</v>
      </c>
      <c r="M191" s="213">
        <f t="shared" si="71"/>
        <v>1.2863477019520397E-2</v>
      </c>
      <c r="N191" s="251">
        <f t="shared" si="71"/>
        <v>2.5054712435518489E-2</v>
      </c>
      <c r="O191" s="359"/>
      <c r="P191" s="359"/>
      <c r="Q191" s="312"/>
      <c r="R191" s="312"/>
      <c r="S191" s="312"/>
    </row>
    <row r="192" spans="1:19">
      <c r="A192" s="509"/>
      <c r="B192" s="507"/>
      <c r="C192" s="5" t="s">
        <v>13</v>
      </c>
      <c r="D192" s="251">
        <v>1</v>
      </c>
      <c r="E192" s="251">
        <v>1</v>
      </c>
      <c r="F192" s="251">
        <v>1</v>
      </c>
      <c r="G192" s="251">
        <v>1</v>
      </c>
      <c r="H192" s="251">
        <v>1</v>
      </c>
      <c r="I192" s="251">
        <v>1</v>
      </c>
      <c r="J192" s="251">
        <v>1</v>
      </c>
      <c r="K192" s="359"/>
      <c r="L192" s="49">
        <f t="shared" si="71"/>
        <v>0</v>
      </c>
      <c r="M192" s="213">
        <f t="shared" si="71"/>
        <v>0</v>
      </c>
      <c r="N192" s="251">
        <f t="shared" si="71"/>
        <v>0</v>
      </c>
      <c r="O192" s="359"/>
      <c r="P192" s="359"/>
      <c r="Q192" s="312"/>
      <c r="R192" s="312"/>
      <c r="S192" s="312"/>
    </row>
    <row r="193" spans="1:19" ht="15.75" customHeight="1">
      <c r="A193" s="94" t="s">
        <v>168</v>
      </c>
      <c r="B193" s="95" t="s">
        <v>169</v>
      </c>
      <c r="C193" s="96"/>
      <c r="D193" s="359"/>
      <c r="E193" s="359"/>
      <c r="F193" s="359"/>
      <c r="G193" s="359"/>
      <c r="H193" s="359"/>
      <c r="I193" s="359"/>
      <c r="J193" s="359"/>
      <c r="K193" s="359"/>
      <c r="L193" s="49"/>
      <c r="M193" s="213"/>
      <c r="N193" s="251"/>
      <c r="O193" s="359"/>
      <c r="P193" s="359"/>
      <c r="Q193" s="312"/>
      <c r="R193" s="312"/>
      <c r="S193" s="312"/>
    </row>
    <row r="194" spans="1:19" ht="16.7" customHeight="1">
      <c r="A194" s="486" t="s">
        <v>142</v>
      </c>
      <c r="B194" s="372" t="s">
        <v>166</v>
      </c>
      <c r="C194" s="5" t="s">
        <v>12</v>
      </c>
      <c r="D194" s="34">
        <v>0.24665894439422559</v>
      </c>
      <c r="E194" s="34">
        <v>0.27330817656959028</v>
      </c>
      <c r="F194" s="34">
        <v>0.29766941584059381</v>
      </c>
      <c r="G194" s="34">
        <v>0.29454591985292478</v>
      </c>
      <c r="H194" s="34">
        <v>0.2921289955778486</v>
      </c>
      <c r="I194" s="34">
        <v>0.35053246502765562</v>
      </c>
      <c r="J194" s="34">
        <v>0.42087723405915872</v>
      </c>
      <c r="K194" s="359"/>
      <c r="L194" s="49">
        <f t="shared" ref="L194:L209" si="72">(H194-E194)</f>
        <v>1.8820819008258327E-2</v>
      </c>
      <c r="M194" s="213">
        <f t="shared" ref="M194:M209" si="73">(I194-F194)</f>
        <v>5.2863049187061806E-2</v>
      </c>
      <c r="N194" s="251">
        <f t="shared" ref="N194:N209" si="74">(J194-G194)</f>
        <v>0.12633131420623395</v>
      </c>
      <c r="O194" s="359"/>
      <c r="P194" s="214" t="s">
        <v>144</v>
      </c>
      <c r="Q194" s="312">
        <f t="shared" ref="Q194:S195" si="75">(L194-L198)*100</f>
        <v>0.42282892441220243</v>
      </c>
      <c r="R194" s="312">
        <f t="shared" si="75"/>
        <v>-2.869745694130954E-2</v>
      </c>
      <c r="S194" s="312">
        <f t="shared" si="75"/>
        <v>2.8858045368146734</v>
      </c>
    </row>
    <row r="195" spans="1:19" ht="12.95" customHeight="1">
      <c r="A195" s="484"/>
      <c r="B195" s="372" t="s">
        <v>170</v>
      </c>
      <c r="C195" s="5" t="s">
        <v>12</v>
      </c>
      <c r="D195" s="34">
        <v>0.43737246071654751</v>
      </c>
      <c r="E195" s="34">
        <v>0.46883854577217238</v>
      </c>
      <c r="F195" s="34">
        <v>0.49308333127654069</v>
      </c>
      <c r="G195" s="34">
        <v>0.49053817438275837</v>
      </c>
      <c r="H195" s="34">
        <v>0.50059046148982267</v>
      </c>
      <c r="I195" s="34">
        <v>0.57587901711111023</v>
      </c>
      <c r="J195" s="34">
        <v>0.63831525273810452</v>
      </c>
      <c r="K195" s="359"/>
      <c r="L195" s="49">
        <f t="shared" si="72"/>
        <v>3.1751915717650292E-2</v>
      </c>
      <c r="M195" s="213">
        <f t="shared" si="73"/>
        <v>8.2795685834569532E-2</v>
      </c>
      <c r="N195" s="251">
        <f t="shared" si="74"/>
        <v>0.14777707835534615</v>
      </c>
      <c r="O195" s="359"/>
      <c r="P195" s="359"/>
      <c r="Q195" s="312">
        <f t="shared" si="75"/>
        <v>8.0475618738967691E-2</v>
      </c>
      <c r="R195" s="312">
        <f t="shared" si="75"/>
        <v>-0.90572043618897813</v>
      </c>
      <c r="S195" s="312">
        <f t="shared" si="75"/>
        <v>-1.2373034381155057</v>
      </c>
    </row>
    <row r="196" spans="1:19" ht="16.7" customHeight="1">
      <c r="A196" s="486" t="s">
        <v>145</v>
      </c>
      <c r="B196" s="372" t="s">
        <v>166</v>
      </c>
      <c r="C196" s="5" t="s">
        <v>12</v>
      </c>
      <c r="D196" s="34">
        <v>0.34427996387105908</v>
      </c>
      <c r="E196" s="34">
        <v>0.38755267744073119</v>
      </c>
      <c r="F196" s="34">
        <v>0.41373196393999401</v>
      </c>
      <c r="G196" s="34">
        <v>0.40461713209340661</v>
      </c>
      <c r="H196" s="34">
        <v>0.41488583676773622</v>
      </c>
      <c r="I196" s="34">
        <v>0.48689651389463201</v>
      </c>
      <c r="J196" s="34">
        <v>0.58334375442896569</v>
      </c>
      <c r="K196" s="359"/>
      <c r="L196" s="49">
        <f t="shared" si="72"/>
        <v>2.733315932700503E-2</v>
      </c>
      <c r="M196" s="213">
        <f t="shared" si="73"/>
        <v>7.3164549954638003E-2</v>
      </c>
      <c r="N196" s="251">
        <f t="shared" si="74"/>
        <v>0.17872662233555908</v>
      </c>
      <c r="O196" s="359"/>
      <c r="P196" s="214" t="s">
        <v>146</v>
      </c>
      <c r="Q196" s="312">
        <f t="shared" ref="Q196:S197" si="76">(L196-L200)*100</f>
        <v>0.59174052411490319</v>
      </c>
      <c r="R196" s="312">
        <f t="shared" si="76"/>
        <v>-1.2304817804443702</v>
      </c>
      <c r="S196" s="312">
        <f t="shared" si="76"/>
        <v>1.8181873533122506</v>
      </c>
    </row>
    <row r="197" spans="1:19" ht="12.95" customHeight="1">
      <c r="A197" s="484"/>
      <c r="B197" s="372" t="s">
        <v>170</v>
      </c>
      <c r="C197" s="5" t="s">
        <v>12</v>
      </c>
      <c r="D197" s="34">
        <v>0.61616795403427194</v>
      </c>
      <c r="E197" s="34">
        <v>0.64289234818167029</v>
      </c>
      <c r="F197" s="34">
        <v>0.66103550276308809</v>
      </c>
      <c r="G197" s="34">
        <v>0.6532921429396773</v>
      </c>
      <c r="H197" s="34">
        <v>0.66892202678834267</v>
      </c>
      <c r="I197" s="34">
        <v>0.71346593642140443</v>
      </c>
      <c r="J197" s="34">
        <v>0.78083602197600643</v>
      </c>
      <c r="K197" s="359"/>
      <c r="L197" s="49">
        <f t="shared" si="72"/>
        <v>2.602967860667238E-2</v>
      </c>
      <c r="M197" s="213">
        <f t="shared" si="73"/>
        <v>5.2430433658316344E-2</v>
      </c>
      <c r="N197" s="251">
        <f t="shared" si="74"/>
        <v>0.12754387903632913</v>
      </c>
      <c r="O197" s="359"/>
      <c r="P197" s="359"/>
      <c r="Q197" s="312">
        <f t="shared" si="76"/>
        <v>5.6089823502347702E-2</v>
      </c>
      <c r="R197" s="312">
        <f t="shared" si="76"/>
        <v>-1.8423881661286945</v>
      </c>
      <c r="S197" s="312">
        <f t="shared" si="76"/>
        <v>-2.1143916043846689</v>
      </c>
    </row>
    <row r="198" spans="1:19" ht="15.6" customHeight="1">
      <c r="A198" s="486" t="s">
        <v>147</v>
      </c>
      <c r="B198" s="372" t="s">
        <v>166</v>
      </c>
      <c r="C198" s="5" t="s">
        <v>12</v>
      </c>
      <c r="D198" s="34">
        <v>0.19593620622704841</v>
      </c>
      <c r="E198" s="34">
        <v>0.21761901968794331</v>
      </c>
      <c r="F198" s="34">
        <v>0.2438687991223896</v>
      </c>
      <c r="G198" s="34">
        <v>0.24082874822015571</v>
      </c>
      <c r="H198" s="34">
        <v>0.23221154945207961</v>
      </c>
      <c r="I198" s="34">
        <v>0.2970188228788645</v>
      </c>
      <c r="J198" s="34">
        <v>0.33830201705824292</v>
      </c>
      <c r="K198" s="359"/>
      <c r="L198" s="49">
        <f t="shared" si="72"/>
        <v>1.4592529764136303E-2</v>
      </c>
      <c r="M198" s="213">
        <f t="shared" si="73"/>
        <v>5.3150023756474901E-2</v>
      </c>
      <c r="N198" s="251">
        <f t="shared" si="74"/>
        <v>9.7473268838087213E-2</v>
      </c>
      <c r="O198" s="359"/>
      <c r="P198" s="359"/>
      <c r="Q198" s="312"/>
      <c r="R198" s="312"/>
      <c r="S198" s="312"/>
    </row>
    <row r="199" spans="1:19">
      <c r="A199" s="484"/>
      <c r="B199" s="372" t="s">
        <v>170</v>
      </c>
      <c r="C199" s="5" t="s">
        <v>12</v>
      </c>
      <c r="D199" s="34">
        <v>0.34480773950607191</v>
      </c>
      <c r="E199" s="34">
        <v>0.37647060044879099</v>
      </c>
      <c r="F199" s="34">
        <v>0.40492061892159881</v>
      </c>
      <c r="G199" s="34">
        <v>0.40365988714469042</v>
      </c>
      <c r="H199" s="34">
        <v>0.40741775997905161</v>
      </c>
      <c r="I199" s="34">
        <v>0.49677350911805812</v>
      </c>
      <c r="J199" s="34">
        <v>0.56380999988119163</v>
      </c>
      <c r="K199" s="359"/>
      <c r="L199" s="49">
        <f t="shared" si="72"/>
        <v>3.0947159530260615E-2</v>
      </c>
      <c r="M199" s="213">
        <f t="shared" si="73"/>
        <v>9.1852890196459314E-2</v>
      </c>
      <c r="N199" s="251">
        <f t="shared" si="74"/>
        <v>0.1601501127365012</v>
      </c>
      <c r="O199" s="359"/>
      <c r="P199" s="359"/>
      <c r="Q199" s="312"/>
      <c r="R199" s="312"/>
      <c r="S199" s="312"/>
    </row>
    <row r="200" spans="1:19" ht="15.6" customHeight="1">
      <c r="A200" s="486" t="s">
        <v>148</v>
      </c>
      <c r="B200" s="372" t="s">
        <v>166</v>
      </c>
      <c r="C200" s="5" t="s">
        <v>12</v>
      </c>
      <c r="D200" s="34">
        <v>0.33879283572775287</v>
      </c>
      <c r="E200" s="34">
        <v>0.37161556392325618</v>
      </c>
      <c r="F200" s="34">
        <v>0.40170612053149668</v>
      </c>
      <c r="G200" s="34">
        <v>0.38615861816499969</v>
      </c>
      <c r="H200" s="34">
        <v>0.39303131800911217</v>
      </c>
      <c r="I200" s="34">
        <v>0.48717548829057838</v>
      </c>
      <c r="J200" s="34">
        <v>0.54670336696743627</v>
      </c>
      <c r="K200" s="359"/>
      <c r="L200" s="49">
        <f t="shared" si="72"/>
        <v>2.1415754085855998E-2</v>
      </c>
      <c r="M200" s="213">
        <f t="shared" si="73"/>
        <v>8.5469367759081705E-2</v>
      </c>
      <c r="N200" s="251">
        <f t="shared" si="74"/>
        <v>0.16054474880243658</v>
      </c>
      <c r="O200" s="359"/>
      <c r="P200" s="359"/>
      <c r="Q200" s="312"/>
      <c r="R200" s="312"/>
      <c r="S200" s="312"/>
    </row>
    <row r="201" spans="1:19">
      <c r="A201" s="484"/>
      <c r="B201" s="372" t="s">
        <v>170</v>
      </c>
      <c r="C201" s="5" t="s">
        <v>12</v>
      </c>
      <c r="D201" s="34">
        <v>0.58809702881987325</v>
      </c>
      <c r="E201" s="34">
        <v>0.62034874152893116</v>
      </c>
      <c r="F201" s="34">
        <v>0.64307436959529307</v>
      </c>
      <c r="G201" s="34">
        <v>0.62713992399495544</v>
      </c>
      <c r="H201" s="34">
        <v>0.64581752190058006</v>
      </c>
      <c r="I201" s="34">
        <v>0.71392868491489636</v>
      </c>
      <c r="J201" s="34">
        <v>0.77582771907513126</v>
      </c>
      <c r="K201" s="359"/>
      <c r="L201" s="49">
        <f t="shared" si="72"/>
        <v>2.5468780371648903E-2</v>
      </c>
      <c r="M201" s="213">
        <f t="shared" si="73"/>
        <v>7.0854315319603289E-2</v>
      </c>
      <c r="N201" s="251">
        <f t="shared" si="74"/>
        <v>0.14868779508017582</v>
      </c>
      <c r="O201" s="359"/>
      <c r="P201" s="359"/>
      <c r="Q201" s="312"/>
      <c r="R201" s="312"/>
      <c r="S201" s="312"/>
    </row>
    <row r="202" spans="1:19" ht="15.6" customHeight="1">
      <c r="A202" s="486" t="s">
        <v>149</v>
      </c>
      <c r="B202" s="372" t="s">
        <v>166</v>
      </c>
      <c r="C202" s="5" t="s">
        <v>12</v>
      </c>
      <c r="D202" s="34">
        <v>0.21480085801601381</v>
      </c>
      <c r="E202" s="34">
        <v>0.2354816726704298</v>
      </c>
      <c r="F202" s="34">
        <v>0.25961157598011741</v>
      </c>
      <c r="G202" s="34">
        <v>0.25064501145320389</v>
      </c>
      <c r="H202" s="34">
        <v>0.25166659992257678</v>
      </c>
      <c r="I202" s="34">
        <v>0.30846630606265502</v>
      </c>
      <c r="J202" s="34">
        <v>0.36300131000912572</v>
      </c>
      <c r="K202" s="359"/>
      <c r="L202" s="49">
        <f t="shared" si="72"/>
        <v>1.6184927252146986E-2</v>
      </c>
      <c r="M202" s="213">
        <f t="shared" si="73"/>
        <v>4.8854730082537601E-2</v>
      </c>
      <c r="N202" s="251">
        <f t="shared" si="74"/>
        <v>0.11235629855592183</v>
      </c>
      <c r="O202" s="359"/>
      <c r="P202" s="214" t="s">
        <v>150</v>
      </c>
      <c r="Q202" s="312">
        <f t="shared" ref="Q202:S203" si="77">(L202-L206)*100</f>
        <v>8.325848434541927E-2</v>
      </c>
      <c r="R202" s="312">
        <f t="shared" si="77"/>
        <v>-1.0986906275567698</v>
      </c>
      <c r="S202" s="312">
        <f t="shared" si="77"/>
        <v>2.3677737402832024</v>
      </c>
    </row>
    <row r="203" spans="1:19">
      <c r="A203" s="484"/>
      <c r="B203" s="372" t="s">
        <v>170</v>
      </c>
      <c r="C203" s="5" t="s">
        <v>12</v>
      </c>
      <c r="D203" s="34">
        <v>0.41229092401913281</v>
      </c>
      <c r="E203" s="34">
        <v>0.43737030503388341</v>
      </c>
      <c r="F203" s="34">
        <v>0.45345678671499479</v>
      </c>
      <c r="G203" s="34">
        <v>0.43685929947583918</v>
      </c>
      <c r="H203" s="34">
        <v>0.47177792906438137</v>
      </c>
      <c r="I203" s="34">
        <v>0.53599560513860711</v>
      </c>
      <c r="J203" s="34">
        <v>0.59551538923091463</v>
      </c>
      <c r="K203" s="359"/>
      <c r="L203" s="49">
        <f t="shared" si="72"/>
        <v>3.4407624030497963E-2</v>
      </c>
      <c r="M203" s="213">
        <f t="shared" si="73"/>
        <v>8.2538818423612326E-2</v>
      </c>
      <c r="N203" s="251">
        <f t="shared" si="74"/>
        <v>0.15865608975507545</v>
      </c>
      <c r="O203" s="359"/>
      <c r="P203" s="359"/>
      <c r="Q203" s="312">
        <f t="shared" si="77"/>
        <v>0.72062792000809894</v>
      </c>
      <c r="R203" s="312">
        <f t="shared" si="77"/>
        <v>-1.7979540891719159</v>
      </c>
      <c r="S203" s="312">
        <f t="shared" si="77"/>
        <v>0.48725004953992235</v>
      </c>
    </row>
    <row r="204" spans="1:19" ht="15.6" customHeight="1">
      <c r="A204" s="486" t="s">
        <v>151</v>
      </c>
      <c r="B204" s="372" t="s">
        <v>166</v>
      </c>
      <c r="C204" s="5" t="s">
        <v>12</v>
      </c>
      <c r="D204" s="34">
        <v>0.32260247581975721</v>
      </c>
      <c r="E204" s="34">
        <v>0.35746739411747791</v>
      </c>
      <c r="F204" s="34">
        <v>0.38730301010928642</v>
      </c>
      <c r="G204" s="34">
        <v>0.37130790899835181</v>
      </c>
      <c r="H204" s="34">
        <v>0.38060615044123403</v>
      </c>
      <c r="I204" s="34">
        <v>0.4592701127745008</v>
      </c>
      <c r="J204" s="34">
        <v>0.54270218096934086</v>
      </c>
      <c r="K204" s="359"/>
      <c r="L204" s="49">
        <f t="shared" si="72"/>
        <v>2.3138756323756116E-2</v>
      </c>
      <c r="M204" s="213">
        <f t="shared" si="73"/>
        <v>7.1967102665214389E-2</v>
      </c>
      <c r="N204" s="251">
        <f t="shared" si="74"/>
        <v>0.17139427197098905</v>
      </c>
      <c r="O204" s="359"/>
      <c r="P204" s="214" t="s">
        <v>152</v>
      </c>
      <c r="Q204" s="312">
        <f t="shared" ref="Q204:S205" si="78">(L204-L208)*100</f>
        <v>-5.5474588749632181E-2</v>
      </c>
      <c r="R204" s="312">
        <f t="shared" si="78"/>
        <v>-2.7407875555887582</v>
      </c>
      <c r="S204" s="312">
        <f t="shared" si="78"/>
        <v>1.9600362430599094</v>
      </c>
    </row>
    <row r="205" spans="1:19">
      <c r="A205" s="484"/>
      <c r="B205" s="372" t="s">
        <v>170</v>
      </c>
      <c r="C205" s="5" t="s">
        <v>12</v>
      </c>
      <c r="D205" s="34">
        <v>0.60118324293528558</v>
      </c>
      <c r="E205" s="34">
        <v>0.6327737155674299</v>
      </c>
      <c r="F205" s="34">
        <v>0.64722537472603525</v>
      </c>
      <c r="G205" s="34">
        <v>0.62550438526405183</v>
      </c>
      <c r="H205" s="34">
        <v>0.65840976873870716</v>
      </c>
      <c r="I205" s="34">
        <v>0.70378568879281156</v>
      </c>
      <c r="J205" s="34">
        <v>0.76731685505207015</v>
      </c>
      <c r="K205" s="359"/>
      <c r="L205" s="49">
        <f t="shared" si="72"/>
        <v>2.5636053171277262E-2</v>
      </c>
      <c r="M205" s="213">
        <f t="shared" si="73"/>
        <v>5.6560314066776307E-2</v>
      </c>
      <c r="N205" s="251">
        <f t="shared" si="74"/>
        <v>0.14181246978801831</v>
      </c>
      <c r="O205" s="359"/>
      <c r="P205" s="359"/>
      <c r="Q205" s="312">
        <f t="shared" si="78"/>
        <v>-1.1241853411125824E-2</v>
      </c>
      <c r="R205" s="312">
        <f t="shared" si="78"/>
        <v>-2.4381636515149796</v>
      </c>
      <c r="S205" s="312">
        <f t="shared" si="78"/>
        <v>-0.16993013433339588</v>
      </c>
    </row>
    <row r="206" spans="1:19">
      <c r="A206" s="486" t="s">
        <v>153</v>
      </c>
      <c r="B206" s="372" t="s">
        <v>166</v>
      </c>
      <c r="C206" s="5" t="s">
        <v>12</v>
      </c>
      <c r="D206" s="34">
        <v>0.20745116364522301</v>
      </c>
      <c r="E206" s="34">
        <v>0.23039058564952611</v>
      </c>
      <c r="F206" s="34">
        <v>0.25581463380904718</v>
      </c>
      <c r="G206" s="34">
        <v>0.26230209228531759</v>
      </c>
      <c r="H206" s="34">
        <v>0.2457429280582189</v>
      </c>
      <c r="I206" s="34">
        <v>0.31565627016715248</v>
      </c>
      <c r="J206" s="34">
        <v>0.3509806534384074</v>
      </c>
      <c r="K206" s="359"/>
      <c r="L206" s="49">
        <f t="shared" si="72"/>
        <v>1.5352342408692793E-2</v>
      </c>
      <c r="M206" s="213">
        <f t="shared" si="73"/>
        <v>5.9841636358105299E-2</v>
      </c>
      <c r="N206" s="251">
        <f t="shared" si="74"/>
        <v>8.8678561153089808E-2</v>
      </c>
      <c r="O206" s="359"/>
      <c r="P206" s="359"/>
      <c r="Q206" s="312"/>
      <c r="R206" s="312"/>
      <c r="S206" s="312"/>
    </row>
    <row r="207" spans="1:19">
      <c r="A207" s="484"/>
      <c r="B207" s="372" t="s">
        <v>170</v>
      </c>
      <c r="C207" s="5" t="s">
        <v>12</v>
      </c>
      <c r="D207" s="34">
        <v>0.3335322333920448</v>
      </c>
      <c r="E207" s="34">
        <v>0.35792491516196812</v>
      </c>
      <c r="F207" s="34">
        <v>0.38872080272397103</v>
      </c>
      <c r="G207" s="34">
        <v>0.40129197792027499</v>
      </c>
      <c r="H207" s="34">
        <v>0.38512625999238509</v>
      </c>
      <c r="I207" s="34">
        <v>0.48923916203930251</v>
      </c>
      <c r="J207" s="34">
        <v>0.55507556717995121</v>
      </c>
      <c r="K207" s="359"/>
      <c r="L207" s="49">
        <f t="shared" si="72"/>
        <v>2.7201344830416974E-2</v>
      </c>
      <c r="M207" s="213">
        <f t="shared" si="73"/>
        <v>0.10051835931533148</v>
      </c>
      <c r="N207" s="251">
        <f t="shared" si="74"/>
        <v>0.15378358925967622</v>
      </c>
      <c r="O207" s="359"/>
      <c r="P207" s="359"/>
      <c r="Q207" s="312"/>
      <c r="R207" s="312"/>
      <c r="S207" s="312"/>
    </row>
    <row r="208" spans="1:19" ht="12.95" customHeight="1">
      <c r="A208" s="486" t="s">
        <v>154</v>
      </c>
      <c r="B208" s="372" t="s">
        <v>166</v>
      </c>
      <c r="C208" s="5" t="s">
        <v>12</v>
      </c>
      <c r="D208" s="34">
        <v>0.36447180356210579</v>
      </c>
      <c r="E208" s="34">
        <v>0.40876808547055499</v>
      </c>
      <c r="F208" s="34">
        <v>0.44068369097563342</v>
      </c>
      <c r="G208" s="34">
        <v>0.4434543874891399</v>
      </c>
      <c r="H208" s="34">
        <v>0.43246158768180742</v>
      </c>
      <c r="I208" s="34">
        <v>0.5400586691967354</v>
      </c>
      <c r="J208" s="34">
        <v>0.59524829702952986</v>
      </c>
      <c r="K208" s="359"/>
      <c r="L208" s="49">
        <f t="shared" si="72"/>
        <v>2.3693502211252437E-2</v>
      </c>
      <c r="M208" s="213">
        <f t="shared" si="73"/>
        <v>9.9374978221101973E-2</v>
      </c>
      <c r="N208" s="251">
        <f t="shared" si="74"/>
        <v>0.15179390954038996</v>
      </c>
      <c r="O208" s="359"/>
      <c r="P208" s="359"/>
      <c r="Q208" s="312"/>
      <c r="R208" s="312"/>
      <c r="S208" s="312"/>
    </row>
    <row r="209" spans="1:19">
      <c r="A209" s="484"/>
      <c r="B209" s="372" t="s">
        <v>170</v>
      </c>
      <c r="C209" s="5" t="s">
        <v>12</v>
      </c>
      <c r="D209" s="34">
        <v>0.5948318655266559</v>
      </c>
      <c r="E209" s="34">
        <v>0.62046238792660791</v>
      </c>
      <c r="F209" s="34">
        <v>0.65187697846319881</v>
      </c>
      <c r="G209" s="34">
        <v>0.65908137851143933</v>
      </c>
      <c r="H209" s="34">
        <v>0.64621085963199643</v>
      </c>
      <c r="I209" s="34">
        <v>0.73281892904512491</v>
      </c>
      <c r="J209" s="34">
        <v>0.8025931496427916</v>
      </c>
      <c r="K209" s="359"/>
      <c r="L209" s="49">
        <f t="shared" si="72"/>
        <v>2.574847170538852E-2</v>
      </c>
      <c r="M209" s="213">
        <f t="shared" si="73"/>
        <v>8.0941950581926103E-2</v>
      </c>
      <c r="N209" s="251">
        <f t="shared" si="74"/>
        <v>0.14351177113135227</v>
      </c>
      <c r="O209" s="359"/>
      <c r="P209" s="359"/>
      <c r="Q209" s="312"/>
      <c r="R209" s="312"/>
      <c r="S209" s="312"/>
    </row>
    <row r="210" spans="1:19" ht="15.75" customHeight="1">
      <c r="A210" s="94" t="s">
        <v>171</v>
      </c>
      <c r="B210" s="95" t="s">
        <v>172</v>
      </c>
      <c r="C210" s="96"/>
      <c r="D210" s="359"/>
      <c r="E210" s="359"/>
      <c r="F210" s="359"/>
      <c r="G210" s="359"/>
      <c r="H210" s="359"/>
      <c r="I210" s="34"/>
      <c r="J210" s="359"/>
      <c r="K210" s="359"/>
      <c r="L210" s="49"/>
      <c r="M210" s="213"/>
      <c r="N210" s="251"/>
      <c r="O210" s="359"/>
      <c r="P210" s="359"/>
      <c r="Q210" s="312"/>
      <c r="R210" s="312"/>
      <c r="S210" s="312"/>
    </row>
    <row r="211" spans="1:19" ht="15.95" customHeight="1">
      <c r="A211" s="486" t="s">
        <v>142</v>
      </c>
      <c r="B211" s="372" t="s">
        <v>166</v>
      </c>
      <c r="C211" s="5" t="s">
        <v>12</v>
      </c>
      <c r="D211" s="34">
        <v>0.55167201632502827</v>
      </c>
      <c r="E211" s="34">
        <v>0.56926143505400628</v>
      </c>
      <c r="F211" s="34">
        <v>0.58745373840456117</v>
      </c>
      <c r="G211" s="34">
        <v>0.58774043012690191</v>
      </c>
      <c r="H211" s="34">
        <v>0.5968297066555438</v>
      </c>
      <c r="I211" s="34">
        <v>0.64677381983304405</v>
      </c>
      <c r="J211" s="34">
        <v>0.6726983012045058</v>
      </c>
      <c r="K211" s="359"/>
      <c r="L211" s="49">
        <f t="shared" ref="L211:L226" si="79">(H211-E211)</f>
        <v>2.756827160153752E-2</v>
      </c>
      <c r="M211" s="213">
        <f t="shared" ref="M211:M226" si="80">(I211-F211)</f>
        <v>5.9320081428482885E-2</v>
      </c>
      <c r="N211" s="251">
        <f t="shared" ref="N211:N226" si="81">(J211-G211)</f>
        <v>8.4957871077603886E-2</v>
      </c>
      <c r="O211" s="359"/>
      <c r="P211" s="214" t="s">
        <v>144</v>
      </c>
      <c r="Q211" s="312">
        <f t="shared" ref="Q211:S212" si="82">(L211-L215)*100</f>
        <v>-7.6932376390148605E-2</v>
      </c>
      <c r="R211" s="312">
        <f t="shared" si="82"/>
        <v>-1.1918277253383458</v>
      </c>
      <c r="S211" s="312">
        <f t="shared" si="82"/>
        <v>-1.3176178336809008</v>
      </c>
    </row>
    <row r="212" spans="1:19">
      <c r="A212" s="484"/>
      <c r="B212" s="372" t="s">
        <v>170</v>
      </c>
      <c r="C212" s="5" t="s">
        <v>12</v>
      </c>
      <c r="D212" s="34">
        <v>0.74407974148430012</v>
      </c>
      <c r="E212" s="34">
        <v>0.75095869106712965</v>
      </c>
      <c r="F212" s="34">
        <v>0.76296526272169518</v>
      </c>
      <c r="G212" s="34">
        <v>0.75920753864574397</v>
      </c>
      <c r="H212" s="34">
        <v>0.78769422463572714</v>
      </c>
      <c r="I212" s="34">
        <v>0.8374062668680804</v>
      </c>
      <c r="J212" s="34">
        <v>0.85048908660475042</v>
      </c>
      <c r="K212" s="359"/>
      <c r="L212" s="49">
        <f t="shared" si="79"/>
        <v>3.6735533568597489E-2</v>
      </c>
      <c r="M212" s="213">
        <f t="shared" si="80"/>
        <v>7.4441004146385215E-2</v>
      </c>
      <c r="N212" s="251">
        <f t="shared" si="81"/>
        <v>9.1281547959006448E-2</v>
      </c>
      <c r="O212" s="359"/>
      <c r="P212" s="359"/>
      <c r="Q212" s="312">
        <f t="shared" si="82"/>
        <v>-0.30513531692386575</v>
      </c>
      <c r="R212" s="312">
        <f t="shared" si="82"/>
        <v>-0.62636358382320845</v>
      </c>
      <c r="S212" s="312">
        <f t="shared" si="82"/>
        <v>-2.3377756132431315</v>
      </c>
    </row>
    <row r="213" spans="1:19" ht="15.95" customHeight="1">
      <c r="A213" s="486" t="s">
        <v>145</v>
      </c>
      <c r="B213" s="372" t="s">
        <v>166</v>
      </c>
      <c r="C213" s="5" t="s">
        <v>12</v>
      </c>
      <c r="D213" s="34">
        <v>0.77157047040994209</v>
      </c>
      <c r="E213" s="34">
        <v>0.78210464504778998</v>
      </c>
      <c r="F213" s="34">
        <v>0.79099865424727045</v>
      </c>
      <c r="G213" s="34">
        <v>0.78452002799318921</v>
      </c>
      <c r="H213" s="34">
        <v>0.80090659037385925</v>
      </c>
      <c r="I213" s="34">
        <v>0.83102389049696623</v>
      </c>
      <c r="J213" s="34">
        <v>0.85233307489016163</v>
      </c>
      <c r="K213" s="359"/>
      <c r="L213" s="49">
        <f t="shared" si="79"/>
        <v>1.8801945326069269E-2</v>
      </c>
      <c r="M213" s="213">
        <f t="shared" si="80"/>
        <v>4.0025236249695784E-2</v>
      </c>
      <c r="N213" s="251">
        <f t="shared" si="81"/>
        <v>6.7813046896972429E-2</v>
      </c>
      <c r="O213" s="359"/>
      <c r="P213" s="214" t="s">
        <v>146</v>
      </c>
      <c r="Q213" s="312">
        <f t="shared" ref="Q213:S214" si="83">(L213-L217)*100</f>
        <v>-0.41282313401702631</v>
      </c>
      <c r="R213" s="312">
        <f t="shared" si="83"/>
        <v>-1.2036392062296897</v>
      </c>
      <c r="S213" s="312">
        <f t="shared" si="83"/>
        <v>-1.8263991768208809</v>
      </c>
    </row>
    <row r="214" spans="1:19">
      <c r="A214" s="484"/>
      <c r="B214" s="372" t="s">
        <v>170</v>
      </c>
      <c r="C214" s="5" t="s">
        <v>12</v>
      </c>
      <c r="D214" s="34">
        <v>0.92005839327414729</v>
      </c>
      <c r="E214" s="34">
        <v>0.92558537695469567</v>
      </c>
      <c r="F214" s="34">
        <v>0.92661793176967588</v>
      </c>
      <c r="G214" s="34">
        <v>0.9169818807324448</v>
      </c>
      <c r="H214" s="34">
        <v>0.9510114623196938</v>
      </c>
      <c r="I214" s="34">
        <v>0.96392585591439595</v>
      </c>
      <c r="J214" s="34">
        <v>0.97463922166920947</v>
      </c>
      <c r="K214" s="359"/>
      <c r="L214" s="49">
        <f t="shared" si="79"/>
        <v>2.542608536499813E-2</v>
      </c>
      <c r="M214" s="213">
        <f t="shared" si="80"/>
        <v>3.7307924144720062E-2</v>
      </c>
      <c r="N214" s="251">
        <f t="shared" si="81"/>
        <v>5.7657340936764667E-2</v>
      </c>
      <c r="O214" s="359"/>
      <c r="P214" s="359"/>
      <c r="Q214" s="312">
        <f t="shared" si="83"/>
        <v>-1.0538672391390613</v>
      </c>
      <c r="R214" s="312">
        <f t="shared" si="83"/>
        <v>-2.051428313315462</v>
      </c>
      <c r="S214" s="312">
        <f t="shared" si="83"/>
        <v>-4.4221077331621617</v>
      </c>
    </row>
    <row r="215" spans="1:19" ht="15.95" customHeight="1">
      <c r="A215" s="486" t="s">
        <v>147</v>
      </c>
      <c r="B215" s="372" t="s">
        <v>166</v>
      </c>
      <c r="C215" s="5" t="s">
        <v>12</v>
      </c>
      <c r="D215" s="34">
        <v>0.43390746653546258</v>
      </c>
      <c r="E215" s="34">
        <v>0.45710557282628839</v>
      </c>
      <c r="F215" s="34">
        <v>0.4752658732856242</v>
      </c>
      <c r="G215" s="34">
        <v>0.47312127551110089</v>
      </c>
      <c r="H215" s="34">
        <v>0.48544316819172739</v>
      </c>
      <c r="I215" s="34">
        <v>0.54650423196749054</v>
      </c>
      <c r="J215" s="34">
        <v>0.57125532492551379</v>
      </c>
      <c r="K215" s="359"/>
      <c r="L215" s="49">
        <f t="shared" si="79"/>
        <v>2.8337595365439006E-2</v>
      </c>
      <c r="M215" s="213">
        <f t="shared" si="80"/>
        <v>7.1238358681866343E-2</v>
      </c>
      <c r="N215" s="251">
        <f t="shared" si="81"/>
        <v>9.8134049414412894E-2</v>
      </c>
      <c r="O215" s="359"/>
      <c r="P215" s="359"/>
      <c r="Q215" s="312"/>
      <c r="R215" s="312"/>
      <c r="S215" s="312"/>
    </row>
    <row r="216" spans="1:19">
      <c r="A216" s="484"/>
      <c r="B216" s="372" t="s">
        <v>170</v>
      </c>
      <c r="C216" s="5" t="s">
        <v>12</v>
      </c>
      <c r="D216" s="34">
        <v>0.63973237588133558</v>
      </c>
      <c r="E216" s="34">
        <v>0.6556522705058736</v>
      </c>
      <c r="F216" s="34">
        <v>0.67121442618954419</v>
      </c>
      <c r="G216" s="34">
        <v>0.66390344015328639</v>
      </c>
      <c r="H216" s="34">
        <v>0.69543915724370975</v>
      </c>
      <c r="I216" s="34">
        <v>0.75191906617416149</v>
      </c>
      <c r="J216" s="34">
        <v>0.77856274424472416</v>
      </c>
      <c r="K216" s="359"/>
      <c r="L216" s="49">
        <f t="shared" si="79"/>
        <v>3.9786886737836147E-2</v>
      </c>
      <c r="M216" s="213">
        <f t="shared" si="80"/>
        <v>8.0704639984617299E-2</v>
      </c>
      <c r="N216" s="251">
        <f t="shared" si="81"/>
        <v>0.11465930409143776</v>
      </c>
      <c r="O216" s="359"/>
      <c r="P216" s="359"/>
      <c r="Q216" s="312"/>
      <c r="R216" s="312"/>
      <c r="S216" s="312"/>
    </row>
    <row r="217" spans="1:19" ht="15.95" customHeight="1">
      <c r="A217" s="486" t="s">
        <v>148</v>
      </c>
      <c r="B217" s="372" t="s">
        <v>166</v>
      </c>
      <c r="C217" s="5" t="s">
        <v>12</v>
      </c>
      <c r="D217" s="34">
        <v>0.67495257032764377</v>
      </c>
      <c r="E217" s="34">
        <v>0.69934245592833577</v>
      </c>
      <c r="F217" s="34">
        <v>0.71044171013541968</v>
      </c>
      <c r="G217" s="34">
        <v>0.69196610388479585</v>
      </c>
      <c r="H217" s="34">
        <v>0.7222726325945753</v>
      </c>
      <c r="I217" s="34">
        <v>0.76250333844741236</v>
      </c>
      <c r="J217" s="34">
        <v>0.77804314254997708</v>
      </c>
      <c r="K217" s="359"/>
      <c r="L217" s="49">
        <f t="shared" si="79"/>
        <v>2.2930176666239532E-2</v>
      </c>
      <c r="M217" s="213">
        <f t="shared" si="80"/>
        <v>5.206162831199268E-2</v>
      </c>
      <c r="N217" s="251">
        <f t="shared" si="81"/>
        <v>8.6077038665181238E-2</v>
      </c>
      <c r="O217" s="359"/>
      <c r="P217" s="359"/>
      <c r="Q217" s="312"/>
      <c r="R217" s="312"/>
      <c r="S217" s="312"/>
    </row>
    <row r="218" spans="1:19">
      <c r="A218" s="484"/>
      <c r="B218" s="372" t="s">
        <v>170</v>
      </c>
      <c r="C218" s="5" t="s">
        <v>12</v>
      </c>
      <c r="D218" s="34">
        <v>0.85103035351847955</v>
      </c>
      <c r="E218" s="34">
        <v>0.86036092463911218</v>
      </c>
      <c r="F218" s="34">
        <v>0.86760906164405538</v>
      </c>
      <c r="G218" s="34">
        <v>0.84356236898305104</v>
      </c>
      <c r="H218" s="34">
        <v>0.89632568239550092</v>
      </c>
      <c r="I218" s="34">
        <v>0.92543126892193006</v>
      </c>
      <c r="J218" s="34">
        <v>0.94544078725143732</v>
      </c>
      <c r="K218" s="359"/>
      <c r="L218" s="49">
        <f t="shared" si="79"/>
        <v>3.5964757756388743E-2</v>
      </c>
      <c r="M218" s="213">
        <f t="shared" si="80"/>
        <v>5.7822207277874682E-2</v>
      </c>
      <c r="N218" s="251">
        <f t="shared" si="81"/>
        <v>0.10187841826838628</v>
      </c>
      <c r="O218" s="359"/>
      <c r="P218" s="359"/>
      <c r="Q218" s="312"/>
      <c r="R218" s="312"/>
      <c r="S218" s="312"/>
    </row>
    <row r="219" spans="1:19" ht="15" customHeight="1">
      <c r="A219" s="486" t="s">
        <v>149</v>
      </c>
      <c r="B219" s="372" t="s">
        <v>166</v>
      </c>
      <c r="C219" s="5" t="s">
        <v>12</v>
      </c>
      <c r="D219" s="34">
        <v>0.50612068323982007</v>
      </c>
      <c r="E219" s="34">
        <v>0.51802964437298216</v>
      </c>
      <c r="F219" s="34">
        <v>0.52965129284042878</v>
      </c>
      <c r="G219" s="34">
        <v>0.51801136300603068</v>
      </c>
      <c r="H219" s="34">
        <v>0.5436553068225809</v>
      </c>
      <c r="I219" s="34">
        <v>0.59390184809556001</v>
      </c>
      <c r="J219" s="34">
        <v>0.61635688198534877</v>
      </c>
      <c r="K219" s="359"/>
      <c r="L219" s="49">
        <f t="shared" si="79"/>
        <v>2.5625662449598741E-2</v>
      </c>
      <c r="M219" s="213">
        <f t="shared" si="80"/>
        <v>6.4250555255131236E-2</v>
      </c>
      <c r="N219" s="251">
        <f t="shared" si="81"/>
        <v>9.8345518979318092E-2</v>
      </c>
      <c r="O219" s="359"/>
      <c r="P219" s="214" t="s">
        <v>150</v>
      </c>
      <c r="Q219" s="312">
        <f t="shared" ref="Q219:S222" si="84">(L219-L223)*100</f>
        <v>-0.58334545734707866</v>
      </c>
      <c r="R219" s="312">
        <f t="shared" si="84"/>
        <v>-1.0092162798876592</v>
      </c>
      <c r="S219" s="312">
        <f t="shared" si="84"/>
        <v>1.0785603409437405</v>
      </c>
    </row>
    <row r="220" spans="1:19">
      <c r="A220" s="484"/>
      <c r="B220" s="372" t="s">
        <v>170</v>
      </c>
      <c r="C220" s="5" t="s">
        <v>12</v>
      </c>
      <c r="D220" s="34">
        <v>0.7187585100354017</v>
      </c>
      <c r="E220" s="34">
        <v>0.71577337746549752</v>
      </c>
      <c r="F220" s="34">
        <v>0.72204170242160726</v>
      </c>
      <c r="G220" s="34">
        <v>0.70349442099459825</v>
      </c>
      <c r="H220" s="34">
        <v>0.75033305300815611</v>
      </c>
      <c r="I220" s="34">
        <v>0.79537638043723236</v>
      </c>
      <c r="J220" s="34">
        <v>0.81368882363495698</v>
      </c>
      <c r="K220" s="359"/>
      <c r="L220" s="49">
        <f t="shared" si="79"/>
        <v>3.4559675542658597E-2</v>
      </c>
      <c r="M220" s="213">
        <f t="shared" si="80"/>
        <v>7.3334678015625099E-2</v>
      </c>
      <c r="N220" s="251">
        <f t="shared" si="81"/>
        <v>0.11019440264035874</v>
      </c>
      <c r="O220" s="359"/>
      <c r="P220" s="359"/>
      <c r="Q220" s="312">
        <f t="shared" si="84"/>
        <v>-1.0061984508201061</v>
      </c>
      <c r="R220" s="312">
        <f t="shared" si="84"/>
        <v>-1.4898608369556032</v>
      </c>
      <c r="S220" s="312">
        <f t="shared" si="84"/>
        <v>0.42535949487259028</v>
      </c>
    </row>
    <row r="221" spans="1:19" ht="15" customHeight="1">
      <c r="A221" s="486" t="s">
        <v>151</v>
      </c>
      <c r="B221" s="372" t="s">
        <v>166</v>
      </c>
      <c r="C221" s="5" t="s">
        <v>12</v>
      </c>
      <c r="D221" s="34">
        <v>0.71252762162571581</v>
      </c>
      <c r="E221" s="34">
        <v>0.7255851282145126</v>
      </c>
      <c r="F221" s="34">
        <v>0.73671357806270943</v>
      </c>
      <c r="G221" s="34">
        <v>0.7169415922092508</v>
      </c>
      <c r="H221" s="34">
        <v>0.74246912128886833</v>
      </c>
      <c r="I221" s="34">
        <v>0.77713842965752788</v>
      </c>
      <c r="J221" s="34">
        <v>0.79754270131608873</v>
      </c>
      <c r="K221" s="359"/>
      <c r="L221" s="49">
        <f t="shared" si="79"/>
        <v>1.688399307435573E-2</v>
      </c>
      <c r="M221" s="213">
        <f t="shared" si="80"/>
        <v>4.0424851594818456E-2</v>
      </c>
      <c r="N221" s="251">
        <f t="shared" si="81"/>
        <v>8.0601109106837932E-2</v>
      </c>
      <c r="O221" s="359"/>
      <c r="P221" s="214" t="s">
        <v>152</v>
      </c>
      <c r="Q221" s="312">
        <f>(L221-L225)*100</f>
        <v>-1.2018730036446823</v>
      </c>
      <c r="R221" s="312">
        <f t="shared" si="84"/>
        <v>-2.1912661263489119</v>
      </c>
      <c r="S221" s="312">
        <f t="shared" si="84"/>
        <v>8.7712276396367805E-2</v>
      </c>
    </row>
    <row r="222" spans="1:19">
      <c r="A222" s="484"/>
      <c r="B222" s="372" t="s">
        <v>170</v>
      </c>
      <c r="C222" s="5" t="s">
        <v>12</v>
      </c>
      <c r="D222" s="34">
        <v>0.8783314726813477</v>
      </c>
      <c r="E222" s="34">
        <v>0.87989741793303933</v>
      </c>
      <c r="F222" s="34">
        <v>0.88444650293138283</v>
      </c>
      <c r="G222" s="34">
        <v>0.85923051285446217</v>
      </c>
      <c r="H222" s="34">
        <v>0.90621254366976833</v>
      </c>
      <c r="I222" s="34">
        <v>0.93026405563175985</v>
      </c>
      <c r="J222" s="34">
        <v>0.95050634433144299</v>
      </c>
      <c r="K222" s="359"/>
      <c r="L222" s="49">
        <f t="shared" si="79"/>
        <v>2.6315125736729006E-2</v>
      </c>
      <c r="M222" s="213">
        <f t="shared" si="80"/>
        <v>4.5817552700377018E-2</v>
      </c>
      <c r="N222" s="251">
        <f t="shared" si="81"/>
        <v>9.1275831476980818E-2</v>
      </c>
      <c r="O222" s="359"/>
      <c r="P222" s="359"/>
      <c r="Q222" s="312">
        <f>(L222-L226)*100</f>
        <v>-1.5686288423536032</v>
      </c>
      <c r="R222" s="312">
        <f t="shared" si="84"/>
        <v>-1.5373014558523135</v>
      </c>
      <c r="S222" s="312">
        <f t="shared" si="84"/>
        <v>0.98435036315528412</v>
      </c>
    </row>
    <row r="223" spans="1:19" ht="15.95" customHeight="1">
      <c r="A223" s="486" t="s">
        <v>153</v>
      </c>
      <c r="B223" s="372" t="s">
        <v>166</v>
      </c>
      <c r="C223" s="5" t="s">
        <v>12</v>
      </c>
      <c r="D223" s="34">
        <v>0.43288720609321152</v>
      </c>
      <c r="E223" s="34">
        <v>0.45113058018868718</v>
      </c>
      <c r="F223" s="34">
        <v>0.46625841378864052</v>
      </c>
      <c r="G223" s="34">
        <v>0.46766336682752702</v>
      </c>
      <c r="H223" s="34">
        <v>0.48258969721175671</v>
      </c>
      <c r="I223" s="34">
        <v>0.54060113184264835</v>
      </c>
      <c r="J223" s="34">
        <v>0.5552232823974077</v>
      </c>
      <c r="K223" s="359"/>
      <c r="L223" s="49">
        <f t="shared" si="79"/>
        <v>3.1459117023069527E-2</v>
      </c>
      <c r="M223" s="213">
        <f t="shared" si="80"/>
        <v>7.4342718054007828E-2</v>
      </c>
      <c r="N223" s="251">
        <f t="shared" si="81"/>
        <v>8.7559915569880686E-2</v>
      </c>
      <c r="O223" s="359"/>
      <c r="P223" s="359"/>
      <c r="Q223" s="312"/>
      <c r="R223" s="312"/>
      <c r="S223" s="312"/>
    </row>
    <row r="224" spans="1:19">
      <c r="A224" s="484"/>
      <c r="B224" s="372" t="s">
        <v>170</v>
      </c>
      <c r="C224" s="5" t="s">
        <v>12</v>
      </c>
      <c r="D224" s="34">
        <v>0.62413720110074011</v>
      </c>
      <c r="E224" s="34">
        <v>0.63996706537573789</v>
      </c>
      <c r="F224" s="34">
        <v>0.65385853044920528</v>
      </c>
      <c r="G224" s="34">
        <v>0.65451365935082961</v>
      </c>
      <c r="H224" s="34">
        <v>0.68458872542659754</v>
      </c>
      <c r="I224" s="34">
        <v>0.74209181683438641</v>
      </c>
      <c r="J224" s="34">
        <v>0.76045446704246245</v>
      </c>
      <c r="K224" s="359"/>
      <c r="L224" s="49">
        <f t="shared" si="79"/>
        <v>4.4621660050859657E-2</v>
      </c>
      <c r="M224" s="213">
        <f t="shared" si="80"/>
        <v>8.8233286385181131E-2</v>
      </c>
      <c r="N224" s="251">
        <f t="shared" si="81"/>
        <v>0.10594080769163283</v>
      </c>
      <c r="O224" s="359"/>
      <c r="P224" s="359"/>
      <c r="Q224" s="312"/>
      <c r="R224" s="312"/>
      <c r="S224" s="312"/>
    </row>
    <row r="225" spans="1:19" ht="15.95" customHeight="1">
      <c r="A225" s="486" t="s">
        <v>154</v>
      </c>
      <c r="B225" s="372" t="s">
        <v>166</v>
      </c>
      <c r="C225" s="5" t="s">
        <v>12</v>
      </c>
      <c r="D225" s="34">
        <v>0.70783586241131113</v>
      </c>
      <c r="E225" s="34">
        <v>0.73107668641003809</v>
      </c>
      <c r="F225" s="34">
        <v>0.73518405242811624</v>
      </c>
      <c r="G225" s="34">
        <v>0.72695279467130036</v>
      </c>
      <c r="H225" s="34">
        <v>0.75997940952084064</v>
      </c>
      <c r="I225" s="34">
        <v>0.79752156528642382</v>
      </c>
      <c r="J225" s="34">
        <v>0.80667678101417462</v>
      </c>
      <c r="K225" s="359"/>
      <c r="L225" s="49">
        <f t="shared" si="79"/>
        <v>2.8902723110802553E-2</v>
      </c>
      <c r="M225" s="213">
        <f t="shared" si="80"/>
        <v>6.2337512858307575E-2</v>
      </c>
      <c r="N225" s="251">
        <f t="shared" si="81"/>
        <v>7.9723986342874253E-2</v>
      </c>
      <c r="O225" s="359"/>
      <c r="P225" s="359"/>
      <c r="Q225" s="312"/>
      <c r="R225" s="312"/>
      <c r="S225" s="312"/>
    </row>
    <row r="226" spans="1:19">
      <c r="A226" s="484"/>
      <c r="B226" s="372" t="s">
        <v>170</v>
      </c>
      <c r="C226" s="5" t="s">
        <v>12</v>
      </c>
      <c r="D226" s="34">
        <v>0.87393123989010701</v>
      </c>
      <c r="E226" s="34">
        <v>0.88722188999638663</v>
      </c>
      <c r="F226" s="34">
        <v>0.89036765175340493</v>
      </c>
      <c r="G226" s="34">
        <v>0.88183029249927602</v>
      </c>
      <c r="H226" s="34">
        <v>0.92922330415665166</v>
      </c>
      <c r="I226" s="34">
        <v>0.95155821901230508</v>
      </c>
      <c r="J226" s="34">
        <v>0.963262620344704</v>
      </c>
      <c r="K226" s="359"/>
      <c r="L226" s="49">
        <f t="shared" si="79"/>
        <v>4.2001414160265038E-2</v>
      </c>
      <c r="M226" s="213">
        <f t="shared" si="80"/>
        <v>6.1190567258900153E-2</v>
      </c>
      <c r="N226" s="251">
        <f t="shared" si="81"/>
        <v>8.1432327845427976E-2</v>
      </c>
      <c r="O226" s="359"/>
      <c r="P226" s="359"/>
      <c r="Q226" s="312"/>
      <c r="R226" s="312"/>
      <c r="S226" s="312"/>
    </row>
    <row r="227" spans="1:19" ht="15.75" customHeight="1">
      <c r="A227" s="94" t="s">
        <v>173</v>
      </c>
      <c r="B227" s="95" t="s">
        <v>40</v>
      </c>
      <c r="C227" s="96"/>
      <c r="D227" s="359"/>
      <c r="E227" s="359"/>
      <c r="F227" s="359"/>
      <c r="G227" s="359"/>
      <c r="H227" s="359"/>
      <c r="I227" s="359"/>
      <c r="J227" s="359"/>
      <c r="K227" s="359"/>
      <c r="L227" s="49"/>
      <c r="M227" s="213"/>
      <c r="N227" s="251"/>
      <c r="O227" s="359"/>
      <c r="P227" s="359"/>
      <c r="Q227" s="312"/>
      <c r="R227" s="312"/>
      <c r="S227" s="312"/>
    </row>
    <row r="228" spans="1:19" ht="16.350000000000001" customHeight="1">
      <c r="A228" s="486" t="s">
        <v>142</v>
      </c>
      <c r="B228" s="372" t="s">
        <v>166</v>
      </c>
      <c r="C228" s="5" t="s">
        <v>12</v>
      </c>
      <c r="D228" s="251">
        <v>0.86927798556945446</v>
      </c>
      <c r="E228" s="251">
        <v>0.87383492405036323</v>
      </c>
      <c r="F228" s="251">
        <v>0.88257836055011196</v>
      </c>
      <c r="G228" s="251">
        <v>0.88066596419482757</v>
      </c>
      <c r="H228" s="251">
        <v>0.87995499474628758</v>
      </c>
      <c r="I228" s="251">
        <v>0.89383836932504379</v>
      </c>
      <c r="J228" s="251">
        <v>0.89756107078748149</v>
      </c>
      <c r="K228" s="359"/>
      <c r="L228" s="213">
        <f t="shared" ref="L228:L243" si="85">(H228-E228)</f>
        <v>6.1200706959243512E-3</v>
      </c>
      <c r="M228" s="213">
        <f t="shared" ref="M228:M243" si="86">(I228-F228)</f>
        <v>1.1260008774931829E-2</v>
      </c>
      <c r="N228" s="213">
        <f t="shared" ref="N228:N243" si="87">(J228-G228)</f>
        <v>1.6895106592653919E-2</v>
      </c>
      <c r="O228" s="359"/>
      <c r="P228" s="214" t="s">
        <v>144</v>
      </c>
      <c r="Q228" s="312">
        <f t="shared" ref="Q228:S230" si="88">(L228-L232)*100</f>
        <v>-0.65648860502800499</v>
      </c>
      <c r="R228" s="312">
        <f t="shared" si="88"/>
        <v>-1.5976937147342829</v>
      </c>
      <c r="S228" s="312">
        <f t="shared" si="88"/>
        <v>-2.2695301833996595</v>
      </c>
    </row>
    <row r="229" spans="1:19">
      <c r="A229" s="484"/>
      <c r="B229" s="372" t="s">
        <v>170</v>
      </c>
      <c r="C229" s="5" t="s">
        <v>12</v>
      </c>
      <c r="D229" s="251">
        <v>0.88965720688292638</v>
      </c>
      <c r="E229" s="251">
        <v>0.89583155797950531</v>
      </c>
      <c r="F229" s="251">
        <v>0.90310298555352186</v>
      </c>
      <c r="G229" s="251">
        <v>0.90077128274230378</v>
      </c>
      <c r="H229" s="251">
        <v>0.90027643427678761</v>
      </c>
      <c r="I229" s="251">
        <v>0.91309435510699133</v>
      </c>
      <c r="J229" s="251">
        <v>0.91691120996904185</v>
      </c>
      <c r="K229" s="359"/>
      <c r="L229" s="213">
        <f t="shared" si="85"/>
        <v>4.4448762972822964E-3</v>
      </c>
      <c r="M229" s="213">
        <f t="shared" si="86"/>
        <v>9.9913695534694646E-3</v>
      </c>
      <c r="N229" s="213">
        <f t="shared" si="87"/>
        <v>1.6139927226738071E-2</v>
      </c>
      <c r="O229" s="359"/>
      <c r="P229" s="359"/>
      <c r="Q229" s="312">
        <f t="shared" si="88"/>
        <v>-0.64802200633631291</v>
      </c>
      <c r="R229" s="312">
        <f t="shared" si="88"/>
        <v>-1.519987836140535</v>
      </c>
      <c r="S229" s="312">
        <f t="shared" si="88"/>
        <v>-2.2510218280990535</v>
      </c>
    </row>
    <row r="230" spans="1:19" ht="16.350000000000001" customHeight="1">
      <c r="A230" s="486" t="s">
        <v>145</v>
      </c>
      <c r="B230" s="372" t="s">
        <v>166</v>
      </c>
      <c r="C230" s="5" t="s">
        <v>12</v>
      </c>
      <c r="D230" s="251">
        <v>0.98112844749285899</v>
      </c>
      <c r="E230" s="251">
        <v>0.9828767365573774</v>
      </c>
      <c r="F230" s="251">
        <v>0.98503813700247345</v>
      </c>
      <c r="G230" s="251">
        <v>0.98091274365956449</v>
      </c>
      <c r="H230" s="251">
        <v>0.98442329629084491</v>
      </c>
      <c r="I230" s="251">
        <v>0.99196195748487326</v>
      </c>
      <c r="J230" s="251">
        <v>0.99210289372983518</v>
      </c>
      <c r="K230" s="359"/>
      <c r="L230" s="213">
        <f t="shared" si="85"/>
        <v>1.5465597334675119E-3</v>
      </c>
      <c r="M230" s="213">
        <f t="shared" si="86"/>
        <v>6.9238204823998117E-3</v>
      </c>
      <c r="N230" s="213">
        <f t="shared" si="87"/>
        <v>1.1190150070270688E-2</v>
      </c>
      <c r="O230" s="359"/>
      <c r="P230" s="214" t="s">
        <v>146</v>
      </c>
      <c r="Q230" s="312">
        <f>(L230-L234)*100</f>
        <v>-0.1941917715406194</v>
      </c>
      <c r="R230" s="312">
        <f t="shared" si="88"/>
        <v>-1.4612835853507589</v>
      </c>
      <c r="S230" s="312">
        <f t="shared" si="88"/>
        <v>-2.1323729751829501</v>
      </c>
    </row>
    <row r="231" spans="1:19">
      <c r="A231" s="484"/>
      <c r="B231" s="372" t="s">
        <v>170</v>
      </c>
      <c r="C231" s="5" t="s">
        <v>12</v>
      </c>
      <c r="D231" s="251">
        <v>0.98145735241656573</v>
      </c>
      <c r="E231" s="251">
        <v>0.98317151798284608</v>
      </c>
      <c r="F231" s="251">
        <v>0.98523416317747414</v>
      </c>
      <c r="G231" s="251">
        <v>0.98109151636315273</v>
      </c>
      <c r="H231" s="251">
        <v>0.98457508463350019</v>
      </c>
      <c r="I231" s="251">
        <v>0.99218769778647919</v>
      </c>
      <c r="J231" s="251">
        <v>0.99289698121701719</v>
      </c>
      <c r="K231" s="359"/>
      <c r="L231" s="213">
        <f t="shared" si="85"/>
        <v>1.4035666506541089E-3</v>
      </c>
      <c r="M231" s="213">
        <f t="shared" si="86"/>
        <v>6.953534609005052E-3</v>
      </c>
      <c r="N231" s="213">
        <f t="shared" si="87"/>
        <v>1.1805464853864467E-2</v>
      </c>
      <c r="O231" s="359"/>
      <c r="P231" s="359"/>
      <c r="Q231" s="312">
        <f>(L231-L235)*100</f>
        <v>-0.19786587139100087</v>
      </c>
      <c r="R231" s="312">
        <f t="shared" ref="R231" si="89">(M231-M235)*100</f>
        <v>-1.4670339261204646</v>
      </c>
      <c r="S231" s="312">
        <f t="shared" ref="S231" si="90">(N231-N235)*100</f>
        <v>-2.2274517566988727</v>
      </c>
    </row>
    <row r="232" spans="1:19" ht="14.45" customHeight="1">
      <c r="A232" s="486" t="s">
        <v>147</v>
      </c>
      <c r="B232" s="372" t="s">
        <v>166</v>
      </c>
      <c r="C232" s="5" t="s">
        <v>12</v>
      </c>
      <c r="D232" s="251">
        <v>0.77762516722186437</v>
      </c>
      <c r="E232" s="251">
        <v>0.78792468657037162</v>
      </c>
      <c r="F232" s="251">
        <v>0.80262251736351209</v>
      </c>
      <c r="G232" s="251">
        <v>0.80255945998206968</v>
      </c>
      <c r="H232" s="251">
        <v>0.80060964331657603</v>
      </c>
      <c r="I232" s="251">
        <v>0.82985946328578675</v>
      </c>
      <c r="J232" s="251">
        <v>0.84214986840872019</v>
      </c>
      <c r="K232" s="359"/>
      <c r="L232" s="213">
        <f t="shared" si="85"/>
        <v>1.2684956746204401E-2</v>
      </c>
      <c r="M232" s="213">
        <f t="shared" si="86"/>
        <v>2.7236945922274658E-2</v>
      </c>
      <c r="N232" s="213">
        <f t="shared" si="87"/>
        <v>3.9590408426650514E-2</v>
      </c>
      <c r="O232" s="359"/>
      <c r="P232" s="359"/>
      <c r="Q232" s="312"/>
      <c r="R232" s="312"/>
      <c r="S232" s="312"/>
    </row>
    <row r="233" spans="1:19">
      <c r="A233" s="484"/>
      <c r="B233" s="372" t="s">
        <v>170</v>
      </c>
      <c r="C233" s="5" t="s">
        <v>12</v>
      </c>
      <c r="D233" s="251">
        <v>0.79027756813030692</v>
      </c>
      <c r="E233" s="251">
        <v>0.79790802949791562</v>
      </c>
      <c r="F233" s="251">
        <v>0.81213277607574075</v>
      </c>
      <c r="G233" s="251">
        <v>0.81189331481709348</v>
      </c>
      <c r="H233" s="251">
        <v>0.80883312585856104</v>
      </c>
      <c r="I233" s="251">
        <v>0.83732402399061556</v>
      </c>
      <c r="J233" s="251">
        <v>0.85054346032482209</v>
      </c>
      <c r="K233" s="359"/>
      <c r="L233" s="213">
        <f t="shared" si="85"/>
        <v>1.0925096360645425E-2</v>
      </c>
      <c r="M233" s="213">
        <f t="shared" si="86"/>
        <v>2.5191247914874815E-2</v>
      </c>
      <c r="N233" s="213">
        <f t="shared" si="87"/>
        <v>3.8650145507728606E-2</v>
      </c>
      <c r="O233" s="359"/>
      <c r="P233" s="359"/>
      <c r="Q233" s="312"/>
      <c r="R233" s="312"/>
      <c r="S233" s="312"/>
    </row>
    <row r="234" spans="1:19" ht="14.45" customHeight="1">
      <c r="A234" s="486" t="s">
        <v>148</v>
      </c>
      <c r="B234" s="372" t="s">
        <v>166</v>
      </c>
      <c r="C234" s="5" t="s">
        <v>12</v>
      </c>
      <c r="D234" s="251">
        <v>0.94684197124930269</v>
      </c>
      <c r="E234" s="251">
        <v>0.95246376384416431</v>
      </c>
      <c r="F234" s="251">
        <v>0.9589063775671226</v>
      </c>
      <c r="G234" s="251">
        <v>0.94996381380917472</v>
      </c>
      <c r="H234" s="251">
        <v>0.95595224129303802</v>
      </c>
      <c r="I234" s="251">
        <v>0.98044303390303</v>
      </c>
      <c r="J234" s="251">
        <v>0.98247769363127491</v>
      </c>
      <c r="K234" s="359"/>
      <c r="L234" s="213">
        <f t="shared" si="85"/>
        <v>3.4884774488737058E-3</v>
      </c>
      <c r="M234" s="213">
        <f t="shared" si="86"/>
        <v>2.15366563359074E-2</v>
      </c>
      <c r="N234" s="213">
        <f t="shared" si="87"/>
        <v>3.2513879822100189E-2</v>
      </c>
      <c r="O234" s="359"/>
      <c r="P234" s="359"/>
      <c r="Q234" s="312"/>
      <c r="R234" s="312"/>
      <c r="S234" s="312"/>
    </row>
    <row r="235" spans="1:19">
      <c r="A235" s="484"/>
      <c r="B235" s="372" t="s">
        <v>170</v>
      </c>
      <c r="C235" s="5" t="s">
        <v>12</v>
      </c>
      <c r="D235" s="251">
        <v>0.94719226642450183</v>
      </c>
      <c r="E235" s="251">
        <v>0.9527364100599085</v>
      </c>
      <c r="F235" s="251">
        <v>0.9591671383470457</v>
      </c>
      <c r="G235" s="251">
        <v>0.95022596473882748</v>
      </c>
      <c r="H235" s="251">
        <v>0.95611863542447262</v>
      </c>
      <c r="I235" s="251">
        <v>0.9807910122172554</v>
      </c>
      <c r="J235" s="251">
        <v>0.98430594715968067</v>
      </c>
      <c r="K235" s="359"/>
      <c r="L235" s="213">
        <f t="shared" si="85"/>
        <v>3.3822253645641176E-3</v>
      </c>
      <c r="M235" s="213">
        <f t="shared" si="86"/>
        <v>2.1623873870209698E-2</v>
      </c>
      <c r="N235" s="213">
        <f t="shared" si="87"/>
        <v>3.4079982420853194E-2</v>
      </c>
      <c r="O235" s="359"/>
      <c r="P235" s="359"/>
      <c r="Q235" s="312"/>
      <c r="R235" s="312"/>
      <c r="S235" s="312"/>
    </row>
    <row r="236" spans="1:19" ht="13.35" customHeight="1">
      <c r="A236" s="486" t="s">
        <v>149</v>
      </c>
      <c r="B236" s="372" t="s">
        <v>166</v>
      </c>
      <c r="C236" s="5" t="s">
        <v>12</v>
      </c>
      <c r="D236" s="251">
        <v>0.8491921548615865</v>
      </c>
      <c r="E236" s="251">
        <v>0.84305382295206266</v>
      </c>
      <c r="F236" s="251">
        <v>0.84759690175810076</v>
      </c>
      <c r="G236" s="251">
        <v>0.83706834637344152</v>
      </c>
      <c r="H236" s="251">
        <v>0.85467141884586117</v>
      </c>
      <c r="I236" s="251">
        <v>0.87075163398692812</v>
      </c>
      <c r="J236" s="251">
        <v>0.87358701335283229</v>
      </c>
      <c r="K236" s="359"/>
      <c r="L236" s="213">
        <f t="shared" si="85"/>
        <v>1.1617595893798516E-2</v>
      </c>
      <c r="M236" s="213">
        <f t="shared" si="86"/>
        <v>2.3154732228827357E-2</v>
      </c>
      <c r="N236" s="213">
        <f t="shared" si="87"/>
        <v>3.6518666979390768E-2</v>
      </c>
      <c r="O236" s="359"/>
      <c r="P236" s="214" t="s">
        <v>150</v>
      </c>
      <c r="Q236" s="312">
        <f t="shared" ref="Q236:S238" si="91">(L236-L240)*100</f>
        <v>0.16398420393370916</v>
      </c>
      <c r="R236" s="312">
        <f t="shared" si="91"/>
        <v>2.4238579955659922E-2</v>
      </c>
      <c r="S236" s="312">
        <f t="shared" si="91"/>
        <v>0.81400615556288525</v>
      </c>
    </row>
    <row r="237" spans="1:19">
      <c r="A237" s="484"/>
      <c r="B237" s="372" t="s">
        <v>170</v>
      </c>
      <c r="C237" s="5" t="s">
        <v>12</v>
      </c>
      <c r="D237" s="251">
        <v>0.86068443378057791</v>
      </c>
      <c r="E237" s="251">
        <v>0.85313440486655223</v>
      </c>
      <c r="F237" s="251">
        <v>0.85691337622611508</v>
      </c>
      <c r="G237" s="251">
        <v>0.8461132181404859</v>
      </c>
      <c r="H237" s="251">
        <v>0.86334214355318839</v>
      </c>
      <c r="I237" s="251">
        <v>0.8784617985125085</v>
      </c>
      <c r="J237" s="251">
        <v>0.88218503348337018</v>
      </c>
      <c r="K237" s="359"/>
      <c r="L237" s="213">
        <f t="shared" si="85"/>
        <v>1.0207738686636159E-2</v>
      </c>
      <c r="M237" s="213">
        <f t="shared" si="86"/>
        <v>2.154842228639342E-2</v>
      </c>
      <c r="N237" s="213">
        <f t="shared" si="87"/>
        <v>3.6071815342884284E-2</v>
      </c>
      <c r="O237" s="359"/>
      <c r="P237" s="359"/>
      <c r="Q237" s="312">
        <f t="shared" si="91"/>
        <v>0.23621647092275655</v>
      </c>
      <c r="R237" s="312">
        <f t="shared" si="91"/>
        <v>8.1432805203907055E-2</v>
      </c>
      <c r="S237" s="312">
        <f t="shared" si="91"/>
        <v>0.95103083005086964</v>
      </c>
    </row>
    <row r="238" spans="1:19" ht="13.35" customHeight="1">
      <c r="A238" s="486" t="s">
        <v>151</v>
      </c>
      <c r="B238" s="372" t="s">
        <v>166</v>
      </c>
      <c r="C238" s="5" t="s">
        <v>12</v>
      </c>
      <c r="D238" s="251">
        <v>0.96161787806637089</v>
      </c>
      <c r="E238" s="251">
        <v>0.96417470322045995</v>
      </c>
      <c r="F238" s="251">
        <v>0.9678323383781714</v>
      </c>
      <c r="G238" s="251">
        <v>0.95751430175912777</v>
      </c>
      <c r="H238" s="251">
        <v>0.96688509004853196</v>
      </c>
      <c r="I238" s="251">
        <v>0.98436958230423588</v>
      </c>
      <c r="J238" s="251">
        <v>0.98480664297470488</v>
      </c>
      <c r="K238" s="359"/>
      <c r="L238" s="213">
        <f t="shared" si="85"/>
        <v>2.7103868280720089E-3</v>
      </c>
      <c r="M238" s="213">
        <f t="shared" si="86"/>
        <v>1.6537243926064482E-2</v>
      </c>
      <c r="N238" s="213">
        <f t="shared" si="87"/>
        <v>2.7292341215577109E-2</v>
      </c>
      <c r="O238" s="359"/>
      <c r="P238" s="214" t="s">
        <v>152</v>
      </c>
      <c r="Q238" s="312">
        <f>(L238-L242)*100</f>
        <v>-3.0097440808196652E-2</v>
      </c>
      <c r="R238" s="312">
        <f t="shared" si="91"/>
        <v>-8.4524966084620345E-2</v>
      </c>
      <c r="S238" s="312">
        <f t="shared" si="91"/>
        <v>0.43010164254774219</v>
      </c>
    </row>
    <row r="239" spans="1:19">
      <c r="A239" s="484"/>
      <c r="B239" s="372" t="s">
        <v>170</v>
      </c>
      <c r="C239" s="5" t="s">
        <v>12</v>
      </c>
      <c r="D239" s="251">
        <v>0.96198671527414159</v>
      </c>
      <c r="E239" s="251">
        <v>0.964487102736306</v>
      </c>
      <c r="F239" s="251">
        <v>0.96807835846838586</v>
      </c>
      <c r="G239" s="251">
        <v>0.95777454127079065</v>
      </c>
      <c r="H239" s="251">
        <v>0.96707293074939493</v>
      </c>
      <c r="I239" s="251">
        <v>0.9847630881361551</v>
      </c>
      <c r="J239" s="251">
        <v>0.98670073142950054</v>
      </c>
      <c r="K239" s="359"/>
      <c r="L239" s="213">
        <f t="shared" si="85"/>
        <v>2.5858280130889311E-3</v>
      </c>
      <c r="M239" s="213">
        <f t="shared" si="86"/>
        <v>1.6684729667769238E-2</v>
      </c>
      <c r="N239" s="213">
        <f t="shared" si="87"/>
        <v>2.8926190158709897E-2</v>
      </c>
      <c r="O239" s="359"/>
      <c r="P239" s="359"/>
      <c r="Q239" s="312">
        <f>(L239-L243)*100</f>
        <v>-3.1626770998693932E-2</v>
      </c>
      <c r="R239" s="312">
        <f t="shared" ref="R239" si="92">(M239-M243)*100</f>
        <v>-6.1824628528905912E-2</v>
      </c>
      <c r="S239" s="312">
        <f t="shared" ref="S239" si="93">(N239-N243)*100</f>
        <v>0.55361310511992112</v>
      </c>
    </row>
    <row r="240" spans="1:19" ht="13.7" customHeight="1">
      <c r="A240" s="486" t="s">
        <v>153</v>
      </c>
      <c r="B240" s="372" t="s">
        <v>166</v>
      </c>
      <c r="C240" s="5" t="s">
        <v>12</v>
      </c>
      <c r="D240" s="251">
        <v>0.76182237186323021</v>
      </c>
      <c r="E240" s="251">
        <v>0.77259761249412795</v>
      </c>
      <c r="F240" s="251">
        <v>0.78642606459413911</v>
      </c>
      <c r="G240" s="251">
        <v>0.79044816387915651</v>
      </c>
      <c r="H240" s="251">
        <v>0.78257536634858937</v>
      </c>
      <c r="I240" s="251">
        <v>0.80933841102340986</v>
      </c>
      <c r="J240" s="251">
        <v>0.81882676930291842</v>
      </c>
      <c r="K240" s="359"/>
      <c r="L240" s="213">
        <f t="shared" si="85"/>
        <v>9.9777538544614242E-3</v>
      </c>
      <c r="M240" s="213">
        <f t="shared" si="86"/>
        <v>2.2912346429270758E-2</v>
      </c>
      <c r="N240" s="213">
        <f t="shared" si="87"/>
        <v>2.8378605423761916E-2</v>
      </c>
      <c r="O240" s="359"/>
      <c r="P240" s="359"/>
      <c r="Q240" s="312"/>
      <c r="R240" s="312"/>
      <c r="S240" s="312"/>
    </row>
    <row r="241" spans="1:19">
      <c r="A241" s="484"/>
      <c r="B241" s="372" t="s">
        <v>170</v>
      </c>
      <c r="C241" s="5" t="s">
        <v>12</v>
      </c>
      <c r="D241" s="251">
        <v>0.78016910498967562</v>
      </c>
      <c r="E241" s="251">
        <v>0.79010791092388233</v>
      </c>
      <c r="F241" s="251">
        <v>0.80375760487704984</v>
      </c>
      <c r="G241" s="251">
        <v>0.80892196073246514</v>
      </c>
      <c r="H241" s="251">
        <v>0.79795348490129092</v>
      </c>
      <c r="I241" s="251">
        <v>0.82449169911140419</v>
      </c>
      <c r="J241" s="251">
        <v>0.83548346777484073</v>
      </c>
      <c r="K241" s="359"/>
      <c r="L241" s="213">
        <f t="shared" si="85"/>
        <v>7.8455739774085931E-3</v>
      </c>
      <c r="M241" s="213">
        <f t="shared" si="86"/>
        <v>2.073409423435435E-2</v>
      </c>
      <c r="N241" s="213">
        <f t="shared" si="87"/>
        <v>2.6561507042375587E-2</v>
      </c>
      <c r="O241" s="359"/>
      <c r="P241" s="359"/>
      <c r="Q241" s="312"/>
      <c r="R241" s="312"/>
      <c r="S241" s="312"/>
    </row>
    <row r="242" spans="1:19" ht="13.7" customHeight="1">
      <c r="A242" s="486" t="s">
        <v>154</v>
      </c>
      <c r="B242" s="372" t="s">
        <v>166</v>
      </c>
      <c r="C242" s="5" t="s">
        <v>12</v>
      </c>
      <c r="D242" s="251">
        <v>0.9566376528786984</v>
      </c>
      <c r="E242" s="251">
        <v>0.96078302929386628</v>
      </c>
      <c r="F242" s="251">
        <v>0.96615527833900738</v>
      </c>
      <c r="G242" s="251">
        <v>0.96369533738777879</v>
      </c>
      <c r="H242" s="251">
        <v>0.96379439053002025</v>
      </c>
      <c r="I242" s="251">
        <v>0.98353777192591807</v>
      </c>
      <c r="J242" s="251">
        <v>0.98668666217787848</v>
      </c>
      <c r="K242" s="359"/>
      <c r="L242" s="213">
        <f t="shared" si="85"/>
        <v>3.0113612361539754E-3</v>
      </c>
      <c r="M242" s="213">
        <f t="shared" si="86"/>
        <v>1.7382493586910686E-2</v>
      </c>
      <c r="N242" s="213">
        <f t="shared" si="87"/>
        <v>2.2991324790099688E-2</v>
      </c>
      <c r="O242" s="359"/>
      <c r="P242" s="359"/>
      <c r="Q242" s="312"/>
      <c r="R242" s="312"/>
      <c r="S242" s="312"/>
    </row>
    <row r="243" spans="1:19">
      <c r="A243" s="484"/>
      <c r="B243" s="372" t="s">
        <v>170</v>
      </c>
      <c r="C243" s="5" t="s">
        <v>12</v>
      </c>
      <c r="D243" s="251">
        <v>0.95694576390137021</v>
      </c>
      <c r="E243" s="251">
        <v>0.96101124379013569</v>
      </c>
      <c r="F243" s="251">
        <v>0.96638388931109831</v>
      </c>
      <c r="G243" s="251">
        <v>0.96387373298580947</v>
      </c>
      <c r="H243" s="251">
        <v>0.96391333951321156</v>
      </c>
      <c r="I243" s="251">
        <v>0.98368686526415661</v>
      </c>
      <c r="J243" s="251">
        <v>0.98726379209332016</v>
      </c>
      <c r="K243" s="359"/>
      <c r="L243" s="213">
        <f t="shared" si="85"/>
        <v>2.9020957230758704E-3</v>
      </c>
      <c r="M243" s="213">
        <f t="shared" si="86"/>
        <v>1.7302975953058297E-2</v>
      </c>
      <c r="N243" s="213">
        <f t="shared" si="87"/>
        <v>2.3390059107510686E-2</v>
      </c>
      <c r="O243" s="359"/>
      <c r="P243" s="359"/>
      <c r="Q243" s="312"/>
      <c r="R243" s="312"/>
      <c r="S243" s="312"/>
    </row>
    <row r="244" spans="1:19" ht="15.75" customHeight="1">
      <c r="A244" s="94" t="s">
        <v>174</v>
      </c>
      <c r="B244" s="95" t="s">
        <v>175</v>
      </c>
      <c r="C244" s="107"/>
      <c r="D244" s="359"/>
      <c r="E244" s="359"/>
      <c r="F244" s="359"/>
      <c r="G244" s="359"/>
      <c r="H244" s="359"/>
      <c r="I244" s="359"/>
      <c r="J244" s="359"/>
      <c r="K244" s="359"/>
      <c r="L244" s="49"/>
      <c r="M244" s="213"/>
      <c r="N244" s="251"/>
      <c r="O244" s="359"/>
      <c r="P244" s="359"/>
      <c r="Q244" s="312"/>
      <c r="R244" s="359"/>
      <c r="S244" s="312"/>
    </row>
    <row r="245" spans="1:19" ht="17.850000000000001" customHeight="1">
      <c r="A245" s="486" t="s">
        <v>142</v>
      </c>
      <c r="B245" s="372" t="s">
        <v>166</v>
      </c>
      <c r="C245" s="5" t="s">
        <v>12</v>
      </c>
      <c r="D245" s="251">
        <v>0.50375107579554745</v>
      </c>
      <c r="E245" s="251">
        <v>0.53216541681757179</v>
      </c>
      <c r="F245" s="251">
        <v>0.5448937201142624</v>
      </c>
      <c r="G245" s="251">
        <v>0.54790975456574054</v>
      </c>
      <c r="H245" s="251">
        <v>0.56360047343188968</v>
      </c>
      <c r="I245" s="251">
        <v>0.61138143187593119</v>
      </c>
      <c r="J245" s="251">
        <v>0.62654335440568176</v>
      </c>
      <c r="K245" s="359"/>
      <c r="L245" s="213">
        <f t="shared" ref="L245:L260" si="94">(H245-E245)</f>
        <v>3.1435056614317891E-2</v>
      </c>
      <c r="M245" s="213">
        <f t="shared" ref="M245:M260" si="95">(I245-F245)</f>
        <v>6.6487711761668788E-2</v>
      </c>
      <c r="N245" s="213">
        <f t="shared" ref="N245:N260" si="96">(J245-G245)</f>
        <v>7.8633599839941226E-2</v>
      </c>
      <c r="O245" s="359"/>
      <c r="P245" s="214" t="s">
        <v>144</v>
      </c>
      <c r="Q245" s="312">
        <f t="shared" ref="Q245:S247" si="97">(L245-L249)*100</f>
        <v>0.26394997688110045</v>
      </c>
      <c r="R245" s="312">
        <f t="shared" si="97"/>
        <v>-2.289071692125888E-2</v>
      </c>
      <c r="S245" s="312">
        <f t="shared" si="97"/>
        <v>-0.57559164761866177</v>
      </c>
    </row>
    <row r="246" spans="1:19">
      <c r="A246" s="484"/>
      <c r="B246" s="372" t="s">
        <v>170</v>
      </c>
      <c r="C246" s="5" t="s">
        <v>12</v>
      </c>
      <c r="D246" s="251">
        <v>0.7492151428710615</v>
      </c>
      <c r="E246" s="251">
        <v>0.76295298152921875</v>
      </c>
      <c r="F246" s="251">
        <v>0.76754303351359499</v>
      </c>
      <c r="G246" s="251">
        <v>0.76692950603694898</v>
      </c>
      <c r="H246" s="251">
        <v>0.79983421913626573</v>
      </c>
      <c r="I246" s="251">
        <v>0.84360401222462555</v>
      </c>
      <c r="J246" s="251">
        <v>0.8566013684018835</v>
      </c>
      <c r="K246" s="359"/>
      <c r="L246" s="213">
        <f t="shared" si="94"/>
        <v>3.6881237607046979E-2</v>
      </c>
      <c r="M246" s="213">
        <f t="shared" si="95"/>
        <v>7.6060978711030569E-2</v>
      </c>
      <c r="N246" s="213">
        <f t="shared" si="96"/>
        <v>8.9671862364934518E-2</v>
      </c>
      <c r="O246" s="359"/>
      <c r="P246" s="359"/>
      <c r="Q246" s="312">
        <f t="shared" si="97"/>
        <v>-0.60600759736409993</v>
      </c>
      <c r="R246" s="312">
        <f t="shared" si="97"/>
        <v>-0.85851083368049252</v>
      </c>
      <c r="S246" s="312">
        <f t="shared" si="97"/>
        <v>-1.8604152570289578</v>
      </c>
    </row>
    <row r="247" spans="1:19" ht="17.850000000000001" customHeight="1">
      <c r="A247" s="486" t="s">
        <v>145</v>
      </c>
      <c r="B247" s="372" t="s">
        <v>166</v>
      </c>
      <c r="C247" s="5" t="s">
        <v>12</v>
      </c>
      <c r="D247" s="251">
        <v>0.68435247475654715</v>
      </c>
      <c r="E247" s="251">
        <v>0.70586237716458</v>
      </c>
      <c r="F247" s="251">
        <v>0.71153096442675556</v>
      </c>
      <c r="G247" s="251">
        <v>0.70931776412031844</v>
      </c>
      <c r="H247" s="251">
        <v>0.72357272961436558</v>
      </c>
      <c r="I247" s="251">
        <v>0.755493717246559</v>
      </c>
      <c r="J247" s="251">
        <v>0.76955622806359369</v>
      </c>
      <c r="K247" s="359"/>
      <c r="L247" s="213">
        <f t="shared" si="94"/>
        <v>1.7710352449785582E-2</v>
      </c>
      <c r="M247" s="213">
        <f t="shared" si="95"/>
        <v>4.3962752819803441E-2</v>
      </c>
      <c r="N247" s="213">
        <f t="shared" si="96"/>
        <v>6.0238463943275256E-2</v>
      </c>
      <c r="O247" s="359"/>
      <c r="P247" s="214" t="s">
        <v>146</v>
      </c>
      <c r="Q247" s="312">
        <f>(L247-L251)*100</f>
        <v>-1.0629626711788687</v>
      </c>
      <c r="R247" s="312">
        <f t="shared" si="97"/>
        <v>-2.4068987977116874</v>
      </c>
      <c r="S247" s="312">
        <f t="shared" si="97"/>
        <v>-3.6488889322751183</v>
      </c>
    </row>
    <row r="248" spans="1:19">
      <c r="A248" s="484"/>
      <c r="B248" s="372" t="s">
        <v>170</v>
      </c>
      <c r="C248" s="5" t="s">
        <v>12</v>
      </c>
      <c r="D248" s="251">
        <v>0.91635441782563487</v>
      </c>
      <c r="E248" s="251">
        <v>0.9237223583457338</v>
      </c>
      <c r="F248" s="251">
        <v>0.91643338083480719</v>
      </c>
      <c r="G248" s="251">
        <v>0.91004462777124939</v>
      </c>
      <c r="H248" s="251">
        <v>0.95604347586105387</v>
      </c>
      <c r="I248" s="251">
        <v>0.96028236525202748</v>
      </c>
      <c r="J248" s="251">
        <v>0.97240285454651565</v>
      </c>
      <c r="K248" s="359"/>
      <c r="L248" s="213">
        <f t="shared" si="94"/>
        <v>3.2321117515320075E-2</v>
      </c>
      <c r="M248" s="213">
        <f t="shared" si="95"/>
        <v>4.3848984417220294E-2</v>
      </c>
      <c r="N248" s="213">
        <f t="shared" si="96"/>
        <v>6.2358226775266257E-2</v>
      </c>
      <c r="O248" s="359"/>
      <c r="P248" s="359"/>
      <c r="Q248" s="312">
        <f>(L248-L252)*100</f>
        <v>-0.50780148504584455</v>
      </c>
      <c r="R248" s="312">
        <f t="shared" ref="R248" si="98">(M248-M252)*100</f>
        <v>-1.7184692009162172</v>
      </c>
      <c r="S248" s="312">
        <f t="shared" ref="S248" si="99">(N248-N252)*100</f>
        <v>-2.6006430235971045</v>
      </c>
    </row>
    <row r="249" spans="1:19">
      <c r="A249" s="486" t="s">
        <v>147</v>
      </c>
      <c r="B249" s="372" t="s">
        <v>166</v>
      </c>
      <c r="C249" s="5" t="s">
        <v>12</v>
      </c>
      <c r="D249" s="251">
        <v>0.40729600084806411</v>
      </c>
      <c r="E249" s="251">
        <v>0.43147423655949702</v>
      </c>
      <c r="F249" s="251">
        <v>0.44861455229915642</v>
      </c>
      <c r="G249" s="251">
        <v>0.44690351046812099</v>
      </c>
      <c r="H249" s="251">
        <v>0.4602697934050039</v>
      </c>
      <c r="I249" s="251">
        <v>0.5153311712300378</v>
      </c>
      <c r="J249" s="251">
        <v>0.53129302678424883</v>
      </c>
      <c r="K249" s="359"/>
      <c r="L249" s="213">
        <f t="shared" si="94"/>
        <v>2.8795556845506887E-2</v>
      </c>
      <c r="M249" s="213">
        <f t="shared" si="95"/>
        <v>6.6716618930881377E-2</v>
      </c>
      <c r="N249" s="213">
        <f t="shared" si="96"/>
        <v>8.4389516316127844E-2</v>
      </c>
      <c r="O249" s="359"/>
      <c r="P249" s="359"/>
      <c r="Q249" s="312"/>
      <c r="R249" s="312"/>
      <c r="S249" s="312"/>
    </row>
    <row r="250" spans="1:19">
      <c r="A250" s="484"/>
      <c r="B250" s="372" t="s">
        <v>170</v>
      </c>
      <c r="C250" s="5" t="s">
        <v>12</v>
      </c>
      <c r="D250" s="251">
        <v>0.65546880311202627</v>
      </c>
      <c r="E250" s="251">
        <v>0.66770983161770847</v>
      </c>
      <c r="F250" s="251">
        <v>0.67838673458145904</v>
      </c>
      <c r="G250" s="251">
        <v>0.67850958918557847</v>
      </c>
      <c r="H250" s="251">
        <v>0.71065114519839645</v>
      </c>
      <c r="I250" s="251">
        <v>0.76303282162929453</v>
      </c>
      <c r="J250" s="251">
        <v>0.78678560412080256</v>
      </c>
      <c r="K250" s="359"/>
      <c r="L250" s="213">
        <f t="shared" si="94"/>
        <v>4.2941313580687979E-2</v>
      </c>
      <c r="M250" s="213">
        <f t="shared" si="95"/>
        <v>8.4646087047835494E-2</v>
      </c>
      <c r="N250" s="213">
        <f t="shared" si="96"/>
        <v>0.1082760149352241</v>
      </c>
      <c r="O250" s="359"/>
      <c r="P250" s="359"/>
      <c r="Q250" s="312"/>
      <c r="R250" s="312"/>
      <c r="S250" s="312"/>
    </row>
    <row r="251" spans="1:19">
      <c r="A251" s="486" t="s">
        <v>148</v>
      </c>
      <c r="B251" s="372" t="s">
        <v>166</v>
      </c>
      <c r="C251" s="5" t="s">
        <v>12</v>
      </c>
      <c r="D251" s="251">
        <v>0.61404830835395119</v>
      </c>
      <c r="E251" s="251">
        <v>0.62946151144254414</v>
      </c>
      <c r="F251" s="251">
        <v>0.64364142081512576</v>
      </c>
      <c r="G251" s="251">
        <v>0.62820912528661055</v>
      </c>
      <c r="H251" s="251">
        <v>0.65780149060411841</v>
      </c>
      <c r="I251" s="251">
        <v>0.71167316161204608</v>
      </c>
      <c r="J251" s="251">
        <v>0.72493647855263699</v>
      </c>
      <c r="K251" s="359"/>
      <c r="L251" s="213">
        <f t="shared" si="94"/>
        <v>2.8339979161574269E-2</v>
      </c>
      <c r="M251" s="213">
        <f t="shared" si="95"/>
        <v>6.8031740796920315E-2</v>
      </c>
      <c r="N251" s="213">
        <f t="shared" si="96"/>
        <v>9.6727353266026439E-2</v>
      </c>
      <c r="O251" s="359"/>
      <c r="P251" s="359"/>
      <c r="Q251" s="312"/>
      <c r="R251" s="312"/>
      <c r="S251" s="312"/>
    </row>
    <row r="252" spans="1:19">
      <c r="A252" s="484"/>
      <c r="B252" s="372" t="s">
        <v>170</v>
      </c>
      <c r="C252" s="5" t="s">
        <v>12</v>
      </c>
      <c r="D252" s="251">
        <v>0.87164772668734092</v>
      </c>
      <c r="E252" s="251">
        <v>0.87871787502978227</v>
      </c>
      <c r="F252" s="251">
        <v>0.87634972159647684</v>
      </c>
      <c r="G252" s="251">
        <v>0.86575438143147521</v>
      </c>
      <c r="H252" s="251">
        <v>0.91611700739556079</v>
      </c>
      <c r="I252" s="251">
        <v>0.9373833980228593</v>
      </c>
      <c r="J252" s="251">
        <v>0.95411903844271251</v>
      </c>
      <c r="K252" s="359"/>
      <c r="L252" s="213">
        <f t="shared" si="94"/>
        <v>3.739913236577852E-2</v>
      </c>
      <c r="M252" s="213">
        <f t="shared" si="95"/>
        <v>6.1033676426382466E-2</v>
      </c>
      <c r="N252" s="213">
        <f t="shared" si="96"/>
        <v>8.8364657011237302E-2</v>
      </c>
      <c r="O252" s="359"/>
      <c r="P252" s="359"/>
      <c r="Q252" s="312"/>
      <c r="R252" s="312"/>
      <c r="S252" s="312"/>
    </row>
    <row r="253" spans="1:19" ht="16.350000000000001" customHeight="1">
      <c r="A253" s="486" t="s">
        <v>149</v>
      </c>
      <c r="B253" s="372" t="s">
        <v>166</v>
      </c>
      <c r="C253" s="5" t="s">
        <v>12</v>
      </c>
      <c r="D253" s="251">
        <v>0.48155208325666637</v>
      </c>
      <c r="E253" s="251">
        <v>0.49839043082256562</v>
      </c>
      <c r="F253" s="251">
        <v>0.50389815715796538</v>
      </c>
      <c r="G253" s="251">
        <v>0.49249114541203798</v>
      </c>
      <c r="H253" s="251">
        <v>0.5293086647177393</v>
      </c>
      <c r="I253" s="251">
        <v>0.56809048906919091</v>
      </c>
      <c r="J253" s="251">
        <v>0.57711786416420841</v>
      </c>
      <c r="K253" s="359"/>
      <c r="L253" s="213">
        <f t="shared" si="94"/>
        <v>3.0918233895173675E-2</v>
      </c>
      <c r="M253" s="213">
        <f t="shared" si="95"/>
        <v>6.4192331911225531E-2</v>
      </c>
      <c r="N253" s="213">
        <f t="shared" si="96"/>
        <v>8.4626718752170427E-2</v>
      </c>
      <c r="O253" s="359"/>
      <c r="P253" s="214" t="s">
        <v>150</v>
      </c>
      <c r="Q253" s="312">
        <f t="shared" ref="Q253:S255" si="100">(L253-L257)*100</f>
        <v>0.29853046047747522</v>
      </c>
      <c r="R253" s="312">
        <f t="shared" si="100"/>
        <v>-0.65730488548039201</v>
      </c>
      <c r="S253" s="312">
        <f t="shared" si="100"/>
        <v>0.50154164070310703</v>
      </c>
    </row>
    <row r="254" spans="1:19">
      <c r="A254" s="484"/>
      <c r="B254" s="372" t="s">
        <v>170</v>
      </c>
      <c r="C254" s="5" t="s">
        <v>12</v>
      </c>
      <c r="D254" s="251">
        <v>0.74585896055105372</v>
      </c>
      <c r="E254" s="251">
        <v>0.74271522272659618</v>
      </c>
      <c r="F254" s="251">
        <v>0.73685565746926573</v>
      </c>
      <c r="G254" s="251">
        <v>0.72457371845424912</v>
      </c>
      <c r="H254" s="251">
        <v>0.78170544498284678</v>
      </c>
      <c r="I254" s="251">
        <v>0.81207009240477801</v>
      </c>
      <c r="J254" s="251">
        <v>0.82734021843775141</v>
      </c>
      <c r="K254" s="359"/>
      <c r="L254" s="213">
        <f t="shared" si="94"/>
        <v>3.8990222256250595E-2</v>
      </c>
      <c r="M254" s="213">
        <f t="shared" si="95"/>
        <v>7.5214434935512275E-2</v>
      </c>
      <c r="N254" s="213">
        <f t="shared" si="96"/>
        <v>0.10276649998350229</v>
      </c>
      <c r="O254" s="359"/>
      <c r="P254" s="359"/>
      <c r="Q254" s="312">
        <f t="shared" si="100"/>
        <v>-0.52428700564844943</v>
      </c>
      <c r="R254" s="312">
        <f t="shared" si="100"/>
        <v>-1.8608110002667821</v>
      </c>
      <c r="S254" s="312">
        <f t="shared" si="100"/>
        <v>-0.27970343750423066</v>
      </c>
    </row>
    <row r="255" spans="1:19" ht="16.350000000000001" customHeight="1">
      <c r="A255" s="486" t="s">
        <v>151</v>
      </c>
      <c r="B255" s="372" t="s">
        <v>166</v>
      </c>
      <c r="C255" s="5" t="s">
        <v>12</v>
      </c>
      <c r="D255" s="251">
        <v>0.65893096487154912</v>
      </c>
      <c r="E255" s="251">
        <v>0.66620438509579816</v>
      </c>
      <c r="F255" s="251">
        <v>0.67142733368774488</v>
      </c>
      <c r="G255" s="251">
        <v>0.65387323139858189</v>
      </c>
      <c r="H255" s="251">
        <v>0.68948143188282829</v>
      </c>
      <c r="I255" s="251">
        <v>0.72621043715752531</v>
      </c>
      <c r="J255" s="251">
        <v>0.73948067381115679</v>
      </c>
      <c r="K255" s="359"/>
      <c r="L255" s="213">
        <f t="shared" si="94"/>
        <v>2.3277046787030131E-2</v>
      </c>
      <c r="M255" s="213">
        <f t="shared" si="95"/>
        <v>5.4783103469780436E-2</v>
      </c>
      <c r="N255" s="213">
        <f t="shared" si="96"/>
        <v>8.5607442412574897E-2</v>
      </c>
      <c r="O255" s="359"/>
      <c r="P255" s="214" t="s">
        <v>152</v>
      </c>
      <c r="Q255" s="312">
        <f>(L255-L259)*100</f>
        <v>-0.38097839907835773</v>
      </c>
      <c r="R255" s="312">
        <f t="shared" si="100"/>
        <v>-1.5801717315146013</v>
      </c>
      <c r="S255" s="312">
        <f t="shared" si="100"/>
        <v>-8.1666501069221908E-3</v>
      </c>
    </row>
    <row r="256" spans="1:19">
      <c r="A256" s="484"/>
      <c r="B256" s="372" t="s">
        <v>170</v>
      </c>
      <c r="C256" s="5" t="s">
        <v>12</v>
      </c>
      <c r="D256" s="251">
        <v>0.89603565865433699</v>
      </c>
      <c r="E256" s="251">
        <v>0.8972231735085211</v>
      </c>
      <c r="F256" s="251">
        <v>0.88779986372626307</v>
      </c>
      <c r="G256" s="251">
        <v>0.87542836793301348</v>
      </c>
      <c r="H256" s="251">
        <v>0.93104201753691007</v>
      </c>
      <c r="I256" s="251">
        <v>0.94114698307111477</v>
      </c>
      <c r="J256" s="251">
        <v>0.95851600331768183</v>
      </c>
      <c r="K256" s="359"/>
      <c r="L256" s="213">
        <f t="shared" si="94"/>
        <v>3.3818844028388972E-2</v>
      </c>
      <c r="M256" s="213">
        <f t="shared" si="95"/>
        <v>5.3347119344851701E-2</v>
      </c>
      <c r="N256" s="213">
        <f t="shared" si="96"/>
        <v>8.3087635384668346E-2</v>
      </c>
      <c r="O256" s="359"/>
      <c r="P256" s="359"/>
      <c r="Q256" s="312">
        <f>(L256-L260)*100</f>
        <v>-0.4820456846765464</v>
      </c>
      <c r="R256" s="312">
        <f t="shared" ref="R256" si="101">(M256-M260)*100</f>
        <v>-0.61011772425891841</v>
      </c>
      <c r="S256" s="312">
        <f t="shared" ref="S256" si="102">(N256-N260)*100</f>
        <v>0.91806498211187693</v>
      </c>
    </row>
    <row r="257" spans="1:19" ht="16.7" customHeight="1">
      <c r="A257" s="486" t="s">
        <v>153</v>
      </c>
      <c r="B257" s="372" t="s">
        <v>166</v>
      </c>
      <c r="C257" s="5" t="s">
        <v>12</v>
      </c>
      <c r="D257" s="251">
        <v>0.39170131441785788</v>
      </c>
      <c r="E257" s="251">
        <v>0.41058554777131628</v>
      </c>
      <c r="F257" s="251">
        <v>0.42733757720119248</v>
      </c>
      <c r="G257" s="251">
        <v>0.42918291796126129</v>
      </c>
      <c r="H257" s="251">
        <v>0.43851847706171521</v>
      </c>
      <c r="I257" s="251">
        <v>0.49810295796722193</v>
      </c>
      <c r="J257" s="251">
        <v>0.50879422030640065</v>
      </c>
      <c r="K257" s="359"/>
      <c r="L257" s="213">
        <f t="shared" si="94"/>
        <v>2.7932929290398922E-2</v>
      </c>
      <c r="M257" s="213">
        <f t="shared" si="95"/>
        <v>7.0765380766029451E-2</v>
      </c>
      <c r="N257" s="213">
        <f t="shared" si="96"/>
        <v>7.9611302345139356E-2</v>
      </c>
      <c r="O257" s="359"/>
      <c r="P257" s="359"/>
      <c r="Q257" s="312"/>
      <c r="R257" s="312"/>
      <c r="S257" s="312"/>
    </row>
    <row r="258" spans="1:19">
      <c r="A258" s="484"/>
      <c r="B258" s="372" t="s">
        <v>170</v>
      </c>
      <c r="C258" s="5" t="s">
        <v>12</v>
      </c>
      <c r="D258" s="251">
        <v>0.62251564640522095</v>
      </c>
      <c r="E258" s="251">
        <v>0.63307487624077208</v>
      </c>
      <c r="F258" s="251">
        <v>0.6472374228652934</v>
      </c>
      <c r="G258" s="251">
        <v>0.64981180174522379</v>
      </c>
      <c r="H258" s="251">
        <v>0.67730796855350717</v>
      </c>
      <c r="I258" s="251">
        <v>0.7410599678034735</v>
      </c>
      <c r="J258" s="251">
        <v>0.75537533610376839</v>
      </c>
      <c r="K258" s="359"/>
      <c r="L258" s="213">
        <f t="shared" si="94"/>
        <v>4.4233092312735089E-2</v>
      </c>
      <c r="M258" s="213">
        <f t="shared" si="95"/>
        <v>9.3822544938180097E-2</v>
      </c>
      <c r="N258" s="213">
        <f t="shared" si="96"/>
        <v>0.1055635343585446</v>
      </c>
      <c r="O258" s="359"/>
      <c r="P258" s="359"/>
      <c r="Q258" s="312"/>
      <c r="R258" s="312"/>
      <c r="S258" s="312"/>
    </row>
    <row r="259" spans="1:19" ht="16.7" customHeight="1">
      <c r="A259" s="486" t="s">
        <v>154</v>
      </c>
      <c r="B259" s="372" t="s">
        <v>166</v>
      </c>
      <c r="C259" s="5" t="s">
        <v>12</v>
      </c>
      <c r="D259" s="251">
        <v>0.61518217064215475</v>
      </c>
      <c r="E259" s="251">
        <v>0.63852091649251219</v>
      </c>
      <c r="F259" s="251">
        <v>0.65362348390764113</v>
      </c>
      <c r="G259" s="251">
        <v>0.64928583840139009</v>
      </c>
      <c r="H259" s="251">
        <v>0.6656077472703259</v>
      </c>
      <c r="I259" s="251">
        <v>0.72420830469256758</v>
      </c>
      <c r="J259" s="251">
        <v>0.73497494731503421</v>
      </c>
      <c r="K259" s="359"/>
      <c r="L259" s="213">
        <f t="shared" si="94"/>
        <v>2.7086830777813709E-2</v>
      </c>
      <c r="M259" s="213">
        <f t="shared" si="95"/>
        <v>7.058482078492645E-2</v>
      </c>
      <c r="N259" s="213">
        <f t="shared" si="96"/>
        <v>8.5689108913644119E-2</v>
      </c>
      <c r="O259" s="359"/>
      <c r="P259" s="359"/>
      <c r="Q259" s="312"/>
      <c r="R259" s="312"/>
      <c r="S259" s="312"/>
    </row>
    <row r="260" spans="1:19">
      <c r="A260" s="484"/>
      <c r="B260" s="372" t="s">
        <v>170</v>
      </c>
      <c r="C260" s="5" t="s">
        <v>12</v>
      </c>
      <c r="D260" s="251">
        <v>0.87776551039446771</v>
      </c>
      <c r="E260" s="251">
        <v>0.88912790365967298</v>
      </c>
      <c r="F260" s="251">
        <v>0.89178462786870727</v>
      </c>
      <c r="G260" s="251">
        <v>0.88827570228786568</v>
      </c>
      <c r="H260" s="251">
        <v>0.92776720453482742</v>
      </c>
      <c r="I260" s="251">
        <v>0.95123292445614815</v>
      </c>
      <c r="J260" s="251">
        <v>0.96218268785141525</v>
      </c>
      <c r="K260" s="359"/>
      <c r="L260" s="213">
        <f t="shared" si="94"/>
        <v>3.8639300875154436E-2</v>
      </c>
      <c r="M260" s="213">
        <f t="shared" si="95"/>
        <v>5.9448296587440885E-2</v>
      </c>
      <c r="N260" s="213">
        <f t="shared" si="96"/>
        <v>7.3906985563549576E-2</v>
      </c>
      <c r="O260" s="359"/>
      <c r="P260" s="359"/>
      <c r="Q260" s="312"/>
      <c r="R260" s="312"/>
      <c r="S260" s="312"/>
    </row>
    <row r="261" spans="1:19" ht="15.75" customHeight="1">
      <c r="A261" s="94" t="s">
        <v>176</v>
      </c>
      <c r="B261" s="95" t="s">
        <v>44</v>
      </c>
      <c r="C261" s="93"/>
      <c r="D261" s="359"/>
      <c r="E261" s="359"/>
      <c r="F261" s="359"/>
      <c r="G261" s="359"/>
      <c r="H261" s="359"/>
      <c r="I261" s="359"/>
      <c r="J261" s="359"/>
      <c r="K261" s="359"/>
      <c r="L261" s="49"/>
      <c r="M261" s="213"/>
      <c r="N261" s="251"/>
      <c r="O261" s="359"/>
      <c r="P261" s="359"/>
      <c r="Q261" s="312"/>
      <c r="R261" s="312"/>
      <c r="S261" s="312"/>
    </row>
    <row r="262" spans="1:19">
      <c r="A262" s="97"/>
      <c r="B262" s="489" t="s">
        <v>177</v>
      </c>
      <c r="C262" s="490"/>
      <c r="D262" s="359"/>
      <c r="E262" s="359"/>
      <c r="F262" s="359"/>
      <c r="G262" s="359"/>
      <c r="H262" s="359"/>
      <c r="I262" s="359"/>
      <c r="J262" s="359"/>
      <c r="K262" s="359"/>
      <c r="L262" s="49"/>
      <c r="M262" s="213"/>
      <c r="N262" s="251"/>
      <c r="O262" s="359"/>
      <c r="P262" s="359"/>
      <c r="Q262" s="312"/>
      <c r="R262" s="312"/>
      <c r="S262" s="312"/>
    </row>
    <row r="263" spans="1:19">
      <c r="A263" s="97"/>
      <c r="B263" s="501" t="s">
        <v>178</v>
      </c>
      <c r="C263" s="490"/>
      <c r="D263" s="359"/>
      <c r="E263" s="359"/>
      <c r="F263" s="359"/>
      <c r="G263" s="359"/>
      <c r="H263" s="359"/>
      <c r="I263" s="359"/>
      <c r="J263" s="359"/>
      <c r="K263" s="359"/>
      <c r="L263" s="49"/>
      <c r="M263" s="213"/>
      <c r="N263" s="251"/>
      <c r="O263" s="359"/>
      <c r="P263" s="359"/>
      <c r="Q263" s="312"/>
      <c r="R263" s="312"/>
      <c r="S263" s="312"/>
    </row>
    <row r="264" spans="1:19">
      <c r="A264" s="371" t="s">
        <v>179</v>
      </c>
      <c r="B264" s="98"/>
      <c r="C264" s="5"/>
      <c r="D264" s="359"/>
      <c r="E264" s="359"/>
      <c r="F264" s="359"/>
      <c r="G264" s="359"/>
      <c r="H264" s="359"/>
      <c r="I264" s="359"/>
      <c r="J264" s="359"/>
      <c r="K264" s="359"/>
      <c r="L264" s="49"/>
      <c r="M264" s="213"/>
      <c r="N264" s="251"/>
      <c r="O264" s="359"/>
      <c r="P264" s="359"/>
      <c r="Q264" s="312"/>
      <c r="R264" s="312"/>
      <c r="S264" s="312"/>
    </row>
    <row r="265" spans="1:19">
      <c r="A265" s="371" t="s">
        <v>180</v>
      </c>
      <c r="B265" s="98"/>
      <c r="C265" s="5"/>
      <c r="D265" s="359"/>
      <c r="E265" s="359"/>
      <c r="F265" s="359"/>
      <c r="G265" s="359"/>
      <c r="H265" s="359"/>
      <c r="I265" s="359"/>
      <c r="J265" s="359"/>
      <c r="K265" s="359"/>
      <c r="L265" s="49"/>
      <c r="M265" s="213"/>
      <c r="N265" s="251"/>
      <c r="O265" s="359"/>
      <c r="P265" s="359"/>
      <c r="Q265" s="312"/>
      <c r="R265" s="312"/>
      <c r="S265" s="312"/>
    </row>
    <row r="266" spans="1:19">
      <c r="A266" s="371" t="s">
        <v>181</v>
      </c>
      <c r="B266" s="98"/>
      <c r="C266" s="5"/>
      <c r="D266" s="359"/>
      <c r="E266" s="359"/>
      <c r="F266" s="359"/>
      <c r="G266" s="359"/>
      <c r="H266" s="359"/>
      <c r="I266" s="359"/>
      <c r="J266" s="359"/>
      <c r="K266" s="359"/>
      <c r="L266" s="49"/>
      <c r="M266" s="213"/>
      <c r="N266" s="251"/>
      <c r="O266" s="359"/>
      <c r="P266" s="359"/>
      <c r="Q266" s="312"/>
      <c r="R266" s="312"/>
      <c r="S266" s="312"/>
    </row>
    <row r="267" spans="1:19">
      <c r="A267" s="97"/>
      <c r="B267" s="501" t="s">
        <v>182</v>
      </c>
      <c r="C267" s="490"/>
      <c r="D267" s="359"/>
      <c r="E267" s="359"/>
      <c r="F267" s="359"/>
      <c r="G267" s="359"/>
      <c r="H267" s="359"/>
      <c r="I267" s="359"/>
      <c r="J267" s="359"/>
      <c r="K267" s="359"/>
      <c r="L267" s="49"/>
      <c r="M267" s="213"/>
      <c r="N267" s="251"/>
      <c r="O267" s="359"/>
      <c r="P267" s="359"/>
      <c r="Q267" s="312"/>
      <c r="R267" s="312"/>
      <c r="S267" s="312"/>
    </row>
    <row r="268" spans="1:19">
      <c r="A268" s="371" t="s">
        <v>183</v>
      </c>
      <c r="B268" s="98"/>
      <c r="C268" s="5"/>
      <c r="D268" s="359"/>
      <c r="E268" s="359"/>
      <c r="F268" s="359"/>
      <c r="G268" s="359"/>
      <c r="H268" s="359"/>
      <c r="I268" s="359"/>
      <c r="J268" s="359"/>
      <c r="K268" s="359"/>
      <c r="L268" s="49"/>
      <c r="M268" s="213"/>
      <c r="N268" s="251"/>
      <c r="O268" s="359"/>
      <c r="P268" s="359"/>
      <c r="Q268" s="312"/>
      <c r="R268" s="312"/>
      <c r="S268" s="312"/>
    </row>
    <row r="269" spans="1:19">
      <c r="A269" s="371" t="s">
        <v>184</v>
      </c>
      <c r="B269" s="98"/>
      <c r="C269" s="5"/>
      <c r="D269" s="359"/>
      <c r="E269" s="359"/>
      <c r="F269" s="359"/>
      <c r="G269" s="359"/>
      <c r="H269" s="359"/>
      <c r="I269" s="359"/>
      <c r="J269" s="359"/>
      <c r="K269" s="359"/>
      <c r="L269" s="49"/>
      <c r="M269" s="213"/>
      <c r="N269" s="251"/>
      <c r="O269" s="359"/>
      <c r="P269" s="359"/>
      <c r="Q269" s="312"/>
      <c r="R269" s="312"/>
      <c r="S269" s="312"/>
    </row>
    <row r="270" spans="1:19">
      <c r="A270" s="371" t="s">
        <v>185</v>
      </c>
      <c r="B270" s="98"/>
      <c r="C270" s="5"/>
      <c r="D270" s="359"/>
      <c r="E270" s="359"/>
      <c r="F270" s="359"/>
      <c r="G270" s="359"/>
      <c r="H270" s="359"/>
      <c r="I270" s="359"/>
      <c r="J270" s="359"/>
      <c r="K270" s="359"/>
      <c r="L270" s="49"/>
      <c r="M270" s="213"/>
      <c r="N270" s="251"/>
      <c r="O270" s="359"/>
      <c r="P270" s="359"/>
      <c r="Q270" s="312"/>
      <c r="R270" s="312"/>
      <c r="S270" s="312"/>
    </row>
    <row r="271" spans="1:19" ht="26.1" customHeight="1">
      <c r="A271" s="94" t="s">
        <v>186</v>
      </c>
      <c r="B271" s="504" t="s">
        <v>187</v>
      </c>
      <c r="C271" s="505"/>
      <c r="D271" s="359"/>
      <c r="E271" s="359"/>
      <c r="F271" s="359"/>
      <c r="G271" s="359"/>
      <c r="H271" s="359"/>
      <c r="I271" s="359"/>
      <c r="J271" s="359"/>
      <c r="K271" s="359"/>
      <c r="L271" s="49"/>
      <c r="M271" s="213"/>
      <c r="N271" s="251"/>
      <c r="O271" s="359"/>
      <c r="P271" s="359"/>
      <c r="Q271" s="312"/>
      <c r="R271" s="312"/>
      <c r="S271" s="312"/>
    </row>
    <row r="272" spans="1:19" ht="17.850000000000001" customHeight="1">
      <c r="A272" s="483" t="s">
        <v>179</v>
      </c>
      <c r="B272" s="370" t="s">
        <v>188</v>
      </c>
      <c r="C272" s="153" t="s">
        <v>189</v>
      </c>
      <c r="D272" s="225">
        <v>3401</v>
      </c>
      <c r="E272" s="225">
        <v>4782</v>
      </c>
      <c r="F272" s="225">
        <v>6345</v>
      </c>
      <c r="G272" s="225">
        <v>6285</v>
      </c>
      <c r="H272" s="225">
        <v>7218</v>
      </c>
      <c r="I272" s="225">
        <v>37181</v>
      </c>
      <c r="J272" s="225">
        <v>85082</v>
      </c>
      <c r="K272" s="359"/>
      <c r="L272" s="215"/>
      <c r="M272" s="215"/>
      <c r="N272" s="215"/>
      <c r="O272" s="359"/>
      <c r="P272" s="214"/>
      <c r="Q272" s="312"/>
      <c r="R272" s="221"/>
      <c r="S272" s="221"/>
    </row>
    <row r="273" spans="1:19">
      <c r="A273" s="484"/>
      <c r="B273" s="370" t="s">
        <v>188</v>
      </c>
      <c r="C273" s="153" t="s">
        <v>190</v>
      </c>
      <c r="D273" s="225">
        <v>64024</v>
      </c>
      <c r="E273" s="225">
        <v>89578</v>
      </c>
      <c r="F273" s="225">
        <v>105521</v>
      </c>
      <c r="G273" s="225">
        <v>103313</v>
      </c>
      <c r="H273" s="225">
        <v>94187</v>
      </c>
      <c r="I273" s="225">
        <v>118967</v>
      </c>
      <c r="J273" s="225">
        <v>145928</v>
      </c>
      <c r="K273" s="359"/>
      <c r="L273" s="215"/>
      <c r="M273" s="215"/>
      <c r="N273" s="215"/>
      <c r="O273" s="359"/>
      <c r="P273" s="359"/>
      <c r="Q273" s="312"/>
      <c r="R273" s="224"/>
      <c r="S273" s="221"/>
    </row>
    <row r="274" spans="1:19">
      <c r="A274" s="484"/>
      <c r="B274" s="370" t="s">
        <v>188</v>
      </c>
      <c r="C274" s="154" t="s">
        <v>191</v>
      </c>
      <c r="D274" s="225">
        <v>71426</v>
      </c>
      <c r="E274" s="225">
        <v>90292</v>
      </c>
      <c r="F274" s="225">
        <v>95781</v>
      </c>
      <c r="G274" s="225">
        <v>98467</v>
      </c>
      <c r="H274" s="225">
        <v>164730</v>
      </c>
      <c r="I274" s="225">
        <v>355977</v>
      </c>
      <c r="J274" s="225">
        <v>365974</v>
      </c>
      <c r="K274" s="359"/>
      <c r="L274" s="215"/>
      <c r="M274" s="215"/>
      <c r="N274" s="215"/>
      <c r="O274" s="359"/>
      <c r="P274" s="359"/>
      <c r="Q274" s="312"/>
      <c r="R274" s="224"/>
      <c r="S274" s="221"/>
    </row>
    <row r="275" spans="1:19">
      <c r="A275" s="484"/>
      <c r="B275" s="370" t="s">
        <v>188</v>
      </c>
      <c r="C275" s="154" t="s">
        <v>192</v>
      </c>
      <c r="D275" s="225">
        <v>122623</v>
      </c>
      <c r="E275" s="225">
        <v>155661</v>
      </c>
      <c r="F275" s="225">
        <v>173113</v>
      </c>
      <c r="G275" s="225">
        <v>173471</v>
      </c>
      <c r="H275" s="225">
        <v>215607</v>
      </c>
      <c r="I275" s="225">
        <v>390205</v>
      </c>
      <c r="J275" s="225">
        <v>401109</v>
      </c>
      <c r="K275" s="359"/>
      <c r="L275" s="215"/>
      <c r="M275" s="215"/>
      <c r="N275" s="215"/>
      <c r="O275" s="359"/>
      <c r="P275" s="359"/>
      <c r="Q275" s="312"/>
      <c r="R275" s="224"/>
      <c r="S275" s="224"/>
    </row>
    <row r="276" spans="1:19" ht="14.45" customHeight="1">
      <c r="A276" s="484"/>
      <c r="B276" s="370" t="s">
        <v>193</v>
      </c>
      <c r="C276" s="153" t="s">
        <v>189</v>
      </c>
      <c r="D276" s="251">
        <v>3.2610707166205299E-3</v>
      </c>
      <c r="E276" s="251">
        <v>4.7091911949351086E-3</v>
      </c>
      <c r="F276" s="251">
        <v>6.3538127382679766E-3</v>
      </c>
      <c r="G276" s="251">
        <v>6.4536732028291424E-3</v>
      </c>
      <c r="H276" s="251">
        <v>7.08795028811369E-3</v>
      </c>
      <c r="I276" s="251">
        <v>3.7214455795760389E-2</v>
      </c>
      <c r="J276" s="251">
        <v>8.7107421771019752E-2</v>
      </c>
      <c r="K276" s="359"/>
      <c r="L276" s="49">
        <f t="shared" ref="L276:N279" si="103">(H276-E276)</f>
        <v>2.3787590931785814E-3</v>
      </c>
      <c r="M276" s="49">
        <f t="shared" si="103"/>
        <v>3.0860643057492414E-2</v>
      </c>
      <c r="N276" s="49">
        <f t="shared" si="103"/>
        <v>8.0653748568190603E-2</v>
      </c>
      <c r="O276" s="359"/>
      <c r="P276" s="214" t="s">
        <v>194</v>
      </c>
      <c r="Q276" s="222">
        <f t="shared" ref="Q276:S279" si="104">(L276-L284)*100</f>
        <v>-2.4453189777385448E-2</v>
      </c>
      <c r="R276" s="222">
        <f t="shared" si="104"/>
        <v>0.66598717689762832</v>
      </c>
      <c r="S276" s="222">
        <f t="shared" si="104"/>
        <v>2.3655921934372333</v>
      </c>
    </row>
    <row r="277" spans="1:19">
      <c r="A277" s="484"/>
      <c r="B277" s="370" t="s">
        <v>193</v>
      </c>
      <c r="C277" s="153" t="s">
        <v>190</v>
      </c>
      <c r="D277" s="251">
        <v>6.1389824040256627E-2</v>
      </c>
      <c r="E277" s="251">
        <v>8.8214121467983506E-2</v>
      </c>
      <c r="F277" s="251">
        <v>0.105667560906978</v>
      </c>
      <c r="G277" s="251">
        <v>0.10608565467046729</v>
      </c>
      <c r="H277" s="251">
        <v>9.2489993597473549E-2</v>
      </c>
      <c r="I277" s="251">
        <v>0.1190740475687643</v>
      </c>
      <c r="J277" s="251">
        <v>0.14940189281165661</v>
      </c>
      <c r="K277" s="359"/>
      <c r="L277" s="49">
        <f t="shared" si="103"/>
        <v>4.2758721294900437E-3</v>
      </c>
      <c r="M277" s="49">
        <f t="shared" si="103"/>
        <v>1.3406486661786302E-2</v>
      </c>
      <c r="N277" s="49">
        <f t="shared" si="103"/>
        <v>4.3316238141189317E-2</v>
      </c>
      <c r="O277" s="359"/>
      <c r="P277" s="359"/>
      <c r="Q277" s="222">
        <f t="shared" si="104"/>
        <v>3.4306523076961526E-3</v>
      </c>
      <c r="R277" s="222">
        <f t="shared" si="104"/>
        <v>0.26932372630188162</v>
      </c>
      <c r="S277" s="222">
        <f t="shared" si="104"/>
        <v>-0.20711116144682962</v>
      </c>
    </row>
    <row r="278" spans="1:19" ht="14.45" customHeight="1">
      <c r="A278" s="484"/>
      <c r="B278" s="370" t="s">
        <v>193</v>
      </c>
      <c r="C278" s="154" t="s">
        <v>191</v>
      </c>
      <c r="D278" s="251">
        <v>6.8487279331178458E-2</v>
      </c>
      <c r="E278" s="251">
        <v>8.8917250391694014E-2</v>
      </c>
      <c r="F278" s="251">
        <v>9.5914032763442889E-2</v>
      </c>
      <c r="G278" s="251">
        <v>0.10110960051916899</v>
      </c>
      <c r="H278" s="251">
        <v>0.16176199098932781</v>
      </c>
      <c r="I278" s="251">
        <v>0.35629731128284331</v>
      </c>
      <c r="J278" s="251">
        <v>0.3746862036062526</v>
      </c>
      <c r="K278" s="359"/>
      <c r="L278" s="49">
        <f t="shared" si="103"/>
        <v>7.2844740597633795E-2</v>
      </c>
      <c r="M278" s="49">
        <f t="shared" si="103"/>
        <v>0.26038327851940041</v>
      </c>
      <c r="N278" s="49">
        <f t="shared" si="103"/>
        <v>0.27357660308708359</v>
      </c>
      <c r="O278" s="359"/>
      <c r="P278" s="359"/>
      <c r="Q278" s="222">
        <f t="shared" si="104"/>
        <v>0.85433774048837985</v>
      </c>
      <c r="R278" s="222">
        <f t="shared" si="104"/>
        <v>5.1974411853163316</v>
      </c>
      <c r="S278" s="222">
        <f t="shared" si="104"/>
        <v>5.2423919358098594</v>
      </c>
    </row>
    <row r="279" spans="1:19">
      <c r="A279" s="485"/>
      <c r="B279" s="370" t="s">
        <v>193</v>
      </c>
      <c r="C279" s="154" t="s">
        <v>192</v>
      </c>
      <c r="D279" s="251">
        <v>0.1175778519506496</v>
      </c>
      <c r="E279" s="251">
        <v>0.15329096833851821</v>
      </c>
      <c r="F279" s="251">
        <v>0.1733534412229763</v>
      </c>
      <c r="G279" s="251">
        <v>0.17812651458519879</v>
      </c>
      <c r="H279" s="251">
        <v>0.21172231889295209</v>
      </c>
      <c r="I279" s="251">
        <v>0.39055610994283863</v>
      </c>
      <c r="J279" s="251">
        <v>0.41065761076551988</v>
      </c>
      <c r="K279" s="359"/>
      <c r="L279" s="49">
        <f t="shared" si="103"/>
        <v>5.8431350554433881E-2</v>
      </c>
      <c r="M279" s="49">
        <f t="shared" si="103"/>
        <v>0.21720266871986232</v>
      </c>
      <c r="N279" s="49">
        <f t="shared" si="103"/>
        <v>0.23253109618032108</v>
      </c>
      <c r="O279" s="359"/>
      <c r="P279" s="359"/>
      <c r="Q279" s="222">
        <f t="shared" si="104"/>
        <v>0.24393441278090788</v>
      </c>
      <c r="R279" s="222">
        <f t="shared" si="104"/>
        <v>3.6724111200848619</v>
      </c>
      <c r="S279" s="222">
        <f t="shared" si="104"/>
        <v>3.8844810070386702</v>
      </c>
    </row>
    <row r="280" spans="1:19" ht="16.7" customHeight="1">
      <c r="A280" s="483" t="s">
        <v>195</v>
      </c>
      <c r="B280" s="370" t="s">
        <v>188</v>
      </c>
      <c r="C280" s="153" t="s">
        <v>189</v>
      </c>
      <c r="D280" s="225">
        <v>11795</v>
      </c>
      <c r="E280" s="225">
        <v>15938</v>
      </c>
      <c r="F280" s="225">
        <v>20718</v>
      </c>
      <c r="G280" s="225">
        <v>22351</v>
      </c>
      <c r="H280" s="225">
        <v>22230</v>
      </c>
      <c r="I280" s="225">
        <v>83020</v>
      </c>
      <c r="J280" s="225">
        <v>177511</v>
      </c>
      <c r="K280" s="359"/>
      <c r="L280" s="215"/>
      <c r="M280" s="215"/>
      <c r="N280" s="215"/>
      <c r="O280" s="359"/>
      <c r="P280" s="359"/>
      <c r="Q280" s="312"/>
      <c r="R280" s="312"/>
      <c r="S280" s="312"/>
    </row>
    <row r="281" spans="1:19">
      <c r="A281" s="484"/>
      <c r="B281" s="370" t="s">
        <v>188</v>
      </c>
      <c r="C281" s="153" t="s">
        <v>190</v>
      </c>
      <c r="D281" s="225">
        <v>77790</v>
      </c>
      <c r="E281" s="225">
        <v>127936</v>
      </c>
      <c r="F281" s="225">
        <v>177937</v>
      </c>
      <c r="G281" s="225">
        <v>193439</v>
      </c>
      <c r="H281" s="225">
        <v>137987</v>
      </c>
      <c r="I281" s="225">
        <v>205485</v>
      </c>
      <c r="J281" s="225">
        <v>316807</v>
      </c>
      <c r="K281" s="359"/>
      <c r="L281" s="215"/>
      <c r="M281" s="215"/>
      <c r="N281" s="215"/>
      <c r="O281" s="359"/>
      <c r="P281" s="359"/>
      <c r="Q281" s="312"/>
      <c r="R281" s="312"/>
      <c r="S281" s="312"/>
    </row>
    <row r="282" spans="1:19">
      <c r="A282" s="484"/>
      <c r="B282" s="370" t="s">
        <v>188</v>
      </c>
      <c r="C282" s="154" t="s">
        <v>191</v>
      </c>
      <c r="D282" s="225">
        <v>116145</v>
      </c>
      <c r="E282" s="225">
        <v>167667</v>
      </c>
      <c r="F282" s="225">
        <v>198345</v>
      </c>
      <c r="G282" s="225">
        <v>231162</v>
      </c>
      <c r="H282" s="225">
        <v>322162</v>
      </c>
      <c r="I282" s="225">
        <v>734865</v>
      </c>
      <c r="J282" s="225">
        <v>833033</v>
      </c>
      <c r="K282" s="359"/>
      <c r="L282" s="215"/>
      <c r="M282" s="215"/>
      <c r="N282" s="215"/>
      <c r="O282" s="359"/>
      <c r="P282" s="359"/>
      <c r="Q282" s="312"/>
      <c r="R282" s="312"/>
      <c r="S282" s="312"/>
    </row>
    <row r="283" spans="1:19">
      <c r="A283" s="484"/>
      <c r="B283" s="370" t="s">
        <v>188</v>
      </c>
      <c r="C283" s="154" t="s">
        <v>192</v>
      </c>
      <c r="D283" s="225">
        <v>175331</v>
      </c>
      <c r="E283" s="225">
        <v>253087</v>
      </c>
      <c r="F283" s="225">
        <v>320860</v>
      </c>
      <c r="G283" s="225">
        <v>365667</v>
      </c>
      <c r="H283" s="225">
        <v>387489</v>
      </c>
      <c r="I283" s="225">
        <v>785449</v>
      </c>
      <c r="J283" s="225">
        <v>892615</v>
      </c>
      <c r="K283" s="359"/>
      <c r="L283" s="215"/>
      <c r="M283" s="215"/>
      <c r="N283" s="215"/>
      <c r="O283" s="359"/>
      <c r="P283" s="359"/>
      <c r="Q283" s="312"/>
      <c r="R283" s="312"/>
      <c r="S283" s="312"/>
    </row>
    <row r="284" spans="1:19">
      <c r="A284" s="484"/>
      <c r="B284" s="370" t="s">
        <v>193</v>
      </c>
      <c r="C284" s="153" t="s">
        <v>189</v>
      </c>
      <c r="D284" s="251">
        <v>5.3068979775297079E-3</v>
      </c>
      <c r="E284" s="251">
        <v>6.6168939623852544E-3</v>
      </c>
      <c r="F284" s="251">
        <v>8.0457283815223973E-3</v>
      </c>
      <c r="G284" s="251">
        <v>8.2006730488408033E-3</v>
      </c>
      <c r="H284" s="251">
        <v>9.2401849533376903E-3</v>
      </c>
      <c r="I284" s="251">
        <v>3.224649967003853E-2</v>
      </c>
      <c r="J284" s="251">
        <v>6.5198499682659075E-2</v>
      </c>
      <c r="K284" s="359"/>
      <c r="L284" s="49">
        <f t="shared" ref="L284:N287" si="105">(H284-E284)</f>
        <v>2.6232909909524359E-3</v>
      </c>
      <c r="M284" s="49">
        <f t="shared" si="105"/>
        <v>2.4200771288516131E-2</v>
      </c>
      <c r="N284" s="49">
        <f t="shared" si="105"/>
        <v>5.699782663381827E-2</v>
      </c>
      <c r="O284" s="359"/>
      <c r="P284" s="359"/>
      <c r="Q284" s="312"/>
      <c r="R284" s="312"/>
      <c r="S284" s="312"/>
    </row>
    <row r="285" spans="1:19">
      <c r="A285" s="484"/>
      <c r="B285" s="370" t="s">
        <v>193</v>
      </c>
      <c r="C285" s="153" t="s">
        <v>190</v>
      </c>
      <c r="D285" s="251">
        <v>3.4999880769142518E-2</v>
      </c>
      <c r="E285" s="251">
        <v>5.3114502821666437E-2</v>
      </c>
      <c r="F285" s="251">
        <v>6.9100915678296682E-2</v>
      </c>
      <c r="G285" s="251">
        <v>7.0973557956901981E-2</v>
      </c>
      <c r="H285" s="251">
        <v>5.7356068428079519E-2</v>
      </c>
      <c r="I285" s="251">
        <v>7.9814165077064167E-2</v>
      </c>
      <c r="J285" s="251">
        <v>0.11636090771255959</v>
      </c>
      <c r="K285" s="359"/>
      <c r="L285" s="49">
        <f t="shared" si="105"/>
        <v>4.2415656064130822E-3</v>
      </c>
      <c r="M285" s="49">
        <f t="shared" si="105"/>
        <v>1.0713249398767485E-2</v>
      </c>
      <c r="N285" s="49">
        <f t="shared" si="105"/>
        <v>4.5387349755657613E-2</v>
      </c>
      <c r="O285" s="359"/>
      <c r="P285" s="359"/>
      <c r="Q285" s="312"/>
      <c r="R285" s="312"/>
      <c r="S285" s="312"/>
    </row>
    <row r="286" spans="1:19">
      <c r="A286" s="484"/>
      <c r="B286" s="370" t="s">
        <v>193</v>
      </c>
      <c r="C286" s="154" t="s">
        <v>191</v>
      </c>
      <c r="D286" s="251">
        <v>5.2256860161101128E-2</v>
      </c>
      <c r="E286" s="251">
        <v>6.9609408959169797E-2</v>
      </c>
      <c r="F286" s="251">
        <v>7.7026257159622538E-2</v>
      </c>
      <c r="G286" s="251">
        <v>8.4814280493764826E-2</v>
      </c>
      <c r="H286" s="251">
        <v>0.13391077215191979</v>
      </c>
      <c r="I286" s="251">
        <v>0.28543512382585962</v>
      </c>
      <c r="J286" s="251">
        <v>0.30596696422274983</v>
      </c>
      <c r="K286" s="359"/>
      <c r="L286" s="49">
        <f t="shared" si="105"/>
        <v>6.4301363192749997E-2</v>
      </c>
      <c r="M286" s="49">
        <f t="shared" si="105"/>
        <v>0.20840886666623709</v>
      </c>
      <c r="N286" s="49">
        <f t="shared" si="105"/>
        <v>0.221152683728985</v>
      </c>
      <c r="O286" s="359"/>
      <c r="P286" s="359"/>
      <c r="Q286" s="312"/>
      <c r="R286" s="312"/>
      <c r="S286" s="312"/>
    </row>
    <row r="287" spans="1:19">
      <c r="A287" s="485"/>
      <c r="B287" s="370" t="s">
        <v>193</v>
      </c>
      <c r="C287" s="154" t="s">
        <v>192</v>
      </c>
      <c r="D287" s="251">
        <v>7.8886284806974238E-2</v>
      </c>
      <c r="E287" s="251">
        <v>0.1050727721331533</v>
      </c>
      <c r="F287" s="251">
        <v>0.1246043251518137</v>
      </c>
      <c r="G287" s="251">
        <v>0.13416471351395781</v>
      </c>
      <c r="H287" s="251">
        <v>0.1610647785597781</v>
      </c>
      <c r="I287" s="251">
        <v>0.30508288267082739</v>
      </c>
      <c r="J287" s="251">
        <v>0.32785099962389219</v>
      </c>
      <c r="K287" s="359"/>
      <c r="L287" s="49">
        <f t="shared" si="105"/>
        <v>5.5992006426624802E-2</v>
      </c>
      <c r="M287" s="49">
        <f t="shared" si="105"/>
        <v>0.1804785575190137</v>
      </c>
      <c r="N287" s="49">
        <f t="shared" si="105"/>
        <v>0.19368628610993438</v>
      </c>
      <c r="O287" s="359"/>
      <c r="P287" s="359"/>
      <c r="Q287" s="312"/>
      <c r="R287" s="312"/>
      <c r="S287" s="312"/>
    </row>
    <row r="288" spans="1:19" s="92" customFormat="1" ht="15.95" customHeight="1">
      <c r="A288" s="483" t="s">
        <v>180</v>
      </c>
      <c r="B288" s="370" t="s">
        <v>188</v>
      </c>
      <c r="C288" s="153" t="s">
        <v>189</v>
      </c>
      <c r="D288" s="225">
        <v>5168</v>
      </c>
      <c r="E288" s="225">
        <v>8632</v>
      </c>
      <c r="F288" s="225">
        <v>12878</v>
      </c>
      <c r="G288" s="225">
        <v>15323</v>
      </c>
      <c r="H288" s="225">
        <v>12642</v>
      </c>
      <c r="I288" s="225">
        <v>70531</v>
      </c>
      <c r="J288" s="225">
        <v>177032</v>
      </c>
      <c r="K288" s="361"/>
      <c r="L288" s="215"/>
      <c r="M288" s="215"/>
      <c r="N288" s="215"/>
      <c r="O288" s="361"/>
      <c r="P288" s="214"/>
      <c r="Q288" s="312"/>
      <c r="R288" s="221"/>
      <c r="S288" s="221"/>
    </row>
    <row r="289" spans="1:19">
      <c r="A289" s="484"/>
      <c r="B289" s="370" t="s">
        <v>188</v>
      </c>
      <c r="C289" s="153" t="s">
        <v>190</v>
      </c>
      <c r="D289" s="225">
        <v>86275</v>
      </c>
      <c r="E289" s="225">
        <v>133549</v>
      </c>
      <c r="F289" s="225">
        <v>181870</v>
      </c>
      <c r="G289" s="225">
        <v>206505</v>
      </c>
      <c r="H289" s="225">
        <v>140680</v>
      </c>
      <c r="I289" s="225">
        <v>202132</v>
      </c>
      <c r="J289" s="225">
        <v>305878</v>
      </c>
      <c r="K289" s="359"/>
      <c r="L289" s="215"/>
      <c r="M289" s="215"/>
      <c r="N289" s="215"/>
      <c r="O289" s="359"/>
      <c r="P289" s="359"/>
      <c r="Q289" s="312"/>
      <c r="R289" s="224"/>
      <c r="S289" s="221"/>
    </row>
    <row r="290" spans="1:19">
      <c r="A290" s="484"/>
      <c r="B290" s="370" t="s">
        <v>188</v>
      </c>
      <c r="C290" s="154" t="s">
        <v>191</v>
      </c>
      <c r="D290" s="225">
        <v>110334</v>
      </c>
      <c r="E290" s="225">
        <v>165875</v>
      </c>
      <c r="F290" s="225">
        <v>198296</v>
      </c>
      <c r="G290" s="225">
        <v>242907</v>
      </c>
      <c r="H290" s="225">
        <v>294787</v>
      </c>
      <c r="I290" s="225">
        <v>696578</v>
      </c>
      <c r="J290" s="225">
        <v>843819</v>
      </c>
      <c r="K290" s="359"/>
      <c r="L290" s="215"/>
      <c r="M290" s="215"/>
      <c r="N290" s="215"/>
      <c r="O290" s="359"/>
      <c r="P290" s="214"/>
      <c r="Q290" s="312"/>
      <c r="R290" s="221"/>
      <c r="S290" s="221"/>
    </row>
    <row r="291" spans="1:19">
      <c r="A291" s="484"/>
      <c r="B291" s="370" t="s">
        <v>188</v>
      </c>
      <c r="C291" s="154" t="s">
        <v>192</v>
      </c>
      <c r="D291" s="225">
        <v>182241</v>
      </c>
      <c r="E291" s="225">
        <v>262183</v>
      </c>
      <c r="F291" s="225">
        <v>329402</v>
      </c>
      <c r="G291" s="225">
        <v>390640</v>
      </c>
      <c r="H291" s="225">
        <v>370673</v>
      </c>
      <c r="I291" s="225">
        <v>752179</v>
      </c>
      <c r="J291" s="225">
        <v>910452</v>
      </c>
      <c r="K291" s="359"/>
      <c r="L291" s="215"/>
      <c r="M291" s="215"/>
      <c r="N291" s="215"/>
      <c r="O291" s="359"/>
      <c r="P291" s="359"/>
      <c r="Q291" s="312"/>
      <c r="R291" s="221"/>
      <c r="S291" s="221"/>
    </row>
    <row r="292" spans="1:19">
      <c r="A292" s="484"/>
      <c r="B292" s="370" t="s">
        <v>193</v>
      </c>
      <c r="C292" s="153" t="s">
        <v>189</v>
      </c>
      <c r="D292" s="251">
        <v>2.950386353321325E-3</v>
      </c>
      <c r="E292" s="251">
        <v>4.4080983998684518E-3</v>
      </c>
      <c r="F292" s="251">
        <v>5.8539982471643706E-3</v>
      </c>
      <c r="G292" s="251">
        <v>6.0690316205142224E-3</v>
      </c>
      <c r="H292" s="251">
        <v>6.456021227961589E-3</v>
      </c>
      <c r="I292" s="251">
        <v>3.2063830348237447E-2</v>
      </c>
      <c r="J292" s="251">
        <v>7.0125124974450545E-2</v>
      </c>
      <c r="K292" s="359"/>
      <c r="L292" s="49">
        <f t="shared" ref="L292:N295" si="106">(H292-E292)</f>
        <v>2.0479228280931372E-3</v>
      </c>
      <c r="M292" s="49">
        <f t="shared" si="106"/>
        <v>2.6209832101073076E-2</v>
      </c>
      <c r="N292" s="49">
        <f t="shared" si="106"/>
        <v>6.4056093353936319E-2</v>
      </c>
      <c r="O292" s="359"/>
      <c r="P292" s="214" t="s">
        <v>196</v>
      </c>
      <c r="Q292" s="222">
        <f t="shared" ref="Q292:S295" si="107">(L292-L300)*100</f>
        <v>-0.11701834315653677</v>
      </c>
      <c r="R292" s="222">
        <f t="shared" si="107"/>
        <v>3.8379878150592364E-2</v>
      </c>
      <c r="S292" s="222">
        <f t="shared" si="107"/>
        <v>0.25634924725428249</v>
      </c>
    </row>
    <row r="293" spans="1:19">
      <c r="A293" s="484"/>
      <c r="B293" s="370" t="s">
        <v>193</v>
      </c>
      <c r="C293" s="153" t="s">
        <v>190</v>
      </c>
      <c r="D293" s="251">
        <v>4.9253982707584631E-2</v>
      </c>
      <c r="E293" s="251">
        <v>6.819938985218163E-2</v>
      </c>
      <c r="F293" s="251">
        <v>8.2673292530811002E-2</v>
      </c>
      <c r="G293" s="251">
        <v>8.1791122808476766E-2</v>
      </c>
      <c r="H293" s="251">
        <v>7.1842514345011571E-2</v>
      </c>
      <c r="I293" s="251">
        <v>9.1890461725339656E-2</v>
      </c>
      <c r="J293" s="251">
        <v>0.1211630268930757</v>
      </c>
      <c r="K293" s="359"/>
      <c r="L293" s="49">
        <f t="shared" si="106"/>
        <v>3.6431244928299411E-3</v>
      </c>
      <c r="M293" s="49">
        <f t="shared" si="106"/>
        <v>9.2171691945286544E-3</v>
      </c>
      <c r="N293" s="49">
        <f t="shared" si="106"/>
        <v>3.9371904084598938E-2</v>
      </c>
      <c r="O293" s="359"/>
      <c r="P293" s="359"/>
      <c r="Q293" s="222">
        <f t="shared" si="107"/>
        <v>-0.14910761190709484</v>
      </c>
      <c r="R293" s="222">
        <f t="shared" si="107"/>
        <v>-0.58637997055226987</v>
      </c>
      <c r="S293" s="222">
        <f t="shared" si="107"/>
        <v>-1.7306813930920442</v>
      </c>
    </row>
    <row r="294" spans="1:19">
      <c r="A294" s="484"/>
      <c r="B294" s="370" t="s">
        <v>193</v>
      </c>
      <c r="C294" s="154" t="s">
        <v>191</v>
      </c>
      <c r="D294" s="251">
        <v>6.2989150136872119E-2</v>
      </c>
      <c r="E294" s="251">
        <v>8.4707289397379454E-2</v>
      </c>
      <c r="F294" s="251">
        <v>9.0140117752733812E-2</v>
      </c>
      <c r="G294" s="251">
        <v>9.6208984131322076E-2</v>
      </c>
      <c r="H294" s="251">
        <v>0.15054193400783999</v>
      </c>
      <c r="I294" s="251">
        <v>0.31666868208751531</v>
      </c>
      <c r="J294" s="251">
        <v>0.33424981263735298</v>
      </c>
      <c r="K294" s="359"/>
      <c r="L294" s="49">
        <f t="shared" si="106"/>
        <v>6.5834644610460541E-2</v>
      </c>
      <c r="M294" s="49">
        <f t="shared" si="106"/>
        <v>0.2265285643347815</v>
      </c>
      <c r="N294" s="49">
        <f t="shared" si="106"/>
        <v>0.23804082850603092</v>
      </c>
      <c r="O294" s="359"/>
      <c r="P294" s="359"/>
      <c r="Q294" s="222">
        <f t="shared" si="107"/>
        <v>-0.23920075520342809</v>
      </c>
      <c r="R294" s="222">
        <f t="shared" si="107"/>
        <v>0.932591146199796</v>
      </c>
      <c r="S294" s="222">
        <f t="shared" si="107"/>
        <v>0.9548026650660818</v>
      </c>
    </row>
    <row r="295" spans="1:19">
      <c r="A295" s="485"/>
      <c r="B295" s="370" t="s">
        <v>193</v>
      </c>
      <c r="C295" s="154" t="s">
        <v>192</v>
      </c>
      <c r="D295" s="251">
        <v>0.1040405107228389</v>
      </c>
      <c r="E295" s="251">
        <v>0.13388883952417871</v>
      </c>
      <c r="F295" s="251">
        <v>0.1497374383143685</v>
      </c>
      <c r="G295" s="251">
        <v>0.1547220852468626</v>
      </c>
      <c r="H295" s="251">
        <v>0.1892954245081637</v>
      </c>
      <c r="I295" s="251">
        <v>0.34194524177321878</v>
      </c>
      <c r="J295" s="251">
        <v>0.36064417892380157</v>
      </c>
      <c r="K295" s="359"/>
      <c r="L295" s="49">
        <f t="shared" si="106"/>
        <v>5.5406584983984986E-2</v>
      </c>
      <c r="M295" s="49">
        <f t="shared" si="106"/>
        <v>0.19220780345885027</v>
      </c>
      <c r="N295" s="49">
        <f t="shared" si="106"/>
        <v>0.20592209367693898</v>
      </c>
      <c r="O295" s="359"/>
      <c r="P295" s="359"/>
      <c r="Q295" s="222">
        <f t="shared" si="107"/>
        <v>-0.3157835620379329</v>
      </c>
      <c r="R295" s="222">
        <f t="shared" si="107"/>
        <v>0.37822176593838019</v>
      </c>
      <c r="S295" s="222">
        <f t="shared" si="107"/>
        <v>0.61188910010672726</v>
      </c>
    </row>
    <row r="296" spans="1:19" ht="16.7" customHeight="1">
      <c r="A296" s="483" t="s">
        <v>197</v>
      </c>
      <c r="B296" s="370" t="s">
        <v>188</v>
      </c>
      <c r="C296" s="153" t="s">
        <v>189</v>
      </c>
      <c r="D296" s="225">
        <v>10028</v>
      </c>
      <c r="E296" s="225">
        <v>12088</v>
      </c>
      <c r="F296" s="225">
        <v>14185</v>
      </c>
      <c r="G296" s="225">
        <v>13313</v>
      </c>
      <c r="H296" s="225">
        <v>16806</v>
      </c>
      <c r="I296" s="225">
        <v>49670</v>
      </c>
      <c r="J296" s="225">
        <v>85561</v>
      </c>
      <c r="K296" s="359"/>
      <c r="L296" s="215"/>
      <c r="M296" s="215"/>
      <c r="N296" s="215"/>
      <c r="O296" s="359"/>
      <c r="P296" s="359"/>
      <c r="Q296" s="312"/>
      <c r="R296" s="312"/>
      <c r="S296" s="312"/>
    </row>
    <row r="297" spans="1:19">
      <c r="A297" s="484"/>
      <c r="B297" s="370" t="s">
        <v>188</v>
      </c>
      <c r="C297" s="153" t="s">
        <v>190</v>
      </c>
      <c r="D297" s="225">
        <v>55539</v>
      </c>
      <c r="E297" s="225">
        <v>83965</v>
      </c>
      <c r="F297" s="225">
        <v>101588</v>
      </c>
      <c r="G297" s="225">
        <v>90247</v>
      </c>
      <c r="H297" s="225">
        <v>91494</v>
      </c>
      <c r="I297" s="225">
        <v>122320</v>
      </c>
      <c r="J297" s="225">
        <v>156857</v>
      </c>
      <c r="K297" s="359"/>
      <c r="L297" s="215"/>
      <c r="M297" s="215"/>
      <c r="N297" s="215"/>
      <c r="O297" s="359"/>
      <c r="P297" s="359"/>
      <c r="Q297" s="312"/>
      <c r="R297" s="312"/>
      <c r="S297" s="312"/>
    </row>
    <row r="298" spans="1:19">
      <c r="A298" s="484"/>
      <c r="B298" s="370" t="s">
        <v>188</v>
      </c>
      <c r="C298" s="154" t="s">
        <v>191</v>
      </c>
      <c r="D298" s="225">
        <v>77237</v>
      </c>
      <c r="E298" s="225">
        <v>92084</v>
      </c>
      <c r="F298" s="225">
        <v>95830</v>
      </c>
      <c r="G298" s="225">
        <v>86722</v>
      </c>
      <c r="H298" s="225">
        <v>192105</v>
      </c>
      <c r="I298" s="225">
        <v>394264</v>
      </c>
      <c r="J298" s="225">
        <v>355188</v>
      </c>
      <c r="K298" s="359"/>
      <c r="L298" s="215"/>
      <c r="M298" s="215"/>
      <c r="N298" s="215"/>
      <c r="O298" s="359"/>
      <c r="P298" s="359"/>
      <c r="Q298" s="312"/>
      <c r="R298" s="312"/>
      <c r="S298" s="312"/>
    </row>
    <row r="299" spans="1:19">
      <c r="A299" s="484"/>
      <c r="B299" s="370" t="s">
        <v>188</v>
      </c>
      <c r="C299" s="154" t="s">
        <v>192</v>
      </c>
      <c r="D299" s="225">
        <v>115713</v>
      </c>
      <c r="E299" s="225">
        <v>146565</v>
      </c>
      <c r="F299" s="225">
        <v>164571</v>
      </c>
      <c r="G299" s="225">
        <v>148498</v>
      </c>
      <c r="H299" s="225">
        <v>232423</v>
      </c>
      <c r="I299" s="225">
        <v>423475</v>
      </c>
      <c r="J299" s="225">
        <v>383272</v>
      </c>
      <c r="K299" s="359"/>
      <c r="L299" s="215"/>
      <c r="M299" s="215"/>
      <c r="N299" s="215"/>
      <c r="O299" s="359"/>
      <c r="P299" s="359"/>
      <c r="Q299" s="312"/>
      <c r="R299" s="312"/>
      <c r="S299" s="312"/>
    </row>
    <row r="300" spans="1:19">
      <c r="A300" s="484"/>
      <c r="B300" s="370" t="s">
        <v>193</v>
      </c>
      <c r="C300" s="153" t="s">
        <v>189</v>
      </c>
      <c r="D300" s="251">
        <v>6.6241570350621887E-3</v>
      </c>
      <c r="E300" s="251">
        <v>8.245959902587436E-3</v>
      </c>
      <c r="F300" s="251">
        <v>1.0325525193262391E-2</v>
      </c>
      <c r="G300" s="251">
        <v>1.133419661549123E-2</v>
      </c>
      <c r="H300" s="251">
        <v>1.1464066162245941E-2</v>
      </c>
      <c r="I300" s="251">
        <v>3.6151558512829543E-2</v>
      </c>
      <c r="J300" s="251">
        <v>7.2826797496884726E-2</v>
      </c>
      <c r="K300" s="359"/>
      <c r="L300" s="49">
        <f t="shared" ref="L300:N303" si="108">(H300-E300)</f>
        <v>3.2181062596585049E-3</v>
      </c>
      <c r="M300" s="49">
        <f t="shared" si="108"/>
        <v>2.5826033319567152E-2</v>
      </c>
      <c r="N300" s="49">
        <f t="shared" si="108"/>
        <v>6.1492600881393494E-2</v>
      </c>
      <c r="O300" s="359"/>
      <c r="P300" s="359"/>
      <c r="Q300" s="312"/>
      <c r="R300" s="312"/>
      <c r="S300" s="312"/>
    </row>
    <row r="301" spans="1:19">
      <c r="A301" s="484"/>
      <c r="B301" s="370" t="s">
        <v>193</v>
      </c>
      <c r="C301" s="153" t="s">
        <v>190</v>
      </c>
      <c r="D301" s="251">
        <v>3.6687181648416327E-2</v>
      </c>
      <c r="E301" s="251">
        <v>5.727763262911599E-2</v>
      </c>
      <c r="F301" s="251">
        <v>7.3947793678754967E-2</v>
      </c>
      <c r="G301" s="251">
        <v>7.6832963416077316E-2</v>
      </c>
      <c r="H301" s="251">
        <v>6.241183324101688E-2</v>
      </c>
      <c r="I301" s="251">
        <v>8.902876257880632E-2</v>
      </c>
      <c r="J301" s="251">
        <v>0.1335116814315967</v>
      </c>
      <c r="K301" s="359"/>
      <c r="L301" s="49">
        <f t="shared" si="108"/>
        <v>5.1342006119008896E-3</v>
      </c>
      <c r="M301" s="49">
        <f t="shared" si="108"/>
        <v>1.5080968900051353E-2</v>
      </c>
      <c r="N301" s="49">
        <f t="shared" si="108"/>
        <v>5.667871801551938E-2</v>
      </c>
      <c r="O301" s="359"/>
      <c r="P301" s="359"/>
      <c r="Q301" s="312"/>
      <c r="R301" s="312"/>
      <c r="S301" s="312"/>
    </row>
    <row r="302" spans="1:19">
      <c r="A302" s="484"/>
      <c r="B302" s="370" t="s">
        <v>193</v>
      </c>
      <c r="C302" s="154" t="s">
        <v>191</v>
      </c>
      <c r="D302" s="251">
        <v>5.1020145284912083E-2</v>
      </c>
      <c r="E302" s="251">
        <v>6.2816096266533866E-2</v>
      </c>
      <c r="F302" s="251">
        <v>6.9756438439924878E-2</v>
      </c>
      <c r="G302" s="251">
        <v>7.3831908577227573E-2</v>
      </c>
      <c r="H302" s="251">
        <v>0.13104274842902869</v>
      </c>
      <c r="I302" s="251">
        <v>0.28695909131270841</v>
      </c>
      <c r="J302" s="251">
        <v>0.30232471043259768</v>
      </c>
      <c r="K302" s="359"/>
      <c r="L302" s="49">
        <f t="shared" si="108"/>
        <v>6.8226652162494822E-2</v>
      </c>
      <c r="M302" s="49">
        <f t="shared" si="108"/>
        <v>0.21720265287278354</v>
      </c>
      <c r="N302" s="49">
        <f t="shared" si="108"/>
        <v>0.2284928018553701</v>
      </c>
      <c r="O302" s="359"/>
      <c r="P302" s="359"/>
      <c r="Q302" s="312"/>
      <c r="R302" s="312"/>
      <c r="S302" s="312"/>
    </row>
    <row r="303" spans="1:19">
      <c r="A303" s="485"/>
      <c r="B303" s="370" t="s">
        <v>193</v>
      </c>
      <c r="C303" s="154" t="s">
        <v>192</v>
      </c>
      <c r="D303" s="251">
        <v>7.6436087255499705E-2</v>
      </c>
      <c r="E303" s="251">
        <v>9.9980899497247477E-2</v>
      </c>
      <c r="F303" s="251">
        <v>0.1197942902065833</v>
      </c>
      <c r="G303" s="251">
        <v>0.1264257138892223</v>
      </c>
      <c r="H303" s="251">
        <v>0.15854532010161179</v>
      </c>
      <c r="I303" s="251">
        <v>0.30821987600604978</v>
      </c>
      <c r="J303" s="251">
        <v>0.32622891656509401</v>
      </c>
      <c r="K303" s="359"/>
      <c r="L303" s="49">
        <f t="shared" si="108"/>
        <v>5.8564420604364315E-2</v>
      </c>
      <c r="M303" s="49">
        <f t="shared" si="108"/>
        <v>0.18842558579946647</v>
      </c>
      <c r="N303" s="49">
        <f t="shared" si="108"/>
        <v>0.19980320267587171</v>
      </c>
      <c r="O303" s="359"/>
      <c r="P303" s="359"/>
      <c r="Q303" s="312"/>
      <c r="R303" s="312"/>
      <c r="S303" s="312"/>
    </row>
    <row r="304" spans="1:19" ht="15.6" customHeight="1">
      <c r="A304" s="483" t="s">
        <v>181</v>
      </c>
      <c r="B304" s="370" t="s">
        <v>188</v>
      </c>
      <c r="C304" s="153" t="s">
        <v>189</v>
      </c>
      <c r="D304" s="225">
        <v>955</v>
      </c>
      <c r="E304" s="225">
        <v>1855</v>
      </c>
      <c r="F304" s="225">
        <v>3366</v>
      </c>
      <c r="G304" s="225">
        <v>4033</v>
      </c>
      <c r="H304" s="225">
        <v>2607</v>
      </c>
      <c r="I304" s="225">
        <v>12833</v>
      </c>
      <c r="J304" s="225">
        <v>32449</v>
      </c>
      <c r="K304" s="359"/>
      <c r="L304" s="215"/>
      <c r="M304" s="215"/>
      <c r="N304" s="215"/>
      <c r="O304" s="359"/>
      <c r="P304" s="216"/>
      <c r="Q304" s="312"/>
      <c r="R304" s="221"/>
      <c r="S304" s="221"/>
    </row>
    <row r="305" spans="1:19">
      <c r="A305" s="484"/>
      <c r="B305" s="370" t="s">
        <v>188</v>
      </c>
      <c r="C305" s="153" t="s">
        <v>190</v>
      </c>
      <c r="D305" s="225">
        <v>7177</v>
      </c>
      <c r="E305" s="225">
        <v>14520</v>
      </c>
      <c r="F305" s="225">
        <v>28034</v>
      </c>
      <c r="G305" s="225">
        <v>35282</v>
      </c>
      <c r="H305" s="225">
        <v>15403</v>
      </c>
      <c r="I305" s="225">
        <v>32596</v>
      </c>
      <c r="J305" s="225">
        <v>57942</v>
      </c>
      <c r="K305" s="359"/>
      <c r="L305" s="215"/>
      <c r="M305" s="215"/>
      <c r="N305" s="215"/>
      <c r="O305" s="359"/>
      <c r="P305" s="359"/>
      <c r="Q305" s="312"/>
      <c r="R305" s="312"/>
      <c r="S305" s="312"/>
    </row>
    <row r="306" spans="1:19">
      <c r="A306" s="484"/>
      <c r="B306" s="370" t="s">
        <v>188</v>
      </c>
      <c r="C306" s="154" t="s">
        <v>191</v>
      </c>
      <c r="D306" s="225">
        <v>9822</v>
      </c>
      <c r="E306" s="225">
        <v>17134</v>
      </c>
      <c r="F306" s="225">
        <v>30086</v>
      </c>
      <c r="G306" s="225">
        <v>39260</v>
      </c>
      <c r="H306" s="225">
        <v>33635</v>
      </c>
      <c r="I306" s="225">
        <v>112412</v>
      </c>
      <c r="J306" s="225">
        <v>145616</v>
      </c>
      <c r="K306" s="359"/>
      <c r="L306" s="215"/>
      <c r="M306" s="215"/>
      <c r="N306" s="215"/>
      <c r="O306" s="359"/>
      <c r="P306" s="359"/>
      <c r="Q306" s="312"/>
      <c r="R306" s="312"/>
      <c r="S306" s="312"/>
    </row>
    <row r="307" spans="1:19">
      <c r="A307" s="484"/>
      <c r="B307" s="370" t="s">
        <v>188</v>
      </c>
      <c r="C307" s="154" t="s">
        <v>192</v>
      </c>
      <c r="D307" s="225">
        <v>15085</v>
      </c>
      <c r="E307" s="225">
        <v>26700</v>
      </c>
      <c r="F307" s="225">
        <v>48839</v>
      </c>
      <c r="G307" s="225">
        <v>63368</v>
      </c>
      <c r="H307" s="225">
        <v>40540</v>
      </c>
      <c r="I307" s="225">
        <v>120001</v>
      </c>
      <c r="J307" s="225">
        <v>156113</v>
      </c>
      <c r="K307" s="359"/>
      <c r="L307" s="215"/>
      <c r="M307" s="215"/>
      <c r="N307" s="215"/>
      <c r="O307" s="359"/>
      <c r="P307" s="359"/>
      <c r="Q307" s="312"/>
      <c r="R307" s="312"/>
      <c r="S307" s="312"/>
    </row>
    <row r="308" spans="1:19">
      <c r="A308" s="484"/>
      <c r="B308" s="370" t="s">
        <v>193</v>
      </c>
      <c r="C308" s="153" t="s">
        <v>189</v>
      </c>
      <c r="D308" s="251">
        <v>5.0612651572967014E-3</v>
      </c>
      <c r="E308" s="251">
        <v>7.3394422815180578E-3</v>
      </c>
      <c r="F308" s="251">
        <v>8.8728384647827913E-3</v>
      </c>
      <c r="G308" s="251">
        <v>8.9586984674916749E-3</v>
      </c>
      <c r="H308" s="251">
        <v>1.0314784920710279E-2</v>
      </c>
      <c r="I308" s="251">
        <v>3.3828026149304087E-2</v>
      </c>
      <c r="J308" s="251">
        <v>7.2080537210919254E-2</v>
      </c>
      <c r="K308" s="359"/>
      <c r="L308" s="49">
        <f t="shared" ref="L308:N311" si="109">(H308-E308)</f>
        <v>2.9753426391922215E-3</v>
      </c>
      <c r="M308" s="49">
        <f t="shared" si="109"/>
        <v>2.4955187684521297E-2</v>
      </c>
      <c r="N308" s="49">
        <f t="shared" si="109"/>
        <v>6.3121838743427583E-2</v>
      </c>
      <c r="O308" s="359"/>
      <c r="P308" s="216" t="s">
        <v>198</v>
      </c>
      <c r="Q308" s="222">
        <f t="shared" ref="Q308:S311" si="110">(L308-L316)*100</f>
        <v>4.6036502678129934E-2</v>
      </c>
      <c r="R308" s="222">
        <f t="shared" si="110"/>
        <v>-0.12387888059848702</v>
      </c>
      <c r="S308" s="222">
        <f t="shared" si="110"/>
        <v>-1.3721465287519496E-2</v>
      </c>
    </row>
    <row r="309" spans="1:19">
      <c r="A309" s="484"/>
      <c r="B309" s="370" t="s">
        <v>193</v>
      </c>
      <c r="C309" s="153" t="s">
        <v>190</v>
      </c>
      <c r="D309" s="251">
        <v>3.8036335114050711E-2</v>
      </c>
      <c r="E309" s="251">
        <v>5.7449435001424368E-2</v>
      </c>
      <c r="F309" s="251">
        <v>7.3898144242935476E-2</v>
      </c>
      <c r="G309" s="251">
        <v>7.8373617488232405E-2</v>
      </c>
      <c r="H309" s="251">
        <v>6.094308865888013E-2</v>
      </c>
      <c r="I309" s="251">
        <v>8.5923660902572752E-2</v>
      </c>
      <c r="J309" s="251">
        <v>0.1287093743127703</v>
      </c>
      <c r="K309" s="359"/>
      <c r="L309" s="49">
        <f t="shared" si="109"/>
        <v>3.4936536574557628E-3</v>
      </c>
      <c r="M309" s="49">
        <f t="shared" si="109"/>
        <v>1.2025516659637275E-2</v>
      </c>
      <c r="N309" s="49">
        <f t="shared" si="109"/>
        <v>5.0335756824537892E-2</v>
      </c>
      <c r="O309" s="359"/>
      <c r="P309" s="359"/>
      <c r="Q309" s="222">
        <f t="shared" si="110"/>
        <v>-8.5048457802384264E-2</v>
      </c>
      <c r="R309" s="222">
        <f t="shared" si="110"/>
        <v>6.2014381238888194E-2</v>
      </c>
      <c r="S309" s="222">
        <f t="shared" si="110"/>
        <v>0.62254464245772434</v>
      </c>
    </row>
    <row r="310" spans="1:19">
      <c r="A310" s="484"/>
      <c r="B310" s="370" t="s">
        <v>193</v>
      </c>
      <c r="C310" s="154" t="s">
        <v>191</v>
      </c>
      <c r="D310" s="251">
        <v>5.2054184685830583E-2</v>
      </c>
      <c r="E310" s="251">
        <v>6.7791915930744157E-2</v>
      </c>
      <c r="F310" s="251">
        <v>7.9307254323070439E-2</v>
      </c>
      <c r="G310" s="251">
        <v>8.7210141788674228E-2</v>
      </c>
      <c r="H310" s="251">
        <v>0.1330793213686576</v>
      </c>
      <c r="I310" s="251">
        <v>0.2963201180936314</v>
      </c>
      <c r="J310" s="251">
        <v>0.32346388198419729</v>
      </c>
      <c r="K310" s="359"/>
      <c r="L310" s="49">
        <f t="shared" si="109"/>
        <v>6.5287405437913448E-2</v>
      </c>
      <c r="M310" s="49">
        <f t="shared" si="109"/>
        <v>0.21701286377056095</v>
      </c>
      <c r="N310" s="49">
        <f t="shared" si="109"/>
        <v>0.23625374019552306</v>
      </c>
      <c r="O310" s="359"/>
      <c r="P310" s="359"/>
      <c r="Q310" s="222">
        <f t="shared" si="110"/>
        <v>-0.16962610816047691</v>
      </c>
      <c r="R310" s="222">
        <f t="shared" si="110"/>
        <v>-0.66334995459131352</v>
      </c>
      <c r="S310" s="222">
        <f t="shared" si="110"/>
        <v>0.14195735788688213</v>
      </c>
    </row>
    <row r="311" spans="1:19">
      <c r="A311" s="485"/>
      <c r="B311" s="370" t="s">
        <v>193</v>
      </c>
      <c r="C311" s="154" t="s">
        <v>192</v>
      </c>
      <c r="D311" s="251">
        <v>7.9946790468922238E-2</v>
      </c>
      <c r="E311" s="251">
        <v>0.10564048998195801</v>
      </c>
      <c r="F311" s="251">
        <v>0.12874051033319281</v>
      </c>
      <c r="G311" s="251">
        <v>0.1407624112293609</v>
      </c>
      <c r="H311" s="251">
        <v>0.1603994555756022</v>
      </c>
      <c r="I311" s="251">
        <v>0.31632486292703499</v>
      </c>
      <c r="J311" s="251">
        <v>0.34678137710278401</v>
      </c>
      <c r="K311" s="359"/>
      <c r="L311" s="49">
        <f t="shared" si="109"/>
        <v>5.4758965593644196E-2</v>
      </c>
      <c r="M311" s="49">
        <f t="shared" si="109"/>
        <v>0.18758435259384218</v>
      </c>
      <c r="N311" s="49">
        <f t="shared" si="109"/>
        <v>0.20601896587342311</v>
      </c>
      <c r="O311" s="359"/>
      <c r="P311" s="359"/>
      <c r="Q311" s="222">
        <f t="shared" si="110"/>
        <v>-0.21584841131099958</v>
      </c>
      <c r="R311" s="222">
        <f t="shared" si="110"/>
        <v>-0.35442383517343135</v>
      </c>
      <c r="S311" s="222">
        <f t="shared" si="110"/>
        <v>0.23251278612385351</v>
      </c>
    </row>
    <row r="312" spans="1:19" ht="17.100000000000001" customHeight="1">
      <c r="A312" s="483" t="s">
        <v>199</v>
      </c>
      <c r="B312" s="370" t="s">
        <v>188</v>
      </c>
      <c r="C312" s="153" t="s">
        <v>189</v>
      </c>
      <c r="D312" s="225">
        <v>14241</v>
      </c>
      <c r="E312" s="225">
        <v>18865</v>
      </c>
      <c r="F312" s="225">
        <v>23697</v>
      </c>
      <c r="G312" s="225">
        <v>24603</v>
      </c>
      <c r="H312" s="225">
        <v>26841</v>
      </c>
      <c r="I312" s="225">
        <v>107368</v>
      </c>
      <c r="J312" s="225">
        <v>230144</v>
      </c>
      <c r="K312" s="359"/>
      <c r="L312" s="215"/>
      <c r="M312" s="215"/>
      <c r="N312" s="215"/>
      <c r="O312" s="359"/>
      <c r="P312" s="359"/>
      <c r="Q312" s="312"/>
      <c r="R312" s="312"/>
      <c r="S312" s="312"/>
    </row>
    <row r="313" spans="1:19">
      <c r="A313" s="484"/>
      <c r="B313" s="370" t="s">
        <v>188</v>
      </c>
      <c r="C313" s="153" t="s">
        <v>190</v>
      </c>
      <c r="D313" s="225">
        <v>134637</v>
      </c>
      <c r="E313" s="225">
        <v>202994</v>
      </c>
      <c r="F313" s="225">
        <v>255424</v>
      </c>
      <c r="G313" s="225">
        <v>261470</v>
      </c>
      <c r="H313" s="225">
        <v>216771</v>
      </c>
      <c r="I313" s="225">
        <v>291856</v>
      </c>
      <c r="J313" s="225">
        <v>404793</v>
      </c>
      <c r="K313" s="359"/>
      <c r="L313" s="215"/>
      <c r="M313" s="215"/>
      <c r="N313" s="215"/>
      <c r="O313" s="359"/>
      <c r="P313" s="359"/>
      <c r="Q313" s="312"/>
      <c r="R313" s="312"/>
      <c r="S313" s="312"/>
    </row>
    <row r="314" spans="1:19">
      <c r="A314" s="484"/>
      <c r="B314" s="370" t="s">
        <v>188</v>
      </c>
      <c r="C314" s="154" t="s">
        <v>191</v>
      </c>
      <c r="D314" s="225">
        <v>177749</v>
      </c>
      <c r="E314" s="225">
        <v>240825</v>
      </c>
      <c r="F314" s="225">
        <v>264040</v>
      </c>
      <c r="G314" s="225">
        <v>290369</v>
      </c>
      <c r="H314" s="225">
        <v>453257</v>
      </c>
      <c r="I314" s="225">
        <v>978430</v>
      </c>
      <c r="J314" s="225">
        <v>1053391</v>
      </c>
      <c r="K314" s="359"/>
      <c r="L314" s="215"/>
      <c r="M314" s="215"/>
      <c r="N314" s="215"/>
      <c r="O314" s="359"/>
      <c r="P314" s="359"/>
      <c r="Q314" s="312"/>
      <c r="R314" s="312"/>
      <c r="S314" s="312"/>
    </row>
    <row r="315" spans="1:19">
      <c r="A315" s="484"/>
      <c r="B315" s="370" t="s">
        <v>188</v>
      </c>
      <c r="C315" s="154" t="s">
        <v>192</v>
      </c>
      <c r="D315" s="225">
        <v>282869</v>
      </c>
      <c r="E315" s="225">
        <v>382048</v>
      </c>
      <c r="F315" s="225">
        <v>445134</v>
      </c>
      <c r="G315" s="225">
        <v>475770</v>
      </c>
      <c r="H315" s="225">
        <v>562556</v>
      </c>
      <c r="I315" s="225">
        <v>1055653</v>
      </c>
      <c r="J315" s="225">
        <v>1137611</v>
      </c>
      <c r="K315" s="359"/>
      <c r="L315" s="215"/>
      <c r="M315" s="215"/>
      <c r="N315" s="215"/>
      <c r="O315" s="359"/>
      <c r="P315" s="359"/>
      <c r="Q315" s="312"/>
      <c r="R315" s="312"/>
      <c r="S315" s="312"/>
    </row>
    <row r="316" spans="1:19">
      <c r="A316" s="484"/>
      <c r="B316" s="370" t="s">
        <v>193</v>
      </c>
      <c r="C316" s="153" t="s">
        <v>189</v>
      </c>
      <c r="D316" s="251">
        <v>4.6285101404056174E-3</v>
      </c>
      <c r="E316" s="251">
        <v>5.948477013306426E-3</v>
      </c>
      <c r="F316" s="251">
        <v>7.4185639097838511E-3</v>
      </c>
      <c r="G316" s="251">
        <v>7.572029379584789E-3</v>
      </c>
      <c r="H316" s="251">
        <v>8.4634546257173482E-3</v>
      </c>
      <c r="I316" s="251">
        <v>3.361254040029002E-2</v>
      </c>
      <c r="J316" s="251">
        <v>7.0831082775887566E-2</v>
      </c>
      <c r="K316" s="359"/>
      <c r="L316" s="49">
        <f t="shared" ref="L316:N319" si="111">(H316-E316)</f>
        <v>2.5149776124109222E-3</v>
      </c>
      <c r="M316" s="49">
        <f t="shared" si="111"/>
        <v>2.6193976490506168E-2</v>
      </c>
      <c r="N316" s="49">
        <f t="shared" si="111"/>
        <v>6.3259053396302778E-2</v>
      </c>
      <c r="O316" s="359"/>
      <c r="P316" s="359"/>
      <c r="Q316" s="312"/>
      <c r="R316" s="312"/>
      <c r="S316" s="312"/>
    </row>
    <row r="317" spans="1:19">
      <c r="A317" s="484"/>
      <c r="B317" s="370" t="s">
        <v>193</v>
      </c>
      <c r="C317" s="153" t="s">
        <v>190</v>
      </c>
      <c r="D317" s="251">
        <v>4.3758775351014037E-2</v>
      </c>
      <c r="E317" s="251">
        <v>6.400769376300687E-2</v>
      </c>
      <c r="F317" s="251">
        <v>7.9962833611538608E-2</v>
      </c>
      <c r="G317" s="251">
        <v>8.0472240047150145E-2</v>
      </c>
      <c r="H317" s="251">
        <v>6.8351831998486476E-2</v>
      </c>
      <c r="I317" s="251">
        <v>9.1368206458787002E-2</v>
      </c>
      <c r="J317" s="251">
        <v>0.12458255044711079</v>
      </c>
      <c r="K317" s="359"/>
      <c r="L317" s="49">
        <f t="shared" si="111"/>
        <v>4.3441382354796054E-3</v>
      </c>
      <c r="M317" s="49">
        <f t="shared" si="111"/>
        <v>1.1405372847248393E-2</v>
      </c>
      <c r="N317" s="49">
        <f t="shared" si="111"/>
        <v>4.4110310399960648E-2</v>
      </c>
      <c r="O317" s="359"/>
      <c r="P317" s="359"/>
      <c r="Q317" s="312"/>
      <c r="R317" s="312"/>
      <c r="S317" s="312"/>
    </row>
    <row r="318" spans="1:19">
      <c r="A318" s="484"/>
      <c r="B318" s="370" t="s">
        <v>193</v>
      </c>
      <c r="C318" s="154" t="s">
        <v>191</v>
      </c>
      <c r="D318" s="251">
        <v>5.7770735829433179E-2</v>
      </c>
      <c r="E318" s="251">
        <v>7.5936494923377687E-2</v>
      </c>
      <c r="F318" s="251">
        <v>8.2660151695966924E-2</v>
      </c>
      <c r="G318" s="251">
        <v>8.9366443072822654E-2</v>
      </c>
      <c r="H318" s="251">
        <v>0.1429201614428959</v>
      </c>
      <c r="I318" s="251">
        <v>0.30630651501244099</v>
      </c>
      <c r="J318" s="251">
        <v>0.32420060968947689</v>
      </c>
      <c r="K318" s="359"/>
      <c r="L318" s="49">
        <f t="shared" si="111"/>
        <v>6.6983666519518217E-2</v>
      </c>
      <c r="M318" s="49">
        <f t="shared" si="111"/>
        <v>0.22364636331647408</v>
      </c>
      <c r="N318" s="49">
        <f t="shared" si="111"/>
        <v>0.23483416661665424</v>
      </c>
      <c r="O318" s="359"/>
      <c r="P318" s="359"/>
      <c r="Q318" s="312"/>
      <c r="R318" s="312"/>
      <c r="S318" s="312"/>
    </row>
    <row r="319" spans="1:19">
      <c r="A319" s="485"/>
      <c r="B319" s="370" t="s">
        <v>193</v>
      </c>
      <c r="C319" s="154" t="s">
        <v>192</v>
      </c>
      <c r="D319" s="251">
        <v>9.1936102444097764E-2</v>
      </c>
      <c r="E319" s="251">
        <v>0.1204666708709087</v>
      </c>
      <c r="F319" s="251">
        <v>0.13935329482287739</v>
      </c>
      <c r="G319" s="251">
        <v>0.14642703808174021</v>
      </c>
      <c r="H319" s="251">
        <v>0.1773841205776629</v>
      </c>
      <c r="I319" s="251">
        <v>0.33048188576845389</v>
      </c>
      <c r="J319" s="251">
        <v>0.35012087609392478</v>
      </c>
      <c r="K319" s="359"/>
      <c r="L319" s="49">
        <f t="shared" si="111"/>
        <v>5.6917449706754192E-2</v>
      </c>
      <c r="M319" s="49">
        <f t="shared" si="111"/>
        <v>0.19112859094557649</v>
      </c>
      <c r="N319" s="49">
        <f t="shared" si="111"/>
        <v>0.20369383801218457</v>
      </c>
      <c r="O319" s="359"/>
      <c r="P319" s="359"/>
      <c r="Q319" s="312"/>
      <c r="R319" s="312"/>
      <c r="S319" s="312"/>
    </row>
    <row r="320" spans="1:19" ht="30" customHeight="1">
      <c r="A320" s="94" t="s">
        <v>200</v>
      </c>
      <c r="B320" s="502" t="s">
        <v>201</v>
      </c>
      <c r="C320" s="503"/>
      <c r="D320" s="359"/>
      <c r="E320" s="359"/>
      <c r="F320" s="359"/>
      <c r="G320" s="359"/>
      <c r="H320" s="359"/>
      <c r="I320" s="359"/>
      <c r="J320" s="359"/>
      <c r="K320" s="359"/>
      <c r="L320" s="49"/>
      <c r="M320" s="213"/>
      <c r="N320" s="251"/>
      <c r="O320" s="359"/>
      <c r="P320" s="359"/>
      <c r="Q320" s="312"/>
      <c r="R320" s="312"/>
      <c r="S320" s="312"/>
    </row>
    <row r="321" spans="1:19" ht="14.85" customHeight="1">
      <c r="A321" s="365" t="s">
        <v>202</v>
      </c>
      <c r="B321" s="373" t="s">
        <v>188</v>
      </c>
      <c r="C321" s="156"/>
      <c r="D321" s="225">
        <v>646695</v>
      </c>
      <c r="E321" s="225">
        <v>727200</v>
      </c>
      <c r="F321" s="225">
        <v>725614</v>
      </c>
      <c r="G321" s="225">
        <v>708477</v>
      </c>
      <c r="H321" s="225">
        <v>743189</v>
      </c>
      <c r="I321" s="225">
        <v>771495</v>
      </c>
      <c r="J321" s="225">
        <v>805591</v>
      </c>
      <c r="K321" s="359"/>
      <c r="L321" s="215"/>
      <c r="M321" s="215"/>
      <c r="N321" s="215"/>
      <c r="O321" s="359"/>
      <c r="P321" s="214"/>
      <c r="Q321" s="312"/>
      <c r="R321" s="312"/>
      <c r="S321" s="312"/>
    </row>
    <row r="322" spans="1:19" ht="14.85" customHeight="1">
      <c r="A322" s="365" t="s">
        <v>203</v>
      </c>
      <c r="B322" s="373" t="s">
        <v>188</v>
      </c>
      <c r="C322" s="156"/>
      <c r="D322" s="225">
        <v>1472683</v>
      </c>
      <c r="E322" s="225">
        <v>1752413</v>
      </c>
      <c r="F322" s="225">
        <v>1886379</v>
      </c>
      <c r="G322" s="225">
        <v>1982640</v>
      </c>
      <c r="H322" s="225">
        <v>1768891</v>
      </c>
      <c r="I322" s="225">
        <v>1977913</v>
      </c>
      <c r="J322" s="225">
        <v>2210438</v>
      </c>
      <c r="K322" s="359"/>
      <c r="L322" s="215"/>
      <c r="M322" s="215"/>
      <c r="N322" s="215"/>
      <c r="O322" s="359"/>
      <c r="P322" s="359"/>
      <c r="Q322" s="312"/>
      <c r="R322" s="312"/>
      <c r="S322" s="312"/>
    </row>
    <row r="323" spans="1:19" ht="14.85" customHeight="1">
      <c r="A323" s="365" t="s">
        <v>180</v>
      </c>
      <c r="B323" s="373" t="s">
        <v>188</v>
      </c>
      <c r="C323" s="156"/>
      <c r="D323" s="225">
        <v>1134392</v>
      </c>
      <c r="E323" s="225">
        <v>1443116</v>
      </c>
      <c r="F323" s="225">
        <v>1632772</v>
      </c>
      <c r="G323" s="225">
        <v>1857296</v>
      </c>
      <c r="H323" s="225">
        <v>1463601</v>
      </c>
      <c r="I323" s="225">
        <v>1726395</v>
      </c>
      <c r="J323" s="225">
        <v>2093435</v>
      </c>
      <c r="K323" s="359"/>
      <c r="L323" s="215"/>
      <c r="M323" s="215"/>
      <c r="N323" s="215"/>
      <c r="O323" s="359"/>
      <c r="P323" s="214"/>
      <c r="Q323" s="312"/>
      <c r="R323" s="312"/>
      <c r="S323" s="312"/>
    </row>
    <row r="324" spans="1:19" ht="14.85" customHeight="1">
      <c r="A324" s="365" t="s">
        <v>197</v>
      </c>
      <c r="B324" s="373" t="s">
        <v>188</v>
      </c>
      <c r="C324" s="156"/>
      <c r="D324" s="225">
        <v>984986</v>
      </c>
      <c r="E324" s="225">
        <v>1036497</v>
      </c>
      <c r="F324" s="225">
        <v>979221</v>
      </c>
      <c r="G324" s="225">
        <v>833821</v>
      </c>
      <c r="H324" s="225">
        <v>1048479</v>
      </c>
      <c r="I324" s="225">
        <v>1023013</v>
      </c>
      <c r="J324" s="225">
        <v>922594</v>
      </c>
      <c r="K324" s="359"/>
      <c r="L324" s="215"/>
      <c r="M324" s="215"/>
      <c r="N324" s="215"/>
      <c r="O324" s="359"/>
      <c r="P324" s="359"/>
      <c r="Q324" s="312"/>
      <c r="R324" s="312"/>
      <c r="S324" s="312"/>
    </row>
    <row r="325" spans="1:19" ht="14.85" customHeight="1">
      <c r="A325" s="365" t="s">
        <v>181</v>
      </c>
      <c r="B325" s="373" t="s">
        <v>188</v>
      </c>
      <c r="C325" s="156"/>
      <c r="D325" s="225">
        <v>120619</v>
      </c>
      <c r="E325" s="225">
        <v>180801</v>
      </c>
      <c r="F325" s="225">
        <v>275933</v>
      </c>
      <c r="G325" s="225">
        <v>329258</v>
      </c>
      <c r="H325" s="225">
        <v>182552</v>
      </c>
      <c r="I325" s="225">
        <v>289530</v>
      </c>
      <c r="J325" s="225">
        <v>367011</v>
      </c>
      <c r="K325" s="359"/>
      <c r="L325" s="215"/>
      <c r="M325" s="215"/>
      <c r="N325" s="215"/>
      <c r="O325" s="359"/>
      <c r="P325" s="216"/>
      <c r="Q325" s="312"/>
      <c r="R325" s="312"/>
      <c r="S325" s="312"/>
    </row>
    <row r="326" spans="1:19" ht="14.85" customHeight="1">
      <c r="A326" s="365" t="s">
        <v>199</v>
      </c>
      <c r="B326" s="373" t="s">
        <v>188</v>
      </c>
      <c r="C326" s="156"/>
      <c r="D326" s="225">
        <v>1998759</v>
      </c>
      <c r="E326" s="225">
        <v>2298812</v>
      </c>
      <c r="F326" s="225">
        <v>2336060</v>
      </c>
      <c r="G326" s="225">
        <v>2361859</v>
      </c>
      <c r="H326" s="225">
        <v>2329528</v>
      </c>
      <c r="I326" s="225">
        <v>2459878</v>
      </c>
      <c r="J326" s="225">
        <v>2649018</v>
      </c>
      <c r="K326" s="359"/>
      <c r="L326" s="215"/>
      <c r="M326" s="215"/>
      <c r="N326" s="215"/>
      <c r="O326" s="359"/>
      <c r="P326" s="359"/>
      <c r="Q326" s="312"/>
      <c r="R326" s="312"/>
      <c r="S326" s="312"/>
    </row>
    <row r="327" spans="1:19" ht="14.85" customHeight="1">
      <c r="A327" s="365" t="s">
        <v>202</v>
      </c>
      <c r="B327" s="373" t="s">
        <v>193</v>
      </c>
      <c r="C327" s="156"/>
      <c r="D327" s="251">
        <v>0.62008765865478199</v>
      </c>
      <c r="E327" s="251">
        <v>0.71612794582952966</v>
      </c>
      <c r="F327" s="251">
        <v>0.72662182447054069</v>
      </c>
      <c r="G327" s="251">
        <v>0.72749069685294865</v>
      </c>
      <c r="H327" s="251">
        <v>0.72979865429106749</v>
      </c>
      <c r="I327" s="251">
        <v>0.77218919808908204</v>
      </c>
      <c r="J327" s="251">
        <v>0.82476851757055047</v>
      </c>
      <c r="K327" s="359"/>
      <c r="L327" s="49">
        <f t="shared" ref="L327:N332" si="112">(H327-E327)</f>
        <v>1.3670708461537839E-2</v>
      </c>
      <c r="M327" s="49">
        <f t="shared" si="112"/>
        <v>4.5567373618541351E-2</v>
      </c>
      <c r="N327" s="49">
        <f t="shared" si="112"/>
        <v>9.7277820717601826E-2</v>
      </c>
      <c r="O327" s="359"/>
      <c r="P327" s="214" t="s">
        <v>204</v>
      </c>
      <c r="Q327" s="312">
        <f>(L327-L328)*100</f>
        <v>0.59483547355601019</v>
      </c>
      <c r="R327" s="312">
        <f>(M327-M328)*100</f>
        <v>0.98750227864706774</v>
      </c>
      <c r="S327" s="312">
        <f>(N327-N328)*100</f>
        <v>1.2838715936827061</v>
      </c>
    </row>
    <row r="328" spans="1:19" ht="14.85" customHeight="1">
      <c r="A328" s="365" t="s">
        <v>203</v>
      </c>
      <c r="B328" s="373" t="s">
        <v>193</v>
      </c>
      <c r="C328" s="156"/>
      <c r="D328" s="251">
        <v>0.66260096941436053</v>
      </c>
      <c r="E328" s="251">
        <v>0.72753990458686346</v>
      </c>
      <c r="F328" s="251">
        <v>0.73256554969629495</v>
      </c>
      <c r="G328" s="251">
        <v>0.72743870133567756</v>
      </c>
      <c r="H328" s="251">
        <v>0.7352622583128412</v>
      </c>
      <c r="I328" s="251">
        <v>0.76825790052836562</v>
      </c>
      <c r="J328" s="251">
        <v>0.81187780611645233</v>
      </c>
      <c r="K328" s="359"/>
      <c r="L328" s="49">
        <f t="shared" si="112"/>
        <v>7.7223537259777375E-3</v>
      </c>
      <c r="M328" s="49">
        <f t="shared" si="112"/>
        <v>3.5692350832070674E-2</v>
      </c>
      <c r="N328" s="49">
        <f t="shared" si="112"/>
        <v>8.4439104780774765E-2</v>
      </c>
      <c r="O328" s="359"/>
      <c r="P328" s="359"/>
      <c r="Q328" s="312"/>
      <c r="R328" s="312"/>
      <c r="S328" s="312"/>
    </row>
    <row r="329" spans="1:19" ht="14.85" customHeight="1">
      <c r="A329" s="365" t="s">
        <v>180</v>
      </c>
      <c r="B329" s="373" t="s">
        <v>193</v>
      </c>
      <c r="C329" s="156"/>
      <c r="D329" s="251">
        <v>0.6476189388771062</v>
      </c>
      <c r="E329" s="251">
        <v>0.73695520510015755</v>
      </c>
      <c r="F329" s="251">
        <v>0.7422149732892579</v>
      </c>
      <c r="G329" s="251">
        <v>0.73562540968834966</v>
      </c>
      <c r="H329" s="251">
        <v>0.74743229910344955</v>
      </c>
      <c r="I329" s="251">
        <v>0.78482988181147839</v>
      </c>
      <c r="J329" s="251">
        <v>0.82924212007370923</v>
      </c>
      <c r="K329" s="359"/>
      <c r="L329" s="49">
        <f t="shared" si="112"/>
        <v>1.0477094003291998E-2</v>
      </c>
      <c r="M329" s="49">
        <f t="shared" si="112"/>
        <v>4.2614908522220496E-2</v>
      </c>
      <c r="N329" s="49">
        <f t="shared" si="112"/>
        <v>9.3616710385359569E-2</v>
      </c>
      <c r="O329" s="359"/>
      <c r="P329" s="214" t="s">
        <v>205</v>
      </c>
      <c r="Q329" s="312">
        <f>(L329-L330)*100</f>
        <v>0.23239344754852898</v>
      </c>
      <c r="R329" s="312">
        <f>(M329-M330)*100</f>
        <v>1.0823533162295562</v>
      </c>
      <c r="S329" s="312">
        <f>(N329-N330)*100</f>
        <v>1.821849895043226</v>
      </c>
    </row>
    <row r="330" spans="1:19" ht="14.85" customHeight="1">
      <c r="A330" s="365" t="s">
        <v>197</v>
      </c>
      <c r="B330" s="373" t="s">
        <v>193</v>
      </c>
      <c r="C330" s="156"/>
      <c r="D330" s="251">
        <v>0.65064837867349079</v>
      </c>
      <c r="E330" s="251">
        <v>0.70705763576705571</v>
      </c>
      <c r="F330" s="251">
        <v>0.71279316921195535</v>
      </c>
      <c r="G330" s="251">
        <v>0.70988441043532746</v>
      </c>
      <c r="H330" s="251">
        <v>0.71521079529486242</v>
      </c>
      <c r="I330" s="251">
        <v>0.74458454457188028</v>
      </c>
      <c r="J330" s="251">
        <v>0.78528262187025477</v>
      </c>
      <c r="K330" s="359"/>
      <c r="L330" s="49">
        <f t="shared" si="112"/>
        <v>8.1531595278067082E-3</v>
      </c>
      <c r="M330" s="49">
        <f t="shared" si="112"/>
        <v>3.1791375359924934E-2</v>
      </c>
      <c r="N330" s="49">
        <f t="shared" si="112"/>
        <v>7.5398211434927309E-2</v>
      </c>
      <c r="O330" s="359"/>
      <c r="P330" s="359"/>
      <c r="Q330" s="312"/>
      <c r="R330" s="312"/>
      <c r="S330" s="312"/>
    </row>
    <row r="331" spans="1:19" ht="14.85" customHeight="1">
      <c r="A331" s="365" t="s">
        <v>181</v>
      </c>
      <c r="B331" s="373" t="s">
        <v>193</v>
      </c>
      <c r="C331" s="156"/>
      <c r="D331" s="251">
        <v>0.63925103875180189</v>
      </c>
      <c r="E331" s="251">
        <v>0.71535229322951288</v>
      </c>
      <c r="F331" s="251">
        <v>0.72736450864614088</v>
      </c>
      <c r="G331" s="251">
        <v>0.73139676171816859</v>
      </c>
      <c r="H331" s="251">
        <v>0.72228025195454693</v>
      </c>
      <c r="I331" s="251">
        <v>0.76320645297342893</v>
      </c>
      <c r="J331" s="251">
        <v>0.81525933132967698</v>
      </c>
      <c r="K331" s="359"/>
      <c r="L331" s="49">
        <f t="shared" si="112"/>
        <v>6.9279587250340446E-3</v>
      </c>
      <c r="M331" s="49">
        <f t="shared" si="112"/>
        <v>3.5841944327288044E-2</v>
      </c>
      <c r="N331" s="49">
        <f t="shared" si="112"/>
        <v>8.3862569611508397E-2</v>
      </c>
      <c r="O331" s="359"/>
      <c r="P331" s="216" t="s">
        <v>206</v>
      </c>
      <c r="Q331" s="312">
        <f>(L331-L332)*100</f>
        <v>-0.27573537552586513</v>
      </c>
      <c r="R331" s="312">
        <f>(M331-M332)*100</f>
        <v>-0.29204199458949809</v>
      </c>
      <c r="S331" s="312">
        <f>(N331-N332)*100</f>
        <v>-0.45159364492235454</v>
      </c>
    </row>
    <row r="332" spans="1:19" ht="14.85" customHeight="1">
      <c r="A332" s="365" t="s">
        <v>199</v>
      </c>
      <c r="B332" s="373" t="s">
        <v>193</v>
      </c>
      <c r="C332" s="156"/>
      <c r="D332" s="251">
        <v>0.64962265990639623</v>
      </c>
      <c r="E332" s="251">
        <v>0.72485716087532315</v>
      </c>
      <c r="F332" s="251">
        <v>0.73132507942311953</v>
      </c>
      <c r="G332" s="251">
        <v>0.7269058951524916</v>
      </c>
      <c r="H332" s="251">
        <v>0.73454247335561584</v>
      </c>
      <c r="I332" s="251">
        <v>0.77008744369630255</v>
      </c>
      <c r="J332" s="251">
        <v>0.81528440121322354</v>
      </c>
      <c r="K332" s="359"/>
      <c r="L332" s="49">
        <f t="shared" si="112"/>
        <v>9.685312480292696E-3</v>
      </c>
      <c r="M332" s="49">
        <f t="shared" si="112"/>
        <v>3.8762364273183025E-2</v>
      </c>
      <c r="N332" s="49">
        <f t="shared" si="112"/>
        <v>8.8378506060731943E-2</v>
      </c>
      <c r="O332" s="359"/>
      <c r="P332" s="359"/>
      <c r="Q332" s="312"/>
      <c r="R332" s="312"/>
      <c r="S332" s="312"/>
    </row>
    <row r="333" spans="1:19" ht="15.75" customHeight="1">
      <c r="A333" s="155" t="s">
        <v>207</v>
      </c>
      <c r="B333" s="95" t="s">
        <v>208</v>
      </c>
      <c r="C333" s="95"/>
      <c r="D333" s="359"/>
      <c r="E333" s="359"/>
      <c r="F333" s="359"/>
      <c r="G333" s="359"/>
      <c r="H333" s="359"/>
      <c r="I333" s="359"/>
      <c r="J333" s="359"/>
      <c r="K333" s="359"/>
      <c r="L333" s="49"/>
      <c r="M333" s="213"/>
      <c r="N333" s="251"/>
      <c r="O333" s="359"/>
      <c r="P333" s="359"/>
      <c r="Q333" s="312"/>
      <c r="R333" s="312"/>
      <c r="S333" s="312"/>
    </row>
    <row r="334" spans="1:19">
      <c r="A334" s="98" t="s">
        <v>179</v>
      </c>
      <c r="B334" s="120"/>
      <c r="C334" s="121"/>
      <c r="D334" s="312">
        <f>particulateMatter!D20</f>
        <v>5.4800161060306198</v>
      </c>
      <c r="E334" s="312">
        <f>particulateMatter!E20</f>
        <v>5.4809208476945397</v>
      </c>
      <c r="F334" s="312">
        <f>particulateMatter!F20</f>
        <v>6.0146277036530904</v>
      </c>
      <c r="G334" s="312">
        <f>particulateMatter!G20</f>
        <v>6.2799904144613201</v>
      </c>
      <c r="H334" s="312">
        <f>particulateMatter!H20</f>
        <v>5.4942519188991499</v>
      </c>
      <c r="I334" s="312">
        <f>particulateMatter!I20</f>
        <v>5.6432258752447</v>
      </c>
      <c r="J334" s="312">
        <f>particulateMatter!J20</f>
        <v>5.76861014521982</v>
      </c>
      <c r="K334" s="359"/>
      <c r="L334" s="49">
        <f t="shared" ref="L334:N339" si="113">(H334-E334)/E334</f>
        <v>2.4322685138242215E-3</v>
      </c>
      <c r="M334" s="49">
        <f t="shared" si="113"/>
        <v>-6.1749761865196241E-2</v>
      </c>
      <c r="N334" s="49">
        <f t="shared" si="113"/>
        <v>-8.1430103470208071E-2</v>
      </c>
      <c r="O334" s="359"/>
      <c r="P334" s="214" t="s">
        <v>204</v>
      </c>
      <c r="Q334" s="312">
        <f>(L334-L335)*100</f>
        <v>-8.748432814085863E-2</v>
      </c>
      <c r="R334" s="312">
        <f>(M334-M335)*100</f>
        <v>-1.114132471722308</v>
      </c>
      <c r="S334" s="312">
        <f>(N334-N335)*100</f>
        <v>-1.7048947550793891</v>
      </c>
    </row>
    <row r="335" spans="1:19">
      <c r="A335" s="98" t="s">
        <v>195</v>
      </c>
      <c r="B335" s="120"/>
      <c r="C335" s="121"/>
      <c r="D335" s="312">
        <f>particulateMatter!D23</f>
        <v>4.9550881984670303</v>
      </c>
      <c r="E335" s="312">
        <f>particulateMatter!E23</f>
        <v>4.92410817146986</v>
      </c>
      <c r="F335" s="312">
        <f>particulateMatter!F23</f>
        <v>5.43014543204138</v>
      </c>
      <c r="G335" s="312">
        <f>particulateMatter!G23</f>
        <v>5.6947529007667503</v>
      </c>
      <c r="H335" s="312">
        <f>particulateMatter!H23</f>
        <v>4.9403927476847302</v>
      </c>
      <c r="I335" s="312">
        <f>particulateMatter!I23</f>
        <v>5.1553342582395603</v>
      </c>
      <c r="J335" s="312">
        <f>particulateMatter!J23</f>
        <v>5.32811812633995</v>
      </c>
      <c r="K335" s="359"/>
      <c r="L335" s="49">
        <f t="shared" si="113"/>
        <v>3.3071117952328077E-3</v>
      </c>
      <c r="M335" s="49">
        <f t="shared" si="113"/>
        <v>-5.0608437147973161E-2</v>
      </c>
      <c r="N335" s="49">
        <f t="shared" si="113"/>
        <v>-6.4381155919414179E-2</v>
      </c>
      <c r="O335" s="359"/>
      <c r="P335" s="359"/>
      <c r="Q335" s="312"/>
      <c r="R335" s="312"/>
      <c r="S335" s="312"/>
    </row>
    <row r="336" spans="1:19">
      <c r="A336" s="98" t="s">
        <v>180</v>
      </c>
      <c r="B336" s="120"/>
      <c r="C336" s="121"/>
      <c r="D336" s="312">
        <f>particulateMatter!D14</f>
        <v>5.50230396028903</v>
      </c>
      <c r="E336" s="312">
        <f>particulateMatter!E14</f>
        <v>5.4051845731496</v>
      </c>
      <c r="F336" s="312">
        <f>particulateMatter!F14</f>
        <v>5.8808251892354599</v>
      </c>
      <c r="G336" s="312">
        <f>particulateMatter!G14</f>
        <v>6.06402471935239</v>
      </c>
      <c r="H336" s="312">
        <f>particulateMatter!H14</f>
        <v>5.4071138370049301</v>
      </c>
      <c r="I336" s="312">
        <f>particulateMatter!I14</f>
        <v>5.5025168125640898</v>
      </c>
      <c r="J336" s="312">
        <f>particulateMatter!J14</f>
        <v>5.6309434364947304</v>
      </c>
      <c r="K336" s="359"/>
      <c r="L336" s="49">
        <f t="shared" si="113"/>
        <v>3.5692839517706187E-4</v>
      </c>
      <c r="M336" s="49">
        <f t="shared" si="113"/>
        <v>-6.4329131456558802E-2</v>
      </c>
      <c r="N336" s="49">
        <f t="shared" si="113"/>
        <v>-7.1418126228204204E-2</v>
      </c>
      <c r="O336" s="359"/>
      <c r="P336" s="214" t="s">
        <v>205</v>
      </c>
      <c r="Q336" s="312">
        <f>(L336-L337)*100</f>
        <v>-0.70406104793548818</v>
      </c>
      <c r="R336" s="312">
        <f>(M336-M337)*100</f>
        <v>-2.9448218988994808</v>
      </c>
      <c r="S336" s="312">
        <f>(N336-N337)*100</f>
        <v>-0.78111602163059435</v>
      </c>
    </row>
    <row r="337" spans="1:19">
      <c r="A337" s="98" t="s">
        <v>197</v>
      </c>
      <c r="B337" s="120"/>
      <c r="C337" s="121"/>
      <c r="D337" s="312">
        <f>particulateMatter!D17</f>
        <v>4.68354930382469</v>
      </c>
      <c r="E337" s="312">
        <f>particulateMatter!E17</f>
        <v>4.6671868103504996</v>
      </c>
      <c r="F337" s="312">
        <f>particulateMatter!F17</f>
        <v>5.1333276869429501</v>
      </c>
      <c r="G337" s="312">
        <f>particulateMatter!G17</f>
        <v>5.3862275263791597</v>
      </c>
      <c r="H337" s="312">
        <f>particulateMatter!H17</f>
        <v>4.7017125062147702</v>
      </c>
      <c r="I337" s="312">
        <f>particulateMatter!I17</f>
        <v>4.9542725332273703</v>
      </c>
      <c r="J337" s="312">
        <f>particulateMatter!J17</f>
        <v>5.0436259351764097</v>
      </c>
      <c r="K337" s="359"/>
      <c r="L337" s="49">
        <f t="shared" si="113"/>
        <v>7.3975388745319438E-3</v>
      </c>
      <c r="M337" s="49">
        <f t="shared" si="113"/>
        <v>-3.4880912467563994E-2</v>
      </c>
      <c r="N337" s="49">
        <f t="shared" si="113"/>
        <v>-6.3606966011898261E-2</v>
      </c>
      <c r="O337" s="359"/>
      <c r="P337" s="359"/>
      <c r="Q337" s="312"/>
      <c r="R337" s="312"/>
      <c r="S337" s="312"/>
    </row>
    <row r="338" spans="1:19">
      <c r="A338" s="98" t="s">
        <v>181</v>
      </c>
      <c r="B338" s="120"/>
      <c r="C338" s="121"/>
      <c r="D338" s="312">
        <f>particulateMatter!D8</f>
        <v>4.8829336378605799</v>
      </c>
      <c r="E338" s="312">
        <f>particulateMatter!E8</f>
        <v>4.9042617639324497</v>
      </c>
      <c r="F338" s="312">
        <f>particulateMatter!F8</f>
        <v>5.4330618935882899</v>
      </c>
      <c r="G338" s="312">
        <f>particulateMatter!G8</f>
        <v>5.8110785031085603</v>
      </c>
      <c r="H338" s="312">
        <f>particulateMatter!H8</f>
        <v>4.8888262977638197</v>
      </c>
      <c r="I338" s="312">
        <f>particulateMatter!I8</f>
        <v>5.17554293998601</v>
      </c>
      <c r="J338" s="312">
        <f>particulateMatter!J8</f>
        <v>5.4332217887578098</v>
      </c>
      <c r="K338" s="359"/>
      <c r="L338" s="49">
        <f t="shared" si="113"/>
        <v>-3.1473577291790357E-3</v>
      </c>
      <c r="M338" s="49">
        <f t="shared" si="113"/>
        <v>-4.7398494375001571E-2</v>
      </c>
      <c r="N338" s="49">
        <f t="shared" si="113"/>
        <v>-6.502350882863156E-2</v>
      </c>
      <c r="O338" s="359"/>
      <c r="P338" s="216" t="s">
        <v>206</v>
      </c>
      <c r="Q338" s="312">
        <f>(L338-L339)*100</f>
        <v>-0.67467066323859703</v>
      </c>
      <c r="R338" s="312">
        <f>(M338-M339)*100</f>
        <v>0.72982886742680164</v>
      </c>
      <c r="S338" s="312">
        <f>(N338-N339)*100</f>
        <v>0.46843091353808569</v>
      </c>
    </row>
    <row r="339" spans="1:19">
      <c r="A339" s="98" t="s">
        <v>199</v>
      </c>
      <c r="B339" s="120"/>
      <c r="C339" s="121"/>
      <c r="D339" s="312">
        <f>particulateMatter!D11</f>
        <v>5.13744212349531</v>
      </c>
      <c r="E339" s="312">
        <f>particulateMatter!E11</f>
        <v>5.1039774524086399</v>
      </c>
      <c r="F339" s="312">
        <f>particulateMatter!F11</f>
        <v>5.6125227734021097</v>
      </c>
      <c r="G339" s="312">
        <f>particulateMatter!G11</f>
        <v>5.8540460413932696</v>
      </c>
      <c r="H339" s="312">
        <f>particulateMatter!H11</f>
        <v>5.1223484480539598</v>
      </c>
      <c r="I339" s="312">
        <f>particulateMatter!I11</f>
        <v>5.3055358329062496</v>
      </c>
      <c r="J339" s="312">
        <f>particulateMatter!J11</f>
        <v>5.44597326558688</v>
      </c>
      <c r="K339" s="359"/>
      <c r="L339" s="49">
        <f t="shared" si="113"/>
        <v>3.5993489032069351E-3</v>
      </c>
      <c r="M339" s="49">
        <f t="shared" si="113"/>
        <v>-5.4696783049269587E-2</v>
      </c>
      <c r="N339" s="49">
        <f t="shared" si="113"/>
        <v>-6.9707817964012417E-2</v>
      </c>
      <c r="O339" s="359"/>
      <c r="P339" s="359"/>
      <c r="Q339" s="312"/>
      <c r="R339" s="312"/>
      <c r="S339" s="312"/>
    </row>
    <row r="340" spans="1:19" ht="15.75" customHeight="1">
      <c r="A340" s="155" t="s">
        <v>209</v>
      </c>
      <c r="B340" s="502" t="s">
        <v>210</v>
      </c>
      <c r="C340" s="503"/>
      <c r="D340" s="359"/>
      <c r="E340" s="359"/>
      <c r="F340" s="359"/>
      <c r="G340" s="359"/>
      <c r="H340" s="359"/>
      <c r="I340" s="359"/>
      <c r="J340" s="359"/>
      <c r="K340" s="359"/>
      <c r="L340" s="49"/>
      <c r="M340" s="213"/>
      <c r="N340" s="251"/>
      <c r="O340" s="359"/>
      <c r="P340" s="359"/>
      <c r="Q340" s="312"/>
      <c r="R340" s="312"/>
      <c r="S340" s="312"/>
    </row>
    <row r="341" spans="1:19">
      <c r="A341" s="98" t="s">
        <v>179</v>
      </c>
      <c r="B341" s="120"/>
      <c r="C341" s="121"/>
      <c r="D341" s="251">
        <v>0.16634640315449031</v>
      </c>
      <c r="E341" s="251">
        <v>0.18845075936568489</v>
      </c>
      <c r="F341" s="251">
        <v>0.17875770510254871</v>
      </c>
      <c r="G341" s="251">
        <v>0.17579131748473981</v>
      </c>
      <c r="H341" s="251">
        <v>0.2173416655785991</v>
      </c>
      <c r="I341" s="251">
        <v>0.21266945906597079</v>
      </c>
      <c r="J341" s="251">
        <v>0.21007410967444831</v>
      </c>
      <c r="K341" s="359"/>
      <c r="L341" s="49"/>
      <c r="M341" s="213"/>
      <c r="N341" s="251"/>
      <c r="O341" s="359"/>
      <c r="P341" s="359"/>
      <c r="Q341" s="312"/>
      <c r="R341" s="312"/>
      <c r="S341" s="312"/>
    </row>
    <row r="342" spans="1:19">
      <c r="A342" s="98" t="s">
        <v>195</v>
      </c>
      <c r="B342" s="120"/>
      <c r="C342" s="121"/>
      <c r="D342" s="251">
        <v>3.9289881494934113E-2</v>
      </c>
      <c r="E342" s="251">
        <v>4.1418086774023623E-2</v>
      </c>
      <c r="F342" s="251">
        <v>3.8570824319976417E-2</v>
      </c>
      <c r="G342" s="251">
        <v>3.7659885976052E-2</v>
      </c>
      <c r="H342" s="251">
        <v>5.5516092101720912E-2</v>
      </c>
      <c r="I342" s="251">
        <v>6.0749829867224082E-2</v>
      </c>
      <c r="J342" s="251">
        <v>6.90896611306583E-2</v>
      </c>
      <c r="K342" s="359"/>
      <c r="L342" s="49"/>
      <c r="M342" s="213"/>
      <c r="N342" s="251"/>
      <c r="O342" s="359"/>
      <c r="P342" s="359"/>
      <c r="Q342" s="312"/>
      <c r="R342" s="312"/>
      <c r="S342" s="312"/>
    </row>
    <row r="343" spans="1:19">
      <c r="A343" s="98" t="s">
        <v>180</v>
      </c>
      <c r="B343" s="120"/>
      <c r="C343" s="121"/>
      <c r="D343" s="251">
        <v>8.4909585435342591E-2</v>
      </c>
      <c r="E343" s="251">
        <v>9.0303315385759531E-2</v>
      </c>
      <c r="F343" s="251">
        <v>8.1206436076832034E-2</v>
      </c>
      <c r="G343" s="251">
        <v>7.5946169085630427E-2</v>
      </c>
      <c r="H343" s="251">
        <v>0.1093970830055936</v>
      </c>
      <c r="I343" s="251">
        <v>0.10724308086390991</v>
      </c>
      <c r="J343" s="251">
        <v>0.108992599862391</v>
      </c>
      <c r="K343" s="359"/>
      <c r="L343" s="49"/>
      <c r="M343" s="213"/>
      <c r="N343" s="251"/>
      <c r="O343" s="359"/>
      <c r="P343" s="359"/>
      <c r="Q343" s="312"/>
      <c r="R343" s="312"/>
      <c r="S343" s="312"/>
    </row>
    <row r="344" spans="1:19">
      <c r="A344" s="98" t="s">
        <v>197</v>
      </c>
      <c r="B344" s="120"/>
      <c r="C344" s="121"/>
      <c r="D344" s="251">
        <v>6.7244952974778102E-2</v>
      </c>
      <c r="E344" s="251">
        <v>7.1580424449960697E-2</v>
      </c>
      <c r="F344" s="251">
        <v>6.5409131879554841E-2</v>
      </c>
      <c r="G344" s="251">
        <v>6.2336101827871429E-2</v>
      </c>
      <c r="H344" s="251">
        <v>8.8799041870156428E-2</v>
      </c>
      <c r="I344" s="251">
        <v>8.9355375855541735E-2</v>
      </c>
      <c r="J344" s="251">
        <v>9.2766586804627724E-2</v>
      </c>
      <c r="K344" s="359"/>
      <c r="L344" s="49"/>
      <c r="M344" s="213"/>
      <c r="N344" s="251"/>
      <c r="O344" s="359"/>
      <c r="P344" s="359"/>
      <c r="Q344" s="312"/>
      <c r="R344" s="312"/>
      <c r="S344" s="312"/>
    </row>
    <row r="345" spans="1:19">
      <c r="A345" s="98" t="s">
        <v>181</v>
      </c>
      <c r="B345" s="120"/>
      <c r="C345" s="121"/>
      <c r="D345" s="251">
        <v>7.0492172039289883E-2</v>
      </c>
      <c r="E345" s="251">
        <v>7.2961246305039376E-2</v>
      </c>
      <c r="F345" s="251">
        <v>6.6307289276623591E-2</v>
      </c>
      <c r="G345" s="251">
        <v>6.3682036589248411E-2</v>
      </c>
      <c r="H345" s="251">
        <v>8.8993884034009527E-2</v>
      </c>
      <c r="I345" s="251">
        <v>9.0030147938597205E-2</v>
      </c>
      <c r="J345" s="251">
        <v>9.5496707665013281E-2</v>
      </c>
      <c r="K345" s="359"/>
      <c r="L345" s="49"/>
      <c r="M345" s="213"/>
      <c r="N345" s="251"/>
      <c r="O345" s="359"/>
      <c r="P345" s="359"/>
      <c r="Q345" s="312"/>
      <c r="R345" s="312"/>
      <c r="S345" s="312"/>
    </row>
    <row r="346" spans="1:19" ht="15.75" customHeight="1">
      <c r="A346" s="98" t="s">
        <v>199</v>
      </c>
      <c r="B346" s="120"/>
      <c r="C346" s="121"/>
      <c r="D346" s="251">
        <v>7.7185346674734645E-2</v>
      </c>
      <c r="E346" s="251">
        <v>8.379889942814156E-2</v>
      </c>
      <c r="F346" s="251">
        <v>7.7590722985285146E-2</v>
      </c>
      <c r="G346" s="251">
        <v>7.4355365266639162E-2</v>
      </c>
      <c r="H346" s="251">
        <v>0.10247225605151911</v>
      </c>
      <c r="I346" s="251">
        <v>0.1032230203769091</v>
      </c>
      <c r="J346" s="251">
        <v>0.1066386117972732</v>
      </c>
      <c r="K346" s="359"/>
      <c r="L346" s="49"/>
      <c r="M346" s="213"/>
      <c r="N346" s="251"/>
      <c r="O346" s="359"/>
      <c r="P346" s="359"/>
      <c r="Q346" s="312"/>
      <c r="R346" s="312"/>
      <c r="S346" s="312"/>
    </row>
    <row r="347" spans="1:19">
      <c r="A347" s="368" t="s">
        <v>209</v>
      </c>
      <c r="B347" s="369" t="s">
        <v>211</v>
      </c>
      <c r="C347" s="157"/>
      <c r="D347" s="359"/>
      <c r="E347" s="359"/>
      <c r="F347" s="359"/>
      <c r="G347" s="359"/>
      <c r="H347" s="359"/>
      <c r="I347" s="359"/>
      <c r="J347" s="359"/>
      <c r="K347" s="359"/>
      <c r="L347" s="49"/>
      <c r="M347" s="213"/>
      <c r="N347" s="251"/>
      <c r="O347" s="359"/>
      <c r="P347" s="359"/>
      <c r="Q347" s="312"/>
      <c r="R347" s="312"/>
      <c r="S347" s="312"/>
    </row>
    <row r="348" spans="1:19">
      <c r="A348" s="98" t="s">
        <v>179</v>
      </c>
      <c r="B348" s="120"/>
      <c r="C348" s="121"/>
      <c r="D348" s="359"/>
      <c r="E348" s="251">
        <f>E341-$D341</f>
        <v>2.2104356211194581E-2</v>
      </c>
      <c r="F348" s="251">
        <f t="shared" ref="E348:F353" si="114">F341-$D341</f>
        <v>1.2411301948058395E-2</v>
      </c>
      <c r="G348" s="251">
        <f t="shared" ref="G348:J348" si="115">G341-$D341</f>
        <v>9.4449143302494931E-3</v>
      </c>
      <c r="H348" s="251">
        <f t="shared" si="115"/>
        <v>5.0995262424108789E-2</v>
      </c>
      <c r="I348" s="251">
        <f t="shared" si="115"/>
        <v>4.6323055911480476E-2</v>
      </c>
      <c r="J348" s="251">
        <f t="shared" si="115"/>
        <v>4.3727706519957998E-2</v>
      </c>
      <c r="K348" s="359"/>
      <c r="L348" s="49">
        <f t="shared" ref="L348:N353" si="116">H348-E348</f>
        <v>2.8890906212914208E-2</v>
      </c>
      <c r="M348" s="49">
        <f t="shared" si="116"/>
        <v>3.3911753963422081E-2</v>
      </c>
      <c r="N348" s="49">
        <f t="shared" si="116"/>
        <v>3.4282792189708505E-2</v>
      </c>
      <c r="O348" s="359"/>
      <c r="P348" s="214" t="s">
        <v>204</v>
      </c>
      <c r="Q348" s="312">
        <f>(L348-L349)*100</f>
        <v>1.4792900885216917</v>
      </c>
      <c r="R348" s="312">
        <f>(M348-M349)*100</f>
        <v>1.1732748416174417</v>
      </c>
      <c r="S348" s="312">
        <f>(N348-N349)*100</f>
        <v>0.28530170351022055</v>
      </c>
    </row>
    <row r="349" spans="1:19">
      <c r="A349" s="98" t="s">
        <v>195</v>
      </c>
      <c r="B349" s="120"/>
      <c r="C349" s="121"/>
      <c r="D349" s="359"/>
      <c r="E349" s="251">
        <f t="shared" si="114"/>
        <v>2.1282052790895095E-3</v>
      </c>
      <c r="F349" s="251">
        <f t="shared" si="114"/>
        <v>-7.1905717495769628E-4</v>
      </c>
      <c r="G349" s="251">
        <f t="shared" ref="G349:J349" si="117">G342-$D342</f>
        <v>-1.629995518882113E-3</v>
      </c>
      <c r="H349" s="251">
        <f t="shared" si="117"/>
        <v>1.6226210606786799E-2</v>
      </c>
      <c r="I349" s="251">
        <f t="shared" si="117"/>
        <v>2.1459948372289969E-2</v>
      </c>
      <c r="J349" s="251">
        <f t="shared" si="117"/>
        <v>2.9799779635724187E-2</v>
      </c>
      <c r="K349" s="359"/>
      <c r="L349" s="49">
        <f t="shared" si="116"/>
        <v>1.409800532769729E-2</v>
      </c>
      <c r="M349" s="49">
        <f t="shared" si="116"/>
        <v>2.2179005547247665E-2</v>
      </c>
      <c r="N349" s="49">
        <f t="shared" si="116"/>
        <v>3.14297751546063E-2</v>
      </c>
      <c r="O349" s="359"/>
      <c r="P349" s="359"/>
      <c r="Q349" s="312"/>
      <c r="R349" s="312"/>
      <c r="S349" s="312"/>
    </row>
    <row r="350" spans="1:19">
      <c r="A350" s="98" t="s">
        <v>180</v>
      </c>
      <c r="B350" s="120"/>
      <c r="C350" s="121"/>
      <c r="D350" s="359"/>
      <c r="E350" s="251">
        <f t="shared" si="114"/>
        <v>5.3937299504169395E-3</v>
      </c>
      <c r="F350" s="251">
        <f t="shared" si="114"/>
        <v>-3.7031493585105574E-3</v>
      </c>
      <c r="G350" s="251">
        <f t="shared" ref="G350:J350" si="118">G343-$D343</f>
        <v>-8.9634163497121638E-3</v>
      </c>
      <c r="H350" s="251">
        <f t="shared" si="118"/>
        <v>2.448749757025101E-2</v>
      </c>
      <c r="I350" s="251">
        <f t="shared" si="118"/>
        <v>2.2333495428567315E-2</v>
      </c>
      <c r="J350" s="251">
        <f t="shared" si="118"/>
        <v>2.408301442704841E-2</v>
      </c>
      <c r="K350" s="359"/>
      <c r="L350" s="49">
        <f t="shared" si="116"/>
        <v>1.9093767619834071E-2</v>
      </c>
      <c r="M350" s="49">
        <f t="shared" si="116"/>
        <v>2.6036644787077873E-2</v>
      </c>
      <c r="N350" s="49">
        <f t="shared" si="116"/>
        <v>3.3046430776760574E-2</v>
      </c>
      <c r="O350" s="359"/>
      <c r="P350" s="214" t="s">
        <v>205</v>
      </c>
      <c r="Q350" s="312">
        <f>(L350-L351)*100</f>
        <v>0.18751501996383396</v>
      </c>
      <c r="R350" s="312">
        <f>(M350-M351)*100</f>
        <v>0.20904008110909783</v>
      </c>
      <c r="S350" s="312">
        <f>(N350-N351)*100</f>
        <v>0.26159458000042796</v>
      </c>
    </row>
    <row r="351" spans="1:19">
      <c r="A351" s="98" t="s">
        <v>197</v>
      </c>
      <c r="B351" s="120"/>
      <c r="C351" s="121"/>
      <c r="D351" s="359"/>
      <c r="E351" s="251">
        <f t="shared" si="114"/>
        <v>4.3354714751825951E-3</v>
      </c>
      <c r="F351" s="251">
        <f t="shared" si="114"/>
        <v>-1.8358210952232612E-3</v>
      </c>
      <c r="G351" s="251">
        <f t="shared" ref="G351:J351" si="119">G344-$D344</f>
        <v>-4.9088511469066731E-3</v>
      </c>
      <c r="H351" s="251">
        <f t="shared" si="119"/>
        <v>2.1554088895378326E-2</v>
      </c>
      <c r="I351" s="251">
        <f t="shared" si="119"/>
        <v>2.2110422880763633E-2</v>
      </c>
      <c r="J351" s="251">
        <f t="shared" si="119"/>
        <v>2.5521633829849621E-2</v>
      </c>
      <c r="K351" s="359"/>
      <c r="L351" s="49">
        <f t="shared" si="116"/>
        <v>1.7218617420195731E-2</v>
      </c>
      <c r="M351" s="49">
        <f t="shared" si="116"/>
        <v>2.3946243975986894E-2</v>
      </c>
      <c r="N351" s="49">
        <f t="shared" si="116"/>
        <v>3.0430484976756295E-2</v>
      </c>
      <c r="O351" s="359"/>
      <c r="P351" s="359"/>
      <c r="Q351" s="312"/>
      <c r="R351" s="312"/>
      <c r="S351" s="312"/>
    </row>
    <row r="352" spans="1:19">
      <c r="A352" s="98" t="s">
        <v>181</v>
      </c>
      <c r="B352" s="120"/>
      <c r="C352" s="121"/>
      <c r="D352" s="359"/>
      <c r="E352" s="251">
        <f t="shared" si="114"/>
        <v>2.4690742657494935E-3</v>
      </c>
      <c r="F352" s="251">
        <f t="shared" si="114"/>
        <v>-4.1848827626662921E-3</v>
      </c>
      <c r="G352" s="251">
        <f t="shared" ref="G352:J352" si="120">G345-$D345</f>
        <v>-6.8101354500414713E-3</v>
      </c>
      <c r="H352" s="251">
        <f t="shared" si="120"/>
        <v>1.8501711994719644E-2</v>
      </c>
      <c r="I352" s="251">
        <f t="shared" si="120"/>
        <v>1.9537975899307322E-2</v>
      </c>
      <c r="J352" s="251">
        <f t="shared" si="120"/>
        <v>2.5004535625723398E-2</v>
      </c>
      <c r="K352" s="359"/>
      <c r="L352" s="49">
        <f t="shared" si="116"/>
        <v>1.603263772897015E-2</v>
      </c>
      <c r="M352" s="49">
        <f t="shared" si="116"/>
        <v>2.3722858661973614E-2</v>
      </c>
      <c r="N352" s="49">
        <f t="shared" si="116"/>
        <v>3.1814671075764869E-2</v>
      </c>
      <c r="O352" s="359"/>
      <c r="P352" s="216" t="s">
        <v>206</v>
      </c>
      <c r="Q352" s="312">
        <f>(L352-L353)*100</f>
        <v>-0.26407188944073956</v>
      </c>
      <c r="R352" s="312">
        <f>(M352-M353)*100</f>
        <v>-0.19094387296503396</v>
      </c>
      <c r="S352" s="312">
        <f>(N352-N353)*100</f>
        <v>-4.6857545486916896E-2</v>
      </c>
    </row>
    <row r="353" spans="1:19">
      <c r="A353" s="98" t="s">
        <v>199</v>
      </c>
      <c r="B353" s="120"/>
      <c r="C353" s="121"/>
      <c r="D353" s="359"/>
      <c r="E353" s="251">
        <f t="shared" si="114"/>
        <v>6.613552753406915E-3</v>
      </c>
      <c r="F353" s="251">
        <f t="shared" si="114"/>
        <v>4.0537631055050094E-4</v>
      </c>
      <c r="G353" s="251">
        <f t="shared" ref="G353:J353" si="121">G346-$D346</f>
        <v>-2.8299814080954833E-3</v>
      </c>
      <c r="H353" s="251">
        <f t="shared" si="121"/>
        <v>2.5286909376784461E-2</v>
      </c>
      <c r="I353" s="251">
        <f t="shared" si="121"/>
        <v>2.6037673702174455E-2</v>
      </c>
      <c r="J353" s="251">
        <f t="shared" si="121"/>
        <v>2.9453265122538555E-2</v>
      </c>
      <c r="K353" s="359"/>
      <c r="L353" s="49">
        <f t="shared" si="116"/>
        <v>1.8673356623377546E-2</v>
      </c>
      <c r="M353" s="49">
        <f t="shared" si="116"/>
        <v>2.5632297391623954E-2</v>
      </c>
      <c r="N353" s="49">
        <f t="shared" si="116"/>
        <v>3.2283246530634038E-2</v>
      </c>
      <c r="O353" s="359"/>
      <c r="P353" s="359"/>
      <c r="Q353" s="312"/>
      <c r="R353" s="312"/>
      <c r="S353" s="312"/>
    </row>
    <row r="355" spans="1:19">
      <c r="A355" s="359"/>
      <c r="B355" s="359"/>
      <c r="C355" s="359"/>
      <c r="D355" s="359"/>
      <c r="E355" s="359"/>
      <c r="F355" s="359"/>
      <c r="G355" s="359"/>
      <c r="H355" s="359"/>
      <c r="I355" s="359"/>
      <c r="J355" s="359"/>
      <c r="K355" s="359"/>
      <c r="L355" s="49"/>
      <c r="M355" s="49"/>
      <c r="N355" s="49"/>
      <c r="O355" s="359"/>
      <c r="P355" s="359"/>
      <c r="Q355" s="359"/>
      <c r="R355" s="359"/>
      <c r="S355" s="359"/>
    </row>
    <row r="356" spans="1:19">
      <c r="A356" s="359"/>
      <c r="B356" s="359"/>
      <c r="C356" s="359"/>
      <c r="D356" s="359"/>
      <c r="E356" s="359"/>
      <c r="F356" s="359"/>
      <c r="G356" s="359"/>
      <c r="H356" s="359"/>
      <c r="I356" s="359"/>
      <c r="J356" s="359"/>
      <c r="K356" s="359"/>
      <c r="L356" s="49"/>
      <c r="M356" s="49"/>
      <c r="N356" s="49"/>
      <c r="O356" s="359"/>
      <c r="P356" s="359"/>
      <c r="Q356" s="359"/>
      <c r="R356" s="359"/>
      <c r="S356" s="359"/>
    </row>
    <row r="357" spans="1:19">
      <c r="A357" s="359"/>
      <c r="B357" s="359"/>
      <c r="C357" s="359"/>
      <c r="D357" s="359"/>
      <c r="E357" s="359"/>
      <c r="F357" s="359"/>
      <c r="G357" s="359"/>
      <c r="H357" s="359"/>
      <c r="I357" s="359"/>
      <c r="J357" s="359"/>
      <c r="K357" s="359"/>
      <c r="L357" s="49"/>
      <c r="M357" s="49"/>
      <c r="N357" s="49"/>
      <c r="O357" s="359"/>
      <c r="P357" s="359"/>
      <c r="Q357" s="359"/>
      <c r="R357" s="359"/>
      <c r="S357" s="359"/>
    </row>
    <row r="358" spans="1:19">
      <c r="A358" s="359"/>
      <c r="B358" s="359"/>
      <c r="C358" s="359"/>
      <c r="D358" s="359"/>
      <c r="E358" s="359"/>
      <c r="F358" s="359"/>
      <c r="G358" s="359"/>
      <c r="H358" s="359"/>
      <c r="I358" s="359"/>
      <c r="J358" s="359"/>
      <c r="K358" s="359"/>
      <c r="L358" s="49"/>
      <c r="M358" s="49"/>
      <c r="N358" s="49"/>
      <c r="O358" s="359"/>
      <c r="P358" s="359"/>
      <c r="Q358" s="359"/>
      <c r="R358" s="359"/>
      <c r="S358" s="359"/>
    </row>
    <row r="359" spans="1:19">
      <c r="A359" s="359"/>
      <c r="B359" s="359"/>
      <c r="C359" s="359"/>
      <c r="D359" s="359"/>
      <c r="E359" s="359"/>
      <c r="F359" s="359"/>
      <c r="G359" s="359"/>
      <c r="H359" s="359"/>
      <c r="I359" s="359"/>
      <c r="J359" s="359"/>
      <c r="K359" s="359"/>
      <c r="L359" s="49"/>
      <c r="M359" s="49"/>
      <c r="N359" s="49"/>
      <c r="O359" s="359"/>
      <c r="P359" s="359"/>
      <c r="Q359" s="359"/>
      <c r="R359" s="359"/>
      <c r="S359" s="359"/>
    </row>
    <row r="360" spans="1:19">
      <c r="A360" s="359"/>
      <c r="B360" s="359"/>
      <c r="C360" s="359"/>
      <c r="D360" s="359"/>
      <c r="E360" s="359"/>
      <c r="F360" s="359"/>
      <c r="G360" s="359"/>
      <c r="H360" s="359"/>
      <c r="I360" s="359"/>
      <c r="J360" s="359"/>
      <c r="K360" s="359"/>
      <c r="L360" s="49"/>
      <c r="M360" s="49"/>
      <c r="N360" s="49"/>
      <c r="O360" s="359"/>
      <c r="P360" s="359"/>
      <c r="Q360" s="359"/>
      <c r="R360" s="359"/>
      <c r="S360" s="359"/>
    </row>
  </sheetData>
  <sheetProtection algorithmName="SHA-512" hashValue="2PCv4OnuTez2wbWLaPhT+soj4/Rz0L1hytzSDOSMnZtifjTtvV5QLkF2KWAZu2N285oATyZNqG0qRD7Dqp5g7A==" saltValue="XCiHL7f9jrZN/nPwqkZd5A==" spinCount="100000" sheet="1" objects="1" scenarios="1"/>
  <mergeCells count="122">
    <mergeCell ref="A179:A180"/>
    <mergeCell ref="A181:A182"/>
    <mergeCell ref="B179:B182"/>
    <mergeCell ref="A184:A185"/>
    <mergeCell ref="A186:A187"/>
    <mergeCell ref="A189:A190"/>
    <mergeCell ref="A191:A192"/>
    <mergeCell ref="B184:B187"/>
    <mergeCell ref="B189:B192"/>
    <mergeCell ref="B183:C183"/>
    <mergeCell ref="B188:C188"/>
    <mergeCell ref="A166:A167"/>
    <mergeCell ref="B164:B167"/>
    <mergeCell ref="A169:A170"/>
    <mergeCell ref="A171:A172"/>
    <mergeCell ref="A174:A175"/>
    <mergeCell ref="A176:A177"/>
    <mergeCell ref="B169:B172"/>
    <mergeCell ref="B174:B177"/>
    <mergeCell ref="B173:C173"/>
    <mergeCell ref="B168:C168"/>
    <mergeCell ref="A137:A142"/>
    <mergeCell ref="A143:A148"/>
    <mergeCell ref="A150:A155"/>
    <mergeCell ref="A156:A161"/>
    <mergeCell ref="B137:B148"/>
    <mergeCell ref="B150:B161"/>
    <mergeCell ref="B136:C136"/>
    <mergeCell ref="B149:C149"/>
    <mergeCell ref="A164:A165"/>
    <mergeCell ref="A104:A109"/>
    <mergeCell ref="B98:B109"/>
    <mergeCell ref="A111:A116"/>
    <mergeCell ref="A117:A122"/>
    <mergeCell ref="A124:A129"/>
    <mergeCell ref="B110:C110"/>
    <mergeCell ref="B123:C123"/>
    <mergeCell ref="A130:A135"/>
    <mergeCell ref="B111:B122"/>
    <mergeCell ref="B124:B135"/>
    <mergeCell ref="E1:G1"/>
    <mergeCell ref="A6:A11"/>
    <mergeCell ref="A12:A17"/>
    <mergeCell ref="B6:B17"/>
    <mergeCell ref="A19:A24"/>
    <mergeCell ref="A25:A30"/>
    <mergeCell ref="B19:B30"/>
    <mergeCell ref="A32:A37"/>
    <mergeCell ref="A38:A43"/>
    <mergeCell ref="B32:B43"/>
    <mergeCell ref="A253:A254"/>
    <mergeCell ref="A257:A258"/>
    <mergeCell ref="A232:A233"/>
    <mergeCell ref="A236:A237"/>
    <mergeCell ref="A240:A241"/>
    <mergeCell ref="A245:A246"/>
    <mergeCell ref="A249:A250"/>
    <mergeCell ref="B18:C18"/>
    <mergeCell ref="D1:D2"/>
    <mergeCell ref="A45:A50"/>
    <mergeCell ref="A51:A56"/>
    <mergeCell ref="B45:B56"/>
    <mergeCell ref="A58:A63"/>
    <mergeCell ref="A64:A69"/>
    <mergeCell ref="B58:B69"/>
    <mergeCell ref="A71:A76"/>
    <mergeCell ref="A77:A82"/>
    <mergeCell ref="B71:B82"/>
    <mergeCell ref="B57:C57"/>
    <mergeCell ref="B70:C70"/>
    <mergeCell ref="A85:A90"/>
    <mergeCell ref="A91:A96"/>
    <mergeCell ref="B85:B96"/>
    <mergeCell ref="A98:A103"/>
    <mergeCell ref="A280:A287"/>
    <mergeCell ref="B340:C340"/>
    <mergeCell ref="B320:C320"/>
    <mergeCell ref="A304:A311"/>
    <mergeCell ref="A312:A319"/>
    <mergeCell ref="B271:C271"/>
    <mergeCell ref="A288:A295"/>
    <mergeCell ref="A194:A195"/>
    <mergeCell ref="A198:A199"/>
    <mergeCell ref="A202:A203"/>
    <mergeCell ref="A206:A207"/>
    <mergeCell ref="A230:A231"/>
    <mergeCell ref="A234:A235"/>
    <mergeCell ref="A238:A239"/>
    <mergeCell ref="A247:A248"/>
    <mergeCell ref="B262:C262"/>
    <mergeCell ref="A251:A252"/>
    <mergeCell ref="A228:A229"/>
    <mergeCell ref="A196:A197"/>
    <mergeCell ref="A200:A201"/>
    <mergeCell ref="A219:A220"/>
    <mergeCell ref="A223:A224"/>
    <mergeCell ref="A211:A212"/>
    <mergeCell ref="A215:A216"/>
    <mergeCell ref="L1:N1"/>
    <mergeCell ref="Q1:S2"/>
    <mergeCell ref="A296:A303"/>
    <mergeCell ref="A204:A205"/>
    <mergeCell ref="A208:A209"/>
    <mergeCell ref="A213:A214"/>
    <mergeCell ref="A217:A218"/>
    <mergeCell ref="A221:A222"/>
    <mergeCell ref="A225:A226"/>
    <mergeCell ref="B163:C163"/>
    <mergeCell ref="B178:C178"/>
    <mergeCell ref="B84:C84"/>
    <mergeCell ref="B97:C97"/>
    <mergeCell ref="B31:C31"/>
    <mergeCell ref="B44:C44"/>
    <mergeCell ref="A1:C2"/>
    <mergeCell ref="H1:J1"/>
    <mergeCell ref="B5:C5"/>
    <mergeCell ref="A242:A243"/>
    <mergeCell ref="B263:C263"/>
    <mergeCell ref="B267:C267"/>
    <mergeCell ref="A272:A279"/>
    <mergeCell ref="A255:A256"/>
    <mergeCell ref="A259:A260"/>
  </mergeCells>
  <pageMargins left="0.25" right="0.25" top="0.75" bottom="0.75" header="0.3" footer="0.3"/>
  <pageSetup paperSize="5" scale="51" fitToHeight="0" orientation="landscape" r:id="rId1"/>
  <headerFooter>
    <oddHeader>&amp;LDRAFT - FOR INTERNAL USE ONLY</oddHeader>
    <oddFooter>&amp;L&amp;9 &amp;Z&amp;F
&amp;R&amp;D</oddFooter>
  </headerFooter>
  <rowBreaks count="4" manualBreakCount="4">
    <brk id="201" max="16383" man="1"/>
    <brk id="231" max="16383" man="1"/>
    <brk id="260" max="16383" man="1"/>
    <brk id="303" max="16383"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5" tint="-0.249977111117893"/>
  </sheetPr>
  <dimension ref="A1:J92"/>
  <sheetViews>
    <sheetView zoomScale="85" zoomScaleNormal="85" zoomScaleSheetLayoutView="115" workbookViewId="0">
      <pane xSplit="3" ySplit="3" topLeftCell="D4" activePane="bottomRight" state="frozen"/>
      <selection pane="bottomRight" activeCell="Q85" sqref="Q85"/>
      <selection pane="bottomLeft" activeCell="A4" sqref="A4"/>
      <selection pane="topRight" activeCell="D1" sqref="D1"/>
    </sheetView>
  </sheetViews>
  <sheetFormatPr defaultRowHeight="15"/>
  <cols>
    <col min="1" max="1" width="7.140625" style="289" customWidth="1"/>
    <col min="2" max="2" width="21.7109375" style="289" customWidth="1"/>
    <col min="3" max="3" width="56.28515625" style="289" customWidth="1"/>
    <col min="4" max="10" width="16.42578125" style="289" customWidth="1"/>
  </cols>
  <sheetData>
    <row r="1" spans="1:10" ht="24" customHeight="1" thickBot="1">
      <c r="A1" s="521" t="s">
        <v>212</v>
      </c>
      <c r="B1" s="458"/>
      <c r="C1" s="458"/>
      <c r="D1" s="523">
        <v>2016</v>
      </c>
      <c r="E1" s="527" t="s">
        <v>1</v>
      </c>
      <c r="F1" s="528"/>
      <c r="G1" s="529"/>
      <c r="H1" s="520" t="s">
        <v>2</v>
      </c>
      <c r="I1" s="453"/>
      <c r="J1" s="454"/>
    </row>
    <row r="2" spans="1:10" ht="24" customHeight="1" thickBot="1">
      <c r="A2" s="522"/>
      <c r="B2" s="522"/>
      <c r="C2" s="522"/>
      <c r="D2" s="464"/>
      <c r="E2" s="84">
        <v>2025</v>
      </c>
      <c r="F2" s="85">
        <v>2035</v>
      </c>
      <c r="G2" s="86">
        <v>2050</v>
      </c>
      <c r="H2" s="84">
        <v>2025</v>
      </c>
      <c r="I2" s="85">
        <v>2035</v>
      </c>
      <c r="J2" s="87">
        <v>2050</v>
      </c>
    </row>
    <row r="3" spans="1:10" ht="24" customHeight="1" thickBot="1">
      <c r="A3" s="83"/>
      <c r="B3" s="83" t="s">
        <v>3</v>
      </c>
      <c r="C3" s="83"/>
      <c r="D3" s="89">
        <v>458</v>
      </c>
      <c r="E3" s="88">
        <v>461</v>
      </c>
      <c r="F3" s="88">
        <v>469</v>
      </c>
      <c r="G3" s="88">
        <v>460</v>
      </c>
      <c r="H3" s="88">
        <v>462</v>
      </c>
      <c r="I3" s="88">
        <v>475</v>
      </c>
      <c r="J3" s="88">
        <v>459</v>
      </c>
    </row>
    <row r="4" spans="1:10" s="181" customFormat="1">
      <c r="A4" s="59" t="s">
        <v>213</v>
      </c>
      <c r="B4" s="60" t="s">
        <v>214</v>
      </c>
      <c r="C4" s="61"/>
    </row>
    <row r="5" spans="1:10" s="181" customFormat="1">
      <c r="A5" s="62"/>
      <c r="B5" s="518" t="s">
        <v>215</v>
      </c>
      <c r="C5" s="63" t="s">
        <v>216</v>
      </c>
      <c r="D5" s="251">
        <v>3.4590348052305257E-2</v>
      </c>
      <c r="E5" s="251">
        <v>4.1981911651122417E-2</v>
      </c>
      <c r="F5" s="251">
        <v>4.6187217272467239E-2</v>
      </c>
      <c r="G5" s="251">
        <v>4.7084300511588913E-2</v>
      </c>
      <c r="H5" s="251">
        <v>5.7134885362957993E-2</v>
      </c>
      <c r="I5" s="251">
        <v>6.7391588971809344E-2</v>
      </c>
      <c r="J5" s="251">
        <v>8.4289568284213454E-2</v>
      </c>
    </row>
    <row r="6" spans="1:10" s="181" customFormat="1">
      <c r="A6" s="62"/>
      <c r="B6" s="468"/>
      <c r="C6" s="63" t="s">
        <v>217</v>
      </c>
      <c r="D6" s="251">
        <v>0.13390472970649919</v>
      </c>
      <c r="E6" s="251">
        <v>0.131428436966229</v>
      </c>
      <c r="F6" s="251">
        <v>0.12757037068426691</v>
      </c>
      <c r="G6" s="251">
        <v>0.12952425676684479</v>
      </c>
      <c r="H6" s="251">
        <v>0.15937153903752149</v>
      </c>
      <c r="I6" s="251">
        <v>0.15123036955877589</v>
      </c>
      <c r="J6" s="251">
        <v>0.1605319488709338</v>
      </c>
    </row>
    <row r="7" spans="1:10" s="181" customFormat="1">
      <c r="A7" s="62"/>
      <c r="B7" s="468"/>
      <c r="C7" s="63" t="s">
        <v>218</v>
      </c>
      <c r="D7" s="251">
        <v>0.79449499753601427</v>
      </c>
      <c r="E7" s="251">
        <v>0.78643899819227248</v>
      </c>
      <c r="F7" s="251">
        <v>0.78106692233534269</v>
      </c>
      <c r="G7" s="251">
        <v>0.77740586521565469</v>
      </c>
      <c r="H7" s="251">
        <v>0.7189477819945963</v>
      </c>
      <c r="I7" s="251">
        <v>0.66011480233463571</v>
      </c>
      <c r="J7" s="251">
        <v>0.61708923122923132</v>
      </c>
    </row>
    <row r="8" spans="1:10" s="181" customFormat="1">
      <c r="A8" s="62"/>
      <c r="B8" s="468"/>
      <c r="C8" s="64" t="s">
        <v>219</v>
      </c>
      <c r="D8" s="251">
        <v>2.5871849822936841E-3</v>
      </c>
      <c r="E8" s="251">
        <v>3.0410240651999989E-3</v>
      </c>
      <c r="F8" s="251">
        <v>3.46953693600161E-3</v>
      </c>
      <c r="G8" s="251">
        <v>3.6968647473256109E-3</v>
      </c>
      <c r="H8" s="251">
        <v>4.8400092244881687E-3</v>
      </c>
      <c r="I8" s="251">
        <v>5.1516341760899677E-3</v>
      </c>
      <c r="J8" s="251">
        <v>6.24638991009602E-3</v>
      </c>
    </row>
    <row r="9" spans="1:10" s="181" customFormat="1">
      <c r="A9" s="62"/>
      <c r="B9" s="456"/>
      <c r="C9" s="63" t="s">
        <v>220</v>
      </c>
      <c r="D9" s="251">
        <v>3.4422739722887563E-2</v>
      </c>
      <c r="E9" s="251">
        <v>3.7109629125176138E-2</v>
      </c>
      <c r="F9" s="251">
        <v>4.1705952771921649E-2</v>
      </c>
      <c r="G9" s="251">
        <v>4.2288712758585929E-2</v>
      </c>
      <c r="H9" s="251">
        <v>5.9705784380436111E-2</v>
      </c>
      <c r="I9" s="251">
        <v>0.11611160495868909</v>
      </c>
      <c r="J9" s="251">
        <v>0.13184286170552539</v>
      </c>
    </row>
    <row r="10" spans="1:10" s="181" customFormat="1">
      <c r="A10" s="62"/>
      <c r="B10" s="518" t="s">
        <v>221</v>
      </c>
      <c r="C10" s="63" t="s">
        <v>216</v>
      </c>
      <c r="D10" s="247">
        <v>3.7460546011711317E-2</v>
      </c>
      <c r="E10" s="248">
        <v>4.5515359577939493E-2</v>
      </c>
      <c r="F10" s="248">
        <v>4.9515698326670562E-2</v>
      </c>
      <c r="G10" s="248">
        <v>5.0025212154330617E-2</v>
      </c>
      <c r="H10" s="248">
        <v>6.1986442506152088E-2</v>
      </c>
      <c r="I10" s="248">
        <v>7.2517586864950884E-2</v>
      </c>
      <c r="J10" s="249">
        <v>8.9946486598679029E-2</v>
      </c>
    </row>
    <row r="11" spans="1:10" s="181" customFormat="1">
      <c r="A11" s="62"/>
      <c r="B11" s="468"/>
      <c r="C11" s="63" t="s">
        <v>217</v>
      </c>
      <c r="D11" s="250">
        <v>0.12952822007943129</v>
      </c>
      <c r="E11" s="251">
        <v>0.12675590470644321</v>
      </c>
      <c r="F11" s="251">
        <v>0.12303237631741119</v>
      </c>
      <c r="G11" s="251">
        <v>0.1247844303242736</v>
      </c>
      <c r="H11" s="251">
        <v>0.15532776945815821</v>
      </c>
      <c r="I11" s="251">
        <v>0.1469162808250116</v>
      </c>
      <c r="J11" s="252">
        <v>0.1572685276718348</v>
      </c>
    </row>
    <row r="12" spans="1:10" s="181" customFormat="1">
      <c r="A12" s="62"/>
      <c r="B12" s="468"/>
      <c r="C12" s="63" t="s">
        <v>218</v>
      </c>
      <c r="D12" s="250">
        <v>0.79609702298436813</v>
      </c>
      <c r="E12" s="251">
        <v>0.78716496554591209</v>
      </c>
      <c r="F12" s="251">
        <v>0.78288353058290017</v>
      </c>
      <c r="G12" s="251">
        <v>0.77944392041708654</v>
      </c>
      <c r="H12" s="251">
        <v>0.71802312270091595</v>
      </c>
      <c r="I12" s="251">
        <v>0.65810506949278647</v>
      </c>
      <c r="J12" s="252">
        <v>0.6140176726305574</v>
      </c>
    </row>
    <row r="13" spans="1:10" s="181" customFormat="1">
      <c r="A13" s="62"/>
      <c r="B13" s="468"/>
      <c r="C13" s="64" t="s">
        <v>219</v>
      </c>
      <c r="D13" s="250">
        <v>2.6729571790728131E-3</v>
      </c>
      <c r="E13" s="251">
        <v>3.1105186837334141E-3</v>
      </c>
      <c r="F13" s="251">
        <v>3.5030891020272729E-3</v>
      </c>
      <c r="G13" s="251">
        <v>3.7376922858482682E-3</v>
      </c>
      <c r="H13" s="251">
        <v>4.9784867638903258E-3</v>
      </c>
      <c r="I13" s="251">
        <v>5.339437435022118E-3</v>
      </c>
      <c r="J13" s="252">
        <v>6.4063490865476514E-3</v>
      </c>
    </row>
    <row r="14" spans="1:10" s="181" customFormat="1">
      <c r="A14" s="62"/>
      <c r="B14" s="456"/>
      <c r="C14" s="63" t="s">
        <v>220</v>
      </c>
      <c r="D14" s="253">
        <v>3.424125374541636E-2</v>
      </c>
      <c r="E14" s="254">
        <v>3.7453251485971728E-2</v>
      </c>
      <c r="F14" s="254">
        <v>4.1065305670990877E-2</v>
      </c>
      <c r="G14" s="254">
        <v>4.2008744818460973E-2</v>
      </c>
      <c r="H14" s="254">
        <v>5.9684178570883442E-2</v>
      </c>
      <c r="I14" s="254">
        <v>0.11712162538222889</v>
      </c>
      <c r="J14" s="255">
        <v>0.1323609640123812</v>
      </c>
    </row>
    <row r="15" spans="1:10" s="181" customFormat="1">
      <c r="A15" s="62"/>
      <c r="B15" s="518" t="s">
        <v>222</v>
      </c>
      <c r="C15" s="63" t="s">
        <v>216</v>
      </c>
      <c r="D15" s="251">
        <v>7.8390546080218754E-2</v>
      </c>
      <c r="E15" s="251">
        <v>8.811847127195431E-2</v>
      </c>
      <c r="F15" s="251">
        <v>9.9052623587987443E-2</v>
      </c>
      <c r="G15" s="251">
        <v>0.10207081726707699</v>
      </c>
      <c r="H15" s="251">
        <v>9.8945917696006469E-2</v>
      </c>
      <c r="I15" s="251">
        <v>0.1194933000765373</v>
      </c>
      <c r="J15" s="251">
        <v>0.13598252161166849</v>
      </c>
    </row>
    <row r="16" spans="1:10" s="181" customFormat="1">
      <c r="A16" s="62"/>
      <c r="B16" s="468"/>
      <c r="C16" s="63" t="s">
        <v>217</v>
      </c>
      <c r="D16" s="251">
        <v>0.44203591989748658</v>
      </c>
      <c r="E16" s="251">
        <v>0.42229129419948669</v>
      </c>
      <c r="F16" s="251">
        <v>0.39643141371300461</v>
      </c>
      <c r="G16" s="251">
        <v>0.39033325280648212</v>
      </c>
      <c r="H16" s="251">
        <v>0.43511034691347028</v>
      </c>
      <c r="I16" s="251">
        <v>0.40458552324592972</v>
      </c>
      <c r="J16" s="251">
        <v>0.40376507896222552</v>
      </c>
    </row>
    <row r="17" spans="1:10" s="181" customFormat="1">
      <c r="A17" s="62"/>
      <c r="B17" s="468"/>
      <c r="C17" s="63" t="s">
        <v>218</v>
      </c>
      <c r="D17" s="251">
        <v>0.4469264363384316</v>
      </c>
      <c r="E17" s="251">
        <v>0.45498782462340692</v>
      </c>
      <c r="F17" s="251">
        <v>0.46854624991537502</v>
      </c>
      <c r="G17" s="251">
        <v>0.47193671164228612</v>
      </c>
      <c r="H17" s="251">
        <v>0.42101748304200698</v>
      </c>
      <c r="I17" s="251">
        <v>0.40733874761047162</v>
      </c>
      <c r="J17" s="251">
        <v>0.3859709323706278</v>
      </c>
    </row>
    <row r="18" spans="1:10" s="181" customFormat="1">
      <c r="A18" s="62"/>
      <c r="B18" s="468"/>
      <c r="C18" s="64" t="s">
        <v>219</v>
      </c>
      <c r="D18" s="251">
        <v>1.6670259415838579E-2</v>
      </c>
      <c r="E18" s="251">
        <v>1.7293978902006801E-2</v>
      </c>
      <c r="F18" s="251">
        <v>1.699939705906317E-2</v>
      </c>
      <c r="G18" s="251">
        <v>1.6927306093289941E-2</v>
      </c>
      <c r="H18" s="251">
        <v>2.05332807649121E-2</v>
      </c>
      <c r="I18" s="251">
        <v>2.1254929605957072E-2</v>
      </c>
      <c r="J18" s="251">
        <v>2.2617536917235989E-2</v>
      </c>
    </row>
    <row r="19" spans="1:10" s="181" customFormat="1" ht="15.75" customHeight="1" thickBot="1">
      <c r="A19" s="65"/>
      <c r="B19" s="456"/>
      <c r="C19" s="63" t="s">
        <v>220</v>
      </c>
      <c r="D19" s="251">
        <v>1.5976838268024509E-2</v>
      </c>
      <c r="E19" s="251">
        <v>1.730843100314523E-2</v>
      </c>
      <c r="F19" s="251">
        <v>1.8970315724569801E-2</v>
      </c>
      <c r="G19" s="251">
        <v>1.8731912190864859E-2</v>
      </c>
      <c r="H19" s="251">
        <v>2.439297158360406E-2</v>
      </c>
      <c r="I19" s="251">
        <v>4.7327499461104323E-2</v>
      </c>
      <c r="J19" s="251">
        <v>5.1663930138242158E-2</v>
      </c>
    </row>
    <row r="20" spans="1:10" ht="29.1" customHeight="1">
      <c r="A20" s="66" t="s">
        <v>223</v>
      </c>
      <c r="B20" s="524" t="s">
        <v>187</v>
      </c>
      <c r="C20" s="525"/>
      <c r="D20" s="359"/>
      <c r="E20" s="359"/>
      <c r="F20" s="359"/>
      <c r="G20" s="359"/>
      <c r="H20" s="359"/>
      <c r="I20" s="359"/>
      <c r="J20" s="359"/>
    </row>
    <row r="21" spans="1:10">
      <c r="A21" s="69"/>
      <c r="B21" s="518" t="s">
        <v>189</v>
      </c>
      <c r="C21" s="5" t="s">
        <v>188</v>
      </c>
      <c r="D21" s="225">
        <v>15196</v>
      </c>
      <c r="E21" s="225">
        <v>20720</v>
      </c>
      <c r="F21" s="225">
        <v>27063</v>
      </c>
      <c r="G21" s="225">
        <v>28636</v>
      </c>
      <c r="H21" s="225">
        <v>29448</v>
      </c>
      <c r="I21" s="225">
        <v>120201</v>
      </c>
      <c r="J21" s="225">
        <v>262593</v>
      </c>
    </row>
    <row r="22" spans="1:10">
      <c r="A22" s="69"/>
      <c r="B22" s="456"/>
      <c r="C22" s="5" t="s">
        <v>193</v>
      </c>
      <c r="D22" s="251">
        <v>4.6535157991699858E-3</v>
      </c>
      <c r="E22" s="251">
        <v>6.0511473816521732E-3</v>
      </c>
      <c r="F22" s="251">
        <v>7.5729423523999591E-3</v>
      </c>
      <c r="G22" s="251">
        <v>7.7407732988193671E-3</v>
      </c>
      <c r="H22" s="251">
        <v>8.6001056030353858E-3</v>
      </c>
      <c r="I22" s="251">
        <v>3.363541527919401E-2</v>
      </c>
      <c r="J22" s="251">
        <v>7.0983129028386438E-2</v>
      </c>
    </row>
    <row r="23" spans="1:10">
      <c r="A23" s="69"/>
      <c r="B23" s="518" t="s">
        <v>190</v>
      </c>
      <c r="C23" s="5" t="s">
        <v>188</v>
      </c>
      <c r="D23" s="225">
        <v>141814</v>
      </c>
      <c r="E23" s="225">
        <v>217514</v>
      </c>
      <c r="F23" s="225">
        <v>283458</v>
      </c>
      <c r="G23" s="225">
        <v>296752</v>
      </c>
      <c r="H23" s="225">
        <v>232174</v>
      </c>
      <c r="I23" s="225">
        <v>324452</v>
      </c>
      <c r="J23" s="225">
        <v>462735</v>
      </c>
    </row>
    <row r="24" spans="1:10">
      <c r="A24" s="69"/>
      <c r="B24" s="456"/>
      <c r="C24" s="5" t="s">
        <v>193</v>
      </c>
      <c r="D24" s="251">
        <v>4.3428118553796552E-2</v>
      </c>
      <c r="E24" s="251">
        <v>6.3523613492890485E-2</v>
      </c>
      <c r="F24" s="251">
        <v>7.9319036815082872E-2</v>
      </c>
      <c r="G24" s="251">
        <v>8.021685842894416E-2</v>
      </c>
      <c r="H24" s="251">
        <v>6.7804975491684932E-2</v>
      </c>
      <c r="I24" s="251">
        <v>9.0790240997704302E-2</v>
      </c>
      <c r="J24" s="251">
        <v>0.12508474411332521</v>
      </c>
    </row>
    <row r="25" spans="1:10">
      <c r="A25" s="69"/>
      <c r="B25" s="518" t="s">
        <v>191</v>
      </c>
      <c r="C25" s="5" t="s">
        <v>188</v>
      </c>
      <c r="D25" s="225">
        <v>187571</v>
      </c>
      <c r="E25" s="225">
        <v>257959</v>
      </c>
      <c r="F25" s="225">
        <v>294126</v>
      </c>
      <c r="G25" s="225">
        <v>329629</v>
      </c>
      <c r="H25" s="225">
        <v>486892</v>
      </c>
      <c r="I25" s="225">
        <v>1090842</v>
      </c>
      <c r="J25" s="225">
        <v>1199007</v>
      </c>
    </row>
    <row r="26" spans="1:10">
      <c r="A26" s="69"/>
      <c r="B26" s="456"/>
      <c r="C26" s="5" t="s">
        <v>193</v>
      </c>
      <c r="D26" s="251">
        <v>5.7440419318643951E-2</v>
      </c>
      <c r="E26" s="251">
        <v>7.53353246826068E-2</v>
      </c>
      <c r="F26" s="251">
        <v>8.2304225043121251E-2</v>
      </c>
      <c r="G26" s="251">
        <v>8.9104042523974344E-2</v>
      </c>
      <c r="H26" s="251">
        <v>0.14219378624263471</v>
      </c>
      <c r="I26" s="251">
        <v>0.30524640954722959</v>
      </c>
      <c r="J26" s="251">
        <v>0.32411095721111582</v>
      </c>
    </row>
    <row r="27" spans="1:10">
      <c r="A27" s="69"/>
      <c r="B27" s="518" t="s">
        <v>192</v>
      </c>
      <c r="C27" s="5" t="s">
        <v>188</v>
      </c>
      <c r="D27" s="225">
        <v>297954</v>
      </c>
      <c r="E27" s="225">
        <v>408748</v>
      </c>
      <c r="F27" s="225">
        <v>493973</v>
      </c>
      <c r="G27" s="225">
        <v>539138</v>
      </c>
      <c r="H27" s="225">
        <v>603096</v>
      </c>
      <c r="I27" s="225">
        <v>1175654</v>
      </c>
      <c r="J27" s="225">
        <v>1293724</v>
      </c>
    </row>
    <row r="28" spans="1:10">
      <c r="A28" s="69"/>
      <c r="B28" s="456"/>
      <c r="C28" s="5" t="s">
        <v>193</v>
      </c>
      <c r="D28" s="251">
        <v>9.1243330246505272E-2</v>
      </c>
      <c r="E28" s="251">
        <v>0.11937231611754651</v>
      </c>
      <c r="F28" s="251">
        <v>0.13822669521642339</v>
      </c>
      <c r="G28" s="251">
        <v>0.1457377089949321</v>
      </c>
      <c r="H28" s="251">
        <v>0.17613044311220549</v>
      </c>
      <c r="I28" s="251">
        <v>0.32897904771712011</v>
      </c>
      <c r="J28" s="251">
        <v>0.34971449208135869</v>
      </c>
    </row>
    <row r="29" spans="1:10" ht="29.1" customHeight="1">
      <c r="A29" s="70" t="s">
        <v>224</v>
      </c>
      <c r="B29" s="526" t="s">
        <v>225</v>
      </c>
      <c r="C29" s="490"/>
      <c r="D29" s="359"/>
      <c r="E29" s="359"/>
      <c r="F29" s="359"/>
      <c r="G29" s="359"/>
      <c r="H29" s="359"/>
      <c r="I29" s="359"/>
      <c r="J29" s="359"/>
    </row>
    <row r="30" spans="1:10">
      <c r="A30" s="69"/>
      <c r="B30" s="518" t="s">
        <v>189</v>
      </c>
      <c r="C30" s="5" t="s">
        <v>188</v>
      </c>
      <c r="D30" s="225">
        <v>33315</v>
      </c>
      <c r="E30" s="225">
        <v>36922</v>
      </c>
      <c r="F30" s="225">
        <v>43749</v>
      </c>
      <c r="G30" s="225">
        <v>46177</v>
      </c>
      <c r="H30" s="225">
        <v>55669</v>
      </c>
      <c r="I30" s="225">
        <v>120972</v>
      </c>
      <c r="J30" s="225">
        <v>220067</v>
      </c>
    </row>
    <row r="31" spans="1:10">
      <c r="A31" s="69"/>
      <c r="B31" s="456"/>
      <c r="C31" s="5" t="s">
        <v>193</v>
      </c>
      <c r="D31" s="251">
        <v>2.0234824792473849E-2</v>
      </c>
      <c r="E31" s="251">
        <v>2.063881844133935E-2</v>
      </c>
      <c r="F31" s="251">
        <v>2.2603076258580969E-2</v>
      </c>
      <c r="G31" s="251">
        <v>2.205201136196492E-2</v>
      </c>
      <c r="H31" s="251">
        <v>3.1598748287921023E-2</v>
      </c>
      <c r="I31" s="251">
        <v>6.2957883917303115E-2</v>
      </c>
      <c r="J31" s="251">
        <v>0.105481043637643</v>
      </c>
    </row>
    <row r="32" spans="1:10">
      <c r="A32" s="69"/>
      <c r="B32" s="518" t="s">
        <v>190</v>
      </c>
      <c r="C32" s="5" t="s">
        <v>188</v>
      </c>
      <c r="D32" s="225">
        <v>193149</v>
      </c>
      <c r="E32" s="225">
        <v>238120</v>
      </c>
      <c r="F32" s="225">
        <v>265026</v>
      </c>
      <c r="G32" s="225">
        <v>287042</v>
      </c>
      <c r="H32" s="225">
        <v>246246</v>
      </c>
      <c r="I32" s="225">
        <v>290074</v>
      </c>
      <c r="J32" s="225">
        <v>374636</v>
      </c>
    </row>
    <row r="33" spans="1:10">
      <c r="A33" s="69"/>
      <c r="B33" s="456"/>
      <c r="C33" s="5" t="s">
        <v>193</v>
      </c>
      <c r="D33" s="251">
        <v>0.11731460824978331</v>
      </c>
      <c r="E33" s="251">
        <v>0.13310534226888371</v>
      </c>
      <c r="F33" s="251">
        <v>0.13692662434585201</v>
      </c>
      <c r="G33" s="251">
        <v>0.13707805715748389</v>
      </c>
      <c r="H33" s="251">
        <v>0.13977375866114711</v>
      </c>
      <c r="I33" s="251">
        <v>0.15096423320626079</v>
      </c>
      <c r="J33" s="251">
        <v>0.17956802366657429</v>
      </c>
    </row>
    <row r="34" spans="1:10">
      <c r="A34" s="69"/>
      <c r="B34" s="518" t="s">
        <v>191</v>
      </c>
      <c r="C34" s="5" t="s">
        <v>188</v>
      </c>
      <c r="D34" s="225">
        <v>211072</v>
      </c>
      <c r="E34" s="225">
        <v>232996</v>
      </c>
      <c r="F34" s="225">
        <v>257788</v>
      </c>
      <c r="G34" s="225">
        <v>275690</v>
      </c>
      <c r="H34" s="225">
        <v>390385</v>
      </c>
      <c r="I34" s="225">
        <v>807071</v>
      </c>
      <c r="J34" s="225">
        <v>915452</v>
      </c>
    </row>
    <row r="35" spans="1:10">
      <c r="A35" s="69"/>
      <c r="B35" s="456"/>
      <c r="C35" s="5" t="s">
        <v>193</v>
      </c>
      <c r="D35" s="251">
        <v>0.12820065852009729</v>
      </c>
      <c r="E35" s="251">
        <v>0.1302411066994828</v>
      </c>
      <c r="F35" s="251">
        <v>0.13318708593446871</v>
      </c>
      <c r="G35" s="251">
        <v>0.13165686407475821</v>
      </c>
      <c r="H35" s="251">
        <v>0.22158970612692969</v>
      </c>
      <c r="I35" s="251">
        <v>0.42002680232633782</v>
      </c>
      <c r="J35" s="251">
        <v>0.43878833428077602</v>
      </c>
    </row>
    <row r="36" spans="1:10">
      <c r="A36" s="69"/>
      <c r="B36" s="518" t="s">
        <v>192</v>
      </c>
      <c r="C36" s="5" t="s">
        <v>188</v>
      </c>
      <c r="D36" s="225">
        <v>349992</v>
      </c>
      <c r="E36" s="225">
        <v>394861</v>
      </c>
      <c r="F36" s="225">
        <v>430622</v>
      </c>
      <c r="G36" s="225">
        <v>463425</v>
      </c>
      <c r="H36" s="225">
        <v>513234</v>
      </c>
      <c r="I36" s="225">
        <v>876745</v>
      </c>
      <c r="J36" s="225">
        <v>996408</v>
      </c>
    </row>
    <row r="37" spans="1:10">
      <c r="A37" s="69"/>
      <c r="B37" s="456"/>
      <c r="C37" s="5" t="s">
        <v>193</v>
      </c>
      <c r="D37" s="251">
        <v>0.21257772170996569</v>
      </c>
      <c r="E37" s="251">
        <v>0.2207211009307648</v>
      </c>
      <c r="F37" s="251">
        <v>0.22248083602811219</v>
      </c>
      <c r="G37" s="251">
        <v>0.22131046550054351</v>
      </c>
      <c r="H37" s="251">
        <v>0.29132105801797881</v>
      </c>
      <c r="I37" s="251">
        <v>0.45628748747706838</v>
      </c>
      <c r="J37" s="251">
        <v>0.47759162313702902</v>
      </c>
    </row>
    <row r="38" spans="1:10">
      <c r="A38" s="66" t="s">
        <v>226</v>
      </c>
      <c r="B38" s="67" t="s">
        <v>201</v>
      </c>
      <c r="C38" s="68"/>
      <c r="D38" s="359"/>
      <c r="E38" s="359"/>
      <c r="F38" s="359"/>
      <c r="G38" s="359"/>
      <c r="H38" s="359"/>
      <c r="I38" s="359"/>
      <c r="J38" s="359"/>
    </row>
    <row r="39" spans="1:10">
      <c r="A39" s="69"/>
      <c r="B39" s="71"/>
      <c r="C39" s="5" t="s">
        <v>188</v>
      </c>
      <c r="D39" s="225">
        <v>2119378</v>
      </c>
      <c r="E39" s="225">
        <v>2479613</v>
      </c>
      <c r="F39" s="225">
        <v>2611993</v>
      </c>
      <c r="G39" s="225">
        <v>2691117</v>
      </c>
      <c r="H39" s="225">
        <v>2512080</v>
      </c>
      <c r="I39" s="225">
        <v>2749408</v>
      </c>
      <c r="J39" s="225">
        <v>3016029</v>
      </c>
    </row>
    <row r="40" spans="1:10">
      <c r="A40" s="69"/>
      <c r="B40" s="71"/>
      <c r="C40" s="5" t="s">
        <v>193</v>
      </c>
      <c r="D40" s="251">
        <v>0.64902336189874221</v>
      </c>
      <c r="E40" s="251">
        <v>0.72415558457821871</v>
      </c>
      <c r="F40" s="251">
        <v>0.73090464523047061</v>
      </c>
      <c r="G40" s="251">
        <v>0.72745238921633182</v>
      </c>
      <c r="H40" s="251">
        <v>0.73363737039096488</v>
      </c>
      <c r="I40" s="251">
        <v>0.76935699247043077</v>
      </c>
      <c r="J40" s="251">
        <v>0.81528135045623962</v>
      </c>
    </row>
    <row r="41" spans="1:10">
      <c r="A41" s="72" t="s">
        <v>227</v>
      </c>
      <c r="B41" s="73" t="s">
        <v>228</v>
      </c>
      <c r="C41" s="68"/>
      <c r="D41" s="359"/>
      <c r="E41" s="359"/>
      <c r="F41" s="359"/>
      <c r="G41" s="359"/>
      <c r="H41" s="359"/>
      <c r="I41" s="359"/>
      <c r="J41" s="359"/>
    </row>
    <row r="42" spans="1:10">
      <c r="A42" s="69"/>
      <c r="B42" s="518" t="s">
        <v>229</v>
      </c>
      <c r="C42" s="445" t="s">
        <v>230</v>
      </c>
      <c r="D42" s="256">
        <v>3837.889643</v>
      </c>
      <c r="E42" s="257">
        <v>4999.0981419999998</v>
      </c>
      <c r="F42" s="257">
        <v>5442.647907999999</v>
      </c>
      <c r="G42" s="257">
        <v>5865.1589160000012</v>
      </c>
      <c r="H42" s="257">
        <v>9055.1787109999987</v>
      </c>
      <c r="I42" s="257">
        <v>58540.41184200003</v>
      </c>
      <c r="J42" s="258">
        <v>202153.254437</v>
      </c>
    </row>
    <row r="43" spans="1:10">
      <c r="A43" s="69"/>
      <c r="B43" s="468"/>
      <c r="C43" s="445" t="s">
        <v>190</v>
      </c>
      <c r="D43" s="259">
        <v>129852.0234560002</v>
      </c>
      <c r="E43" s="260">
        <v>170655.85062700001</v>
      </c>
      <c r="F43" s="260">
        <v>200460.69500600049</v>
      </c>
      <c r="G43" s="260">
        <v>198906.41289499961</v>
      </c>
      <c r="H43" s="260">
        <v>205024.86309699999</v>
      </c>
      <c r="I43" s="260">
        <v>349508.9251799999</v>
      </c>
      <c r="J43" s="261">
        <v>367714.2816519998</v>
      </c>
    </row>
    <row r="44" spans="1:10">
      <c r="A44" s="69"/>
      <c r="B44" s="468"/>
      <c r="C44" s="445" t="s">
        <v>191</v>
      </c>
      <c r="D44" s="259">
        <v>30378.493040999991</v>
      </c>
      <c r="E44" s="260">
        <v>46077.609824000006</v>
      </c>
      <c r="F44" s="260">
        <v>51600.98466300009</v>
      </c>
      <c r="G44" s="260">
        <v>54155.36159000003</v>
      </c>
      <c r="H44" s="260">
        <v>106814.083696</v>
      </c>
      <c r="I44" s="260">
        <v>392017.75650700188</v>
      </c>
      <c r="J44" s="261">
        <v>422243.02543900028</v>
      </c>
    </row>
    <row r="45" spans="1:10">
      <c r="A45" s="69"/>
      <c r="B45" s="468"/>
      <c r="C45" s="445" t="s">
        <v>231</v>
      </c>
      <c r="D45" s="260">
        <f t="shared" ref="D45" si="0">D46-SUM(D42:D44)</f>
        <v>216471.44082400089</v>
      </c>
      <c r="E45" s="260">
        <f t="shared" ref="E45:F45" si="1">E46-SUM(E42:E44)</f>
        <v>217882.19333799937</v>
      </c>
      <c r="F45" s="260">
        <f t="shared" si="1"/>
        <v>237176.40136099991</v>
      </c>
      <c r="G45" s="260">
        <f t="shared" ref="G45" si="2">G46-SUM(G42:G44)</f>
        <v>239143.34095399868</v>
      </c>
      <c r="H45" s="260">
        <f t="shared" ref="H45:I45" si="3">H46-SUM(H42:H44)</f>
        <v>293589.70360099804</v>
      </c>
      <c r="I45" s="260">
        <f t="shared" si="3"/>
        <v>435703.17201600317</v>
      </c>
      <c r="J45" s="261">
        <f t="shared" ref="J45" si="4">J46-SUM(J42:J44)</f>
        <v>448852.31459800294</v>
      </c>
    </row>
    <row r="46" spans="1:10">
      <c r="A46" s="69"/>
      <c r="B46" s="456"/>
      <c r="C46" s="445" t="s">
        <v>232</v>
      </c>
      <c r="D46" s="262">
        <v>380539.84696400107</v>
      </c>
      <c r="E46" s="263">
        <v>439614.75193099939</v>
      </c>
      <c r="F46" s="263">
        <v>494680.72893800051</v>
      </c>
      <c r="G46" s="263">
        <v>498070.27435499831</v>
      </c>
      <c r="H46" s="263">
        <v>614483.82910499803</v>
      </c>
      <c r="I46" s="263">
        <v>1235770.265545005</v>
      </c>
      <c r="J46" s="264">
        <v>1440962.876126003</v>
      </c>
    </row>
    <row r="47" spans="1:10">
      <c r="A47" s="69"/>
      <c r="B47" s="518" t="s">
        <v>14</v>
      </c>
      <c r="C47" s="445" t="s">
        <v>230</v>
      </c>
      <c r="D47" s="256">
        <v>3337.028135</v>
      </c>
      <c r="E47" s="257">
        <v>4473.2534930000002</v>
      </c>
      <c r="F47" s="257">
        <v>4930.8346879999999</v>
      </c>
      <c r="G47" s="257">
        <v>5268.642452</v>
      </c>
      <c r="H47" s="257">
        <v>7940.126892000002</v>
      </c>
      <c r="I47" s="257">
        <v>53806.388854000019</v>
      </c>
      <c r="J47" s="258">
        <v>200639.734814</v>
      </c>
    </row>
    <row r="48" spans="1:10">
      <c r="A48" s="69"/>
      <c r="B48" s="468"/>
      <c r="C48" s="445" t="s">
        <v>190</v>
      </c>
      <c r="D48" s="259">
        <v>125924.4508100002</v>
      </c>
      <c r="E48" s="260">
        <v>166988.85283800011</v>
      </c>
      <c r="F48" s="260">
        <v>196659.7462190004</v>
      </c>
      <c r="G48" s="260">
        <v>195086.54731899971</v>
      </c>
      <c r="H48" s="260">
        <v>201199.41765399999</v>
      </c>
      <c r="I48" s="260">
        <v>342101.67318399978</v>
      </c>
      <c r="J48" s="261">
        <v>356802.07606699999</v>
      </c>
    </row>
    <row r="49" spans="1:10">
      <c r="A49" s="69"/>
      <c r="B49" s="468"/>
      <c r="C49" s="445" t="s">
        <v>191</v>
      </c>
      <c r="D49" s="259">
        <v>29028.98073699998</v>
      </c>
      <c r="E49" s="260">
        <v>44424.718315000027</v>
      </c>
      <c r="F49" s="260">
        <v>49887.082140000079</v>
      </c>
      <c r="G49" s="260">
        <v>52365.124138000043</v>
      </c>
      <c r="H49" s="260">
        <v>101322.655361</v>
      </c>
      <c r="I49" s="260">
        <v>340992.79926699889</v>
      </c>
      <c r="J49" s="261">
        <v>362013.34777200071</v>
      </c>
    </row>
    <row r="50" spans="1:10">
      <c r="A50" s="69"/>
      <c r="B50" s="468"/>
      <c r="C50" s="445" t="s">
        <v>231</v>
      </c>
      <c r="D50" s="260">
        <f t="shared" ref="D50:F50" si="5">D51-SUM(D47:D49)</f>
        <v>172577.72032900029</v>
      </c>
      <c r="E50" s="260">
        <f t="shared" si="5"/>
        <v>174532.61804099954</v>
      </c>
      <c r="F50" s="260">
        <f t="shared" si="5"/>
        <v>191692.8838310003</v>
      </c>
      <c r="G50" s="260">
        <f t="shared" ref="G50:J50" si="6">G51-SUM(G47:G49)</f>
        <v>195098.50993099963</v>
      </c>
      <c r="H50" s="260">
        <f t="shared" si="6"/>
        <v>233655.60127799999</v>
      </c>
      <c r="I50" s="260">
        <f t="shared" si="6"/>
        <v>340206.04632700235</v>
      </c>
      <c r="J50" s="261">
        <f t="shared" si="6"/>
        <v>350820.75517500017</v>
      </c>
    </row>
    <row r="51" spans="1:10">
      <c r="A51" s="69"/>
      <c r="B51" s="456"/>
      <c r="C51" s="445" t="s">
        <v>232</v>
      </c>
      <c r="D51" s="262">
        <v>330868.18001100048</v>
      </c>
      <c r="E51" s="263">
        <v>390419.44268699968</v>
      </c>
      <c r="F51" s="263">
        <v>443170.54687800078</v>
      </c>
      <c r="G51" s="263">
        <v>447818.82383999939</v>
      </c>
      <c r="H51" s="263">
        <v>544117.80118499999</v>
      </c>
      <c r="I51" s="263">
        <v>1077106.907632001</v>
      </c>
      <c r="J51" s="264">
        <v>1270275.9138280009</v>
      </c>
    </row>
    <row r="52" spans="1:10">
      <c r="A52" s="66" t="s">
        <v>233</v>
      </c>
      <c r="B52" s="75" t="s">
        <v>234</v>
      </c>
      <c r="C52" s="68"/>
      <c r="D52" s="359"/>
      <c r="E52" s="359"/>
      <c r="F52" s="359"/>
      <c r="G52" s="359"/>
      <c r="H52" s="359"/>
      <c r="I52" s="359"/>
      <c r="J52" s="359"/>
    </row>
    <row r="53" spans="1:10" ht="30" customHeight="1">
      <c r="A53" s="69"/>
      <c r="B53" s="71"/>
      <c r="C53" s="76" t="s">
        <v>235</v>
      </c>
      <c r="D53" s="312">
        <v>7.3923596779190026</v>
      </c>
      <c r="E53" s="312">
        <v>8.1985519396886826</v>
      </c>
      <c r="F53" s="312">
        <v>9.0084331555283637</v>
      </c>
      <c r="G53" s="312">
        <v>9.1899250220316553</v>
      </c>
      <c r="H53" s="312">
        <v>9.4846263364511518</v>
      </c>
      <c r="I53" s="312">
        <v>11.809864302914439</v>
      </c>
      <c r="J53" s="312">
        <v>13.22207999172238</v>
      </c>
    </row>
    <row r="54" spans="1:10" ht="30" customHeight="1">
      <c r="A54" s="69"/>
      <c r="B54" s="71"/>
      <c r="C54" s="76" t="s">
        <v>236</v>
      </c>
      <c r="D54" s="251">
        <v>0.113882825476</v>
      </c>
      <c r="E54" s="251">
        <v>0.12583524524600001</v>
      </c>
      <c r="F54" s="251">
        <v>0.13778708791300001</v>
      </c>
      <c r="G54" s="251">
        <v>0.14046816594799999</v>
      </c>
      <c r="H54" s="251">
        <v>0.14611593437600001</v>
      </c>
      <c r="I54" s="251">
        <v>0.18655887379899999</v>
      </c>
      <c r="J54" s="251">
        <v>0.20674563141999999</v>
      </c>
    </row>
    <row r="55" spans="1:10">
      <c r="A55" s="70" t="s">
        <v>237</v>
      </c>
      <c r="B55" s="77" t="s">
        <v>238</v>
      </c>
      <c r="C55" s="68"/>
      <c r="D55" s="359"/>
      <c r="E55" s="359"/>
      <c r="F55" s="359"/>
      <c r="G55" s="359"/>
      <c r="H55" s="359"/>
      <c r="I55" s="359"/>
      <c r="J55" s="359"/>
    </row>
    <row r="56" spans="1:10">
      <c r="A56" s="78"/>
      <c r="B56" s="79"/>
      <c r="C56" s="74"/>
      <c r="D56" s="312">
        <v>16.270605030038681</v>
      </c>
      <c r="E56" s="312">
        <v>16.77533100309995</v>
      </c>
      <c r="F56" s="312">
        <v>17.232903576690259</v>
      </c>
      <c r="G56" s="312">
        <v>18.048345216172471</v>
      </c>
      <c r="H56" s="312">
        <v>16.032073071160699</v>
      </c>
      <c r="I56" s="312">
        <v>15.97041405331545</v>
      </c>
      <c r="J56" s="312">
        <v>16.218966486328629</v>
      </c>
    </row>
    <row r="57" spans="1:10" ht="16.7" customHeight="1">
      <c r="A57" s="80" t="s">
        <v>239</v>
      </c>
      <c r="B57" s="519" t="s">
        <v>240</v>
      </c>
      <c r="C57" s="490"/>
      <c r="D57" s="359"/>
      <c r="E57" s="359"/>
      <c r="F57" s="359"/>
      <c r="G57" s="359"/>
      <c r="H57" s="359"/>
      <c r="I57" s="359"/>
      <c r="J57" s="359"/>
    </row>
    <row r="58" spans="1:10">
      <c r="A58" s="78"/>
      <c r="B58" s="79"/>
      <c r="C58" s="74" t="s">
        <v>241</v>
      </c>
      <c r="D58" s="312">
        <f>particulateMatter!D5</f>
        <v>5.1227375648825397</v>
      </c>
      <c r="E58" s="312">
        <f>particulateMatter!E5</f>
        <v>5.0892374654247901</v>
      </c>
      <c r="F58" s="312">
        <f>particulateMatter!F5</f>
        <v>5.5934736832176002</v>
      </c>
      <c r="G58" s="312">
        <f>particulateMatter!G5</f>
        <v>5.8488188992090402</v>
      </c>
      <c r="H58" s="312">
        <f>particulateMatter!H5</f>
        <v>5.1051131331826802</v>
      </c>
      <c r="I58" s="312">
        <f>particulateMatter!I5</f>
        <v>5.2917379284920303</v>
      </c>
      <c r="J58" s="312">
        <f>particulateMatter!J5</f>
        <v>5.4444230090538204</v>
      </c>
    </row>
    <row r="59" spans="1:10">
      <c r="A59" s="70" t="s">
        <v>242</v>
      </c>
      <c r="B59" s="81" t="s">
        <v>243</v>
      </c>
      <c r="C59" s="68"/>
      <c r="D59" s="359"/>
      <c r="E59" s="359"/>
      <c r="F59" s="359"/>
      <c r="G59" s="359"/>
      <c r="H59" s="359"/>
      <c r="I59" s="359"/>
      <c r="J59" s="359"/>
    </row>
    <row r="60" spans="1:10">
      <c r="A60" s="78"/>
      <c r="B60" s="74"/>
      <c r="C60" s="151" t="s">
        <v>244</v>
      </c>
      <c r="D60" s="312">
        <v>1.1033348152467799</v>
      </c>
      <c r="E60" s="312">
        <v>1.104527600802413</v>
      </c>
      <c r="F60" s="312">
        <v>1.1280418405628889</v>
      </c>
      <c r="G60" s="312">
        <v>1.160618515345013</v>
      </c>
      <c r="H60" s="312">
        <v>1.0942630982140371</v>
      </c>
      <c r="I60" s="312">
        <v>1.1401227878335429</v>
      </c>
      <c r="J60" s="312">
        <v>1.180142882172583</v>
      </c>
    </row>
    <row r="61" spans="1:10">
      <c r="A61" s="78"/>
      <c r="B61" s="152"/>
      <c r="C61" s="151" t="s">
        <v>245</v>
      </c>
      <c r="D61" s="312">
        <v>1.2732595123885759</v>
      </c>
      <c r="E61" s="312">
        <v>1.282514743624634</v>
      </c>
      <c r="F61" s="312">
        <v>1.2910035403617279</v>
      </c>
      <c r="G61" s="312">
        <v>1.3022724410650379</v>
      </c>
      <c r="H61" s="312">
        <v>1.217769198566049</v>
      </c>
      <c r="I61" s="312">
        <v>1.202659865705709</v>
      </c>
      <c r="J61" s="312">
        <v>1.200454850750861</v>
      </c>
    </row>
    <row r="62" spans="1:10">
      <c r="A62" s="78"/>
      <c r="B62" s="152"/>
      <c r="C62" s="151" t="s">
        <v>246</v>
      </c>
      <c r="D62" s="312">
        <v>1.1687079456969749</v>
      </c>
      <c r="E62" s="312">
        <v>1.168984853354228</v>
      </c>
      <c r="F62" s="312">
        <v>1.184071756012858</v>
      </c>
      <c r="G62" s="312">
        <v>1.206919213801114</v>
      </c>
      <c r="H62" s="312">
        <v>1.1395747831741789</v>
      </c>
      <c r="I62" s="312">
        <v>1.162100235651522</v>
      </c>
      <c r="J62" s="312">
        <v>1.1869366747805741</v>
      </c>
    </row>
    <row r="63" spans="1:10">
      <c r="A63" s="182" t="s">
        <v>247</v>
      </c>
      <c r="B63" s="183" t="s">
        <v>248</v>
      </c>
      <c r="C63" s="185"/>
      <c r="D63" s="359"/>
      <c r="E63" s="359"/>
      <c r="F63" s="359"/>
      <c r="G63" s="359"/>
      <c r="H63" s="359"/>
      <c r="I63" s="359"/>
      <c r="J63" s="359"/>
    </row>
    <row r="64" spans="1:10" ht="15" customHeight="1">
      <c r="A64" s="518"/>
      <c r="B64" s="517" t="s">
        <v>249</v>
      </c>
      <c r="C64" s="5" t="s">
        <v>244</v>
      </c>
      <c r="D64" s="225">
        <v>1584.1405850108949</v>
      </c>
      <c r="E64" s="225">
        <v>1941.8675087702061</v>
      </c>
      <c r="F64" s="225">
        <v>2928.329771343127</v>
      </c>
      <c r="G64" s="225">
        <v>4279.2574126971513</v>
      </c>
      <c r="H64" s="225">
        <v>1731.35237790663</v>
      </c>
      <c r="I64" s="225">
        <v>3046.9875636299448</v>
      </c>
      <c r="J64" s="225">
        <v>4663.236131613563</v>
      </c>
    </row>
    <row r="65" spans="1:10">
      <c r="A65" s="468"/>
      <c r="B65" s="456"/>
      <c r="C65" s="5" t="s">
        <v>245</v>
      </c>
      <c r="D65" s="225">
        <v>5910.1665488806684</v>
      </c>
      <c r="E65" s="225">
        <v>6706.2030985745532</v>
      </c>
      <c r="F65" s="225">
        <v>7774.2789418124794</v>
      </c>
      <c r="G65" s="225">
        <v>8571.4305459969764</v>
      </c>
      <c r="H65" s="225">
        <v>5167.7090988640384</v>
      </c>
      <c r="I65" s="225">
        <v>5500.0360447432286</v>
      </c>
      <c r="J65" s="225">
        <v>5843.0733094135167</v>
      </c>
    </row>
    <row r="66" spans="1:10" ht="15" customHeight="1">
      <c r="A66" s="468"/>
      <c r="B66" s="517" t="s">
        <v>250</v>
      </c>
      <c r="C66" s="5" t="s">
        <v>244</v>
      </c>
      <c r="D66" s="225">
        <v>1234.3220308786149</v>
      </c>
      <c r="E66" s="225">
        <v>1486.536488153298</v>
      </c>
      <c r="F66" s="225">
        <v>2150.1338621546101</v>
      </c>
      <c r="G66" s="225">
        <v>3064.2016276729451</v>
      </c>
      <c r="H66" s="225">
        <v>1318.3478422071551</v>
      </c>
      <c r="I66" s="225">
        <v>1914.409733947801</v>
      </c>
      <c r="J66" s="225">
        <v>2812.6891976102129</v>
      </c>
    </row>
    <row r="67" spans="1:10">
      <c r="A67" s="468"/>
      <c r="B67" s="456"/>
      <c r="C67" s="5" t="s">
        <v>245</v>
      </c>
      <c r="D67" s="225">
        <v>2697.141882939608</v>
      </c>
      <c r="E67" s="225">
        <v>3043.718725945218</v>
      </c>
      <c r="F67" s="225">
        <v>3503.2021447264292</v>
      </c>
      <c r="G67" s="225">
        <v>3916.162845079215</v>
      </c>
      <c r="H67" s="225">
        <v>2350.0035354043712</v>
      </c>
      <c r="I67" s="225">
        <v>2438.5396937384498</v>
      </c>
      <c r="J67" s="225">
        <v>2575.2915342452661</v>
      </c>
    </row>
    <row r="68" spans="1:10" ht="15" customHeight="1">
      <c r="A68" s="468"/>
      <c r="B68" s="517" t="s">
        <v>251</v>
      </c>
      <c r="C68" s="5" t="s">
        <v>244</v>
      </c>
      <c r="D68" s="225">
        <v>638.42095916249013</v>
      </c>
      <c r="E68" s="225">
        <v>739.70672852992368</v>
      </c>
      <c r="F68" s="225">
        <v>1067.7530824938369</v>
      </c>
      <c r="G68" s="225">
        <v>1512.2792393997979</v>
      </c>
      <c r="H68" s="225">
        <v>658.5097541955854</v>
      </c>
      <c r="I68" s="225">
        <v>1136.789916332249</v>
      </c>
      <c r="J68" s="225">
        <v>1674.3868852975299</v>
      </c>
    </row>
    <row r="69" spans="1:10">
      <c r="A69" s="468"/>
      <c r="B69" s="456"/>
      <c r="C69" s="5" t="s">
        <v>245</v>
      </c>
      <c r="D69" s="225">
        <v>3407.1682306898479</v>
      </c>
      <c r="E69" s="225">
        <v>3719.5830106985381</v>
      </c>
      <c r="F69" s="225">
        <v>4188.6276769155047</v>
      </c>
      <c r="G69" s="225">
        <v>4510.9826650494379</v>
      </c>
      <c r="H69" s="225">
        <v>2865.4992637467881</v>
      </c>
      <c r="I69" s="225">
        <v>2936.099608056114</v>
      </c>
      <c r="J69" s="225">
        <v>3121.6950267668572</v>
      </c>
    </row>
    <row r="70" spans="1:10" ht="15" customHeight="1">
      <c r="A70" s="468"/>
      <c r="B70" s="517" t="s">
        <v>252</v>
      </c>
      <c r="C70" s="5" t="s">
        <v>244</v>
      </c>
      <c r="D70" s="225">
        <v>475.22739274485781</v>
      </c>
      <c r="E70" s="225">
        <v>541.26039523393229</v>
      </c>
      <c r="F70" s="225">
        <v>751.200634138537</v>
      </c>
      <c r="G70" s="225">
        <v>1034.2427083874879</v>
      </c>
      <c r="H70" s="225">
        <v>480.39138718512748</v>
      </c>
      <c r="I70" s="225">
        <v>668.0749377105202</v>
      </c>
      <c r="J70" s="225">
        <v>948.89018582134531</v>
      </c>
    </row>
    <row r="71" spans="1:10">
      <c r="A71" s="468"/>
      <c r="B71" s="456"/>
      <c r="C71" s="5" t="s">
        <v>245</v>
      </c>
      <c r="D71" s="225">
        <v>1398.4996466949769</v>
      </c>
      <c r="E71" s="225">
        <v>1512.589912023564</v>
      </c>
      <c r="F71" s="225">
        <v>1705.5421119341081</v>
      </c>
      <c r="G71" s="225">
        <v>1846.620373639302</v>
      </c>
      <c r="H71" s="225">
        <v>1171.3491821935741</v>
      </c>
      <c r="I71" s="225">
        <v>1171.103811722817</v>
      </c>
      <c r="J71" s="225">
        <v>1216.5352620374031</v>
      </c>
    </row>
    <row r="72" spans="1:10" ht="15" customHeight="1">
      <c r="A72" s="468"/>
      <c r="B72" s="517" t="s">
        <v>253</v>
      </c>
      <c r="C72" s="5" t="s">
        <v>244</v>
      </c>
      <c r="D72" s="225">
        <v>1465.905648482277</v>
      </c>
      <c r="E72" s="225">
        <v>1703.7006312248859</v>
      </c>
      <c r="F72" s="225">
        <v>2430.8725255883492</v>
      </c>
      <c r="G72" s="225">
        <v>3419.99829884271</v>
      </c>
      <c r="H72" s="225">
        <v>1510.3632910334741</v>
      </c>
      <c r="I72" s="225">
        <v>2611.9394103940658</v>
      </c>
      <c r="J72" s="225">
        <v>3736.644838219439</v>
      </c>
    </row>
    <row r="73" spans="1:10">
      <c r="A73" s="468"/>
      <c r="B73" s="456"/>
      <c r="C73" s="5" t="s">
        <v>245</v>
      </c>
      <c r="D73" s="225">
        <v>8432.9622397034964</v>
      </c>
      <c r="E73" s="225">
        <v>9288.7680040992236</v>
      </c>
      <c r="F73" s="225">
        <v>10531.698089783171</v>
      </c>
      <c r="G73" s="225">
        <v>11448.856989280481</v>
      </c>
      <c r="H73" s="225">
        <v>7172.2851196840074</v>
      </c>
      <c r="I73" s="225">
        <v>7417.0440021754021</v>
      </c>
      <c r="J73" s="225">
        <v>7902.930790069021</v>
      </c>
    </row>
    <row r="74" spans="1:10" ht="15" customHeight="1">
      <c r="A74" s="468"/>
      <c r="B74" s="517" t="s">
        <v>254</v>
      </c>
      <c r="C74" s="5" t="s">
        <v>244</v>
      </c>
      <c r="D74" s="225">
        <v>1055.366071420028</v>
      </c>
      <c r="E74" s="225">
        <v>1198.960346361599</v>
      </c>
      <c r="F74" s="225">
        <v>1640.4811847770779</v>
      </c>
      <c r="G74" s="225">
        <v>2247.2747742118499</v>
      </c>
      <c r="H74" s="225">
        <v>1060.3641331669589</v>
      </c>
      <c r="I74" s="225">
        <v>1447.203948724137</v>
      </c>
      <c r="J74" s="225">
        <v>2012.0177962182511</v>
      </c>
    </row>
    <row r="75" spans="1:10">
      <c r="A75" s="456"/>
      <c r="B75" s="456"/>
      <c r="C75" s="5" t="s">
        <v>245</v>
      </c>
      <c r="D75" s="225">
        <v>3266.4872731545361</v>
      </c>
      <c r="E75" s="225">
        <v>3557.3455468326292</v>
      </c>
      <c r="F75" s="225">
        <v>4022.0217868896889</v>
      </c>
      <c r="G75" s="225">
        <v>4396.3829529576096</v>
      </c>
      <c r="H75" s="225">
        <v>2763.560513216607</v>
      </c>
      <c r="I75" s="225">
        <v>2782.389922862154</v>
      </c>
      <c r="J75" s="225">
        <v>2901.7077013520579</v>
      </c>
    </row>
    <row r="76" spans="1:10" ht="15" customHeight="1">
      <c r="A76" s="518"/>
      <c r="B76" s="517" t="s">
        <v>255</v>
      </c>
      <c r="C76" s="5" t="s">
        <v>244</v>
      </c>
      <c r="D76" s="225">
        <v>3688.467192655663</v>
      </c>
      <c r="E76" s="225">
        <v>4385.2748685250162</v>
      </c>
      <c r="F76" s="225">
        <v>6426.9553794253134</v>
      </c>
      <c r="G76" s="225">
        <v>9211.5349509396601</v>
      </c>
      <c r="H76" s="225">
        <v>3900.2254231356901</v>
      </c>
      <c r="I76" s="225">
        <v>6795.7168903562606</v>
      </c>
      <c r="J76" s="225">
        <v>10074.267855130531</v>
      </c>
    </row>
    <row r="77" spans="1:10">
      <c r="A77" s="468"/>
      <c r="B77" s="456"/>
      <c r="C77" s="5" t="s">
        <v>245</v>
      </c>
      <c r="D77" s="225">
        <v>17750.29701927401</v>
      </c>
      <c r="E77" s="225">
        <v>19714.55411337232</v>
      </c>
      <c r="F77" s="225">
        <v>22494.60470851115</v>
      </c>
      <c r="G77" s="225">
        <v>24531.27020032689</v>
      </c>
      <c r="H77" s="225">
        <v>15205.493482294831</v>
      </c>
      <c r="I77" s="225">
        <v>15853.179654974751</v>
      </c>
      <c r="J77" s="225">
        <v>16867.69912624939</v>
      </c>
    </row>
    <row r="78" spans="1:10" ht="30" customHeight="1">
      <c r="A78" s="468"/>
      <c r="B78" s="517" t="s">
        <v>256</v>
      </c>
      <c r="C78" s="5" t="s">
        <v>244</v>
      </c>
      <c r="D78" s="225">
        <v>2764.9154950435009</v>
      </c>
      <c r="E78" s="225">
        <v>3226.7572297488291</v>
      </c>
      <c r="F78" s="225">
        <v>4541.8156810702239</v>
      </c>
      <c r="G78" s="225">
        <v>6345.7191102722827</v>
      </c>
      <c r="H78" s="225">
        <v>2859.1033625592408</v>
      </c>
      <c r="I78" s="225">
        <v>4029.6886203824588</v>
      </c>
      <c r="J78" s="225">
        <v>5773.5971796498088</v>
      </c>
    </row>
    <row r="79" spans="1:10">
      <c r="A79" s="456"/>
      <c r="B79" s="456"/>
      <c r="C79" s="5" t="s">
        <v>245</v>
      </c>
      <c r="D79" s="225">
        <v>7362.1288027891214</v>
      </c>
      <c r="E79" s="225">
        <v>8113.6541848014122</v>
      </c>
      <c r="F79" s="225">
        <v>9230.7660435502257</v>
      </c>
      <c r="G79" s="225">
        <v>10159.16617167613</v>
      </c>
      <c r="H79" s="225">
        <v>6284.9132308145518</v>
      </c>
      <c r="I79" s="225">
        <v>6392.0334283234224</v>
      </c>
      <c r="J79" s="225">
        <v>6693.5344976347278</v>
      </c>
    </row>
    <row r="80" spans="1:10">
      <c r="A80" s="186" t="s">
        <v>257</v>
      </c>
      <c r="B80" s="187" t="s">
        <v>258</v>
      </c>
      <c r="C80" s="188"/>
      <c r="D80" s="359"/>
      <c r="E80" s="359"/>
      <c r="F80" s="359"/>
      <c r="G80" s="359"/>
      <c r="H80" s="359"/>
      <c r="I80" s="359"/>
      <c r="J80" s="359"/>
    </row>
    <row r="81" spans="1:10">
      <c r="A81" s="189"/>
      <c r="B81" s="82"/>
      <c r="C81" s="190" t="s">
        <v>210</v>
      </c>
      <c r="D81" s="251">
        <v>7.6346260641719815E-2</v>
      </c>
      <c r="E81" s="251">
        <v>8.2136175263984632E-2</v>
      </c>
      <c r="F81" s="251">
        <v>7.5169172832739758E-2</v>
      </c>
      <c r="G81" s="251">
        <v>7.1765610154254394E-2</v>
      </c>
      <c r="H81" s="251">
        <v>0.10040761171186011</v>
      </c>
      <c r="I81" s="251">
        <v>0.1003888077269366</v>
      </c>
      <c r="J81" s="251">
        <v>0.10394528330114459</v>
      </c>
    </row>
    <row r="82" spans="1:10" ht="30" customHeight="1">
      <c r="A82" s="78"/>
      <c r="B82" s="82"/>
      <c r="C82" s="191" t="s">
        <v>211</v>
      </c>
      <c r="D82" s="359"/>
      <c r="E82" s="49">
        <f t="shared" ref="E82:J82" si="7">E81-$D81</f>
        <v>5.7899146222648162E-3</v>
      </c>
      <c r="F82" s="49">
        <f t="shared" si="7"/>
        <v>-1.1770878089800568E-3</v>
      </c>
      <c r="G82" s="49">
        <f t="shared" si="7"/>
        <v>-4.5806504874654208E-3</v>
      </c>
      <c r="H82" s="49">
        <f t="shared" si="7"/>
        <v>2.4061351070140291E-2</v>
      </c>
      <c r="I82" s="49">
        <f t="shared" si="7"/>
        <v>2.4042547085216789E-2</v>
      </c>
      <c r="J82" s="49">
        <f t="shared" si="7"/>
        <v>2.759902265942478E-2</v>
      </c>
    </row>
    <row r="83" spans="1:10" s="359" customFormat="1" ht="30" customHeight="1">
      <c r="A83" s="412"/>
      <c r="B83" s="413"/>
      <c r="C83" s="414"/>
      <c r="E83" s="49"/>
      <c r="F83" s="49"/>
      <c r="G83" s="49"/>
      <c r="H83" s="49"/>
      <c r="I83" s="49"/>
      <c r="J83" s="49"/>
    </row>
    <row r="84" spans="1:10" s="359" customFormat="1" ht="30" customHeight="1">
      <c r="A84" s="412"/>
      <c r="B84" s="413"/>
      <c r="C84" s="414"/>
      <c r="E84" s="49"/>
      <c r="F84" s="49"/>
      <c r="G84" s="49"/>
      <c r="H84" s="49"/>
      <c r="I84" s="49"/>
      <c r="J84" s="49"/>
    </row>
    <row r="85" spans="1:10" s="359" customFormat="1" ht="30" customHeight="1">
      <c r="A85" s="412"/>
      <c r="B85" s="413"/>
      <c r="C85" s="414"/>
      <c r="E85" s="49"/>
      <c r="F85" s="49"/>
      <c r="G85" s="49"/>
      <c r="H85" s="49"/>
      <c r="I85" s="49"/>
      <c r="J85" s="49"/>
    </row>
    <row r="86" spans="1:10" s="359" customFormat="1" ht="30" customHeight="1">
      <c r="A86" s="412"/>
      <c r="B86" s="413"/>
      <c r="C86" s="414"/>
      <c r="E86" s="49"/>
      <c r="F86" s="49"/>
      <c r="G86" s="49"/>
      <c r="H86" s="49"/>
      <c r="I86" s="49"/>
      <c r="J86" s="49"/>
    </row>
    <row r="87" spans="1:10" s="359" customFormat="1" ht="30" customHeight="1">
      <c r="A87" s="412"/>
      <c r="B87" s="413"/>
      <c r="C87" s="414"/>
      <c r="E87" s="49"/>
      <c r="F87" s="49"/>
      <c r="G87" s="49"/>
      <c r="H87" s="49"/>
      <c r="I87" s="49"/>
      <c r="J87" s="49"/>
    </row>
    <row r="88" spans="1:10">
      <c r="A88" s="192" t="s">
        <v>46</v>
      </c>
      <c r="B88" s="184"/>
      <c r="C88" s="184"/>
      <c r="D88" s="359"/>
      <c r="E88" s="359"/>
      <c r="F88" s="359"/>
      <c r="G88" s="359"/>
      <c r="H88" s="359"/>
      <c r="I88" s="359"/>
      <c r="J88" s="359"/>
    </row>
    <row r="89" spans="1:10">
      <c r="A89" s="193" t="s">
        <v>47</v>
      </c>
      <c r="B89" s="184"/>
      <c r="C89" s="184"/>
      <c r="D89" s="359"/>
      <c r="E89" s="359"/>
      <c r="F89" s="359"/>
      <c r="G89" s="359"/>
      <c r="H89" s="359"/>
      <c r="I89" s="359"/>
      <c r="J89" s="359"/>
    </row>
    <row r="90" spans="1:10">
      <c r="A90" s="184"/>
      <c r="B90" s="184"/>
      <c r="C90" s="184"/>
      <c r="D90" s="359"/>
      <c r="E90" s="359"/>
      <c r="F90" s="359"/>
      <c r="G90" s="359"/>
      <c r="H90" s="359"/>
      <c r="I90" s="359"/>
      <c r="J90" s="359"/>
    </row>
    <row r="91" spans="1:10" s="6" customFormat="1" ht="15.75" customHeight="1">
      <c r="A91" s="149" t="s">
        <v>259</v>
      </c>
      <c r="B91" s="184"/>
      <c r="C91" s="184"/>
    </row>
    <row r="92" spans="1:10">
      <c r="A92" s="184"/>
      <c r="B92" s="184"/>
      <c r="C92" s="148" t="s">
        <v>260</v>
      </c>
      <c r="D92" s="359"/>
      <c r="E92" s="359"/>
      <c r="F92" s="359"/>
      <c r="G92" s="359"/>
      <c r="H92" s="359"/>
      <c r="I92" s="359"/>
      <c r="J92" s="359"/>
    </row>
  </sheetData>
  <sheetProtection algorithmName="SHA-512" hashValue="Kku3byIq90/j4oQBUFundqL1LDcO7bJTBfIpuVXo5Of57PTy55dTrYZtk65fhY+Sgzc7qe9M3Tg7bb+XVmsRzQ==" saltValue="1BpdrmminaII3UUKdOmnNQ==" spinCount="100000" sheet="1" objects="1" scenarios="1"/>
  <mergeCells count="30">
    <mergeCell ref="H1:J1"/>
    <mergeCell ref="B5:B9"/>
    <mergeCell ref="B10:B14"/>
    <mergeCell ref="B34:B35"/>
    <mergeCell ref="A1:C2"/>
    <mergeCell ref="D1:D2"/>
    <mergeCell ref="B20:C20"/>
    <mergeCell ref="B29:C29"/>
    <mergeCell ref="E1:G1"/>
    <mergeCell ref="B32:B33"/>
    <mergeCell ref="B27:B28"/>
    <mergeCell ref="B36:B37"/>
    <mergeCell ref="B42:B46"/>
    <mergeCell ref="B47:B51"/>
    <mergeCell ref="B15:B19"/>
    <mergeCell ref="B21:B22"/>
    <mergeCell ref="B23:B24"/>
    <mergeCell ref="B25:B26"/>
    <mergeCell ref="B30:B31"/>
    <mergeCell ref="B78:B79"/>
    <mergeCell ref="A64:A75"/>
    <mergeCell ref="A76:A79"/>
    <mergeCell ref="B76:B77"/>
    <mergeCell ref="B57:C57"/>
    <mergeCell ref="B74:B75"/>
    <mergeCell ref="B64:B65"/>
    <mergeCell ref="B66:B67"/>
    <mergeCell ref="B68:B69"/>
    <mergeCell ref="B70:B71"/>
    <mergeCell ref="B72:B73"/>
  </mergeCells>
  <printOptions gridLines="1"/>
  <pageMargins left="0.25" right="0.25" top="0.75" bottom="0.75" header="0.3" footer="0.3"/>
  <pageSetup paperSize="5" fitToHeight="0" orientation="landscape" horizontalDpi="300" verticalDpi="300" r:id="rId1"/>
  <headerFooter>
    <oddHeader>&amp;LDRAFT - FOR INTERNAL USE ONLY</oddHeader>
    <oddFooter>&amp;L&amp;11 &amp;Z&amp;F&amp;R&amp;D</oddFooter>
  </headerFooter>
  <rowBreaks count="2" manualBreakCount="2">
    <brk id="28" max="16383" man="1"/>
    <brk id="54" max="16383"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B5309E-EA79-4B6D-9CF7-9489F617602C}">
  <sheetPr>
    <tabColor theme="4" tint="0.59999389629810485"/>
  </sheetPr>
  <dimension ref="A1:P106"/>
  <sheetViews>
    <sheetView workbookViewId="0">
      <pane xSplit="2" ySplit="1" topLeftCell="C2" activePane="bottomRight" state="frozen"/>
      <selection pane="bottomRight" activeCell="H13" sqref="H13"/>
      <selection pane="bottomLeft" activeCell="A2" sqref="A2"/>
      <selection pane="topRight" activeCell="C1" sqref="C1"/>
    </sheetView>
  </sheetViews>
  <sheetFormatPr defaultColWidth="9.140625" defaultRowHeight="15"/>
  <cols>
    <col min="1" max="1" width="13.28515625" style="359" bestFit="1" customWidth="1"/>
    <col min="2" max="2" width="24.140625" style="359" bestFit="1" customWidth="1"/>
    <col min="3" max="3" width="13.28515625" style="359" bestFit="1" customWidth="1"/>
    <col min="4" max="4" width="7.28515625" style="49" bestFit="1" customWidth="1"/>
    <col min="5" max="5" width="13.28515625" style="359" bestFit="1" customWidth="1"/>
    <col min="6" max="6" width="7.28515625" style="49" bestFit="1" customWidth="1"/>
    <col min="7" max="7" width="13.28515625" style="359" bestFit="1" customWidth="1"/>
    <col min="8" max="8" width="11.28515625" style="49" bestFit="1" customWidth="1"/>
    <col min="9" max="9" width="13.28515625" style="359" bestFit="1" customWidth="1"/>
    <col min="10" max="10" width="7.28515625" style="49" bestFit="1" customWidth="1"/>
    <col min="11" max="11" width="10.140625" style="359" bestFit="1" customWidth="1"/>
    <col min="12" max="12" width="7.28515625" style="49" bestFit="1" customWidth="1"/>
    <col min="13" max="13" width="10.140625" style="359" bestFit="1" customWidth="1"/>
    <col min="14" max="14" width="7.28515625" style="49" bestFit="1" customWidth="1"/>
    <col min="15" max="15" width="10.140625" style="359" bestFit="1" customWidth="1"/>
    <col min="16" max="16" width="7.28515625" style="49" bestFit="1" customWidth="1"/>
    <col min="17" max="16384" width="9.140625" style="359"/>
  </cols>
  <sheetData>
    <row r="1" spans="1:16">
      <c r="A1" s="530" t="s">
        <v>261</v>
      </c>
      <c r="B1" s="530"/>
      <c r="C1" s="361" t="s">
        <v>262</v>
      </c>
      <c r="D1" s="49" t="s">
        <v>263</v>
      </c>
      <c r="E1" s="361" t="s">
        <v>264</v>
      </c>
      <c r="F1" s="49" t="s">
        <v>263</v>
      </c>
      <c r="G1" s="361" t="s">
        <v>61</v>
      </c>
      <c r="H1" s="49" t="s">
        <v>263</v>
      </c>
      <c r="I1" s="361" t="s">
        <v>62</v>
      </c>
      <c r="J1" s="49" t="s">
        <v>263</v>
      </c>
      <c r="K1" s="361" t="s">
        <v>265</v>
      </c>
      <c r="L1" s="49" t="s">
        <v>263</v>
      </c>
      <c r="M1" s="361" t="s">
        <v>266</v>
      </c>
      <c r="N1" s="49" t="s">
        <v>263</v>
      </c>
      <c r="O1" s="361" t="s">
        <v>267</v>
      </c>
      <c r="P1" s="49" t="s">
        <v>263</v>
      </c>
    </row>
    <row r="2" spans="1:16">
      <c r="A2" s="359" t="s">
        <v>268</v>
      </c>
      <c r="B2" s="361" t="s">
        <v>269</v>
      </c>
      <c r="C2" s="359">
        <v>458</v>
      </c>
      <c r="E2" s="359">
        <v>461</v>
      </c>
      <c r="G2" s="359">
        <v>469</v>
      </c>
      <c r="I2" s="359">
        <v>460</v>
      </c>
      <c r="K2" s="359">
        <v>462</v>
      </c>
      <c r="M2" s="359">
        <v>475</v>
      </c>
      <c r="O2" s="359">
        <v>459</v>
      </c>
    </row>
    <row r="3" spans="1:16">
      <c r="A3" s="359">
        <v>1</v>
      </c>
      <c r="B3" s="361" t="s">
        <v>270</v>
      </c>
    </row>
    <row r="4" spans="1:16">
      <c r="B4" s="359" t="s">
        <v>271</v>
      </c>
      <c r="C4" s="415">
        <v>68589</v>
      </c>
      <c r="D4" s="49">
        <f>C4/C$10</f>
        <v>0.56305442791792437</v>
      </c>
      <c r="E4" s="415">
        <v>70997</v>
      </c>
      <c r="F4" s="49">
        <f>E4/E$10</f>
        <v>0.54268616585177787</v>
      </c>
      <c r="G4" s="415">
        <v>75153</v>
      </c>
      <c r="H4" s="49">
        <f>G4/G$10</f>
        <v>0.5358127964905447</v>
      </c>
      <c r="I4" s="415">
        <v>77106</v>
      </c>
      <c r="J4" s="49">
        <f>I4/I$10</f>
        <v>0.52475659051981471</v>
      </c>
      <c r="K4" s="415">
        <v>64697</v>
      </c>
      <c r="L4" s="49">
        <f>K4/K$10</f>
        <v>0.50754956532497553</v>
      </c>
      <c r="M4" s="415">
        <v>66171</v>
      </c>
      <c r="N4" s="49">
        <f>M4/M$10</f>
        <v>0.47135865114881426</v>
      </c>
      <c r="O4" s="415">
        <v>62642</v>
      </c>
      <c r="P4" s="49">
        <f>O4/O$10</f>
        <v>0.42724152494828482</v>
      </c>
    </row>
    <row r="5" spans="1:16">
      <c r="B5" s="359" t="s">
        <v>217</v>
      </c>
      <c r="C5" s="415">
        <f>SUM(C6,C7)</f>
        <v>46731.932171299995</v>
      </c>
      <c r="D5" s="49">
        <f t="shared" ref="D5:D9" si="0">C5/C$10</f>
        <v>0.38362742326335952</v>
      </c>
      <c r="E5" s="415">
        <f>SUM(E6,E7)</f>
        <v>51630.151749659999</v>
      </c>
      <c r="F5" s="49">
        <f t="shared" ref="F5:H9" si="1">E5/E$10</f>
        <v>0.39465004289432581</v>
      </c>
      <c r="G5" s="415">
        <f>SUM(G6,G7)</f>
        <v>55149.808075199995</v>
      </c>
      <c r="H5" s="49">
        <f t="shared" si="1"/>
        <v>0.393197515610684</v>
      </c>
      <c r="I5" s="415">
        <f>SUM(I6,I7)</f>
        <v>58589.696733279998</v>
      </c>
      <c r="J5" s="49">
        <f t="shared" ref="J5" si="2">I5/I$10</f>
        <v>0.39874107718395368</v>
      </c>
      <c r="K5" s="415">
        <f>SUM(K6,K7)</f>
        <v>53117.32402272</v>
      </c>
      <c r="L5" s="49">
        <f t="shared" ref="L5" si="3">K5/K$10</f>
        <v>0.41670672085193161</v>
      </c>
      <c r="M5" s="415">
        <f>SUM(M6,M7)</f>
        <v>54224.548363280002</v>
      </c>
      <c r="N5" s="49">
        <f t="shared" ref="N5" si="4">M5/M$10</f>
        <v>0.38625999268062</v>
      </c>
      <c r="O5" s="415">
        <f>SUM(O6,O7)</f>
        <v>58292.643321380005</v>
      </c>
      <c r="P5" s="49">
        <f t="shared" ref="P5" si="5">O5/O$10</f>
        <v>0.39757730956694937</v>
      </c>
    </row>
    <row r="6" spans="1:16">
      <c r="B6" s="233" t="s">
        <v>272</v>
      </c>
      <c r="C6" s="436">
        <v>25450.674294</v>
      </c>
      <c r="D6" s="49">
        <f>C6/C$10</f>
        <v>0.20892730400987905</v>
      </c>
      <c r="E6" s="437">
        <v>28310.784943999999</v>
      </c>
      <c r="F6" s="49">
        <f>E6/E$10</f>
        <v>0.21640169772685608</v>
      </c>
      <c r="G6" s="437">
        <v>30732.965595999998</v>
      </c>
      <c r="H6" s="49">
        <f>G6/G$10</f>
        <v>0.21911455617793646</v>
      </c>
      <c r="I6" s="437">
        <v>32985.524294000003</v>
      </c>
      <c r="J6" s="49">
        <f>I6/I$10</f>
        <v>0.22448799399564182</v>
      </c>
      <c r="K6" s="437">
        <v>27567.679368000001</v>
      </c>
      <c r="L6" s="49">
        <f>K6/K$10</f>
        <v>0.21626912654754776</v>
      </c>
      <c r="M6" s="437">
        <v>28825.916184000002</v>
      </c>
      <c r="N6" s="49">
        <f>M6/M$10</f>
        <v>0.20533685406929042</v>
      </c>
      <c r="O6" s="437">
        <v>29608.870591999999</v>
      </c>
      <c r="P6" s="49">
        <f>O6/O$10</f>
        <v>0.20194340895441562</v>
      </c>
    </row>
    <row r="7" spans="1:16">
      <c r="B7" s="233" t="s">
        <v>273</v>
      </c>
      <c r="C7" s="436">
        <v>21281.257877299999</v>
      </c>
      <c r="D7" s="49">
        <f>C7/C$10</f>
        <v>0.17470011925348047</v>
      </c>
      <c r="E7" s="437">
        <v>23319.36680566</v>
      </c>
      <c r="F7" s="49">
        <f>E7/E$10</f>
        <v>0.17824834516746971</v>
      </c>
      <c r="G7" s="437">
        <v>24416.842479200001</v>
      </c>
      <c r="H7" s="49">
        <f>G7/G$10</f>
        <v>0.17408295943274754</v>
      </c>
      <c r="I7" s="437">
        <v>25604.172439279999</v>
      </c>
      <c r="J7" s="49">
        <f>I7/I$10</f>
        <v>0.17425308318831192</v>
      </c>
      <c r="K7" s="437">
        <v>25549.644654719999</v>
      </c>
      <c r="L7" s="49">
        <f>K7/K$10</f>
        <v>0.20043759430438382</v>
      </c>
      <c r="M7" s="437">
        <v>25398.632179280001</v>
      </c>
      <c r="N7" s="49">
        <f>M7/M$10</f>
        <v>0.18092313861132958</v>
      </c>
      <c r="O7" s="437">
        <v>28683.772729380002</v>
      </c>
      <c r="P7" s="49">
        <f>O7/O$10</f>
        <v>0.19563390061253372</v>
      </c>
    </row>
    <row r="8" spans="1:16">
      <c r="B8" s="359" t="s">
        <v>274</v>
      </c>
      <c r="C8" s="244">
        <v>4568</v>
      </c>
      <c r="D8" s="49">
        <f t="shared" si="0"/>
        <v>3.7499199969806801E-2</v>
      </c>
      <c r="E8" s="244">
        <v>5586</v>
      </c>
      <c r="F8" s="49">
        <f t="shared" si="1"/>
        <v>4.2698211508205013E-2</v>
      </c>
      <c r="G8" s="244">
        <v>7071</v>
      </c>
      <c r="H8" s="49">
        <f t="shared" si="1"/>
        <v>5.0413586736186733E-2</v>
      </c>
      <c r="I8" s="244">
        <v>8187</v>
      </c>
      <c r="J8" s="49">
        <f t="shared" ref="J8:J9" si="6">I8/I$10</f>
        <v>5.5717871586980557E-2</v>
      </c>
      <c r="K8" s="244">
        <v>5386</v>
      </c>
      <c r="L8" s="49">
        <f t="shared" ref="L8:L9" si="7">K8/K$10</f>
        <v>4.2253303226429638E-2</v>
      </c>
      <c r="M8" s="244">
        <v>6766</v>
      </c>
      <c r="N8" s="49">
        <f t="shared" ref="N8:N9" si="8">M8/M$10</f>
        <v>4.8196530710928914E-2</v>
      </c>
      <c r="O8" s="244">
        <v>7503</v>
      </c>
      <c r="P8" s="49">
        <f t="shared" ref="P8:P9" si="9">O8/O$10</f>
        <v>5.1173225019746832E-2</v>
      </c>
    </row>
    <row r="9" spans="1:16">
      <c r="B9" s="359" t="s">
        <v>129</v>
      </c>
      <c r="C9" s="244">
        <v>1927</v>
      </c>
      <c r="D9" s="49">
        <f t="shared" si="0"/>
        <v>1.5818948848909303E-2</v>
      </c>
      <c r="E9" s="244">
        <v>2612</v>
      </c>
      <c r="F9" s="49">
        <f t="shared" si="1"/>
        <v>1.996557974569128E-2</v>
      </c>
      <c r="G9" s="244">
        <v>2886</v>
      </c>
      <c r="H9" s="49">
        <f t="shared" si="1"/>
        <v>2.0576101162584487E-2</v>
      </c>
      <c r="I9" s="244">
        <v>3054</v>
      </c>
      <c r="J9" s="49">
        <f t="shared" si="6"/>
        <v>2.0784460709251083E-2</v>
      </c>
      <c r="K9" s="244">
        <v>4269</v>
      </c>
      <c r="L9" s="49">
        <f t="shared" si="7"/>
        <v>3.3490410596663224E-2</v>
      </c>
      <c r="M9" s="244">
        <v>13222</v>
      </c>
      <c r="N9" s="49">
        <f t="shared" si="8"/>
        <v>9.4184825459636731E-2</v>
      </c>
      <c r="O9" s="244">
        <v>18182</v>
      </c>
      <c r="P9" s="49">
        <f t="shared" si="9"/>
        <v>0.12400794046501891</v>
      </c>
    </row>
    <row r="10" spans="1:16" s="361" customFormat="1">
      <c r="B10" s="416" t="s">
        <v>275</v>
      </c>
      <c r="C10" s="417">
        <f t="shared" ref="C10:P10" si="10">SUM(C4:C5, C8:C9)</f>
        <v>121815.9321713</v>
      </c>
      <c r="D10" s="418">
        <f t="shared" si="10"/>
        <v>1</v>
      </c>
      <c r="E10" s="417">
        <f t="shared" si="10"/>
        <v>130825.15174966</v>
      </c>
      <c r="F10" s="418">
        <f t="shared" si="10"/>
        <v>0.99999999999999989</v>
      </c>
      <c r="G10" s="417">
        <f t="shared" si="10"/>
        <v>140259.80807520001</v>
      </c>
      <c r="H10" s="418">
        <f t="shared" si="10"/>
        <v>1</v>
      </c>
      <c r="I10" s="417">
        <f t="shared" si="10"/>
        <v>146936.69673328</v>
      </c>
      <c r="J10" s="418">
        <f t="shared" si="10"/>
        <v>1</v>
      </c>
      <c r="K10" s="417">
        <f t="shared" si="10"/>
        <v>127469.32402272</v>
      </c>
      <c r="L10" s="418">
        <f t="shared" si="10"/>
        <v>1</v>
      </c>
      <c r="M10" s="417">
        <f t="shared" si="10"/>
        <v>140383.54836328002</v>
      </c>
      <c r="N10" s="418">
        <f t="shared" si="10"/>
        <v>0.99999999999999978</v>
      </c>
      <c r="O10" s="417">
        <f t="shared" si="10"/>
        <v>146619.64332138002</v>
      </c>
      <c r="P10" s="418">
        <f t="shared" si="10"/>
        <v>1</v>
      </c>
    </row>
    <row r="11" spans="1:16">
      <c r="A11" s="359">
        <v>2</v>
      </c>
      <c r="B11" s="361" t="s">
        <v>276</v>
      </c>
    </row>
    <row r="12" spans="1:16">
      <c r="B12" s="359" t="s">
        <v>271</v>
      </c>
      <c r="C12" s="415">
        <v>67053</v>
      </c>
      <c r="D12" s="49">
        <f>C12/C$18</f>
        <v>0.56158942528555222</v>
      </c>
      <c r="E12" s="415">
        <v>70662</v>
      </c>
      <c r="F12" s="49">
        <f>E12/E$18</f>
        <v>0.5729553268641302</v>
      </c>
      <c r="G12" s="415">
        <v>71280</v>
      </c>
      <c r="H12" s="49">
        <f>G12/G$18</f>
        <v>0.57646581753543535</v>
      </c>
      <c r="I12" s="415">
        <v>74616</v>
      </c>
      <c r="J12" s="49">
        <f>I12/I$18</f>
        <v>0.58289811692490168</v>
      </c>
      <c r="K12" s="415">
        <v>65843</v>
      </c>
      <c r="L12" s="49">
        <f>K12/K$18</f>
        <v>0.5527492978787768</v>
      </c>
      <c r="M12" s="415">
        <v>58151</v>
      </c>
      <c r="N12" s="49">
        <f>M12/M$18</f>
        <v>0.50677270071614822</v>
      </c>
      <c r="O12" s="415">
        <v>58117</v>
      </c>
      <c r="P12" s="49">
        <f>O12/O$18</f>
        <v>0.4862159392557045</v>
      </c>
    </row>
    <row r="13" spans="1:16">
      <c r="B13" s="359" t="s">
        <v>217</v>
      </c>
      <c r="C13" s="415">
        <f>SUM(C14,C15)</f>
        <v>44400.615751899997</v>
      </c>
      <c r="D13" s="49">
        <f t="shared" ref="D13:F17" si="11">C13/C$18</f>
        <v>0.37186876474481612</v>
      </c>
      <c r="E13" s="415">
        <f>SUM(E14,E15)</f>
        <v>44519.98689806</v>
      </c>
      <c r="F13" s="49">
        <f t="shared" si="11"/>
        <v>0.36098558836665762</v>
      </c>
      <c r="G13" s="415">
        <f>SUM(G14,G15)</f>
        <v>43616.002882640001</v>
      </c>
      <c r="H13" s="49">
        <f t="shared" ref="H13" si="12">G13/G$18</f>
        <v>0.35273758079922801</v>
      </c>
      <c r="I13" s="415">
        <f>SUM(I14,I15)</f>
        <v>44380.64822422</v>
      </c>
      <c r="J13" s="49">
        <f t="shared" ref="J13" si="13">I13/I$18</f>
        <v>0.3467003896993181</v>
      </c>
      <c r="K13" s="415">
        <f>SUM(K14,K15)</f>
        <v>43946.102010040006</v>
      </c>
      <c r="L13" s="49">
        <f t="shared" ref="L13:N13" si="14">K13/K$18</f>
        <v>0.36892573288821462</v>
      </c>
      <c r="M13" s="415">
        <f>SUM(M14,M15)</f>
        <v>42639.696388979995</v>
      </c>
      <c r="N13" s="49">
        <f t="shared" si="14"/>
        <v>0.37159522788533272</v>
      </c>
      <c r="O13" s="415">
        <f>SUM(O14,O15)</f>
        <v>45618.195379659999</v>
      </c>
      <c r="P13" s="49">
        <f t="shared" ref="P13" si="15">O13/O$18</f>
        <v>0.38164897901941991</v>
      </c>
    </row>
    <row r="14" spans="1:16">
      <c r="B14" s="233" t="s">
        <v>272</v>
      </c>
      <c r="C14" s="437">
        <v>22103.416413999999</v>
      </c>
      <c r="D14" s="49">
        <f>C14/C$18</f>
        <v>0.18512288668345192</v>
      </c>
      <c r="E14" s="437">
        <v>22508.099966000002</v>
      </c>
      <c r="F14" s="49">
        <f>E14/E$18</f>
        <v>0.1825045395419044</v>
      </c>
      <c r="G14" s="437">
        <v>22707.084862</v>
      </c>
      <c r="H14" s="49">
        <f>G14/G$18</f>
        <v>0.18363998651542282</v>
      </c>
      <c r="I14" s="437">
        <v>23771.033825999999</v>
      </c>
      <c r="J14" s="49">
        <f>I14/I$18</f>
        <v>0.18569865517494291</v>
      </c>
      <c r="K14" s="437">
        <v>22180.151312000002</v>
      </c>
      <c r="L14" s="49">
        <f>K14/K$18</f>
        <v>0.18620146506922575</v>
      </c>
      <c r="M14" s="437">
        <v>20014.338838</v>
      </c>
      <c r="N14" s="49">
        <f>M14/M$18</f>
        <v>0.17442039768845516</v>
      </c>
      <c r="O14" s="437">
        <v>21384.672244000001</v>
      </c>
      <c r="P14" s="49">
        <f>O14/O$18</f>
        <v>0.17890752276944533</v>
      </c>
    </row>
    <row r="15" spans="1:16">
      <c r="B15" s="233" t="s">
        <v>273</v>
      </c>
      <c r="C15" s="437">
        <v>22297.199337900001</v>
      </c>
      <c r="D15" s="49">
        <f>C15/C$18</f>
        <v>0.18674587806136425</v>
      </c>
      <c r="E15" s="437">
        <v>22011.886932059999</v>
      </c>
      <c r="F15" s="49">
        <f>E15/E$18</f>
        <v>0.17848104882475324</v>
      </c>
      <c r="G15" s="437">
        <v>20908.918020640001</v>
      </c>
      <c r="H15" s="49">
        <f>G15/G$18</f>
        <v>0.16909759428380519</v>
      </c>
      <c r="I15" s="437">
        <v>20609.614398220001</v>
      </c>
      <c r="J15" s="49">
        <f>I15/I$18</f>
        <v>0.16100173452437519</v>
      </c>
      <c r="K15" s="437">
        <v>21765.95069804</v>
      </c>
      <c r="L15" s="49">
        <f>K15/K$18</f>
        <v>0.18272426781898882</v>
      </c>
      <c r="M15" s="437">
        <v>22625.357550979999</v>
      </c>
      <c r="N15" s="49">
        <f>M15/M$18</f>
        <v>0.19717483019687762</v>
      </c>
      <c r="O15" s="437">
        <v>24233.523135660002</v>
      </c>
      <c r="P15" s="49">
        <f>O15/O$18</f>
        <v>0.20274145624997458</v>
      </c>
    </row>
    <row r="16" spans="1:16">
      <c r="B16" s="359" t="s">
        <v>274</v>
      </c>
      <c r="C16" s="244">
        <v>4161</v>
      </c>
      <c r="D16" s="49">
        <f t="shared" si="11"/>
        <v>3.4849650255964426E-2</v>
      </c>
      <c r="E16" s="244">
        <v>4186</v>
      </c>
      <c r="F16" s="49">
        <f t="shared" si="11"/>
        <v>3.3941736693742737E-2</v>
      </c>
      <c r="G16" s="244">
        <v>4526</v>
      </c>
      <c r="H16" s="49">
        <f t="shared" ref="H16:H17" si="16">G16/G$18</f>
        <v>3.6603314957426775E-2</v>
      </c>
      <c r="I16" s="244">
        <v>4516</v>
      </c>
      <c r="J16" s="49">
        <f t="shared" ref="J16:J17" si="17">I16/I$18</f>
        <v>3.5278866409789535E-2</v>
      </c>
      <c r="K16" s="244">
        <v>4317</v>
      </c>
      <c r="L16" s="49">
        <f t="shared" ref="L16:N17" si="18">K16/K$18</f>
        <v>3.6241038818745797E-2</v>
      </c>
      <c r="M16" s="244">
        <v>4376</v>
      </c>
      <c r="N16" s="49">
        <f t="shared" si="18"/>
        <v>3.8135841831333332E-2</v>
      </c>
      <c r="O16" s="244">
        <v>4645</v>
      </c>
      <c r="P16" s="49">
        <f t="shared" ref="P16:P17" si="19">O16/O$18</f>
        <v>3.8860798696470009E-2</v>
      </c>
    </row>
    <row r="17" spans="1:16">
      <c r="B17" s="359" t="s">
        <v>129</v>
      </c>
      <c r="C17" s="244">
        <v>3784</v>
      </c>
      <c r="D17" s="49">
        <f t="shared" si="11"/>
        <v>3.1692159713667241E-2</v>
      </c>
      <c r="E17" s="244">
        <v>3961</v>
      </c>
      <c r="F17" s="49">
        <f t="shared" si="11"/>
        <v>3.2117348075469412E-2</v>
      </c>
      <c r="G17" s="244">
        <v>4228</v>
      </c>
      <c r="H17" s="49">
        <f t="shared" si="16"/>
        <v>3.4193286707909942E-2</v>
      </c>
      <c r="I17" s="244">
        <v>4496</v>
      </c>
      <c r="J17" s="49">
        <f t="shared" si="17"/>
        <v>3.5122626965990646E-2</v>
      </c>
      <c r="K17" s="244">
        <v>5013</v>
      </c>
      <c r="L17" s="49">
        <f t="shared" si="18"/>
        <v>4.2083930414262838E-2</v>
      </c>
      <c r="M17" s="244">
        <v>9581</v>
      </c>
      <c r="N17" s="49">
        <f t="shared" si="18"/>
        <v>8.3496229567185706E-2</v>
      </c>
      <c r="O17" s="244">
        <v>11149</v>
      </c>
      <c r="P17" s="49">
        <f t="shared" si="19"/>
        <v>9.3274283028405625E-2</v>
      </c>
    </row>
    <row r="18" spans="1:16" s="361" customFormat="1">
      <c r="B18" s="416" t="s">
        <v>275</v>
      </c>
      <c r="C18" s="417">
        <f t="shared" ref="C18:P18" si="20">SUM(C12:C13, C16:C17)</f>
        <v>119398.6157519</v>
      </c>
      <c r="D18" s="418">
        <f t="shared" si="20"/>
        <v>1</v>
      </c>
      <c r="E18" s="417">
        <f t="shared" si="20"/>
        <v>123328.98689806</v>
      </c>
      <c r="F18" s="418">
        <f t="shared" si="20"/>
        <v>1</v>
      </c>
      <c r="G18" s="417">
        <f t="shared" si="20"/>
        <v>123650.00288263999</v>
      </c>
      <c r="H18" s="418">
        <f t="shared" si="20"/>
        <v>1</v>
      </c>
      <c r="I18" s="417">
        <f t="shared" si="20"/>
        <v>128008.64822422</v>
      </c>
      <c r="J18" s="418">
        <f t="shared" si="20"/>
        <v>1</v>
      </c>
      <c r="K18" s="417">
        <f t="shared" si="20"/>
        <v>119119.10201004001</v>
      </c>
      <c r="L18" s="418">
        <f t="shared" si="20"/>
        <v>1</v>
      </c>
      <c r="M18" s="417">
        <f t="shared" si="20"/>
        <v>114747.69638898</v>
      </c>
      <c r="N18" s="418">
        <f t="shared" si="20"/>
        <v>1</v>
      </c>
      <c r="O18" s="417">
        <f t="shared" si="20"/>
        <v>119529.19537966</v>
      </c>
      <c r="P18" s="418">
        <f t="shared" si="20"/>
        <v>1</v>
      </c>
    </row>
    <row r="19" spans="1:16">
      <c r="A19" s="359">
        <v>3</v>
      </c>
      <c r="B19" s="361" t="s">
        <v>277</v>
      </c>
    </row>
    <row r="20" spans="1:16">
      <c r="B20" s="359" t="s">
        <v>271</v>
      </c>
      <c r="C20" s="415">
        <v>98801</v>
      </c>
      <c r="D20" s="49">
        <f>C20/C$26</f>
        <v>0.57146205707963593</v>
      </c>
      <c r="E20" s="415">
        <v>103882</v>
      </c>
      <c r="F20" s="49">
        <f>E20/E$26</f>
        <v>0.57574758591868203</v>
      </c>
      <c r="G20" s="415">
        <v>109369</v>
      </c>
      <c r="H20" s="49">
        <f>G20/G$26</f>
        <v>0.56975990790010522</v>
      </c>
      <c r="I20" s="415">
        <v>115394</v>
      </c>
      <c r="J20" s="49">
        <f>I20/I$26</f>
        <v>0.56110843647100983</v>
      </c>
      <c r="K20" s="415">
        <v>97184</v>
      </c>
      <c r="L20" s="49">
        <f>K20/K$26</f>
        <v>0.55212086140729832</v>
      </c>
      <c r="M20" s="415">
        <v>98431</v>
      </c>
      <c r="N20" s="49">
        <f>M20/M$26</f>
        <v>0.5310277617629372</v>
      </c>
      <c r="O20" s="415">
        <v>101743</v>
      </c>
      <c r="P20" s="49">
        <f>O20/O$26</f>
        <v>0.50962991602187235</v>
      </c>
    </row>
    <row r="21" spans="1:16">
      <c r="B21" s="359" t="s">
        <v>217</v>
      </c>
      <c r="C21" s="415">
        <f>SUM(C22,C23)</f>
        <v>68799.618570279999</v>
      </c>
      <c r="D21" s="49">
        <f t="shared" ref="D21:F25" si="21">C21/C$26</f>
        <v>0.39793495566306547</v>
      </c>
      <c r="E21" s="415">
        <f>SUM(E22,E23)</f>
        <v>70841.762174759991</v>
      </c>
      <c r="F21" s="49">
        <f t="shared" si="21"/>
        <v>0.39262791970065525</v>
      </c>
      <c r="G21" s="415">
        <f>SUM(G22,G23)</f>
        <v>76333.293315000003</v>
      </c>
      <c r="H21" s="49">
        <f t="shared" ref="H21" si="22">G21/G$26</f>
        <v>0.39765975887926308</v>
      </c>
      <c r="I21" s="415">
        <f>SUM(I22,I23)</f>
        <v>83540.653553579992</v>
      </c>
      <c r="J21" s="49">
        <f t="shared" ref="J21" si="23">I21/I$26</f>
        <v>0.40622012840542471</v>
      </c>
      <c r="K21" s="415">
        <f>SUM(K22,K23)</f>
        <v>71456.431238819991</v>
      </c>
      <c r="L21" s="49">
        <f t="shared" ref="L21" si="24">K21/K$26</f>
        <v>0.40595763056335066</v>
      </c>
      <c r="M21" s="415">
        <f>SUM(M22,M23)</f>
        <v>75969.423908879995</v>
      </c>
      <c r="N21" s="49">
        <f t="shared" ref="N21" si="25">M21/M$26</f>
        <v>0.40984926639729669</v>
      </c>
      <c r="O21" s="415">
        <f>SUM(O22,O23)</f>
        <v>85693.948855980008</v>
      </c>
      <c r="P21" s="49">
        <f t="shared" ref="P21" si="26">O21/O$26</f>
        <v>0.42924034045640203</v>
      </c>
    </row>
    <row r="22" spans="1:16">
      <c r="B22" s="233" t="s">
        <v>272</v>
      </c>
      <c r="C22" s="437">
        <v>37597.518455999998</v>
      </c>
      <c r="D22" s="49">
        <f>C22/C26</f>
        <v>0.21746293294557076</v>
      </c>
      <c r="E22" s="437">
        <v>39841.715453999997</v>
      </c>
      <c r="F22" s="49">
        <f>E22/E26</f>
        <v>0.22081565133035122</v>
      </c>
      <c r="G22" s="437">
        <v>43362.472126000001</v>
      </c>
      <c r="H22" s="49">
        <f>G22/G26</f>
        <v>0.22589763209712663</v>
      </c>
      <c r="I22" s="437">
        <v>47633.219572000002</v>
      </c>
      <c r="J22" s="49">
        <f>I22/I26</f>
        <v>0.2316186401210221</v>
      </c>
      <c r="K22" s="437">
        <v>38238.683605999999</v>
      </c>
      <c r="L22" s="49">
        <f>K22/K26</f>
        <v>0.21724126329051957</v>
      </c>
      <c r="M22" s="437">
        <v>40578.481531999998</v>
      </c>
      <c r="N22" s="49">
        <f>M22/M26</f>
        <v>0.2189178228777178</v>
      </c>
      <c r="O22" s="437">
        <v>45553.035949999998</v>
      </c>
      <c r="P22" s="49">
        <f>O22/O26</f>
        <v>0.22817481188622146</v>
      </c>
    </row>
    <row r="23" spans="1:16">
      <c r="B23" s="233" t="s">
        <v>273</v>
      </c>
      <c r="C23" s="437">
        <v>31202.100114280001</v>
      </c>
      <c r="D23" s="49">
        <f>C23/C26</f>
        <v>0.18047202271749471</v>
      </c>
      <c r="E23" s="437">
        <v>31000.046720760001</v>
      </c>
      <c r="F23" s="49">
        <f>E23/E26</f>
        <v>0.17181226837030406</v>
      </c>
      <c r="G23" s="437">
        <v>32970.821189000002</v>
      </c>
      <c r="H23" s="49">
        <f>G23/G26</f>
        <v>0.17176212678213643</v>
      </c>
      <c r="I23" s="437">
        <v>35907.433981579998</v>
      </c>
      <c r="J23" s="49">
        <f>I23/I26</f>
        <v>0.17460148828440264</v>
      </c>
      <c r="K23" s="437">
        <v>33217.747632819999</v>
      </c>
      <c r="L23" s="49">
        <f>K23/K26</f>
        <v>0.18871636727283114</v>
      </c>
      <c r="M23" s="437">
        <v>35390.942376879997</v>
      </c>
      <c r="N23" s="49">
        <f>M23/M26</f>
        <v>0.19093144351957889</v>
      </c>
      <c r="O23" s="437">
        <v>40140.912905980003</v>
      </c>
      <c r="P23" s="49">
        <f>O23/O26</f>
        <v>0.20106552857018056</v>
      </c>
    </row>
    <row r="24" spans="1:16">
      <c r="B24" s="359" t="s">
        <v>274</v>
      </c>
      <c r="C24" s="244">
        <v>4006</v>
      </c>
      <c r="D24" s="49">
        <f t="shared" si="21"/>
        <v>2.3170585324652805E-2</v>
      </c>
      <c r="E24" s="244">
        <v>4236</v>
      </c>
      <c r="F24" s="49">
        <f t="shared" si="21"/>
        <v>2.3477279740008253E-2</v>
      </c>
      <c r="G24" s="244">
        <v>4871</v>
      </c>
      <c r="H24" s="49">
        <f t="shared" ref="H24:H25" si="27">G24/G$26</f>
        <v>2.5375568135224905E-2</v>
      </c>
      <c r="I24" s="419">
        <v>5093</v>
      </c>
      <c r="J24" s="49">
        <f t="shared" ref="J24:J25" si="28">I24/I$26</f>
        <v>2.4764938098574042E-2</v>
      </c>
      <c r="K24" s="244">
        <v>4534</v>
      </c>
      <c r="L24" s="49">
        <f t="shared" ref="L24:L25" si="29">K24/K$26</f>
        <v>2.5758519773015007E-2</v>
      </c>
      <c r="M24" s="244">
        <v>4960</v>
      </c>
      <c r="N24" s="49">
        <f t="shared" ref="N24:N25" si="30">M24/M$26</f>
        <v>2.6758822914977685E-2</v>
      </c>
      <c r="O24" s="244">
        <v>5409</v>
      </c>
      <c r="P24" s="49">
        <f t="shared" ref="P24:P25" si="31">O24/O$26</f>
        <v>2.7093640012210249E-2</v>
      </c>
    </row>
    <row r="25" spans="1:16">
      <c r="B25" s="359" t="s">
        <v>129</v>
      </c>
      <c r="C25" s="244">
        <v>1285</v>
      </c>
      <c r="D25" s="49">
        <f t="shared" si="21"/>
        <v>7.4324019326457444E-3</v>
      </c>
      <c r="E25" s="244">
        <v>1470</v>
      </c>
      <c r="F25" s="49">
        <f t="shared" si="21"/>
        <v>8.1472146406544217E-3</v>
      </c>
      <c r="G25" s="244">
        <v>1383</v>
      </c>
      <c r="H25" s="49">
        <f t="shared" si="27"/>
        <v>7.2047650854067018E-3</v>
      </c>
      <c r="I25" s="244">
        <v>1626</v>
      </c>
      <c r="J25" s="49">
        <f t="shared" si="28"/>
        <v>7.9064970249914379E-3</v>
      </c>
      <c r="K25" s="244">
        <v>2845</v>
      </c>
      <c r="L25" s="49">
        <f t="shared" si="29"/>
        <v>1.616298825633606E-2</v>
      </c>
      <c r="M25" s="244">
        <v>5999</v>
      </c>
      <c r="N25" s="49">
        <f t="shared" si="30"/>
        <v>3.2364148924788533E-2</v>
      </c>
      <c r="O25" s="244">
        <v>6795</v>
      </c>
      <c r="P25" s="49">
        <f t="shared" si="31"/>
        <v>3.4036103509515372E-2</v>
      </c>
    </row>
    <row r="26" spans="1:16" s="361" customFormat="1">
      <c r="B26" s="416" t="s">
        <v>275</v>
      </c>
      <c r="C26" s="417">
        <f t="shared" ref="C26:P26" si="32">SUM(C20:C21, C24:C25)</f>
        <v>172891.61857028</v>
      </c>
      <c r="D26" s="418">
        <f t="shared" si="32"/>
        <v>0.99999999999999989</v>
      </c>
      <c r="E26" s="417">
        <f t="shared" si="32"/>
        <v>180429.76217475999</v>
      </c>
      <c r="F26" s="418">
        <f t="shared" si="32"/>
        <v>0.99999999999999989</v>
      </c>
      <c r="G26" s="417">
        <f t="shared" si="32"/>
        <v>191956.29331500002</v>
      </c>
      <c r="H26" s="418">
        <f t="shared" si="32"/>
        <v>0.99999999999999989</v>
      </c>
      <c r="I26" s="417">
        <f t="shared" si="32"/>
        <v>205653.65355357999</v>
      </c>
      <c r="J26" s="418">
        <f t="shared" si="32"/>
        <v>1</v>
      </c>
      <c r="K26" s="417">
        <f t="shared" si="32"/>
        <v>176019.43123881999</v>
      </c>
      <c r="L26" s="418">
        <f t="shared" si="32"/>
        <v>1</v>
      </c>
      <c r="M26" s="417">
        <f t="shared" si="32"/>
        <v>185359.42390887998</v>
      </c>
      <c r="N26" s="418">
        <f t="shared" si="32"/>
        <v>1</v>
      </c>
      <c r="O26" s="417">
        <f t="shared" si="32"/>
        <v>199640.94885598001</v>
      </c>
      <c r="P26" s="418">
        <f t="shared" si="32"/>
        <v>1</v>
      </c>
    </row>
    <row r="27" spans="1:16">
      <c r="A27" s="359">
        <v>4</v>
      </c>
      <c r="B27" s="361" t="s">
        <v>278</v>
      </c>
    </row>
    <row r="28" spans="1:16">
      <c r="B28" s="359" t="s">
        <v>271</v>
      </c>
      <c r="C28" s="415">
        <v>129233</v>
      </c>
      <c r="D28" s="49">
        <f>C28/C$34</f>
        <v>0.61172737787134379</v>
      </c>
      <c r="E28" s="415">
        <v>130886</v>
      </c>
      <c r="F28" s="49">
        <f>E28/E$34</f>
        <v>0.6073979266014311</v>
      </c>
      <c r="G28" s="415">
        <v>133305</v>
      </c>
      <c r="H28" s="49">
        <f>G28/G$34</f>
        <v>0.60211115305118645</v>
      </c>
      <c r="I28" s="415">
        <v>136535</v>
      </c>
      <c r="J28" s="49">
        <f>I28/I$34</f>
        <v>0.59428442277804605</v>
      </c>
      <c r="K28" s="415">
        <v>123506</v>
      </c>
      <c r="L28" s="49">
        <f>K28/K$34</f>
        <v>0.57282225743673398</v>
      </c>
      <c r="M28" s="415">
        <v>119511</v>
      </c>
      <c r="N28" s="49">
        <f>M28/M$34</f>
        <v>0.53696279756043508</v>
      </c>
      <c r="O28" s="415">
        <v>115556</v>
      </c>
      <c r="P28" s="49">
        <f>O28/O$34</f>
        <v>0.49711996524291485</v>
      </c>
    </row>
    <row r="29" spans="1:16">
      <c r="B29" s="359" t="s">
        <v>217</v>
      </c>
      <c r="C29" s="415">
        <f>SUM(C30,C31)</f>
        <v>73490.140386520012</v>
      </c>
      <c r="D29" s="49">
        <f t="shared" ref="D29:F33" si="33">C29/C$34</f>
        <v>0.34786726979984084</v>
      </c>
      <c r="E29" s="415">
        <f>SUM(E30,E31)</f>
        <v>74148.412231180002</v>
      </c>
      <c r="F29" s="49">
        <f t="shared" si="33"/>
        <v>0.34409785500364387</v>
      </c>
      <c r="G29" s="415">
        <f>SUM(G30,G31)</f>
        <v>76192.998603379994</v>
      </c>
      <c r="H29" s="49">
        <f t="shared" ref="H29" si="34">G29/G$34</f>
        <v>0.34414803828444973</v>
      </c>
      <c r="I29" s="415">
        <f>SUM(I30,I31)</f>
        <v>79934.893519019999</v>
      </c>
      <c r="J29" s="49">
        <f t="shared" ref="J29" si="35">I29/I$34</f>
        <v>0.34792589486047804</v>
      </c>
      <c r="K29" s="415">
        <f>SUM(K30,K31)</f>
        <v>79678.638760660004</v>
      </c>
      <c r="L29" s="49">
        <f t="shared" ref="L29" si="36">K29/K$34</f>
        <v>0.36955044875850007</v>
      </c>
      <c r="M29" s="415">
        <f>SUM(M30,M31)</f>
        <v>78367.491789320004</v>
      </c>
      <c r="N29" s="49">
        <f t="shared" ref="N29" si="37">M29/M$34</f>
        <v>0.35210505835435812</v>
      </c>
      <c r="O29" s="415">
        <f>SUM(O30,O31)</f>
        <v>84733.933535799995</v>
      </c>
      <c r="P29" s="49">
        <f t="shared" ref="P29" si="38">O29/O$34</f>
        <v>0.36452395456932007</v>
      </c>
    </row>
    <row r="30" spans="1:16">
      <c r="B30" s="233" t="s">
        <v>272</v>
      </c>
      <c r="C30" s="437">
        <v>39985.073746000002</v>
      </c>
      <c r="D30" s="49">
        <f>C30/C34</f>
        <v>0.18927026623720639</v>
      </c>
      <c r="E30" s="437">
        <v>41586.664466000002</v>
      </c>
      <c r="F30" s="49">
        <f>E30/E34</f>
        <v>0.19298972977184584</v>
      </c>
      <c r="G30" s="437">
        <v>42926.812674000001</v>
      </c>
      <c r="H30" s="49">
        <f>G30/G34</f>
        <v>0.19389154702340067</v>
      </c>
      <c r="I30" s="437">
        <v>45754.812628</v>
      </c>
      <c r="J30" s="49">
        <f>I30/I34</f>
        <v>0.19915312858936265</v>
      </c>
      <c r="K30" s="437">
        <v>42836.550662000001</v>
      </c>
      <c r="L30" s="49">
        <f>K30/K34</f>
        <v>0.19867641775306349</v>
      </c>
      <c r="M30" s="437">
        <v>42421.118214000002</v>
      </c>
      <c r="N30" s="49">
        <f>M30/M34</f>
        <v>0.19059803961000552</v>
      </c>
      <c r="O30" s="437">
        <v>44503.82602</v>
      </c>
      <c r="P30" s="49">
        <f>O30/O34</f>
        <v>0.19145470978780096</v>
      </c>
    </row>
    <row r="31" spans="1:16">
      <c r="B31" s="233" t="s">
        <v>273</v>
      </c>
      <c r="C31" s="437">
        <v>33505.066640520003</v>
      </c>
      <c r="D31" s="49">
        <f>C31/C34</f>
        <v>0.15859700356263443</v>
      </c>
      <c r="E31" s="437">
        <v>32561.74776518</v>
      </c>
      <c r="F31" s="49">
        <f>E31/E34</f>
        <v>0.15110812523179801</v>
      </c>
      <c r="G31" s="437">
        <v>33266.185929380001</v>
      </c>
      <c r="H31" s="49">
        <f>G31/G34</f>
        <v>0.15025649126104909</v>
      </c>
      <c r="I31" s="437">
        <v>34180.080891019999</v>
      </c>
      <c r="J31" s="49">
        <f>I31/I34</f>
        <v>0.14877276627111541</v>
      </c>
      <c r="K31" s="437">
        <v>36842.088098660002</v>
      </c>
      <c r="L31" s="49">
        <f>K31/K34</f>
        <v>0.17087403100543658</v>
      </c>
      <c r="M31" s="437">
        <v>35946.373575320002</v>
      </c>
      <c r="N31" s="49">
        <f>M31/M34</f>
        <v>0.16150701874435264</v>
      </c>
      <c r="O31" s="437">
        <v>40230.107515800002</v>
      </c>
      <c r="P31" s="49">
        <f>O31/O34</f>
        <v>0.17306924478151914</v>
      </c>
    </row>
    <row r="32" spans="1:16">
      <c r="B32" s="359" t="s">
        <v>274</v>
      </c>
      <c r="C32" s="244">
        <v>6046</v>
      </c>
      <c r="D32" s="49">
        <f t="shared" si="33"/>
        <v>2.8618880058577489E-2</v>
      </c>
      <c r="E32" s="244">
        <v>6990</v>
      </c>
      <c r="F32" s="49">
        <f t="shared" si="33"/>
        <v>3.2438240200968811E-2</v>
      </c>
      <c r="G32" s="244">
        <v>8212</v>
      </c>
      <c r="H32" s="49">
        <f t="shared" ref="H32:H33" si="39">G32/G$34</f>
        <v>3.7091907946861284E-2</v>
      </c>
      <c r="I32" s="244">
        <v>9337</v>
      </c>
      <c r="J32" s="49">
        <f t="shared" ref="J32:J33" si="40">I32/I$34</f>
        <v>4.0640375401754976E-2</v>
      </c>
      <c r="K32" s="244">
        <v>6863</v>
      </c>
      <c r="L32" s="49">
        <f t="shared" ref="L32:L33" si="41">K32/K$34</f>
        <v>3.1830673431155615E-2</v>
      </c>
      <c r="M32" s="419">
        <v>7990</v>
      </c>
      <c r="N32" s="49">
        <f t="shared" ref="N32:N33" si="42">M32/M$34</f>
        <v>3.5899061613641224E-2</v>
      </c>
      <c r="O32" s="244">
        <v>8754</v>
      </c>
      <c r="P32" s="49">
        <f t="shared" ref="P32:P33" si="43">O32/O$34</f>
        <v>3.7659560522486729E-2</v>
      </c>
    </row>
    <row r="33" spans="1:16">
      <c r="B33" s="359" t="s">
        <v>129</v>
      </c>
      <c r="C33" s="244">
        <v>2490</v>
      </c>
      <c r="D33" s="49">
        <f t="shared" si="33"/>
        <v>1.1786472270237835E-2</v>
      </c>
      <c r="E33" s="244">
        <v>3462</v>
      </c>
      <c r="F33" s="49">
        <f t="shared" si="33"/>
        <v>1.6065978193956224E-2</v>
      </c>
      <c r="G33" s="244">
        <v>3686</v>
      </c>
      <c r="H33" s="49">
        <f t="shared" si="39"/>
        <v>1.664890071750252E-2</v>
      </c>
      <c r="I33" s="244">
        <v>3940</v>
      </c>
      <c r="J33" s="49">
        <f t="shared" si="40"/>
        <v>1.7149306959720959E-2</v>
      </c>
      <c r="K33" s="244">
        <v>5562</v>
      </c>
      <c r="L33" s="49">
        <f t="shared" si="41"/>
        <v>2.5796620373610302E-2</v>
      </c>
      <c r="M33" s="244">
        <v>16700</v>
      </c>
      <c r="N33" s="49">
        <f t="shared" si="42"/>
        <v>7.503308247156551E-2</v>
      </c>
      <c r="O33" s="244">
        <v>23407</v>
      </c>
      <c r="P33" s="49">
        <f t="shared" si="43"/>
        <v>0.10069651966527837</v>
      </c>
    </row>
    <row r="34" spans="1:16" s="361" customFormat="1">
      <c r="B34" s="416" t="s">
        <v>275</v>
      </c>
      <c r="C34" s="417">
        <f t="shared" ref="C34:P34" si="44">SUM(C28:C29, C32:C33)</f>
        <v>211259.14038652001</v>
      </c>
      <c r="D34" s="418">
        <f t="shared" si="44"/>
        <v>1</v>
      </c>
      <c r="E34" s="417">
        <f t="shared" si="44"/>
        <v>215486.41223118</v>
      </c>
      <c r="F34" s="418">
        <f t="shared" si="44"/>
        <v>1</v>
      </c>
      <c r="G34" s="417">
        <f t="shared" si="44"/>
        <v>221395.99860337999</v>
      </c>
      <c r="H34" s="418">
        <f t="shared" si="44"/>
        <v>0.99999999999999989</v>
      </c>
      <c r="I34" s="417">
        <f t="shared" si="44"/>
        <v>229746.89351902</v>
      </c>
      <c r="J34" s="418">
        <f t="shared" si="44"/>
        <v>1.0000000000000002</v>
      </c>
      <c r="K34" s="417">
        <f t="shared" si="44"/>
        <v>215609.63876066002</v>
      </c>
      <c r="L34" s="418">
        <f t="shared" si="44"/>
        <v>1</v>
      </c>
      <c r="M34" s="417">
        <f t="shared" si="44"/>
        <v>222568.49178932002</v>
      </c>
      <c r="N34" s="418">
        <f t="shared" si="44"/>
        <v>0.99999999999999989</v>
      </c>
      <c r="O34" s="417">
        <f t="shared" si="44"/>
        <v>232450.9335358</v>
      </c>
      <c r="P34" s="418">
        <f t="shared" si="44"/>
        <v>1</v>
      </c>
    </row>
    <row r="35" spans="1:16">
      <c r="A35" s="359">
        <v>5</v>
      </c>
      <c r="B35" s="361" t="s">
        <v>279</v>
      </c>
    </row>
    <row r="36" spans="1:16">
      <c r="B36" s="359" t="s">
        <v>271</v>
      </c>
      <c r="C36" s="415">
        <v>136334</v>
      </c>
      <c r="D36" s="49">
        <f>C36/C$42</f>
        <v>0.57036044196737368</v>
      </c>
      <c r="E36" s="415">
        <v>141193</v>
      </c>
      <c r="F36" s="49">
        <f t="shared" ref="F36:F41" si="45">E36/E$42</f>
        <v>0.57577657356297429</v>
      </c>
      <c r="G36" s="415">
        <v>149554</v>
      </c>
      <c r="H36" s="49">
        <f t="shared" ref="H36:H41" si="46">G36/G$42</f>
        <v>0.58578729789092798</v>
      </c>
      <c r="I36" s="415">
        <v>155124</v>
      </c>
      <c r="J36" s="49">
        <f t="shared" ref="J36:J41" si="47">I36/I$42</f>
        <v>0.58115863896835562</v>
      </c>
      <c r="K36" s="415">
        <v>130634</v>
      </c>
      <c r="L36" s="49">
        <f t="shared" ref="L36:L41" si="48">K36/K$42</f>
        <v>0.54821681001690425</v>
      </c>
      <c r="M36" s="415">
        <v>129056</v>
      </c>
      <c r="N36" s="49">
        <f t="shared" ref="N36:N41" si="49">M36/M$42</f>
        <v>0.53487895428055654</v>
      </c>
      <c r="O36" s="415">
        <v>127957</v>
      </c>
      <c r="P36" s="49">
        <f t="shared" ref="P36:P41" si="50">O36/O$42</f>
        <v>0.51389703173111878</v>
      </c>
    </row>
    <row r="37" spans="1:16">
      <c r="B37" s="359" t="s">
        <v>217</v>
      </c>
      <c r="C37" s="415">
        <f>SUM(C38,C39)</f>
        <v>95135.303660780002</v>
      </c>
      <c r="D37" s="49">
        <f>C37/C$42</f>
        <v>0.39800353428097751</v>
      </c>
      <c r="E37" s="415">
        <f>SUM(E38,E39)</f>
        <v>95678.855981879999</v>
      </c>
      <c r="F37" s="49">
        <f t="shared" si="45"/>
        <v>0.39017262796082064</v>
      </c>
      <c r="G37" s="415">
        <f>SUM(G38,G39)</f>
        <v>96705.272623280005</v>
      </c>
      <c r="H37" s="49">
        <f t="shared" si="46"/>
        <v>0.37878438785854424</v>
      </c>
      <c r="I37" s="415">
        <f>SUM(I38,I39)</f>
        <v>102486.95486480001</v>
      </c>
      <c r="J37" s="49">
        <f t="shared" si="47"/>
        <v>0.38395850546168525</v>
      </c>
      <c r="K37" s="415">
        <f>SUM(K38,K39)</f>
        <v>97060.935350179992</v>
      </c>
      <c r="L37" s="49">
        <f t="shared" si="48"/>
        <v>0.40732455834570364</v>
      </c>
      <c r="M37" s="415">
        <f>SUM(M38,M39)</f>
        <v>97162.758884199997</v>
      </c>
      <c r="N37" s="49">
        <f t="shared" si="49"/>
        <v>0.40269584418387944</v>
      </c>
      <c r="O37" s="415">
        <f>SUM(O38,O39)</f>
        <v>104618.45997185999</v>
      </c>
      <c r="P37" s="49">
        <f t="shared" si="50"/>
        <v>0.4201654934377933</v>
      </c>
    </row>
    <row r="38" spans="1:16">
      <c r="B38" s="233" t="s">
        <v>272</v>
      </c>
      <c r="C38" s="437">
        <v>55771.563598000001</v>
      </c>
      <c r="D38" s="49">
        <f>C38/C$42</f>
        <v>0.23332326245079563</v>
      </c>
      <c r="E38" s="437">
        <v>57752.093253999999</v>
      </c>
      <c r="F38" s="49">
        <f t="shared" si="45"/>
        <v>0.23550956754143251</v>
      </c>
      <c r="G38" s="437">
        <v>58612.550605999997</v>
      </c>
      <c r="H38" s="49">
        <f t="shared" si="46"/>
        <v>0.2295791997672012</v>
      </c>
      <c r="I38" s="437">
        <v>62948.283627999997</v>
      </c>
      <c r="J38" s="49">
        <f t="shared" si="47"/>
        <v>0.23583029601249647</v>
      </c>
      <c r="K38" s="437">
        <v>56593.478225999999</v>
      </c>
      <c r="L38" s="49">
        <f t="shared" si="48"/>
        <v>0.23749939602874326</v>
      </c>
      <c r="M38" s="437">
        <v>56432.507544</v>
      </c>
      <c r="N38" s="49">
        <f t="shared" si="49"/>
        <v>0.23388730955991457</v>
      </c>
      <c r="O38" s="437">
        <v>60554.992676000002</v>
      </c>
      <c r="P38" s="49">
        <f t="shared" si="50"/>
        <v>0.24319912933794979</v>
      </c>
    </row>
    <row r="39" spans="1:16">
      <c r="B39" s="233" t="s">
        <v>273</v>
      </c>
      <c r="C39" s="437">
        <v>39363.740062780002</v>
      </c>
      <c r="D39" s="49">
        <f>C39/C$42</f>
        <v>0.16468027183018188</v>
      </c>
      <c r="E39" s="437">
        <v>37926.762727879999</v>
      </c>
      <c r="F39" s="49">
        <f t="shared" si="45"/>
        <v>0.15466306041938813</v>
      </c>
      <c r="G39" s="437">
        <v>38092.722017280001</v>
      </c>
      <c r="H39" s="49">
        <f t="shared" si="46"/>
        <v>0.14920518809134298</v>
      </c>
      <c r="I39" s="437">
        <v>39538.671236800001</v>
      </c>
      <c r="J39" s="49">
        <f t="shared" si="47"/>
        <v>0.14812820944918875</v>
      </c>
      <c r="K39" s="437">
        <v>40467.45712418</v>
      </c>
      <c r="L39" s="49">
        <f t="shared" si="48"/>
        <v>0.1698251623169604</v>
      </c>
      <c r="M39" s="437">
        <v>40730.251340199997</v>
      </c>
      <c r="N39" s="49">
        <f t="shared" si="49"/>
        <v>0.16880853462396486</v>
      </c>
      <c r="O39" s="437">
        <v>44063.467295859999</v>
      </c>
      <c r="P39" s="49">
        <f t="shared" si="50"/>
        <v>0.17696636409984356</v>
      </c>
    </row>
    <row r="40" spans="1:16">
      <c r="B40" s="359" t="s">
        <v>274</v>
      </c>
      <c r="C40" s="244">
        <v>5196</v>
      </c>
      <c r="D40" s="49">
        <f t="shared" ref="D40:D41" si="51">C40/C$42</f>
        <v>2.1737738615917334E-2</v>
      </c>
      <c r="E40" s="244">
        <v>5667</v>
      </c>
      <c r="F40" s="49">
        <f t="shared" si="45"/>
        <v>2.3109685624509539E-2</v>
      </c>
      <c r="G40" s="244">
        <v>6209</v>
      </c>
      <c r="H40" s="49">
        <f t="shared" si="46"/>
        <v>2.4320000351744329E-2</v>
      </c>
      <c r="I40" s="244">
        <v>6294</v>
      </c>
      <c r="J40" s="49">
        <f t="shared" si="47"/>
        <v>2.3579926211719851E-2</v>
      </c>
      <c r="K40" s="244">
        <v>5731</v>
      </c>
      <c r="L40" s="49">
        <f t="shared" si="48"/>
        <v>2.4050634124400064E-2</v>
      </c>
      <c r="M40" s="244">
        <v>6137</v>
      </c>
      <c r="N40" s="49">
        <f t="shared" si="49"/>
        <v>2.5435099045528882E-2</v>
      </c>
      <c r="O40" s="244">
        <v>6763</v>
      </c>
      <c r="P40" s="49">
        <f t="shared" si="50"/>
        <v>2.7161355968001413E-2</v>
      </c>
    </row>
    <row r="41" spans="1:16">
      <c r="B41" s="359" t="s">
        <v>129</v>
      </c>
      <c r="C41" s="244">
        <v>2366</v>
      </c>
      <c r="D41" s="49">
        <f t="shared" si="51"/>
        <v>9.8982851357314102E-3</v>
      </c>
      <c r="E41" s="244">
        <v>2683</v>
      </c>
      <c r="F41" s="49">
        <f t="shared" si="45"/>
        <v>1.0941112851695621E-2</v>
      </c>
      <c r="G41" s="244">
        <v>2836</v>
      </c>
      <c r="H41" s="49">
        <f t="shared" si="46"/>
        <v>1.1108313898783527E-2</v>
      </c>
      <c r="I41" s="244">
        <v>3017</v>
      </c>
      <c r="J41" s="49">
        <f t="shared" si="47"/>
        <v>1.1302929358239401E-2</v>
      </c>
      <c r="K41" s="244">
        <v>4863</v>
      </c>
      <c r="L41" s="49">
        <f t="shared" si="48"/>
        <v>2.0407997512992063E-2</v>
      </c>
      <c r="M41" s="244">
        <v>8925</v>
      </c>
      <c r="N41" s="49">
        <f t="shared" si="49"/>
        <v>3.6990102490035079E-2</v>
      </c>
      <c r="O41" s="244">
        <v>9655</v>
      </c>
      <c r="P41" s="49">
        <f t="shared" si="50"/>
        <v>3.8776118863086448E-2</v>
      </c>
    </row>
    <row r="42" spans="1:16" s="361" customFormat="1">
      <c r="B42" s="416" t="s">
        <v>275</v>
      </c>
      <c r="C42" s="417">
        <f t="shared" ref="C42:P42" si="52">SUM(C36:C37, C40:C41)</f>
        <v>239031.30366078002</v>
      </c>
      <c r="D42" s="418">
        <f t="shared" si="52"/>
        <v>0.99999999999999989</v>
      </c>
      <c r="E42" s="417">
        <f t="shared" si="52"/>
        <v>245221.85598187998</v>
      </c>
      <c r="F42" s="418">
        <f t="shared" si="52"/>
        <v>1</v>
      </c>
      <c r="G42" s="417">
        <f t="shared" si="52"/>
        <v>255304.27262328001</v>
      </c>
      <c r="H42" s="418">
        <f t="shared" si="52"/>
        <v>1</v>
      </c>
      <c r="I42" s="417">
        <f t="shared" si="52"/>
        <v>266921.95486479998</v>
      </c>
      <c r="J42" s="418">
        <f t="shared" si="52"/>
        <v>1.0000000000000002</v>
      </c>
      <c r="K42" s="417">
        <f t="shared" si="52"/>
        <v>238288.93535017999</v>
      </c>
      <c r="L42" s="418">
        <f t="shared" si="52"/>
        <v>1.0000000000000002</v>
      </c>
      <c r="M42" s="417">
        <f t="shared" si="52"/>
        <v>241280.75888420001</v>
      </c>
      <c r="N42" s="418">
        <f t="shared" si="52"/>
        <v>1</v>
      </c>
      <c r="O42" s="417">
        <f t="shared" si="52"/>
        <v>248993.45997185999</v>
      </c>
      <c r="P42" s="418">
        <f t="shared" si="52"/>
        <v>0.99999999999999989</v>
      </c>
    </row>
    <row r="43" spans="1:16">
      <c r="A43" s="359">
        <v>6</v>
      </c>
      <c r="B43" s="361" t="s">
        <v>280</v>
      </c>
    </row>
    <row r="44" spans="1:16">
      <c r="B44" s="359" t="s">
        <v>271</v>
      </c>
      <c r="C44" s="415">
        <v>85596</v>
      </c>
      <c r="D44" s="49">
        <f t="shared" ref="D44:D49" si="53">C44/C$50</f>
        <v>0.55811654498231555</v>
      </c>
      <c r="E44" s="415">
        <v>87118</v>
      </c>
      <c r="F44" s="49">
        <f t="shared" ref="F44:F49" si="54">E44/E$50</f>
        <v>0.53672997134247824</v>
      </c>
      <c r="G44" s="415">
        <v>91960</v>
      </c>
      <c r="H44" s="49">
        <f t="shared" ref="H44:H49" si="55">G44/G$50</f>
        <v>0.53717348114810348</v>
      </c>
      <c r="I44" s="415">
        <v>95851</v>
      </c>
      <c r="J44" s="49">
        <f t="shared" ref="J44:J49" si="56">I44/I$50</f>
        <v>0.53334835763256083</v>
      </c>
      <c r="K44" s="415">
        <v>79932</v>
      </c>
      <c r="L44" s="49">
        <f t="shared" ref="L44:L49" si="57">K44/K$50</f>
        <v>0.4894904059990241</v>
      </c>
      <c r="M44" s="415">
        <v>70455</v>
      </c>
      <c r="N44" s="49">
        <f t="shared" ref="N44:N49" si="58">M44/M$50</f>
        <v>0.42932108063063856</v>
      </c>
      <c r="O44" s="415">
        <v>68469</v>
      </c>
      <c r="P44" s="49">
        <f t="shared" ref="P44:P49" si="59">O44/O$50</f>
        <v>0.40944713921236686</v>
      </c>
    </row>
    <row r="45" spans="1:16">
      <c r="B45" s="359" t="s">
        <v>217</v>
      </c>
      <c r="C45" s="415">
        <f>SUM(C46,C47)</f>
        <v>58334.817174819997</v>
      </c>
      <c r="D45" s="49">
        <f t="shared" si="53"/>
        <v>0.38036387931428545</v>
      </c>
      <c r="E45" s="415">
        <f>SUM(E46,E47)</f>
        <v>60633.530791040001</v>
      </c>
      <c r="F45" s="49">
        <f t="shared" si="54"/>
        <v>0.3735603806775657</v>
      </c>
      <c r="G45" s="415">
        <f>SUM(G46,G47)</f>
        <v>61837.367507520001</v>
      </c>
      <c r="H45" s="49">
        <f t="shared" si="55"/>
        <v>0.36121568039418378</v>
      </c>
      <c r="I45" s="415">
        <f>SUM(I46,I47)</f>
        <v>65057.562311779999</v>
      </c>
      <c r="J45" s="49">
        <f t="shared" si="56"/>
        <v>0.36200294217656409</v>
      </c>
      <c r="K45" s="415">
        <f>SUM(K46,K47)</f>
        <v>63484.356824119997</v>
      </c>
      <c r="L45" s="49">
        <f t="shared" si="57"/>
        <v>0.38876774754072729</v>
      </c>
      <c r="M45" s="415">
        <f>SUM(M46,M47)</f>
        <v>58189.944330400001</v>
      </c>
      <c r="N45" s="49">
        <f t="shared" si="58"/>
        <v>0.35458334797763147</v>
      </c>
      <c r="O45" s="415">
        <f>SUM(O46,O47)</f>
        <v>62434.051385119994</v>
      </c>
      <c r="P45" s="49">
        <f t="shared" si="59"/>
        <v>0.37335792444865984</v>
      </c>
    </row>
    <row r="46" spans="1:16">
      <c r="B46" s="233" t="s">
        <v>272</v>
      </c>
      <c r="C46" s="437">
        <v>34543.274321999997</v>
      </c>
      <c r="D46" s="49">
        <f t="shared" si="53"/>
        <v>0.22523450765188766</v>
      </c>
      <c r="E46" s="437">
        <v>36985.004957999998</v>
      </c>
      <c r="F46" s="49">
        <f t="shared" si="54"/>
        <v>0.22786290607232434</v>
      </c>
      <c r="G46" s="437">
        <v>38085.270371999999</v>
      </c>
      <c r="H46" s="49">
        <f t="shared" si="55"/>
        <v>0.22247060968023014</v>
      </c>
      <c r="I46" s="437">
        <v>40682.137212000001</v>
      </c>
      <c r="J46" s="49">
        <f t="shared" si="56"/>
        <v>0.22636958474092797</v>
      </c>
      <c r="K46" s="437">
        <v>38958.099157999997</v>
      </c>
      <c r="L46" s="49">
        <f t="shared" si="57"/>
        <v>0.23857298420907344</v>
      </c>
      <c r="M46" s="437">
        <v>34154.011884</v>
      </c>
      <c r="N46" s="49">
        <f t="shared" si="58"/>
        <v>0.20811918657172027</v>
      </c>
      <c r="O46" s="420">
        <v>36098.197917999998</v>
      </c>
      <c r="P46" s="49">
        <f t="shared" si="59"/>
        <v>0.21586855172774419</v>
      </c>
    </row>
    <row r="47" spans="1:16">
      <c r="B47" s="233" t="s">
        <v>273</v>
      </c>
      <c r="C47" s="437">
        <v>23791.542852819999</v>
      </c>
      <c r="D47" s="49">
        <f t="shared" si="53"/>
        <v>0.15512937166239776</v>
      </c>
      <c r="E47" s="437">
        <v>23648.525833039999</v>
      </c>
      <c r="F47" s="49">
        <f t="shared" si="54"/>
        <v>0.14569747460524132</v>
      </c>
      <c r="G47" s="437">
        <v>23752.097135520002</v>
      </c>
      <c r="H47" s="49">
        <f t="shared" si="55"/>
        <v>0.13874507071395362</v>
      </c>
      <c r="I47" s="437">
        <v>24375.425099780001</v>
      </c>
      <c r="J47" s="49">
        <f t="shared" si="56"/>
        <v>0.13563335743563618</v>
      </c>
      <c r="K47" s="437">
        <v>24526.25766612</v>
      </c>
      <c r="L47" s="49">
        <f t="shared" si="57"/>
        <v>0.15019476333165385</v>
      </c>
      <c r="M47" s="437">
        <v>24035.932446399998</v>
      </c>
      <c r="N47" s="49">
        <f t="shared" si="58"/>
        <v>0.1464641614059112</v>
      </c>
      <c r="O47" s="437">
        <v>26335.85346712</v>
      </c>
      <c r="P47" s="49">
        <f t="shared" si="59"/>
        <v>0.15748937272091568</v>
      </c>
    </row>
    <row r="48" spans="1:16">
      <c r="B48" s="359" t="s">
        <v>274</v>
      </c>
      <c r="C48" s="244">
        <v>3363</v>
      </c>
      <c r="D48" s="49">
        <f t="shared" si="53"/>
        <v>2.1927963231640812E-2</v>
      </c>
      <c r="E48" s="244">
        <v>3892</v>
      </c>
      <c r="F48" s="49">
        <f t="shared" si="54"/>
        <v>2.3978432108920374E-2</v>
      </c>
      <c r="G48" s="244">
        <v>4530</v>
      </c>
      <c r="H48" s="49">
        <f t="shared" si="55"/>
        <v>2.6461460087004226E-2</v>
      </c>
      <c r="I48" s="244">
        <v>4887</v>
      </c>
      <c r="J48" s="49">
        <f t="shared" si="56"/>
        <v>2.719297058716471E-2</v>
      </c>
      <c r="K48" s="244">
        <v>3695</v>
      </c>
      <c r="L48" s="49">
        <f t="shared" si="57"/>
        <v>2.2627571562908396E-2</v>
      </c>
      <c r="M48" s="244">
        <v>4259</v>
      </c>
      <c r="N48" s="49">
        <f t="shared" si="58"/>
        <v>2.5952430379758563E-2</v>
      </c>
      <c r="O48" s="244">
        <v>4455</v>
      </c>
      <c r="P48" s="49">
        <f t="shared" si="59"/>
        <v>2.6641063914926381E-2</v>
      </c>
    </row>
    <row r="49" spans="1:16">
      <c r="B49" s="359" t="s">
        <v>129</v>
      </c>
      <c r="C49" s="244">
        <v>6072</v>
      </c>
      <c r="D49" s="49">
        <f t="shared" si="53"/>
        <v>3.9591612471758256E-2</v>
      </c>
      <c r="E49" s="244">
        <v>10669</v>
      </c>
      <c r="F49" s="49">
        <f t="shared" si="54"/>
        <v>6.5731215871035836E-2</v>
      </c>
      <c r="G49" s="244">
        <v>12865</v>
      </c>
      <c r="H49" s="49">
        <f t="shared" si="55"/>
        <v>7.5149378370708467E-2</v>
      </c>
      <c r="I49" s="244">
        <v>13920</v>
      </c>
      <c r="J49" s="49">
        <f t="shared" si="56"/>
        <v>7.7455729603710402E-2</v>
      </c>
      <c r="K49" s="244">
        <v>16185</v>
      </c>
      <c r="L49" s="49">
        <f t="shared" si="57"/>
        <v>9.9114274897340301E-2</v>
      </c>
      <c r="M49" s="244">
        <v>31204</v>
      </c>
      <c r="N49" s="49">
        <f t="shared" si="58"/>
        <v>0.19014314101197141</v>
      </c>
      <c r="O49" s="244">
        <v>31865</v>
      </c>
      <c r="P49" s="49">
        <f t="shared" si="59"/>
        <v>0.19055387242404692</v>
      </c>
    </row>
    <row r="50" spans="1:16" s="361" customFormat="1">
      <c r="B50" s="416" t="s">
        <v>275</v>
      </c>
      <c r="C50" s="417">
        <f t="shared" ref="C50:P50" si="60">SUM(C44:C45, C48:C49)</f>
        <v>153365.81717482</v>
      </c>
      <c r="D50" s="418">
        <f t="shared" si="60"/>
        <v>1</v>
      </c>
      <c r="E50" s="417">
        <f t="shared" si="60"/>
        <v>162312.53079103999</v>
      </c>
      <c r="F50" s="418">
        <f t="shared" si="60"/>
        <v>1.0000000000000002</v>
      </c>
      <c r="G50" s="417">
        <f t="shared" si="60"/>
        <v>171192.36750752002</v>
      </c>
      <c r="H50" s="418">
        <f t="shared" si="60"/>
        <v>0.99999999999999989</v>
      </c>
      <c r="I50" s="417">
        <f t="shared" si="60"/>
        <v>179715.56231178</v>
      </c>
      <c r="J50" s="418">
        <f t="shared" si="60"/>
        <v>1</v>
      </c>
      <c r="K50" s="417">
        <f t="shared" si="60"/>
        <v>163296.35682411998</v>
      </c>
      <c r="L50" s="418">
        <f t="shared" si="60"/>
        <v>1</v>
      </c>
      <c r="M50" s="417">
        <f t="shared" si="60"/>
        <v>164107.9443304</v>
      </c>
      <c r="N50" s="418">
        <f t="shared" si="60"/>
        <v>1</v>
      </c>
      <c r="O50" s="417">
        <f t="shared" si="60"/>
        <v>167223.05138511999</v>
      </c>
      <c r="P50" s="418">
        <f t="shared" si="60"/>
        <v>1</v>
      </c>
    </row>
    <row r="51" spans="1:16">
      <c r="A51" s="359">
        <v>7</v>
      </c>
      <c r="B51" s="361" t="s">
        <v>281</v>
      </c>
    </row>
    <row r="52" spans="1:16">
      <c r="B52" s="359" t="s">
        <v>271</v>
      </c>
      <c r="C52" s="415">
        <v>215656</v>
      </c>
      <c r="D52" s="49">
        <f>C52/C$58</f>
        <v>0.54305520801016394</v>
      </c>
      <c r="E52" s="415">
        <v>221674</v>
      </c>
      <c r="F52" s="49">
        <f>E52/E$58</f>
        <v>0.54916002375503581</v>
      </c>
      <c r="G52" s="415">
        <v>234423</v>
      </c>
      <c r="H52" s="49">
        <f>G52/G$58</f>
        <v>0.55854069847308963</v>
      </c>
      <c r="I52" s="415">
        <v>244473</v>
      </c>
      <c r="J52" s="49">
        <f>I52/I$58</f>
        <v>0.56559825521905049</v>
      </c>
      <c r="K52" s="415">
        <v>202732</v>
      </c>
      <c r="L52" s="49">
        <f>K52/K$58</f>
        <v>0.51158038477817469</v>
      </c>
      <c r="M52" s="415">
        <v>193037</v>
      </c>
      <c r="N52" s="49">
        <f>M52/M$58</f>
        <v>0.49046803978465614</v>
      </c>
      <c r="O52" s="415">
        <v>191027</v>
      </c>
      <c r="P52" s="49">
        <f>O52/O$58</f>
        <v>0.47398448987860481</v>
      </c>
    </row>
    <row r="53" spans="1:16">
      <c r="B53" s="359" t="s">
        <v>217</v>
      </c>
      <c r="C53" s="415">
        <f>SUM(C54,C55)</f>
        <v>161340.1620753</v>
      </c>
      <c r="D53" s="49">
        <f t="shared" ref="D53:F57" si="61">C53/C$58</f>
        <v>0.40627951587804467</v>
      </c>
      <c r="E53" s="415">
        <f>SUM(E54,E55)</f>
        <v>161061.11801849998</v>
      </c>
      <c r="F53" s="49">
        <f t="shared" si="61"/>
        <v>0.39900181075386409</v>
      </c>
      <c r="G53" s="415">
        <f>SUM(G54,G55)</f>
        <v>161486.21056057999</v>
      </c>
      <c r="H53" s="49">
        <f t="shared" ref="H53" si="62">G53/G$58</f>
        <v>0.38476011671328653</v>
      </c>
      <c r="I53" s="415">
        <f>SUM(I54,I55)</f>
        <v>163317.89632328</v>
      </c>
      <c r="J53" s="49">
        <f t="shared" ref="J53" si="63">I53/I$58</f>
        <v>0.37784261332127861</v>
      </c>
      <c r="K53" s="415">
        <f>SUM(K54,K55)</f>
        <v>167263.71781130001</v>
      </c>
      <c r="L53" s="49">
        <f t="shared" ref="L53" si="64">K53/K$58</f>
        <v>0.42207859201967568</v>
      </c>
      <c r="M53" s="415">
        <f>SUM(M54,M55)</f>
        <v>158650.12295535998</v>
      </c>
      <c r="N53" s="49">
        <f t="shared" ref="N53" si="65">M53/M$58</f>
        <v>0.40309792846713371</v>
      </c>
      <c r="O53" s="415">
        <f>SUM(O54,O55)</f>
        <v>165081.73617525998</v>
      </c>
      <c r="P53" s="49">
        <f t="shared" ref="P53" si="66">O53/O$58</f>
        <v>0.40960797431412849</v>
      </c>
    </row>
    <row r="54" spans="1:16">
      <c r="B54" s="233" t="s">
        <v>272</v>
      </c>
      <c r="C54" s="437">
        <v>92437.235967999994</v>
      </c>
      <c r="D54" s="49">
        <f>C54/C$58</f>
        <v>0.2327712765074324</v>
      </c>
      <c r="E54" s="437">
        <v>94445.596321999998</v>
      </c>
      <c r="F54" s="49">
        <f>E54/E$58</f>
        <v>0.23397306819811092</v>
      </c>
      <c r="G54" s="437">
        <v>97731.772903999998</v>
      </c>
      <c r="H54" s="49">
        <f>G54/G$58</f>
        <v>0.23285758095755765</v>
      </c>
      <c r="I54" s="437">
        <v>100119.03157799999</v>
      </c>
      <c r="J54" s="49">
        <f>I54/I$58</f>
        <v>0.23162946245490429</v>
      </c>
      <c r="K54" s="437">
        <v>97176.591029999996</v>
      </c>
      <c r="L54" s="49">
        <f>K54/K$58</f>
        <v>0.24521850438292284</v>
      </c>
      <c r="M54" s="437">
        <v>90979.334841999997</v>
      </c>
      <c r="N54" s="49">
        <f>M54/M$58</f>
        <v>0.23116011967067249</v>
      </c>
      <c r="O54" s="437">
        <v>95551.775521999996</v>
      </c>
      <c r="P54" s="49">
        <f>O54/O$58</f>
        <v>0.23708721582703032</v>
      </c>
    </row>
    <row r="55" spans="1:16">
      <c r="B55" s="233" t="s">
        <v>273</v>
      </c>
      <c r="C55" s="437">
        <v>68902.926107299994</v>
      </c>
      <c r="D55" s="49">
        <f>C55/C$58</f>
        <v>0.17350823937061222</v>
      </c>
      <c r="E55" s="437">
        <v>66615.5216965</v>
      </c>
      <c r="F55" s="49">
        <f>E55/E$58</f>
        <v>0.16502874255575323</v>
      </c>
      <c r="G55" s="437">
        <v>63754.437656579998</v>
      </c>
      <c r="H55" s="49">
        <f>G55/G$58</f>
        <v>0.15190253575572893</v>
      </c>
      <c r="I55" s="437">
        <v>63198.86474528</v>
      </c>
      <c r="J55" s="49">
        <f>I55/I$58</f>
        <v>0.14621315086637432</v>
      </c>
      <c r="K55" s="437">
        <v>70087.126781300001</v>
      </c>
      <c r="L55" s="49">
        <f>K55/K$58</f>
        <v>0.17686008763675279</v>
      </c>
      <c r="M55" s="437">
        <v>67670.788113360002</v>
      </c>
      <c r="N55" s="49">
        <f>M55/M$58</f>
        <v>0.17193780879646126</v>
      </c>
      <c r="O55" s="437">
        <v>69529.960653260001</v>
      </c>
      <c r="P55" s="49">
        <f>O55/O$58</f>
        <v>0.17252075848709819</v>
      </c>
    </row>
    <row r="56" spans="1:16">
      <c r="B56" s="359" t="s">
        <v>274</v>
      </c>
      <c r="C56" s="244">
        <v>6215</v>
      </c>
      <c r="D56" s="49">
        <f t="shared" si="61"/>
        <v>1.5650332556400789E-2</v>
      </c>
      <c r="E56" s="244">
        <v>6375</v>
      </c>
      <c r="F56" s="49">
        <f t="shared" si="61"/>
        <v>1.5792989486535874E-2</v>
      </c>
      <c r="G56" s="244">
        <v>6598</v>
      </c>
      <c r="H56" s="49">
        <f t="shared" ref="H56:H57" si="67">G56/G$58</f>
        <v>1.5720520292485999E-2</v>
      </c>
      <c r="I56" s="244">
        <v>6913</v>
      </c>
      <c r="J56" s="49">
        <f t="shared" ref="J56:J57" si="68">I56/I$58</f>
        <v>1.599350741525361E-2</v>
      </c>
      <c r="K56" s="244">
        <v>6387</v>
      </c>
      <c r="L56" s="49">
        <f t="shared" ref="L56:L57" si="69">K56/K$58</f>
        <v>1.6117159193310387E-2</v>
      </c>
      <c r="M56" s="244">
        <v>6539</v>
      </c>
      <c r="N56" s="49">
        <f t="shared" ref="N56:N57" si="70">M56/M$58</f>
        <v>1.6614278672751163E-2</v>
      </c>
      <c r="O56" s="244">
        <v>7176</v>
      </c>
      <c r="P56" s="49">
        <f t="shared" ref="P56:P57" si="71">O56/O$58</f>
        <v>1.7805402897856679E-2</v>
      </c>
    </row>
    <row r="57" spans="1:16">
      <c r="B57" s="359" t="s">
        <v>129</v>
      </c>
      <c r="C57" s="244">
        <v>13905</v>
      </c>
      <c r="D57" s="49">
        <f t="shared" si="61"/>
        <v>3.5014943555390664E-2</v>
      </c>
      <c r="E57" s="244">
        <v>14550</v>
      </c>
      <c r="F57" s="49">
        <f t="shared" si="61"/>
        <v>3.6045176004564229E-2</v>
      </c>
      <c r="G57" s="244">
        <v>17199</v>
      </c>
      <c r="H57" s="49">
        <f t="shared" si="67"/>
        <v>4.0978664521137728E-2</v>
      </c>
      <c r="I57" s="244">
        <v>17534</v>
      </c>
      <c r="J57" s="49">
        <f t="shared" si="68"/>
        <v>4.0565624044417305E-2</v>
      </c>
      <c r="K57" s="244">
        <v>19903</v>
      </c>
      <c r="L57" s="49">
        <f t="shared" si="69"/>
        <v>5.0223864008839304E-2</v>
      </c>
      <c r="M57" s="244">
        <v>35351</v>
      </c>
      <c r="N57" s="49">
        <f t="shared" si="70"/>
        <v>8.9819753075459002E-2</v>
      </c>
      <c r="O57" s="244">
        <v>39739</v>
      </c>
      <c r="P57" s="49">
        <f t="shared" si="71"/>
        <v>9.8602132909410056E-2</v>
      </c>
    </row>
    <row r="58" spans="1:16" s="361" customFormat="1">
      <c r="B58" s="416" t="s">
        <v>275</v>
      </c>
      <c r="C58" s="417">
        <f t="shared" ref="C58:P58" si="72">SUM(C52:C53, C56:C57)</f>
        <v>397116.1620753</v>
      </c>
      <c r="D58" s="418">
        <f t="shared" si="72"/>
        <v>1</v>
      </c>
      <c r="E58" s="417">
        <f t="shared" si="72"/>
        <v>403660.11801849998</v>
      </c>
      <c r="F58" s="418">
        <f t="shared" si="72"/>
        <v>1</v>
      </c>
      <c r="G58" s="417">
        <f t="shared" si="72"/>
        <v>419706.21056058002</v>
      </c>
      <c r="H58" s="418">
        <f t="shared" si="72"/>
        <v>1</v>
      </c>
      <c r="I58" s="417">
        <f t="shared" si="72"/>
        <v>432237.89632328</v>
      </c>
      <c r="J58" s="418">
        <f t="shared" si="72"/>
        <v>1</v>
      </c>
      <c r="K58" s="417">
        <f t="shared" si="72"/>
        <v>396285.71781130001</v>
      </c>
      <c r="L58" s="418">
        <f t="shared" si="72"/>
        <v>1</v>
      </c>
      <c r="M58" s="417">
        <f t="shared" si="72"/>
        <v>393577.12295535998</v>
      </c>
      <c r="N58" s="418">
        <f t="shared" si="72"/>
        <v>0.99999999999999989</v>
      </c>
      <c r="O58" s="417">
        <f t="shared" si="72"/>
        <v>403023.73617525998</v>
      </c>
      <c r="P58" s="418">
        <f t="shared" si="72"/>
        <v>1</v>
      </c>
    </row>
    <row r="59" spans="1:16">
      <c r="A59" s="359">
        <v>8</v>
      </c>
      <c r="B59" s="361" t="s">
        <v>282</v>
      </c>
    </row>
    <row r="60" spans="1:16">
      <c r="B60" s="359" t="s">
        <v>271</v>
      </c>
      <c r="C60" s="415">
        <v>81188</v>
      </c>
      <c r="D60" s="49">
        <f>C60/C$66</f>
        <v>0.54812866156249918</v>
      </c>
      <c r="E60" s="415">
        <v>84817</v>
      </c>
      <c r="F60" s="49">
        <f>E60/E$66</f>
        <v>0.54343412379785316</v>
      </c>
      <c r="G60" s="415">
        <v>90438</v>
      </c>
      <c r="H60" s="49">
        <f>G60/G$66</f>
        <v>0.55627922035461341</v>
      </c>
      <c r="I60" s="415">
        <v>94846</v>
      </c>
      <c r="J60" s="49">
        <f>I60/I$66</f>
        <v>0.55710321894494241</v>
      </c>
      <c r="K60" s="415">
        <v>75112</v>
      </c>
      <c r="L60" s="49">
        <f>K60/K$66</f>
        <v>0.51864916864389288</v>
      </c>
      <c r="M60" s="415">
        <v>69064</v>
      </c>
      <c r="N60" s="49">
        <f>M60/M$66</f>
        <v>0.51933689404613859</v>
      </c>
      <c r="O60" s="415">
        <v>69334</v>
      </c>
      <c r="P60" s="49">
        <f>O60/O$66</f>
        <v>0.51155077357863887</v>
      </c>
    </row>
    <row r="61" spans="1:16">
      <c r="B61" s="359" t="s">
        <v>217</v>
      </c>
      <c r="C61" s="415">
        <f>SUM(C62,C63)</f>
        <v>62788.508834339998</v>
      </c>
      <c r="D61" s="49">
        <f t="shared" ref="D61:F65" si="73">C61/C$66</f>
        <v>0.42390724379060873</v>
      </c>
      <c r="E61" s="415">
        <f>SUM(E62,E63)</f>
        <v>64084.955273560001</v>
      </c>
      <c r="F61" s="49">
        <f t="shared" si="73"/>
        <v>0.410601076643971</v>
      </c>
      <c r="G61" s="415">
        <f>SUM(G62,G63)</f>
        <v>65177.628230600007</v>
      </c>
      <c r="H61" s="49">
        <f t="shared" ref="H61" si="74">G61/G$66</f>
        <v>0.40090404715585276</v>
      </c>
      <c r="I61" s="415">
        <f>SUM(I62,I63)</f>
        <v>67571.522669860002</v>
      </c>
      <c r="J61" s="49">
        <f t="shared" ref="J61" si="75">I61/I$66</f>
        <v>0.39689931877348711</v>
      </c>
      <c r="K61" s="415">
        <f>SUM(K62,K63)</f>
        <v>62316.36652648</v>
      </c>
      <c r="L61" s="49">
        <f t="shared" ref="L61" si="76">K61/K$66</f>
        <v>0.43029518175347437</v>
      </c>
      <c r="M61" s="415">
        <f>SUM(M62,M63)</f>
        <v>55134.967545680003</v>
      </c>
      <c r="N61" s="49">
        <f t="shared" ref="N61" si="77">M61/M$66</f>
        <v>0.41459548822118769</v>
      </c>
      <c r="O61" s="415">
        <f>SUM(O62,O63)</f>
        <v>58134.888186019998</v>
      </c>
      <c r="P61" s="49">
        <f t="shared" ref="P61" si="78">O61/O$66</f>
        <v>0.42892299627118297</v>
      </c>
    </row>
    <row r="62" spans="1:16">
      <c r="B62" s="233" t="s">
        <v>272</v>
      </c>
      <c r="C62" s="437">
        <v>34252.243384000001</v>
      </c>
      <c r="D62" s="49">
        <f>C62/C$66</f>
        <v>0.231248907739874</v>
      </c>
      <c r="E62" s="437">
        <v>35646.740255999997</v>
      </c>
      <c r="F62" s="49">
        <f>E62/E$66</f>
        <v>0.22839354206431514</v>
      </c>
      <c r="G62" s="437">
        <v>37308.708678000003</v>
      </c>
      <c r="H62" s="49">
        <f>G62/G$66</f>
        <v>0.22948383838469713</v>
      </c>
      <c r="I62" s="437">
        <v>39183.928875999998</v>
      </c>
      <c r="J62" s="49">
        <f>I62/I$66</f>
        <v>0.23015723285883724</v>
      </c>
      <c r="K62" s="437">
        <v>32946.685502</v>
      </c>
      <c r="L62" s="49">
        <f>K62/K$66</f>
        <v>0.22749721809010676</v>
      </c>
      <c r="M62" s="437">
        <v>29711.055708</v>
      </c>
      <c r="N62" s="49">
        <f>M62/M$66</f>
        <v>0.22341664818464785</v>
      </c>
      <c r="O62" s="437">
        <v>30639.398959999999</v>
      </c>
      <c r="P62" s="49">
        <f>O62/O$66</f>
        <v>0.22605948365841494</v>
      </c>
    </row>
    <row r="63" spans="1:16">
      <c r="B63" s="233" t="s">
        <v>273</v>
      </c>
      <c r="C63" s="437">
        <v>28536.265450340001</v>
      </c>
      <c r="D63" s="49">
        <f>C63/C$66</f>
        <v>0.19265833605073476</v>
      </c>
      <c r="E63" s="437">
        <v>28438.21501756</v>
      </c>
      <c r="F63" s="49">
        <f>E63/E$66</f>
        <v>0.1822075345796558</v>
      </c>
      <c r="G63" s="437">
        <v>27868.9195526</v>
      </c>
      <c r="H63" s="49">
        <f>G63/G$66</f>
        <v>0.17142020877115557</v>
      </c>
      <c r="I63" s="437">
        <v>28387.59379386</v>
      </c>
      <c r="J63" s="49">
        <f>I63/I$66</f>
        <v>0.16674208591464981</v>
      </c>
      <c r="K63" s="437">
        <v>29369.68102448</v>
      </c>
      <c r="L63" s="49">
        <f>K63/K$66</f>
        <v>0.20279796366336761</v>
      </c>
      <c r="M63" s="437">
        <v>25423.91183768</v>
      </c>
      <c r="N63" s="49">
        <f>M63/M$66</f>
        <v>0.19117884003653984</v>
      </c>
      <c r="O63" s="437">
        <v>27495.489226019999</v>
      </c>
      <c r="P63" s="49">
        <f>O63/O$66</f>
        <v>0.20286351261276805</v>
      </c>
    </row>
    <row r="64" spans="1:16">
      <c r="B64" s="359" t="s">
        <v>274</v>
      </c>
      <c r="C64" s="244">
        <v>4106</v>
      </c>
      <c r="D64" s="49">
        <f t="shared" si="73"/>
        <v>2.7721046021279276E-2</v>
      </c>
      <c r="E64" s="244">
        <v>4443</v>
      </c>
      <c r="F64" s="49">
        <f t="shared" si="73"/>
        <v>2.8466908898379585E-2</v>
      </c>
      <c r="G64" s="244">
        <v>4155</v>
      </c>
      <c r="H64" s="49">
        <f t="shared" ref="H64:H65" si="79">G64/G$66</f>
        <v>2.5557179068239219E-2</v>
      </c>
      <c r="I64" s="244">
        <v>4920</v>
      </c>
      <c r="J64" s="49">
        <f t="shared" ref="J64:J65" si="80">I64/I$66</f>
        <v>2.8898929182138589E-2</v>
      </c>
      <c r="K64" s="244">
        <v>4473</v>
      </c>
      <c r="L64" s="49">
        <f t="shared" ref="L64:L65" si="81">K64/K$66</f>
        <v>3.0886113155609397E-2</v>
      </c>
      <c r="M64" s="244">
        <v>3546</v>
      </c>
      <c r="N64" s="49">
        <f t="shared" ref="N64:N65" si="82">M64/M$66</f>
        <v>2.6664667935358616E-2</v>
      </c>
      <c r="O64" s="244">
        <v>4596</v>
      </c>
      <c r="P64" s="49">
        <f t="shared" ref="P64:P65" si="83">O64/O$66</f>
        <v>3.3909587725609716E-2</v>
      </c>
    </row>
    <row r="65" spans="1:16">
      <c r="B65" s="359" t="s">
        <v>129</v>
      </c>
      <c r="C65" s="359">
        <v>36</v>
      </c>
      <c r="D65" s="49">
        <f t="shared" si="73"/>
        <v>2.4304862561277493E-4</v>
      </c>
      <c r="E65" s="244">
        <v>2731</v>
      </c>
      <c r="F65" s="49">
        <f t="shared" si="73"/>
        <v>1.749789065979623E-2</v>
      </c>
      <c r="G65" s="244">
        <v>2806</v>
      </c>
      <c r="H65" s="49">
        <f t="shared" si="79"/>
        <v>1.7259553421294645E-2</v>
      </c>
      <c r="I65" s="244">
        <v>2911</v>
      </c>
      <c r="J65" s="49">
        <f t="shared" si="80"/>
        <v>1.7098533099432E-2</v>
      </c>
      <c r="K65" s="244">
        <v>2921</v>
      </c>
      <c r="L65" s="49">
        <f t="shared" si="81"/>
        <v>2.016953644702326E-2</v>
      </c>
      <c r="M65" s="244">
        <v>5240</v>
      </c>
      <c r="N65" s="49">
        <f t="shared" si="82"/>
        <v>3.9402949797315047E-2</v>
      </c>
      <c r="O65" s="244">
        <v>3472</v>
      </c>
      <c r="P65" s="49">
        <f t="shared" si="83"/>
        <v>2.5616642424568525E-2</v>
      </c>
    </row>
    <row r="66" spans="1:16" s="361" customFormat="1">
      <c r="B66" s="416" t="s">
        <v>275</v>
      </c>
      <c r="C66" s="417">
        <f t="shared" ref="C66:P66" si="84">SUM(C60:C61, C64:C65)</f>
        <v>148118.50883434</v>
      </c>
      <c r="D66" s="418">
        <f t="shared" si="84"/>
        <v>0.99999999999999989</v>
      </c>
      <c r="E66" s="417">
        <f t="shared" si="84"/>
        <v>156075.95527356002</v>
      </c>
      <c r="F66" s="418">
        <f t="shared" si="84"/>
        <v>1</v>
      </c>
      <c r="G66" s="417">
        <f t="shared" si="84"/>
        <v>162576.62823060001</v>
      </c>
      <c r="H66" s="418">
        <f t="shared" si="84"/>
        <v>0.99999999999999989</v>
      </c>
      <c r="I66" s="417">
        <f t="shared" si="84"/>
        <v>170248.52266985999</v>
      </c>
      <c r="J66" s="418">
        <f t="shared" si="84"/>
        <v>1.0000000000000002</v>
      </c>
      <c r="K66" s="417">
        <f t="shared" si="84"/>
        <v>144822.36652648001</v>
      </c>
      <c r="L66" s="418">
        <f t="shared" si="84"/>
        <v>0.99999999999999989</v>
      </c>
      <c r="M66" s="417">
        <f t="shared" si="84"/>
        <v>132984.96754568</v>
      </c>
      <c r="N66" s="418">
        <f t="shared" si="84"/>
        <v>0.99999999999999989</v>
      </c>
      <c r="O66" s="417">
        <f t="shared" si="84"/>
        <v>135536.88818601999</v>
      </c>
      <c r="P66" s="418">
        <f t="shared" si="84"/>
        <v>1</v>
      </c>
    </row>
    <row r="67" spans="1:16">
      <c r="A67" s="359">
        <v>9</v>
      </c>
      <c r="B67" s="361" t="s">
        <v>283</v>
      </c>
    </row>
    <row r="68" spans="1:16">
      <c r="B68" s="359" t="s">
        <v>271</v>
      </c>
      <c r="C68" s="415">
        <v>99000</v>
      </c>
      <c r="D68" s="49">
        <f>C68/C$74</f>
        <v>0.52246075912473322</v>
      </c>
      <c r="E68" s="415">
        <v>104634</v>
      </c>
      <c r="F68" s="49">
        <f>E68/E$74</f>
        <v>0.5291253545993605</v>
      </c>
      <c r="G68" s="415">
        <v>110154</v>
      </c>
      <c r="H68" s="49">
        <f>G68/G$74</f>
        <v>0.53291671870131951</v>
      </c>
      <c r="I68" s="415">
        <v>114607</v>
      </c>
      <c r="J68" s="49">
        <f>I68/I$74</f>
        <v>0.54877314152379764</v>
      </c>
      <c r="K68" s="415">
        <v>92690</v>
      </c>
      <c r="L68" s="49">
        <f>K68/K$74</f>
        <v>0.47585180316260678</v>
      </c>
      <c r="M68" s="415">
        <v>91344</v>
      </c>
      <c r="N68" s="49">
        <f>M68/M$74</f>
        <v>0.43900087211307198</v>
      </c>
      <c r="O68" s="415">
        <v>88570</v>
      </c>
      <c r="P68" s="49">
        <f>O68/O$74</f>
        <v>0.40069204741739955</v>
      </c>
    </row>
    <row r="69" spans="1:16">
      <c r="B69" s="359" t="s">
        <v>217</v>
      </c>
      <c r="C69" s="415">
        <f>SUM(C70,C71)</f>
        <v>68321.91516104</v>
      </c>
      <c r="D69" s="49">
        <f t="shared" ref="D69:F73" si="85">C69/C$74</f>
        <v>0.36056080464537954</v>
      </c>
      <c r="E69" s="415">
        <f>SUM(E70,E71)</f>
        <v>67749.981579660001</v>
      </c>
      <c r="F69" s="49">
        <f t="shared" si="85"/>
        <v>0.34260596964120399</v>
      </c>
      <c r="G69" s="415">
        <f>SUM(G70,G71)</f>
        <v>67432.214375780008</v>
      </c>
      <c r="H69" s="49">
        <f t="shared" ref="H69" si="86">G69/G$74</f>
        <v>0.32623195181205067</v>
      </c>
      <c r="I69" s="415">
        <f>SUM(I70,I71)</f>
        <v>65295.217900400006</v>
      </c>
      <c r="J69" s="49">
        <f t="shared" ref="J69" si="87">I69/I$74</f>
        <v>0.31265334450499027</v>
      </c>
      <c r="K69" s="415">
        <f>SUM(K70,K71)</f>
        <v>72310.535497320001</v>
      </c>
      <c r="L69" s="49">
        <f t="shared" ref="L69" si="88">K69/K$74</f>
        <v>0.37122773442715945</v>
      </c>
      <c r="M69" s="415">
        <f>SUM(M70,M71)</f>
        <v>72165.479583759996</v>
      </c>
      <c r="N69" s="49">
        <f t="shared" ref="N69" si="89">M69/M$74</f>
        <v>0.34682856535436074</v>
      </c>
      <c r="O69" s="415">
        <f>SUM(O70,O71)</f>
        <v>73252.570150479994</v>
      </c>
      <c r="P69" s="49">
        <f t="shared" ref="P69" si="90">O69/O$74</f>
        <v>0.33139575829493639</v>
      </c>
    </row>
    <row r="70" spans="1:16">
      <c r="B70" s="233" t="s">
        <v>272</v>
      </c>
      <c r="C70" s="437">
        <v>36997.261048</v>
      </c>
      <c r="D70" s="49">
        <f>C70/C$74</f>
        <v>0.1952486575017576</v>
      </c>
      <c r="E70" s="437">
        <v>37649.946506</v>
      </c>
      <c r="F70" s="49">
        <f>E70/E$74</f>
        <v>0.19039261899224155</v>
      </c>
      <c r="G70" s="437">
        <v>38476.535386000003</v>
      </c>
      <c r="H70" s="49">
        <f>G70/G$74</f>
        <v>0.18614656739566723</v>
      </c>
      <c r="I70" s="437">
        <v>38091.585700000003</v>
      </c>
      <c r="J70" s="49">
        <f>I70/I$74</f>
        <v>0.18239408718675099</v>
      </c>
      <c r="K70" s="437">
        <v>40330.947657999997</v>
      </c>
      <c r="L70" s="49">
        <f>K70/K$74</f>
        <v>0.20705096737853071</v>
      </c>
      <c r="M70" s="437">
        <v>38049.501272000001</v>
      </c>
      <c r="N70" s="49">
        <f>M70/M$74</f>
        <v>0.18286657297551501</v>
      </c>
      <c r="O70" s="437">
        <v>39537.496687999999</v>
      </c>
      <c r="P70" s="49">
        <f>O70/O$74</f>
        <v>0.17886824542930307</v>
      </c>
    </row>
    <row r="71" spans="1:16">
      <c r="B71" s="233" t="s">
        <v>273</v>
      </c>
      <c r="C71" s="437">
        <v>31324.65411304</v>
      </c>
      <c r="D71" s="49">
        <f>C71/C$74</f>
        <v>0.16531214714362197</v>
      </c>
      <c r="E71" s="437">
        <v>30100.035073660001</v>
      </c>
      <c r="F71" s="49">
        <f>E71/E$74</f>
        <v>0.15221335064896244</v>
      </c>
      <c r="G71" s="437">
        <v>28955.678989780001</v>
      </c>
      <c r="H71" s="49">
        <f>G71/G$74</f>
        <v>0.14008538441638338</v>
      </c>
      <c r="I71" s="437">
        <v>27203.632200399999</v>
      </c>
      <c r="J71" s="49">
        <f>I71/I$74</f>
        <v>0.13025925731823929</v>
      </c>
      <c r="K71" s="437">
        <v>31979.58783932</v>
      </c>
      <c r="L71" s="49">
        <f>K71/K$74</f>
        <v>0.16417676704862871</v>
      </c>
      <c r="M71" s="437">
        <v>34115.978311760002</v>
      </c>
      <c r="N71" s="49">
        <f>M71/M$74</f>
        <v>0.16396199237884579</v>
      </c>
      <c r="O71" s="437">
        <v>33715.073462480002</v>
      </c>
      <c r="P71" s="49">
        <f>O71/O$74</f>
        <v>0.15252751286563337</v>
      </c>
    </row>
    <row r="72" spans="1:16">
      <c r="B72" s="359" t="s">
        <v>274</v>
      </c>
      <c r="C72" s="244">
        <v>4272</v>
      </c>
      <c r="D72" s="49">
        <f t="shared" si="85"/>
        <v>2.2544973363443032E-2</v>
      </c>
      <c r="E72" s="244">
        <v>4684</v>
      </c>
      <c r="F72" s="49">
        <f t="shared" si="85"/>
        <v>2.3686594806118514E-2</v>
      </c>
      <c r="G72" s="244">
        <v>5857</v>
      </c>
      <c r="H72" s="49">
        <f t="shared" ref="H72:H73" si="91">G72/G$74</f>
        <v>2.8335722910049824E-2</v>
      </c>
      <c r="I72" s="244">
        <v>6186</v>
      </c>
      <c r="J72" s="49">
        <f t="shared" ref="J72:J73" si="92">I72/I$74</f>
        <v>2.9620447734136766E-2</v>
      </c>
      <c r="K72" s="244">
        <v>4793</v>
      </c>
      <c r="L72" s="49">
        <f t="shared" ref="L72:L73" si="93">K72/K$74</f>
        <v>2.460629725491827E-2</v>
      </c>
      <c r="M72" s="244">
        <v>6220</v>
      </c>
      <c r="N72" s="49">
        <f t="shared" ref="N72:N73" si="94">M72/M$74</f>
        <v>2.9893429503232916E-2</v>
      </c>
      <c r="O72" s="244">
        <v>6714</v>
      </c>
      <c r="P72" s="49">
        <f t="shared" ref="P72:P73" si="95">O72/O$74</f>
        <v>3.0374239656321786E-2</v>
      </c>
    </row>
    <row r="73" spans="1:16">
      <c r="B73" s="359" t="s">
        <v>129</v>
      </c>
      <c r="C73" s="244">
        <v>17894</v>
      </c>
      <c r="D73" s="49">
        <f t="shared" si="85"/>
        <v>9.4433462866444204E-2</v>
      </c>
      <c r="E73" s="244">
        <v>20681</v>
      </c>
      <c r="F73" s="49">
        <f t="shared" si="85"/>
        <v>0.10458208095331703</v>
      </c>
      <c r="G73" s="244">
        <v>23257</v>
      </c>
      <c r="H73" s="49">
        <f t="shared" si="91"/>
        <v>0.11251560657657995</v>
      </c>
      <c r="I73" s="244">
        <v>22754</v>
      </c>
      <c r="J73" s="49">
        <f t="shared" si="92"/>
        <v>0.10895306623707533</v>
      </c>
      <c r="K73" s="244">
        <v>24994</v>
      </c>
      <c r="L73" s="49">
        <f t="shared" si="93"/>
        <v>0.12831416515531552</v>
      </c>
      <c r="M73" s="437">
        <v>38343</v>
      </c>
      <c r="N73" s="49">
        <f t="shared" si="94"/>
        <v>0.18427713302933438</v>
      </c>
      <c r="O73" s="437">
        <v>52506</v>
      </c>
      <c r="P73" s="49">
        <f t="shared" si="95"/>
        <v>0.23753795463134222</v>
      </c>
    </row>
    <row r="74" spans="1:16" s="361" customFormat="1">
      <c r="B74" s="416" t="s">
        <v>275</v>
      </c>
      <c r="C74" s="417">
        <f t="shared" ref="C74:P74" si="96">SUM(C68:C69, C72:C73)</f>
        <v>189487.91516104</v>
      </c>
      <c r="D74" s="418">
        <f t="shared" si="96"/>
        <v>1</v>
      </c>
      <c r="E74" s="417">
        <f t="shared" si="96"/>
        <v>197748.98157966</v>
      </c>
      <c r="F74" s="418">
        <f t="shared" si="96"/>
        <v>1</v>
      </c>
      <c r="G74" s="417">
        <f t="shared" si="96"/>
        <v>206700.21437578002</v>
      </c>
      <c r="H74" s="418">
        <f t="shared" si="96"/>
        <v>1</v>
      </c>
      <c r="I74" s="417">
        <f t="shared" si="96"/>
        <v>208842.21790039999</v>
      </c>
      <c r="J74" s="418">
        <f t="shared" si="96"/>
        <v>1</v>
      </c>
      <c r="K74" s="417">
        <f t="shared" si="96"/>
        <v>194787.53549732</v>
      </c>
      <c r="L74" s="418">
        <f t="shared" si="96"/>
        <v>1</v>
      </c>
      <c r="M74" s="417">
        <f t="shared" si="96"/>
        <v>208072.47958376</v>
      </c>
      <c r="N74" s="418">
        <f t="shared" si="96"/>
        <v>1</v>
      </c>
      <c r="O74" s="417">
        <f t="shared" si="96"/>
        <v>221042.57015047999</v>
      </c>
      <c r="P74" s="418">
        <f t="shared" si="96"/>
        <v>0.99999999999999989</v>
      </c>
    </row>
    <row r="75" spans="1:16">
      <c r="A75" s="359">
        <v>10</v>
      </c>
      <c r="B75" s="361" t="s">
        <v>284</v>
      </c>
      <c r="K75" s="415"/>
    </row>
    <row r="76" spans="1:16">
      <c r="B76" s="359" t="s">
        <v>271</v>
      </c>
      <c r="C76" s="415">
        <v>130049</v>
      </c>
      <c r="D76" s="49">
        <f>C76/C$82</f>
        <v>0.46147835336427745</v>
      </c>
      <c r="E76" s="415">
        <v>136950</v>
      </c>
      <c r="F76" s="49">
        <f>E76/E$82</f>
        <v>0.45569221403892801</v>
      </c>
      <c r="G76" s="415">
        <v>148966</v>
      </c>
      <c r="H76" s="49">
        <f>G76/G$82</f>
        <v>0.47669180480514511</v>
      </c>
      <c r="I76" s="415">
        <v>151639</v>
      </c>
      <c r="J76" s="49">
        <f>I76/I$82</f>
        <v>0.48724017678704279</v>
      </c>
      <c r="K76" s="415">
        <v>125428</v>
      </c>
      <c r="L76" s="49">
        <f>K76/K$82</f>
        <v>0.43294025615948678</v>
      </c>
      <c r="M76" s="415">
        <v>124239</v>
      </c>
      <c r="N76" s="49">
        <f>M76/M$82</f>
        <v>0.42691560899719294</v>
      </c>
      <c r="O76" s="415">
        <v>117332</v>
      </c>
      <c r="P76" s="49">
        <f>O76/O$82</f>
        <v>0.4015197276336413</v>
      </c>
    </row>
    <row r="77" spans="1:16">
      <c r="B77" s="359" t="s">
        <v>217</v>
      </c>
      <c r="C77" s="415">
        <f>SUM(C78,C79)</f>
        <v>126296.53462262001</v>
      </c>
      <c r="D77" s="49">
        <f t="shared" ref="D77:F81" si="97">C77/C$82</f>
        <v>0.4481627450673295</v>
      </c>
      <c r="E77" s="415">
        <f>SUM(E78,E79)</f>
        <v>132699.79707894</v>
      </c>
      <c r="F77" s="49">
        <f t="shared" si="97"/>
        <v>0.44154994036815365</v>
      </c>
      <c r="G77" s="415">
        <f>SUM(G78,G79)</f>
        <v>130116.60351404001</v>
      </c>
      <c r="H77" s="49">
        <f t="shared" ref="H77" si="98">G77/G$82</f>
        <v>0.41637365952112038</v>
      </c>
      <c r="I77" s="415">
        <f>SUM(I78,I79)</f>
        <v>126533.23023622</v>
      </c>
      <c r="J77" s="49">
        <f t="shared" ref="J77" si="99">I77/I$82</f>
        <v>0.40657135347589618</v>
      </c>
      <c r="K77" s="415">
        <f>SUM(K78,K79)</f>
        <v>129568.02888972001</v>
      </c>
      <c r="L77" s="49">
        <f t="shared" ref="L77" si="100">K77/K$82</f>
        <v>0.44723040802368819</v>
      </c>
      <c r="M77" s="415">
        <f>SUM(M78,M79)</f>
        <v>119915.36083871999</v>
      </c>
      <c r="N77" s="49">
        <f t="shared" ref="N77" si="101">M77/M$82</f>
        <v>0.41205852671528498</v>
      </c>
      <c r="O77" s="415">
        <f>SUM(O78,O79)</f>
        <v>117822.76387436001</v>
      </c>
      <c r="P77" s="49">
        <f t="shared" ref="P77" si="102">O77/O$82</f>
        <v>0.40319916186441773</v>
      </c>
    </row>
    <row r="78" spans="1:16">
      <c r="B78" s="233" t="s">
        <v>272</v>
      </c>
      <c r="C78" s="437">
        <v>69406.901817999998</v>
      </c>
      <c r="D78" s="49">
        <f>C78/C$82</f>
        <v>0.24629011190464142</v>
      </c>
      <c r="E78" s="437">
        <v>73948.248382000005</v>
      </c>
      <c r="F78" s="49">
        <f>E78/E$82</f>
        <v>0.2460579848813009</v>
      </c>
      <c r="G78" s="437">
        <v>74517.299171999999</v>
      </c>
      <c r="H78" s="49">
        <f>G78/G$82</f>
        <v>0.23845565989222792</v>
      </c>
      <c r="I78" s="437">
        <v>73970.08567</v>
      </c>
      <c r="J78" s="49">
        <f>I78/I$82</f>
        <v>0.23767762659212671</v>
      </c>
      <c r="K78" s="437">
        <v>69352.762543999997</v>
      </c>
      <c r="L78" s="49">
        <f>K78/K$82</f>
        <v>0.23938516743603835</v>
      </c>
      <c r="M78" s="437">
        <v>65472.971034000002</v>
      </c>
      <c r="N78" s="49">
        <f>M78/M$82</f>
        <v>0.22498115166602825</v>
      </c>
      <c r="O78" s="437">
        <v>64440.953842000003</v>
      </c>
      <c r="P78" s="49">
        <f>O78/O$82</f>
        <v>0.22052222952895961</v>
      </c>
    </row>
    <row r="79" spans="1:16">
      <c r="B79" s="233" t="s">
        <v>273</v>
      </c>
      <c r="C79" s="437">
        <v>56889.63280462</v>
      </c>
      <c r="D79" s="49">
        <f>C79/C$82</f>
        <v>0.20187263316268805</v>
      </c>
      <c r="E79" s="437">
        <v>58751.548696940001</v>
      </c>
      <c r="F79" s="49">
        <f>E79/E$82</f>
        <v>0.19549195548685278</v>
      </c>
      <c r="G79" s="437">
        <v>55599.304342039999</v>
      </c>
      <c r="H79" s="49">
        <f>G79/G$82</f>
        <v>0.17791799962889243</v>
      </c>
      <c r="I79" s="437">
        <v>52563.144566219999</v>
      </c>
      <c r="J79" s="49">
        <f>I79/I$82</f>
        <v>0.1688937268837695</v>
      </c>
      <c r="K79" s="437">
        <v>60215.266345720003</v>
      </c>
      <c r="L79" s="49">
        <f>K79/K$82</f>
        <v>0.2078452405876498</v>
      </c>
      <c r="M79" s="437">
        <v>54442.389804719998</v>
      </c>
      <c r="N79" s="49">
        <f>M79/M$82</f>
        <v>0.18707737504925673</v>
      </c>
      <c r="O79" s="437">
        <v>53381.810032360001</v>
      </c>
      <c r="P79" s="49">
        <f>O79/O$82</f>
        <v>0.18267693233545809</v>
      </c>
    </row>
    <row r="80" spans="1:16">
      <c r="B80" s="359" t="s">
        <v>274</v>
      </c>
      <c r="C80" s="244">
        <v>7110</v>
      </c>
      <c r="D80" s="49">
        <f t="shared" si="97"/>
        <v>2.522980639928037E-2</v>
      </c>
      <c r="E80" s="244">
        <v>7780</v>
      </c>
      <c r="F80" s="49">
        <f t="shared" si="97"/>
        <v>2.5887443776727713E-2</v>
      </c>
      <c r="G80" s="244">
        <v>8700</v>
      </c>
      <c r="H80" s="49">
        <f t="shared" ref="H80:H81" si="103">G80/G$82</f>
        <v>2.784003532218602E-2</v>
      </c>
      <c r="I80" s="244">
        <v>9962</v>
      </c>
      <c r="J80" s="49">
        <f t="shared" ref="J80:J81" si="104">I80/I$82</f>
        <v>3.2009487276706654E-2</v>
      </c>
      <c r="K80" s="244">
        <v>7827</v>
      </c>
      <c r="L80" s="49">
        <f t="shared" ref="L80:L81" si="105">K80/K$82</f>
        <v>2.7016482643112408E-2</v>
      </c>
      <c r="M80" s="244">
        <v>8379</v>
      </c>
      <c r="N80" s="49">
        <f t="shared" ref="N80:N81" si="106">M80/M$82</f>
        <v>2.8792294591774559E-2</v>
      </c>
      <c r="O80" s="244">
        <v>6714</v>
      </c>
      <c r="P80" s="49">
        <f t="shared" ref="P80:P81" si="107">O80/O$82</f>
        <v>2.2975858685885076E-2</v>
      </c>
    </row>
    <row r="81" spans="1:16">
      <c r="B81" s="359" t="s">
        <v>129</v>
      </c>
      <c r="C81" s="244">
        <v>18354</v>
      </c>
      <c r="D81" s="49">
        <f t="shared" si="97"/>
        <v>6.5129095169112777E-2</v>
      </c>
      <c r="E81" s="244">
        <v>23102</v>
      </c>
      <c r="F81" s="49">
        <f t="shared" si="97"/>
        <v>7.6870401816190689E-2</v>
      </c>
      <c r="G81" s="244">
        <v>24717</v>
      </c>
      <c r="H81" s="49">
        <f t="shared" si="103"/>
        <v>7.9094500351548483E-2</v>
      </c>
      <c r="I81" s="244">
        <v>23086</v>
      </c>
      <c r="J81" s="49">
        <f t="shared" si="104"/>
        <v>7.4178982460354329E-2</v>
      </c>
      <c r="K81" s="244">
        <v>26889</v>
      </c>
      <c r="L81" s="49">
        <f t="shared" si="105"/>
        <v>9.2812853173712725E-2</v>
      </c>
      <c r="M81" s="244">
        <v>38482</v>
      </c>
      <c r="N81" s="49">
        <f t="shared" si="106"/>
        <v>0.13223356969574754</v>
      </c>
      <c r="O81" s="244">
        <v>50351</v>
      </c>
      <c r="P81" s="49">
        <f t="shared" si="107"/>
        <v>0.17230525181605591</v>
      </c>
    </row>
    <row r="82" spans="1:16" s="361" customFormat="1">
      <c r="B82" s="416" t="s">
        <v>275</v>
      </c>
      <c r="C82" s="417">
        <f t="shared" ref="C82:P82" si="108">SUM(C76:C77, C80:C81)</f>
        <v>281809.53462261998</v>
      </c>
      <c r="D82" s="418">
        <f t="shared" si="108"/>
        <v>1.0000000000000002</v>
      </c>
      <c r="E82" s="417">
        <f t="shared" si="108"/>
        <v>300531.79707893997</v>
      </c>
      <c r="F82" s="418">
        <f t="shared" si="108"/>
        <v>1</v>
      </c>
      <c r="G82" s="417">
        <f t="shared" si="108"/>
        <v>312499.60351404001</v>
      </c>
      <c r="H82" s="418">
        <f t="shared" si="108"/>
        <v>1</v>
      </c>
      <c r="I82" s="417">
        <f t="shared" si="108"/>
        <v>311220.23023622</v>
      </c>
      <c r="J82" s="418">
        <f t="shared" si="108"/>
        <v>1</v>
      </c>
      <c r="K82" s="417">
        <f t="shared" si="108"/>
        <v>289712.02888971998</v>
      </c>
      <c r="L82" s="418">
        <f t="shared" si="108"/>
        <v>1.0000000000000002</v>
      </c>
      <c r="M82" s="417">
        <f t="shared" si="108"/>
        <v>291015.36083871999</v>
      </c>
      <c r="N82" s="418">
        <f t="shared" si="108"/>
        <v>1</v>
      </c>
      <c r="O82" s="417">
        <f t="shared" si="108"/>
        <v>292219.76387436001</v>
      </c>
      <c r="P82" s="418">
        <f t="shared" si="108"/>
        <v>1</v>
      </c>
    </row>
    <row r="83" spans="1:16">
      <c r="A83" s="359">
        <v>11</v>
      </c>
      <c r="B83" s="361" t="s">
        <v>285</v>
      </c>
    </row>
    <row r="84" spans="1:16">
      <c r="B84" s="359" t="s">
        <v>271</v>
      </c>
      <c r="C84" s="415">
        <v>68374</v>
      </c>
      <c r="D84" s="49">
        <f>C84/C$90</f>
        <v>0.6171569922800807</v>
      </c>
      <c r="E84" s="415">
        <v>71761</v>
      </c>
      <c r="F84" s="49">
        <f>E84/E$90</f>
        <v>0.62059232266787723</v>
      </c>
      <c r="G84" s="415">
        <v>76093</v>
      </c>
      <c r="H84" s="49">
        <f>G84/G$90</f>
        <v>0.62606860860746594</v>
      </c>
      <c r="I84" s="415">
        <v>77846</v>
      </c>
      <c r="J84" s="49">
        <f>I84/I$90</f>
        <v>0.62491839639668523</v>
      </c>
      <c r="K84" s="415">
        <v>63606</v>
      </c>
      <c r="L84" s="49">
        <f>K84/K$90</f>
        <v>0.58605403014071222</v>
      </c>
      <c r="M84" s="415">
        <v>64117</v>
      </c>
      <c r="N84" s="49">
        <f>M84/M$90</f>
        <v>0.52727791688088621</v>
      </c>
      <c r="O84" s="415">
        <v>61946</v>
      </c>
      <c r="P84" s="49">
        <f>O84/O$90</f>
        <v>0.4897454001807493</v>
      </c>
    </row>
    <row r="85" spans="1:16">
      <c r="B85" s="359" t="s">
        <v>217</v>
      </c>
      <c r="C85" s="415">
        <f>SUM(C86,C87)</f>
        <v>38791.666182640001</v>
      </c>
      <c r="D85" s="49">
        <f t="shared" ref="D85:F89" si="109">C85/C$90</f>
        <v>0.35014110666058773</v>
      </c>
      <c r="E85" s="415">
        <f>SUM(E86,E87)</f>
        <v>39879.077269640002</v>
      </c>
      <c r="F85" s="49">
        <f t="shared" si="109"/>
        <v>0.34487603557109897</v>
      </c>
      <c r="G85" s="415">
        <f>SUM(G86,G87)</f>
        <v>40798.992398980001</v>
      </c>
      <c r="H85" s="49">
        <f t="shared" ref="H85" si="110">G85/G$90</f>
        <v>0.33568092207977063</v>
      </c>
      <c r="I85" s="415">
        <f>SUM(I86,I87)</f>
        <v>41693.8645597</v>
      </c>
      <c r="J85" s="49">
        <f t="shared" ref="J85" si="111">I85/I$90</f>
        <v>0.33470265627300455</v>
      </c>
      <c r="K85" s="415">
        <f>SUM(K86,K87)</f>
        <v>40629.655230999997</v>
      </c>
      <c r="L85" s="49">
        <f t="shared" ref="L85" si="112">K85/K$90</f>
        <v>0.3743541991534638</v>
      </c>
      <c r="M85" s="415">
        <f>SUM(M86,M87)</f>
        <v>42756.010065440001</v>
      </c>
      <c r="N85" s="49">
        <f t="shared" ref="N85" si="113">M85/M$90</f>
        <v>0.35161189577558849</v>
      </c>
      <c r="O85" s="415">
        <f>SUM(O86,O87)</f>
        <v>44432.129276840002</v>
      </c>
      <c r="P85" s="49">
        <f t="shared" ref="P85" si="114">O85/O$90</f>
        <v>0.35128064658846081</v>
      </c>
    </row>
    <row r="86" spans="1:16">
      <c r="B86" s="233" t="s">
        <v>272</v>
      </c>
      <c r="C86" s="437">
        <v>22462.912874000001</v>
      </c>
      <c r="D86" s="49">
        <f>C86/C$90</f>
        <v>0.20275461062929395</v>
      </c>
      <c r="E86" s="437">
        <v>23766.425134000001</v>
      </c>
      <c r="F86" s="49">
        <f>E86/E$90</f>
        <v>0.20553310259641414</v>
      </c>
      <c r="G86" s="437">
        <v>24768.407066</v>
      </c>
      <c r="H86" s="49">
        <f>G86/G$90</f>
        <v>0.20378644749495942</v>
      </c>
      <c r="I86" s="437">
        <v>25453.467079999999</v>
      </c>
      <c r="J86" s="49">
        <f>I86/I$90</f>
        <v>0.20433085618232688</v>
      </c>
      <c r="K86" s="437">
        <v>23077.495480000001</v>
      </c>
      <c r="L86" s="49">
        <f>K86/K$90</f>
        <v>0.21263181510562007</v>
      </c>
      <c r="M86" s="437">
        <v>24344.676510000001</v>
      </c>
      <c r="N86" s="49">
        <f>M86/M$90</f>
        <v>0.20020291525386158</v>
      </c>
      <c r="O86" s="437">
        <v>24999.233641999999</v>
      </c>
      <c r="P86" s="49">
        <f>O86/O$90</f>
        <v>0.19764407200163595</v>
      </c>
    </row>
    <row r="87" spans="1:16">
      <c r="B87" s="233" t="s">
        <v>273</v>
      </c>
      <c r="C87" s="437">
        <v>16328.75330864</v>
      </c>
      <c r="D87" s="49">
        <f>C87/C$90</f>
        <v>0.14738649603129375</v>
      </c>
      <c r="E87" s="437">
        <v>16112.652135640001</v>
      </c>
      <c r="F87" s="49">
        <f>E87/E$90</f>
        <v>0.13934293297468486</v>
      </c>
      <c r="G87" s="437">
        <v>16030.585332979999</v>
      </c>
      <c r="H87" s="49">
        <f>G87/G$90</f>
        <v>0.13189447458481121</v>
      </c>
      <c r="I87" s="437">
        <v>16240.397479699999</v>
      </c>
      <c r="J87" s="49">
        <f>I87/I$90</f>
        <v>0.13037180009067764</v>
      </c>
      <c r="K87" s="437">
        <v>17552.159750999999</v>
      </c>
      <c r="L87" s="49">
        <f>K87/K$90</f>
        <v>0.16172238404784375</v>
      </c>
      <c r="M87" s="437">
        <v>18411.33355544</v>
      </c>
      <c r="N87" s="49">
        <f>M87/M$90</f>
        <v>0.15140898052172691</v>
      </c>
      <c r="O87" s="437">
        <v>19432.895634839999</v>
      </c>
      <c r="P87" s="49">
        <f>O87/O$90</f>
        <v>0.15363657458682484</v>
      </c>
    </row>
    <row r="88" spans="1:16">
      <c r="B88" s="359" t="s">
        <v>274</v>
      </c>
      <c r="C88" s="244">
        <v>2958</v>
      </c>
      <c r="D88" s="49">
        <f t="shared" si="109"/>
        <v>2.6699482013111397E-2</v>
      </c>
      <c r="E88" s="244">
        <v>3357</v>
      </c>
      <c r="F88" s="49">
        <f t="shared" si="109"/>
        <v>2.9031485447472357E-2</v>
      </c>
      <c r="G88" s="244">
        <v>3779</v>
      </c>
      <c r="H88" s="49">
        <f t="shared" ref="H88:H89" si="115">G88/G$90</f>
        <v>3.1092390521172956E-2</v>
      </c>
      <c r="I88" s="244">
        <v>4064</v>
      </c>
      <c r="J88" s="49">
        <f t="shared" ref="J88:J89" si="116">I88/I$90</f>
        <v>3.2624262813196941E-2</v>
      </c>
      <c r="K88" s="244">
        <v>3479</v>
      </c>
      <c r="L88" s="49">
        <f t="shared" ref="L88:L89" si="117">K88/K$90</f>
        <v>3.2054868579372037E-2</v>
      </c>
      <c r="M88" s="244">
        <v>3665</v>
      </c>
      <c r="N88" s="49">
        <f t="shared" ref="N88:N89" si="118">M88/M$90</f>
        <v>3.0139800136756992E-2</v>
      </c>
      <c r="O88" s="244">
        <v>4318</v>
      </c>
      <c r="P88" s="49">
        <f t="shared" ref="P88:P89" si="119">O88/O$90</f>
        <v>3.4138130597302092E-2</v>
      </c>
    </row>
    <row r="89" spans="1:16">
      <c r="B89" s="359" t="s">
        <v>129</v>
      </c>
      <c r="C89" s="359">
        <v>665</v>
      </c>
      <c r="D89" s="49">
        <f t="shared" si="109"/>
        <v>6.0024190462201086E-3</v>
      </c>
      <c r="E89" s="359">
        <v>636</v>
      </c>
      <c r="F89" s="49">
        <f t="shared" si="109"/>
        <v>5.5001563135515102E-3</v>
      </c>
      <c r="G89" s="359">
        <v>870</v>
      </c>
      <c r="H89" s="49">
        <f t="shared" si="115"/>
        <v>7.1580787915904928E-3</v>
      </c>
      <c r="I89" s="359">
        <v>966</v>
      </c>
      <c r="J89" s="49">
        <f t="shared" si="116"/>
        <v>7.7546845171132485E-3</v>
      </c>
      <c r="K89" s="359">
        <v>818</v>
      </c>
      <c r="L89" s="49">
        <f t="shared" si="117"/>
        <v>7.5369021264519477E-3</v>
      </c>
      <c r="M89" s="244">
        <v>11062</v>
      </c>
      <c r="N89" s="49">
        <f t="shared" si="118"/>
        <v>9.0970387206768297E-2</v>
      </c>
      <c r="O89" s="244">
        <v>15790</v>
      </c>
      <c r="P89" s="49">
        <f t="shared" si="119"/>
        <v>0.12483582263348775</v>
      </c>
    </row>
    <row r="90" spans="1:16" s="361" customFormat="1">
      <c r="B90" s="416" t="s">
        <v>275</v>
      </c>
      <c r="C90" s="417">
        <f t="shared" ref="C90:P90" si="120">SUM(C84:C85, C88:C89)</f>
        <v>110788.66618264001</v>
      </c>
      <c r="D90" s="418">
        <f t="shared" si="120"/>
        <v>0.99999999999999989</v>
      </c>
      <c r="E90" s="417">
        <f t="shared" si="120"/>
        <v>115633.07726963999</v>
      </c>
      <c r="F90" s="418">
        <f t="shared" si="120"/>
        <v>1.0000000000000002</v>
      </c>
      <c r="G90" s="417">
        <f t="shared" si="120"/>
        <v>121540.99239898</v>
      </c>
      <c r="H90" s="418">
        <f t="shared" si="120"/>
        <v>1</v>
      </c>
      <c r="I90" s="417">
        <f t="shared" si="120"/>
        <v>124569.8645597</v>
      </c>
      <c r="J90" s="418">
        <f t="shared" si="120"/>
        <v>1</v>
      </c>
      <c r="K90" s="417">
        <f t="shared" si="120"/>
        <v>108532.655231</v>
      </c>
      <c r="L90" s="418">
        <f t="shared" si="120"/>
        <v>1</v>
      </c>
      <c r="M90" s="417">
        <f t="shared" si="120"/>
        <v>121600.01006544</v>
      </c>
      <c r="N90" s="418">
        <f t="shared" si="120"/>
        <v>1</v>
      </c>
      <c r="O90" s="417">
        <f t="shared" si="120"/>
        <v>126486.12927684</v>
      </c>
      <c r="P90" s="418">
        <f t="shared" si="120"/>
        <v>1</v>
      </c>
    </row>
    <row r="91" spans="1:16">
      <c r="A91" s="359">
        <v>12</v>
      </c>
      <c r="B91" s="361" t="s">
        <v>286</v>
      </c>
    </row>
    <row r="92" spans="1:16">
      <c r="B92" s="359" t="s">
        <v>271</v>
      </c>
      <c r="C92" s="415">
        <v>64898</v>
      </c>
      <c r="D92" s="49">
        <f>C92/C$98</f>
        <v>0.49612196271943737</v>
      </c>
      <c r="E92" s="415">
        <v>67461</v>
      </c>
      <c r="F92" s="49">
        <f>E92/E$98</f>
        <v>0.48930171012735302</v>
      </c>
      <c r="G92" s="415">
        <v>71540</v>
      </c>
      <c r="H92" s="49">
        <f>G92/G$98</f>
        <v>0.48508065883660034</v>
      </c>
      <c r="I92" s="415">
        <v>73768</v>
      </c>
      <c r="J92" s="49">
        <f>I92/I$98</f>
        <v>0.47688702985839249</v>
      </c>
      <c r="K92" s="415">
        <v>63371</v>
      </c>
      <c r="L92" s="49">
        <f>K92/K$98</f>
        <v>0.46325882523222778</v>
      </c>
      <c r="M92" s="415">
        <v>65178</v>
      </c>
      <c r="N92" s="49">
        <f>M92/M$98</f>
        <v>0.43771570303916207</v>
      </c>
      <c r="O92" s="415">
        <v>62630</v>
      </c>
      <c r="P92" s="49">
        <f>O92/O$98</f>
        <v>0.40528793931308327</v>
      </c>
    </row>
    <row r="93" spans="1:16">
      <c r="B93" s="359" t="s">
        <v>217</v>
      </c>
      <c r="C93" s="415">
        <f>SUM(C94,C95)</f>
        <v>58811.576585379997</v>
      </c>
      <c r="D93" s="49">
        <f t="shared" ref="D93:F97" si="121">C93/C$98</f>
        <v>0.44959343594815293</v>
      </c>
      <c r="E93" s="415">
        <f>SUM(E94,E95)</f>
        <v>61947.989007440003</v>
      </c>
      <c r="F93" s="49">
        <f t="shared" si="121"/>
        <v>0.44931526304517955</v>
      </c>
      <c r="G93" s="415">
        <f>SUM(G94,G95)</f>
        <v>65376.6275962</v>
      </c>
      <c r="H93" s="49">
        <f t="shared" ref="H93" si="122">G93/G$98</f>
        <v>0.44328959444897625</v>
      </c>
      <c r="I93" s="415">
        <f>SUM(I94,I95)</f>
        <v>68920.530312860006</v>
      </c>
      <c r="J93" s="49">
        <f t="shared" ref="J93" si="123">I93/I$98</f>
        <v>0.44554965563882865</v>
      </c>
      <c r="K93" s="415">
        <f>SUM(K94,K95)</f>
        <v>63427.940122419997</v>
      </c>
      <c r="L93" s="49">
        <f t="shared" ref="L93" si="124">K93/K$98</f>
        <v>0.46367507263594349</v>
      </c>
      <c r="M93" s="415">
        <f>SUM(M94,M95)</f>
        <v>65578.870324399992</v>
      </c>
      <c r="N93" s="49">
        <f t="shared" ref="N93" si="125">M93/M$98</f>
        <v>0.4404078266985606</v>
      </c>
      <c r="O93" s="415">
        <f>SUM(O94,O95)</f>
        <v>69527.108964679996</v>
      </c>
      <c r="P93" s="49">
        <f t="shared" ref="P93" si="126">O93/O$98</f>
        <v>0.44992014559622157</v>
      </c>
    </row>
    <row r="94" spans="1:16">
      <c r="B94" s="233" t="s">
        <v>272</v>
      </c>
      <c r="C94" s="437">
        <v>31133.825884000002</v>
      </c>
      <c r="D94" s="49">
        <f>C94/C$98</f>
        <v>0.238006946354823</v>
      </c>
      <c r="E94" s="437">
        <v>33183.450038000003</v>
      </c>
      <c r="F94" s="49">
        <f>E94/E$98</f>
        <v>0.24068304429995077</v>
      </c>
      <c r="G94" s="437">
        <v>35871.551127999999</v>
      </c>
      <c r="H94" s="49">
        <f>G94/G$98</f>
        <v>0.24322890207801276</v>
      </c>
      <c r="I94" s="437">
        <v>38578.998275999998</v>
      </c>
      <c r="J94" s="49">
        <f>I94/I$98</f>
        <v>0.24940114823166795</v>
      </c>
      <c r="K94" s="437">
        <v>33340.874221999999</v>
      </c>
      <c r="L94" s="49">
        <f>K94/K$98</f>
        <v>0.24373063742562348</v>
      </c>
      <c r="M94" s="437">
        <v>34483.078342000001</v>
      </c>
      <c r="N94" s="49">
        <f>M94/M$98</f>
        <v>0.23157790787417584</v>
      </c>
      <c r="O94" s="437">
        <v>35125.38551</v>
      </c>
      <c r="P94" s="49">
        <f>O94/O$98</f>
        <v>0.22730153458287619</v>
      </c>
    </row>
    <row r="95" spans="1:16">
      <c r="B95" s="233" t="s">
        <v>273</v>
      </c>
      <c r="C95" s="437">
        <v>27677.750701379999</v>
      </c>
      <c r="D95" s="49">
        <f>C95/C$98</f>
        <v>0.21158648959332998</v>
      </c>
      <c r="E95" s="437">
        <v>28764.53896944</v>
      </c>
      <c r="F95" s="49">
        <f>E95/E$98</f>
        <v>0.2086322187452288</v>
      </c>
      <c r="G95" s="437">
        <v>29505.076468200001</v>
      </c>
      <c r="H95" s="49">
        <f>G95/G$98</f>
        <v>0.20006069237096349</v>
      </c>
      <c r="I95" s="437">
        <v>30341.532036860001</v>
      </c>
      <c r="J95" s="49">
        <f>I95/I$98</f>
        <v>0.19614850740716064</v>
      </c>
      <c r="K95" s="437">
        <v>30087.065900419999</v>
      </c>
      <c r="L95" s="49">
        <f>K95/K$98</f>
        <v>0.21994443521032001</v>
      </c>
      <c r="M95" s="437">
        <v>31095.791982399998</v>
      </c>
      <c r="N95" s="49">
        <f>M95/M$98</f>
        <v>0.20882991882438481</v>
      </c>
      <c r="O95" s="437">
        <v>34401.723454680003</v>
      </c>
      <c r="P95" s="49">
        <f>O95/O$98</f>
        <v>0.2226186110133454</v>
      </c>
    </row>
    <row r="96" spans="1:16">
      <c r="B96" s="359" t="s">
        <v>274</v>
      </c>
      <c r="C96" s="244">
        <v>5190</v>
      </c>
      <c r="D96" s="49">
        <f t="shared" si="121"/>
        <v>3.9675690876666149E-2</v>
      </c>
      <c r="E96" s="244">
        <v>6242</v>
      </c>
      <c r="F96" s="49">
        <f t="shared" si="121"/>
        <v>4.5273880829144804E-2</v>
      </c>
      <c r="G96" s="244">
        <v>8142</v>
      </c>
      <c r="H96" s="49">
        <f t="shared" ref="H96:H97" si="127">G96/G$98</f>
        <v>5.5207250828174445E-2</v>
      </c>
      <c r="I96" s="244">
        <v>9456</v>
      </c>
      <c r="J96" s="49">
        <f t="shared" ref="J96:J97" si="128">I96/I$98</f>
        <v>6.1130080174885575E-2</v>
      </c>
      <c r="K96" s="244">
        <v>6268</v>
      </c>
      <c r="L96" s="49">
        <f t="shared" ref="L96:L97" si="129">K96/K$98</f>
        <v>4.5820743187824142E-2</v>
      </c>
      <c r="M96" s="244">
        <v>8012</v>
      </c>
      <c r="N96" s="49">
        <f t="shared" ref="N96:N97" si="130">M96/M$98</f>
        <v>5.3806164852400598E-2</v>
      </c>
      <c r="O96" s="244">
        <v>9288</v>
      </c>
      <c r="P96" s="49">
        <f t="shared" ref="P96:P97" si="131">O96/O$98</f>
        <v>6.0104013736865997E-2</v>
      </c>
    </row>
    <row r="97" spans="1:16">
      <c r="B97" s="359" t="s">
        <v>129</v>
      </c>
      <c r="C97" s="244">
        <v>1911</v>
      </c>
      <c r="D97" s="49">
        <f t="shared" si="121"/>
        <v>1.4608910455743548E-2</v>
      </c>
      <c r="E97" s="244">
        <v>2221</v>
      </c>
      <c r="F97" s="49">
        <f t="shared" si="121"/>
        <v>1.6109145998322749E-2</v>
      </c>
      <c r="G97" s="244">
        <v>2422</v>
      </c>
      <c r="H97" s="49">
        <f t="shared" si="127"/>
        <v>1.6422495886248896E-2</v>
      </c>
      <c r="I97" s="244">
        <v>2542</v>
      </c>
      <c r="J97" s="49">
        <f t="shared" si="128"/>
        <v>1.6433234327893308E-2</v>
      </c>
      <c r="K97" s="244">
        <v>3727</v>
      </c>
      <c r="L97" s="49">
        <f t="shared" si="129"/>
        <v>2.7245358944004559E-2</v>
      </c>
      <c r="M97" s="244">
        <v>10136</v>
      </c>
      <c r="N97" s="49">
        <f t="shared" si="130"/>
        <v>6.8070305409876741E-2</v>
      </c>
      <c r="O97" s="244">
        <v>13087</v>
      </c>
      <c r="P97" s="49">
        <f t="shared" si="131"/>
        <v>8.468790135382917E-2</v>
      </c>
    </row>
    <row r="98" spans="1:16" s="361" customFormat="1">
      <c r="B98" s="416" t="s">
        <v>275</v>
      </c>
      <c r="C98" s="417">
        <f t="shared" ref="C98:P98" si="132">SUM(C92:C93, C96:C97)</f>
        <v>130810.57658538</v>
      </c>
      <c r="D98" s="418">
        <f t="shared" si="132"/>
        <v>1</v>
      </c>
      <c r="E98" s="417">
        <f t="shared" si="132"/>
        <v>137871.98900743999</v>
      </c>
      <c r="F98" s="418">
        <f t="shared" si="132"/>
        <v>1.0000000000000002</v>
      </c>
      <c r="G98" s="417">
        <f t="shared" si="132"/>
        <v>147480.62759620001</v>
      </c>
      <c r="H98" s="418">
        <f t="shared" si="132"/>
        <v>1</v>
      </c>
      <c r="I98" s="417">
        <f t="shared" si="132"/>
        <v>154686.53031286001</v>
      </c>
      <c r="J98" s="418">
        <f t="shared" si="132"/>
        <v>1</v>
      </c>
      <c r="K98" s="417">
        <f t="shared" si="132"/>
        <v>136793.94012242</v>
      </c>
      <c r="L98" s="418">
        <f t="shared" si="132"/>
        <v>1</v>
      </c>
      <c r="M98" s="417">
        <f t="shared" si="132"/>
        <v>148904.87032439999</v>
      </c>
      <c r="N98" s="418">
        <f t="shared" si="132"/>
        <v>1</v>
      </c>
      <c r="O98" s="417">
        <f t="shared" si="132"/>
        <v>154532.10896468</v>
      </c>
      <c r="P98" s="418">
        <f t="shared" si="132"/>
        <v>1</v>
      </c>
    </row>
    <row r="99" spans="1:16">
      <c r="A99" s="359">
        <v>13</v>
      </c>
      <c r="B99" s="361" t="s">
        <v>287</v>
      </c>
    </row>
    <row r="100" spans="1:16">
      <c r="B100" s="359" t="s">
        <v>271</v>
      </c>
      <c r="C100" s="415">
        <v>63156</v>
      </c>
      <c r="D100" s="49">
        <f>C100/C$106</f>
        <v>0.53911621876917193</v>
      </c>
      <c r="E100" s="415">
        <v>65020</v>
      </c>
      <c r="F100" s="49">
        <f>E100/E$106</f>
        <v>0.54888698727620555</v>
      </c>
      <c r="G100" s="415">
        <v>68640</v>
      </c>
      <c r="H100" s="49">
        <f>G100/G$106</f>
        <v>0.55816391425515377</v>
      </c>
      <c r="I100" s="415">
        <v>70492</v>
      </c>
      <c r="J100" s="49">
        <f>I100/I$106</f>
        <v>0.56173575339142001</v>
      </c>
      <c r="K100" s="415">
        <v>60524</v>
      </c>
      <c r="L100" s="49">
        <f>K100/K$106</f>
        <v>0.52215887307603603</v>
      </c>
      <c r="M100" s="415">
        <v>55158</v>
      </c>
      <c r="N100" s="49">
        <f>M100/M$106</f>
        <v>0.49398979549989308</v>
      </c>
      <c r="O100" s="415">
        <v>54882</v>
      </c>
      <c r="P100" s="49">
        <f>O100/O$106</f>
        <v>0.47491136251018051</v>
      </c>
    </row>
    <row r="101" spans="1:16">
      <c r="B101" s="359" t="s">
        <v>217</v>
      </c>
      <c r="C101" s="415">
        <f>SUM(C102,C103)</f>
        <v>46898.2825362</v>
      </c>
      <c r="D101" s="49">
        <f t="shared" ref="D101:F105" si="133">C101/C$106</f>
        <v>0.40033606858706122</v>
      </c>
      <c r="E101" s="415">
        <f>SUM(E102,E103)</f>
        <v>46183.900273160005</v>
      </c>
      <c r="F101" s="49">
        <f t="shared" si="133"/>
        <v>0.38987606708089084</v>
      </c>
      <c r="G101" s="415">
        <f>SUM(G102,G103)</f>
        <v>46366.628504239998</v>
      </c>
      <c r="H101" s="49">
        <f t="shared" ref="H101" si="134">G101/G$106</f>
        <v>0.37704223276138088</v>
      </c>
      <c r="I101" s="415">
        <f>SUM(I102,I103)</f>
        <v>46842.608903140004</v>
      </c>
      <c r="J101" s="49">
        <f t="shared" ref="J101" si="135">I101/I$106</f>
        <v>0.37327878628816019</v>
      </c>
      <c r="K101" s="415">
        <f>SUM(K102,K103)</f>
        <v>47419.082087820003</v>
      </c>
      <c r="L101" s="49">
        <f t="shared" ref="L101" si="136">K101/K$106</f>
        <v>0.4090987784230411</v>
      </c>
      <c r="M101" s="415">
        <f>SUM(M102,M103)</f>
        <v>45218.176955219998</v>
      </c>
      <c r="N101" s="49">
        <f t="shared" ref="N101" si="137">M101/M$106</f>
        <v>0.40496968684482948</v>
      </c>
      <c r="O101" s="415">
        <f>SUM(O102,O103)</f>
        <v>47639.617221699998</v>
      </c>
      <c r="P101" s="49">
        <f t="shared" ref="P101" si="138">O101/O$106</f>
        <v>0.41224072599797762</v>
      </c>
    </row>
    <row r="102" spans="1:16">
      <c r="B102" s="233" t="s">
        <v>272</v>
      </c>
      <c r="C102" s="437">
        <v>22884.704475999999</v>
      </c>
      <c r="D102" s="49">
        <f>C102/C$106</f>
        <v>0.19534985345416214</v>
      </c>
      <c r="E102" s="437">
        <v>22810.635470000001</v>
      </c>
      <c r="F102" s="49">
        <f>E102/E$106</f>
        <v>0.19256322640701404</v>
      </c>
      <c r="G102" s="437">
        <v>23596.173374000002</v>
      </c>
      <c r="H102" s="49">
        <f>G102/G$106</f>
        <v>0.19187838711939217</v>
      </c>
      <c r="I102" s="437">
        <v>24635.424950000001</v>
      </c>
      <c r="J102" s="49">
        <f>I102/I$106</f>
        <v>0.19631446113610107</v>
      </c>
      <c r="K102" s="437">
        <v>23334.219934000001</v>
      </c>
      <c r="L102" s="49">
        <f>K102/K$106</f>
        <v>0.20131138035896201</v>
      </c>
      <c r="M102" s="437">
        <v>21411.415526000001</v>
      </c>
      <c r="N102" s="49">
        <f>M102/M$106</f>
        <v>0.19175859851792987</v>
      </c>
      <c r="O102" s="437">
        <v>22513.417276</v>
      </c>
      <c r="P102" s="49">
        <f>O102/O$106</f>
        <v>0.19481574420220468</v>
      </c>
    </row>
    <row r="103" spans="1:16">
      <c r="B103" s="233" t="s">
        <v>273</v>
      </c>
      <c r="C103" s="437">
        <v>24013.578060200001</v>
      </c>
      <c r="D103" s="49">
        <f>C103/C$106</f>
        <v>0.20498621513289905</v>
      </c>
      <c r="E103" s="437">
        <v>23373.26480316</v>
      </c>
      <c r="F103" s="49">
        <f>E103/E$106</f>
        <v>0.19731284067387675</v>
      </c>
      <c r="G103" s="437">
        <v>22770.45513024</v>
      </c>
      <c r="H103" s="49">
        <f>G103/G$106</f>
        <v>0.18516384564198871</v>
      </c>
      <c r="I103" s="437">
        <v>22207.18395314</v>
      </c>
      <c r="J103" s="49">
        <f>I103/I$106</f>
        <v>0.17696432515205912</v>
      </c>
      <c r="K103" s="437">
        <v>24084.862153819999</v>
      </c>
      <c r="L103" s="49">
        <f>K103/K$106</f>
        <v>0.20778739806407906</v>
      </c>
      <c r="M103" s="437">
        <v>23806.761429220001</v>
      </c>
      <c r="N103" s="49">
        <f>M103/M$106</f>
        <v>0.21321108832689964</v>
      </c>
      <c r="O103" s="437">
        <v>25126.199945699998</v>
      </c>
      <c r="P103" s="49">
        <f>O103/O$106</f>
        <v>0.21742498179577294</v>
      </c>
    </row>
    <row r="104" spans="1:16">
      <c r="B104" s="359" t="s">
        <v>274</v>
      </c>
      <c r="C104" s="244">
        <v>4395</v>
      </c>
      <c r="D104" s="49">
        <f t="shared" si="133"/>
        <v>3.7516875379861155E-2</v>
      </c>
      <c r="E104" s="244">
        <v>4571</v>
      </c>
      <c r="F104" s="49">
        <f t="shared" si="133"/>
        <v>3.8587548736381656E-2</v>
      </c>
      <c r="G104" s="244">
        <v>4927</v>
      </c>
      <c r="H104" s="49">
        <f t="shared" ref="H104:H105" si="139">G104/G$106</f>
        <v>4.0065174905815015E-2</v>
      </c>
      <c r="I104" s="244">
        <v>5066</v>
      </c>
      <c r="J104" s="49">
        <f t="shared" ref="J104:J105" si="140">I104/I$106</f>
        <v>4.0369876392795406E-2</v>
      </c>
      <c r="K104" s="244">
        <v>4514</v>
      </c>
      <c r="L104" s="49">
        <f t="shared" ref="L104:L105" si="141">K104/K$106</f>
        <v>3.8943644720527838E-2</v>
      </c>
      <c r="M104" s="244">
        <v>4490</v>
      </c>
      <c r="N104" s="49">
        <f t="shared" ref="N104:N105" si="142">M104/M$106</f>
        <v>4.0212012433273867E-2</v>
      </c>
      <c r="O104" s="244">
        <v>4895</v>
      </c>
      <c r="P104" s="49">
        <f t="shared" ref="P104:P105" si="143">O104/O$106</f>
        <v>4.2357988402159791E-2</v>
      </c>
    </row>
    <row r="105" spans="1:16">
      <c r="B105" s="359" t="s">
        <v>129</v>
      </c>
      <c r="C105" s="244">
        <v>2698</v>
      </c>
      <c r="D105" s="49">
        <f t="shared" si="133"/>
        <v>2.3030837263905663E-2</v>
      </c>
      <c r="E105" s="244">
        <v>2683</v>
      </c>
      <c r="F105" s="49">
        <f t="shared" si="133"/>
        <v>2.2649396906521985E-2</v>
      </c>
      <c r="G105" s="244">
        <v>3041</v>
      </c>
      <c r="H105" s="49">
        <f t="shared" si="139"/>
        <v>2.4728678077650387E-2</v>
      </c>
      <c r="I105" s="244">
        <v>3089</v>
      </c>
      <c r="J105" s="49">
        <f t="shared" si="140"/>
        <v>2.4615583927624363E-2</v>
      </c>
      <c r="K105" s="244">
        <v>3454</v>
      </c>
      <c r="L105" s="49">
        <f t="shared" si="141"/>
        <v>2.9798703780395026E-2</v>
      </c>
      <c r="M105" s="244">
        <v>6792</v>
      </c>
      <c r="N105" s="49">
        <f t="shared" si="142"/>
        <v>6.0828505222003587E-2</v>
      </c>
      <c r="O105" s="244">
        <v>8146</v>
      </c>
      <c r="P105" s="49">
        <f t="shared" si="143"/>
        <v>7.0489923089682063E-2</v>
      </c>
    </row>
    <row r="106" spans="1:16" s="361" customFormat="1">
      <c r="B106" s="416" t="s">
        <v>275</v>
      </c>
      <c r="C106" s="417">
        <f t="shared" ref="C106:P106" si="144">SUM(C100:C101, C104:C105)</f>
        <v>117147.2825362</v>
      </c>
      <c r="D106" s="418">
        <f t="shared" si="144"/>
        <v>1</v>
      </c>
      <c r="E106" s="417">
        <f t="shared" si="144"/>
        <v>118457.90027316</v>
      </c>
      <c r="F106" s="418">
        <f t="shared" si="144"/>
        <v>1</v>
      </c>
      <c r="G106" s="417">
        <f t="shared" si="144"/>
        <v>122974.62850424</v>
      </c>
      <c r="H106" s="418">
        <f t="shared" si="144"/>
        <v>1</v>
      </c>
      <c r="I106" s="417">
        <f t="shared" si="144"/>
        <v>125489.60890314</v>
      </c>
      <c r="J106" s="418">
        <f t="shared" si="144"/>
        <v>1</v>
      </c>
      <c r="K106" s="417">
        <f t="shared" si="144"/>
        <v>115911.08208782</v>
      </c>
      <c r="L106" s="418">
        <f t="shared" si="144"/>
        <v>1</v>
      </c>
      <c r="M106" s="417">
        <f t="shared" si="144"/>
        <v>111658.17695522</v>
      </c>
      <c r="N106" s="418">
        <f t="shared" si="144"/>
        <v>1</v>
      </c>
      <c r="O106" s="417">
        <f t="shared" si="144"/>
        <v>115562.6172217</v>
      </c>
      <c r="P106" s="418">
        <f t="shared" si="144"/>
        <v>0.99999999999999989</v>
      </c>
    </row>
  </sheetData>
  <sheetProtection algorithmName="SHA-512" hashValue="OO3DTHEs9pHobsxCeMuXCvcjPAVrpxSXZns/GHrZpyktb/mvgdEcLcUXf8NuytS2rw4wPLsic+mHInm/blT1KA==" saltValue="CePIc7XKfTAeZtFCJzsgMA==" spinCount="100000" sheet="1" objects="1" scenarios="1"/>
  <mergeCells count="1">
    <mergeCell ref="A1:B1"/>
  </mergeCell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7" tint="0.79998168889431442"/>
  </sheetPr>
  <dimension ref="A1:J103"/>
  <sheetViews>
    <sheetView tabSelected="1" zoomScale="85" zoomScaleNormal="85" zoomScaleSheetLayoutView="100" workbookViewId="0">
      <pane ySplit="3" topLeftCell="A85" activePane="bottomLeft" state="frozen"/>
      <selection pane="bottomLeft" activeCell="B86" sqref="B86"/>
    </sheetView>
  </sheetViews>
  <sheetFormatPr defaultColWidth="8.7109375" defaultRowHeight="15"/>
  <cols>
    <col min="1" max="1" width="36.5703125" style="128" customWidth="1"/>
    <col min="2" max="8" width="14.42578125" style="128" customWidth="1"/>
    <col min="9" max="9" width="48.7109375" style="128" customWidth="1"/>
    <col min="10" max="10" width="30.85546875" style="128" customWidth="1"/>
    <col min="11" max="13" width="8.7109375" style="128" customWidth="1"/>
    <col min="14" max="16384" width="8.7109375" style="128"/>
  </cols>
  <sheetData>
    <row r="1" spans="1:10" ht="27.6" customHeight="1">
      <c r="A1" s="534" t="s">
        <v>288</v>
      </c>
      <c r="B1" s="535"/>
      <c r="C1" s="535"/>
      <c r="D1" s="535"/>
      <c r="E1" s="535"/>
      <c r="F1" s="535"/>
      <c r="G1" s="535"/>
      <c r="H1" s="535"/>
      <c r="I1" s="536"/>
      <c r="J1" s="448"/>
    </row>
    <row r="2" spans="1:10" ht="27" customHeight="1">
      <c r="A2" s="129" t="s">
        <v>289</v>
      </c>
      <c r="B2" s="375">
        <v>2005</v>
      </c>
      <c r="C2" s="376">
        <v>2016</v>
      </c>
      <c r="D2" s="375">
        <v>2020</v>
      </c>
      <c r="E2" s="375" t="s">
        <v>61</v>
      </c>
      <c r="F2" s="375">
        <v>2035</v>
      </c>
      <c r="G2" s="375" t="s">
        <v>62</v>
      </c>
      <c r="H2" s="376">
        <v>2050</v>
      </c>
      <c r="I2" s="449" t="s">
        <v>290</v>
      </c>
      <c r="J2" s="448"/>
    </row>
    <row r="3" spans="1:10" ht="16.5" customHeight="1">
      <c r="A3" s="374" t="s">
        <v>3</v>
      </c>
      <c r="B3" s="377"/>
      <c r="C3" s="378">
        <v>458</v>
      </c>
      <c r="D3" s="377">
        <v>463</v>
      </c>
      <c r="E3" s="377">
        <v>469</v>
      </c>
      <c r="F3" s="377">
        <v>475</v>
      </c>
      <c r="G3" s="377">
        <v>460</v>
      </c>
      <c r="H3" s="378">
        <v>459</v>
      </c>
      <c r="I3" s="292"/>
      <c r="J3" s="448"/>
    </row>
    <row r="4" spans="1:10" ht="16.5" customHeight="1">
      <c r="A4" s="531" t="s">
        <v>291</v>
      </c>
      <c r="B4" s="537"/>
      <c r="C4" s="537"/>
      <c r="D4" s="537"/>
      <c r="E4" s="537"/>
      <c r="F4" s="537"/>
      <c r="G4" s="537"/>
      <c r="H4" s="537"/>
      <c r="I4" s="533"/>
      <c r="J4" s="448"/>
    </row>
    <row r="5" spans="1:10" ht="16.5" customHeight="1">
      <c r="A5" s="275" t="s">
        <v>292</v>
      </c>
      <c r="B5" s="228"/>
      <c r="C5" s="228">
        <v>3309509</v>
      </c>
      <c r="D5" s="228">
        <v>3383955</v>
      </c>
      <c r="E5" s="228">
        <v>3620349</v>
      </c>
      <c r="F5" s="228">
        <v>3620349</v>
      </c>
      <c r="G5" s="228">
        <v>3746077</v>
      </c>
      <c r="H5" s="228">
        <v>3746077</v>
      </c>
      <c r="I5" s="143" t="s">
        <v>293</v>
      </c>
      <c r="J5" s="448" t="s">
        <v>294</v>
      </c>
    </row>
    <row r="6" spans="1:10" ht="15.75" customHeight="1">
      <c r="A6" s="130" t="s">
        <v>295</v>
      </c>
      <c r="B6" s="225"/>
      <c r="C6" s="228">
        <v>3265488</v>
      </c>
      <c r="D6" s="228">
        <v>3337250</v>
      </c>
      <c r="E6" s="228">
        <v>3573644</v>
      </c>
      <c r="F6" s="228">
        <v>3573644</v>
      </c>
      <c r="G6" s="228">
        <v>3699372</v>
      </c>
      <c r="H6" s="228">
        <v>3699372</v>
      </c>
      <c r="I6" s="143" t="s">
        <v>293</v>
      </c>
      <c r="J6" s="448" t="s">
        <v>296</v>
      </c>
    </row>
    <row r="7" spans="1:10" ht="15.75" customHeight="1">
      <c r="A7" s="447" t="s">
        <v>297</v>
      </c>
      <c r="B7" s="194"/>
      <c r="C7" s="279">
        <f>'Major Inputs'!D24</f>
        <v>0.16300000000000001</v>
      </c>
      <c r="D7" s="279">
        <f>'Major Inputs'!K24</f>
        <v>0.193</v>
      </c>
      <c r="E7" s="279">
        <f>'Major Inputs'!F24</f>
        <v>0.17399999999999999</v>
      </c>
      <c r="F7" s="279">
        <f>'Major Inputs'!I24</f>
        <v>0.2</v>
      </c>
      <c r="G7" s="279">
        <f>'Major Inputs'!G24</f>
        <v>0.17399999999999999</v>
      </c>
      <c r="H7" s="279">
        <f>'Major Inputs'!K24</f>
        <v>0.193</v>
      </c>
      <c r="I7" s="132" t="s">
        <v>293</v>
      </c>
      <c r="J7" s="448"/>
    </row>
    <row r="8" spans="1:10" ht="15.75" customHeight="1">
      <c r="A8" s="447" t="s">
        <v>298</v>
      </c>
      <c r="B8" s="267"/>
      <c r="C8" s="267"/>
      <c r="D8" s="267"/>
      <c r="E8" s="267"/>
      <c r="F8" s="267"/>
      <c r="G8" s="267"/>
      <c r="H8" s="267"/>
      <c r="I8" s="132" t="s">
        <v>293</v>
      </c>
      <c r="J8" s="448"/>
    </row>
    <row r="9" spans="1:10" ht="15.75" customHeight="1">
      <c r="A9" s="266" t="s">
        <v>299</v>
      </c>
      <c r="B9" s="228"/>
      <c r="C9" s="228">
        <v>61039.5</v>
      </c>
      <c r="D9" s="228">
        <v>64097</v>
      </c>
      <c r="E9" s="228">
        <v>67031</v>
      </c>
      <c r="F9" s="228">
        <v>67031</v>
      </c>
      <c r="G9" s="228">
        <v>70001</v>
      </c>
      <c r="H9" s="228">
        <v>70001</v>
      </c>
      <c r="I9" s="143" t="s">
        <v>293</v>
      </c>
      <c r="J9" s="448"/>
    </row>
    <row r="10" spans="1:10" ht="15.75" customHeight="1">
      <c r="A10" s="266" t="s">
        <v>300</v>
      </c>
      <c r="B10" s="228"/>
      <c r="C10" s="228">
        <v>1134848</v>
      </c>
      <c r="D10" s="228">
        <v>1166240</v>
      </c>
      <c r="E10" s="228">
        <v>1327588</v>
      </c>
      <c r="F10" s="228">
        <v>1327588</v>
      </c>
      <c r="G10" s="228">
        <v>1374841</v>
      </c>
      <c r="H10" s="228">
        <v>1374841</v>
      </c>
      <c r="I10" s="143" t="s">
        <v>293</v>
      </c>
      <c r="J10" s="448" t="s">
        <v>294</v>
      </c>
    </row>
    <row r="11" spans="1:10" ht="15.75" customHeight="1">
      <c r="A11" s="266" t="s">
        <v>301</v>
      </c>
      <c r="B11" s="228"/>
      <c r="C11" s="228">
        <v>1646419</v>
      </c>
      <c r="D11" s="228">
        <v>1704906</v>
      </c>
      <c r="E11" s="228">
        <v>1936818</v>
      </c>
      <c r="F11" s="228">
        <v>1922475</v>
      </c>
      <c r="G11" s="228">
        <v>2095301</v>
      </c>
      <c r="H11" s="228">
        <v>2087318</v>
      </c>
      <c r="I11" s="143" t="s">
        <v>293</v>
      </c>
      <c r="J11" s="448" t="s">
        <v>302</v>
      </c>
    </row>
    <row r="12" spans="1:10" ht="14.25" customHeight="1">
      <c r="A12" s="531" t="s">
        <v>303</v>
      </c>
      <c r="B12" s="532"/>
      <c r="C12" s="532"/>
      <c r="D12" s="532"/>
      <c r="E12" s="532"/>
      <c r="F12" s="532"/>
      <c r="G12" s="532"/>
      <c r="H12" s="532"/>
      <c r="I12" s="533"/>
      <c r="J12" s="448"/>
    </row>
    <row r="13" spans="1:10" ht="14.25" customHeight="1">
      <c r="A13" s="447" t="s">
        <v>304</v>
      </c>
      <c r="B13" s="131"/>
      <c r="C13" s="228">
        <v>824546</v>
      </c>
      <c r="D13" s="228">
        <v>799044</v>
      </c>
      <c r="E13" s="362" t="s">
        <v>80</v>
      </c>
      <c r="F13" s="228">
        <v>837043</v>
      </c>
      <c r="G13" s="362" t="s">
        <v>80</v>
      </c>
      <c r="H13" s="228">
        <v>837666</v>
      </c>
      <c r="I13" s="132" t="s">
        <v>305</v>
      </c>
      <c r="J13" s="448"/>
    </row>
    <row r="14" spans="1:10" ht="14.25" customHeight="1">
      <c r="A14" s="447" t="s">
        <v>306</v>
      </c>
      <c r="B14" s="225"/>
      <c r="C14" s="228">
        <v>1190554</v>
      </c>
      <c r="D14" s="228">
        <v>1226462</v>
      </c>
      <c r="E14" s="228">
        <v>1409867</v>
      </c>
      <c r="F14" s="228">
        <v>1409867</v>
      </c>
      <c r="G14" s="228">
        <v>1471300</v>
      </c>
      <c r="H14" s="228">
        <v>1471300</v>
      </c>
      <c r="I14" s="143" t="s">
        <v>293</v>
      </c>
      <c r="J14" s="448" t="s">
        <v>294</v>
      </c>
    </row>
    <row r="15" spans="1:10" ht="17.25" customHeight="1">
      <c r="A15" s="447" t="s">
        <v>307</v>
      </c>
      <c r="B15" s="225"/>
      <c r="C15" s="228">
        <v>717626</v>
      </c>
      <c r="D15" s="228">
        <v>722838</v>
      </c>
      <c r="E15" s="228">
        <v>760440</v>
      </c>
      <c r="F15" s="228">
        <v>734934</v>
      </c>
      <c r="G15" s="228">
        <v>771308</v>
      </c>
      <c r="H15" s="228">
        <v>738133</v>
      </c>
      <c r="I15" s="143" t="s">
        <v>293</v>
      </c>
      <c r="J15" s="448" t="s">
        <v>294</v>
      </c>
    </row>
    <row r="16" spans="1:10" ht="15.75" customHeight="1">
      <c r="A16" s="134" t="s">
        <v>308</v>
      </c>
      <c r="B16" s="251"/>
      <c r="C16" s="274">
        <v>0.60276644318499994</v>
      </c>
      <c r="D16" s="274">
        <v>0.58936844353899998</v>
      </c>
      <c r="E16" s="274">
        <v>0.53937002568299997</v>
      </c>
      <c r="F16" s="274">
        <v>0.52127895751800002</v>
      </c>
      <c r="G16" s="274">
        <v>0.52423570991599999</v>
      </c>
      <c r="H16" s="274">
        <v>0.50168762319000004</v>
      </c>
      <c r="I16" s="272" t="s">
        <v>309</v>
      </c>
      <c r="J16" s="448" t="s">
        <v>294</v>
      </c>
    </row>
    <row r="17" spans="1:10" ht="15.75" customHeight="1">
      <c r="A17" s="447" t="s">
        <v>310</v>
      </c>
      <c r="B17" s="225"/>
      <c r="C17" s="228">
        <v>430716</v>
      </c>
      <c r="D17" s="228">
        <v>461517</v>
      </c>
      <c r="E17" s="228">
        <v>607320</v>
      </c>
      <c r="F17" s="228">
        <v>632826</v>
      </c>
      <c r="G17" s="228">
        <v>657885</v>
      </c>
      <c r="H17" s="228">
        <v>691060</v>
      </c>
      <c r="I17" s="143" t="s">
        <v>311</v>
      </c>
      <c r="J17" s="448" t="s">
        <v>294</v>
      </c>
    </row>
    <row r="18" spans="1:10" ht="15.75" customHeight="1">
      <c r="A18" s="134" t="s">
        <v>312</v>
      </c>
      <c r="B18" s="251"/>
      <c r="C18" s="274">
        <v>0.36177779420299999</v>
      </c>
      <c r="D18" s="274">
        <v>0.37629946953100002</v>
      </c>
      <c r="E18" s="274">
        <v>0.43076403660700002</v>
      </c>
      <c r="F18" s="274">
        <v>0.44885510477200002</v>
      </c>
      <c r="G18" s="274">
        <v>0.44714538163500001</v>
      </c>
      <c r="H18" s="274">
        <v>0.46969346836100001</v>
      </c>
      <c r="I18" s="272" t="s">
        <v>313</v>
      </c>
      <c r="J18" s="448" t="s">
        <v>294</v>
      </c>
    </row>
    <row r="19" spans="1:10" ht="15.75" customHeight="1">
      <c r="A19" s="538" t="s">
        <v>314</v>
      </c>
      <c r="B19" s="532"/>
      <c r="C19" s="532"/>
      <c r="D19" s="532"/>
      <c r="E19" s="532"/>
      <c r="F19" s="532"/>
      <c r="G19" s="532"/>
      <c r="H19" s="532"/>
      <c r="I19" s="533"/>
      <c r="J19" s="448"/>
    </row>
    <row r="20" spans="1:10" ht="14.25" customHeight="1">
      <c r="A20" s="132" t="s">
        <v>315</v>
      </c>
      <c r="B20" s="131"/>
      <c r="C20" s="131"/>
      <c r="D20" s="131"/>
      <c r="E20" s="131"/>
      <c r="F20" s="131"/>
      <c r="G20" s="131"/>
      <c r="H20" s="131"/>
      <c r="I20" s="132" t="s">
        <v>293</v>
      </c>
      <c r="J20" s="448"/>
    </row>
    <row r="21" spans="1:10" ht="14.25" customHeight="1">
      <c r="A21" s="132" t="s">
        <v>316</v>
      </c>
      <c r="B21" s="131"/>
      <c r="C21" s="131"/>
      <c r="D21" s="131"/>
      <c r="E21" s="131"/>
      <c r="F21" s="131"/>
      <c r="G21" s="131"/>
      <c r="H21" s="131"/>
      <c r="I21" s="132" t="s">
        <v>293</v>
      </c>
      <c r="J21" s="448"/>
    </row>
    <row r="22" spans="1:10" ht="14.25" customHeight="1">
      <c r="A22" s="132" t="s">
        <v>317</v>
      </c>
      <c r="B22" s="131"/>
      <c r="C22" s="131"/>
      <c r="D22" s="131"/>
      <c r="E22" s="131"/>
      <c r="F22" s="131"/>
      <c r="G22" s="131"/>
      <c r="H22" s="131"/>
      <c r="I22" s="132" t="s">
        <v>293</v>
      </c>
      <c r="J22" s="448"/>
    </row>
    <row r="23" spans="1:10" ht="14.25" customHeight="1">
      <c r="A23" s="132" t="s">
        <v>318</v>
      </c>
      <c r="B23" s="131"/>
      <c r="C23" s="131"/>
      <c r="D23" s="131"/>
      <c r="E23" s="131"/>
      <c r="F23" s="131"/>
      <c r="G23" s="131"/>
      <c r="H23" s="131"/>
      <c r="I23" s="132" t="s">
        <v>293</v>
      </c>
      <c r="J23" s="448"/>
    </row>
    <row r="24" spans="1:10" ht="14.1" customHeight="1">
      <c r="A24" s="132" t="s">
        <v>319</v>
      </c>
      <c r="B24" s="131"/>
      <c r="C24" s="273"/>
      <c r="D24" s="273"/>
      <c r="E24" s="273"/>
      <c r="F24" s="273"/>
      <c r="G24" s="273"/>
      <c r="H24" s="273"/>
      <c r="I24" s="132" t="s">
        <v>293</v>
      </c>
      <c r="J24" s="448"/>
    </row>
    <row r="25" spans="1:10" ht="31.5" customHeight="1">
      <c r="A25" s="130" t="s">
        <v>320</v>
      </c>
      <c r="B25" s="225"/>
      <c r="C25" s="228">
        <v>124269</v>
      </c>
      <c r="D25" s="228">
        <v>146050</v>
      </c>
      <c r="E25" s="228">
        <v>208588</v>
      </c>
      <c r="F25" s="228">
        <v>492337</v>
      </c>
      <c r="G25" s="228">
        <v>227344</v>
      </c>
      <c r="H25" s="228">
        <v>549948</v>
      </c>
      <c r="I25" s="143" t="s">
        <v>305</v>
      </c>
      <c r="J25" s="448"/>
    </row>
    <row r="26" spans="1:10" ht="27" customHeight="1">
      <c r="A26" s="447" t="s">
        <v>321</v>
      </c>
      <c r="B26" s="225"/>
      <c r="C26" s="228">
        <v>349992</v>
      </c>
      <c r="D26" s="228">
        <v>367817</v>
      </c>
      <c r="E26" s="228">
        <v>430622</v>
      </c>
      <c r="F26" s="228">
        <v>876745</v>
      </c>
      <c r="G26" s="228">
        <v>463425</v>
      </c>
      <c r="H26" s="228">
        <v>996408</v>
      </c>
      <c r="I26" s="143" t="s">
        <v>305</v>
      </c>
      <c r="J26" s="448"/>
    </row>
    <row r="27" spans="1:10" ht="14.25" customHeight="1">
      <c r="A27" s="531" t="s">
        <v>322</v>
      </c>
      <c r="B27" s="532"/>
      <c r="C27" s="532"/>
      <c r="D27" s="532"/>
      <c r="E27" s="532"/>
      <c r="F27" s="532"/>
      <c r="G27" s="532"/>
      <c r="H27" s="532"/>
      <c r="I27" s="533"/>
      <c r="J27" s="448"/>
    </row>
    <row r="28" spans="1:10" ht="27" customHeight="1">
      <c r="A28" s="447" t="s">
        <v>323</v>
      </c>
      <c r="B28" s="130"/>
      <c r="C28" s="228">
        <v>2414.3451810000001</v>
      </c>
      <c r="D28" s="228">
        <v>2416.226416</v>
      </c>
      <c r="E28" s="228">
        <v>2427.3430659999999</v>
      </c>
      <c r="F28" s="228">
        <v>2223.46261</v>
      </c>
      <c r="G28" s="228">
        <v>2475.6871820000001</v>
      </c>
      <c r="H28" s="228">
        <v>2121.5789789999999</v>
      </c>
      <c r="I28" s="132" t="s">
        <v>293</v>
      </c>
      <c r="J28" s="448"/>
    </row>
    <row r="29" spans="1:10" ht="15.75" customHeight="1">
      <c r="A29" s="447" t="s">
        <v>324</v>
      </c>
      <c r="B29" s="133"/>
      <c r="C29" s="228">
        <v>45.402824000000003</v>
      </c>
      <c r="D29" s="228">
        <v>46.836315999999997</v>
      </c>
      <c r="E29" s="228">
        <v>55.227316000000002</v>
      </c>
      <c r="F29" s="228">
        <v>55.227316000000002</v>
      </c>
      <c r="G29" s="228">
        <v>6.8832000000000004</v>
      </c>
      <c r="H29" s="228">
        <v>6.8832000000000004</v>
      </c>
      <c r="I29" s="132" t="s">
        <v>293</v>
      </c>
      <c r="J29" s="448"/>
    </row>
    <row r="30" spans="1:10" ht="14.25" customHeight="1">
      <c r="A30" s="447" t="s">
        <v>325</v>
      </c>
      <c r="B30" s="133"/>
      <c r="C30" s="228">
        <v>116.05321499999999</v>
      </c>
      <c r="D30" s="228">
        <v>116.205884</v>
      </c>
      <c r="E30" s="228">
        <v>143.37826899999999</v>
      </c>
      <c r="F30" s="228">
        <v>565.28315299999997</v>
      </c>
      <c r="G30" s="228">
        <v>143.37826899999999</v>
      </c>
      <c r="H30" s="228">
        <v>821.03871400000003</v>
      </c>
      <c r="I30" s="132" t="s">
        <v>293</v>
      </c>
      <c r="J30" s="448"/>
    </row>
    <row r="31" spans="1:10" ht="17.25" customHeight="1">
      <c r="A31" s="447" t="s">
        <v>326</v>
      </c>
      <c r="B31" s="133"/>
      <c r="C31" s="228">
        <v>4173.8281809999999</v>
      </c>
      <c r="D31" s="228">
        <v>4307.9660509999803</v>
      </c>
      <c r="E31" s="228">
        <v>4685.29584599999</v>
      </c>
      <c r="F31" s="228">
        <v>4730.6369109999896</v>
      </c>
      <c r="G31" s="228">
        <v>4710.5834709999899</v>
      </c>
      <c r="H31" s="228">
        <v>4875.0576389999796</v>
      </c>
      <c r="I31" s="132" t="s">
        <v>293</v>
      </c>
      <c r="J31" s="448"/>
    </row>
    <row r="32" spans="1:10" ht="14.25" customHeight="1">
      <c r="A32" s="447" t="s">
        <v>327</v>
      </c>
      <c r="B32" s="131"/>
      <c r="C32" s="228">
        <v>4025.5345899999902</v>
      </c>
      <c r="D32" s="228">
        <v>4079.7617419999901</v>
      </c>
      <c r="E32" s="228">
        <v>4270.5762910000003</v>
      </c>
      <c r="F32" s="228">
        <v>4275.7490420000004</v>
      </c>
      <c r="G32" s="228">
        <v>4291.9007430000102</v>
      </c>
      <c r="H32" s="228">
        <v>4436.7142279999998</v>
      </c>
      <c r="I32" s="132" t="s">
        <v>293</v>
      </c>
      <c r="J32" s="448"/>
    </row>
    <row r="33" spans="1:10" ht="25.5" customHeight="1">
      <c r="A33" s="447" t="s">
        <v>328</v>
      </c>
      <c r="B33" s="539" t="s">
        <v>329</v>
      </c>
      <c r="C33" s="540"/>
      <c r="D33" s="540"/>
      <c r="E33" s="540"/>
      <c r="F33" s="540"/>
      <c r="G33" s="540"/>
      <c r="H33" s="541"/>
      <c r="I33" s="132" t="s">
        <v>293</v>
      </c>
      <c r="J33" s="448"/>
    </row>
    <row r="34" spans="1:10">
      <c r="A34" s="447" t="s">
        <v>330</v>
      </c>
      <c r="B34" s="133"/>
      <c r="C34" s="228">
        <v>94415.782066102198</v>
      </c>
      <c r="D34" s="228">
        <v>96080.949349757793</v>
      </c>
      <c r="E34" s="228">
        <v>97489.897617376802</v>
      </c>
      <c r="F34" s="228">
        <v>242765.36610669701</v>
      </c>
      <c r="G34" s="228">
        <v>97529.191194091094</v>
      </c>
      <c r="H34" s="228">
        <v>262981.91250969702</v>
      </c>
      <c r="I34" s="132" t="s">
        <v>293</v>
      </c>
      <c r="J34" s="448"/>
    </row>
    <row r="35" spans="1:10" ht="15" customHeight="1">
      <c r="A35" s="447" t="s">
        <v>331</v>
      </c>
      <c r="B35" s="133"/>
      <c r="C35" s="228">
        <v>6458.4662794086998</v>
      </c>
      <c r="D35" s="228">
        <v>6458.3994461142202</v>
      </c>
      <c r="E35" s="228">
        <v>6654.8872241172403</v>
      </c>
      <c r="F35" s="228">
        <v>14300.290388192399</v>
      </c>
      <c r="G35" s="228">
        <v>6723.8097727796303</v>
      </c>
      <c r="H35" s="228">
        <v>15105.273955821</v>
      </c>
      <c r="I35" s="132" t="s">
        <v>293</v>
      </c>
      <c r="J35" s="448"/>
    </row>
    <row r="36" spans="1:10" ht="32.1" customHeight="1">
      <c r="A36" s="447" t="s">
        <v>332</v>
      </c>
      <c r="B36" s="133"/>
      <c r="C36" s="228">
        <v>2469.8804201721291</v>
      </c>
      <c r="D36" s="228">
        <v>2656.9845076186371</v>
      </c>
      <c r="E36" s="228">
        <v>2739.3505001173776</v>
      </c>
      <c r="F36" s="228">
        <v>2912.4037794275241</v>
      </c>
      <c r="G36" s="228">
        <v>2739.350500117378</v>
      </c>
      <c r="H36" s="228">
        <v>3338.9068865124636</v>
      </c>
      <c r="I36" s="132" t="s">
        <v>293</v>
      </c>
      <c r="J36" s="448"/>
    </row>
    <row r="37" spans="1:10" ht="14.25" customHeight="1">
      <c r="A37" s="531" t="s">
        <v>333</v>
      </c>
      <c r="B37" s="532"/>
      <c r="C37" s="532"/>
      <c r="D37" s="532"/>
      <c r="E37" s="532"/>
      <c r="F37" s="532"/>
      <c r="G37" s="532"/>
      <c r="H37" s="532"/>
      <c r="I37" s="533"/>
      <c r="J37" s="448"/>
    </row>
    <row r="38" spans="1:10" ht="15" customHeight="1">
      <c r="A38" s="447" t="s">
        <v>334</v>
      </c>
      <c r="B38" s="195"/>
      <c r="C38" s="195">
        <v>1.8576189974990001</v>
      </c>
      <c r="D38" s="195">
        <v>1.8609764674189999</v>
      </c>
      <c r="E38" s="195">
        <v>1.78792859364</v>
      </c>
      <c r="F38" s="195">
        <v>1.746865109172</v>
      </c>
      <c r="G38" s="195">
        <v>1.7800928040770001</v>
      </c>
      <c r="H38" s="195">
        <v>1.7284124045589999</v>
      </c>
      <c r="I38" s="132" t="s">
        <v>335</v>
      </c>
      <c r="J38" s="448"/>
    </row>
    <row r="39" spans="1:10" ht="15.75" customHeight="1">
      <c r="A39" s="447" t="s">
        <v>336</v>
      </c>
      <c r="B39" s="133"/>
      <c r="C39" s="133"/>
      <c r="D39" s="133"/>
      <c r="E39" s="133"/>
      <c r="F39" s="133"/>
      <c r="G39" s="133"/>
      <c r="H39" s="133"/>
      <c r="I39" s="132" t="s">
        <v>335</v>
      </c>
      <c r="J39" s="448"/>
    </row>
    <row r="40" spans="1:10" ht="14.25" customHeight="1">
      <c r="A40" s="132" t="s">
        <v>271</v>
      </c>
      <c r="B40" s="196"/>
      <c r="C40" s="196">
        <v>7.5980312855702072</v>
      </c>
      <c r="D40" s="196">
        <v>7.4279021753806793</v>
      </c>
      <c r="E40" s="196">
        <v>7.3538708244332396</v>
      </c>
      <c r="F40" s="196">
        <v>7.2325889651564079</v>
      </c>
      <c r="G40" s="196">
        <v>7.3455306541632774</v>
      </c>
      <c r="H40" s="196">
        <v>7.2533720588526913</v>
      </c>
      <c r="I40" s="132" t="s">
        <v>335</v>
      </c>
      <c r="J40" s="543" t="s">
        <v>337</v>
      </c>
    </row>
    <row r="41" spans="1:10" ht="14.25" customHeight="1">
      <c r="A41" s="132" t="s">
        <v>338</v>
      </c>
      <c r="B41" s="196"/>
      <c r="C41" s="196">
        <v>5.7202229033083372</v>
      </c>
      <c r="D41" s="196">
        <v>5.5747938211294761</v>
      </c>
      <c r="E41" s="196">
        <v>5.7077897713752703</v>
      </c>
      <c r="F41" s="196">
        <v>5.5376784758932081</v>
      </c>
      <c r="G41" s="196">
        <v>5.7340248233899729</v>
      </c>
      <c r="H41" s="196">
        <v>5.5602883672402648</v>
      </c>
      <c r="I41" s="132" t="s">
        <v>335</v>
      </c>
      <c r="J41" s="544"/>
    </row>
    <row r="42" spans="1:10" ht="14.25" customHeight="1">
      <c r="A42" s="132" t="s">
        <v>339</v>
      </c>
      <c r="B42" s="196"/>
      <c r="C42" s="196">
        <v>5.6632615064496754</v>
      </c>
      <c r="D42" s="196">
        <v>5.4686386963555798</v>
      </c>
      <c r="E42" s="196">
        <v>5.6938437055535189</v>
      </c>
      <c r="F42" s="196">
        <v>5.766814993241165</v>
      </c>
      <c r="G42" s="196">
        <v>5.7029405971694809</v>
      </c>
      <c r="H42" s="196">
        <v>5.9403381687497321</v>
      </c>
      <c r="I42" s="132"/>
      <c r="J42" s="544"/>
    </row>
    <row r="43" spans="1:10" ht="14.25" customHeight="1">
      <c r="A43" s="132" t="s">
        <v>340</v>
      </c>
      <c r="B43" s="196"/>
      <c r="C43" s="196">
        <v>13.72581365600206</v>
      </c>
      <c r="D43" s="196">
        <v>13.85214664563409</v>
      </c>
      <c r="E43" s="196">
        <v>13.755961073934451</v>
      </c>
      <c r="F43" s="196">
        <v>15.72271335826675</v>
      </c>
      <c r="G43" s="196">
        <v>13.84684164098562</v>
      </c>
      <c r="H43" s="196">
        <v>15.47405856472472</v>
      </c>
      <c r="I43" s="132" t="s">
        <v>335</v>
      </c>
      <c r="J43" s="544"/>
    </row>
    <row r="44" spans="1:10" ht="25.35" customHeight="1">
      <c r="A44" s="132" t="s">
        <v>341</v>
      </c>
      <c r="B44" s="196"/>
      <c r="C44" s="196">
        <v>7.7869088149794941</v>
      </c>
      <c r="D44" s="196">
        <v>7.8931186609596189</v>
      </c>
      <c r="E44" s="196">
        <v>7.7951280187308072</v>
      </c>
      <c r="F44" s="196">
        <v>8.2425043910946592</v>
      </c>
      <c r="G44" s="196">
        <v>7.8182426730810839</v>
      </c>
      <c r="H44" s="196">
        <v>8.2598075751791278</v>
      </c>
      <c r="I44" s="132"/>
      <c r="J44" s="544"/>
    </row>
    <row r="45" spans="1:10" ht="14.25" customHeight="1">
      <c r="A45" s="132" t="s">
        <v>342</v>
      </c>
      <c r="B45" s="196"/>
      <c r="C45" s="196">
        <v>2.8541357980003719</v>
      </c>
      <c r="D45" s="196">
        <v>2.9805282479694348</v>
      </c>
      <c r="E45" s="196">
        <v>3.0138240346780298</v>
      </c>
      <c r="F45" s="196">
        <v>3.5575607232609712</v>
      </c>
      <c r="G45" s="196">
        <v>2.9607838338518189</v>
      </c>
      <c r="H45" s="196">
        <v>4.1004329108323718</v>
      </c>
      <c r="I45" s="132" t="s">
        <v>335</v>
      </c>
      <c r="J45" s="544"/>
    </row>
    <row r="46" spans="1:10" ht="14.25" customHeight="1">
      <c r="A46" s="146" t="s">
        <v>8</v>
      </c>
      <c r="B46" s="197"/>
      <c r="C46" s="197">
        <v>0.78360762172759435</v>
      </c>
      <c r="D46" s="197">
        <v>0.78189567657876302</v>
      </c>
      <c r="E46" s="197">
        <v>0.7687769539797995</v>
      </c>
      <c r="F46" s="197">
        <v>0.7467495127368976</v>
      </c>
      <c r="G46" s="197">
        <v>0.76804015792624269</v>
      </c>
      <c r="H46" s="197">
        <v>0.75256167250154693</v>
      </c>
      <c r="I46" s="132" t="s">
        <v>335</v>
      </c>
      <c r="J46" s="544"/>
    </row>
    <row r="47" spans="1:10" ht="14.25" customHeight="1">
      <c r="A47" s="147" t="s">
        <v>343</v>
      </c>
      <c r="B47" s="198"/>
      <c r="C47" s="198">
        <v>6.1958657183475392</v>
      </c>
      <c r="D47" s="198">
        <v>6.0164055261214084</v>
      </c>
      <c r="E47" s="198">
        <v>6.0375741730094319</v>
      </c>
      <c r="F47" s="198">
        <v>5.8697318829799157</v>
      </c>
      <c r="G47" s="198">
        <v>6.0309174690502134</v>
      </c>
      <c r="H47" s="198">
        <v>5.8361004820809406</v>
      </c>
      <c r="I47" s="143"/>
      <c r="J47" s="144"/>
    </row>
    <row r="48" spans="1:10" ht="14.25" customHeight="1">
      <c r="A48" s="545" t="s">
        <v>344</v>
      </c>
      <c r="B48" s="537"/>
      <c r="C48" s="537"/>
      <c r="D48" s="537"/>
      <c r="E48" s="537"/>
      <c r="F48" s="537"/>
      <c r="G48" s="537"/>
      <c r="H48" s="537"/>
      <c r="I48" s="546"/>
      <c r="J48" s="448"/>
    </row>
    <row r="49" spans="1:10" ht="14.25" customHeight="1">
      <c r="A49" s="132" t="s">
        <v>345</v>
      </c>
      <c r="B49" s="196"/>
      <c r="C49" s="196">
        <v>25.074147702043071</v>
      </c>
      <c r="D49" s="196">
        <v>25.17911291249283</v>
      </c>
      <c r="E49" s="196">
        <v>25.44211537157382</v>
      </c>
      <c r="F49" s="196">
        <v>26.78651235246932</v>
      </c>
      <c r="G49" s="196">
        <v>26.123166737774149</v>
      </c>
      <c r="H49" s="196">
        <v>27.400695426731389</v>
      </c>
      <c r="I49" s="132" t="s">
        <v>335</v>
      </c>
      <c r="J49" s="145" t="s">
        <v>346</v>
      </c>
    </row>
    <row r="50" spans="1:10" ht="14.25" customHeight="1">
      <c r="A50" s="132" t="s">
        <v>347</v>
      </c>
      <c r="B50" s="196"/>
      <c r="C50" s="196">
        <v>14.232599038792049</v>
      </c>
      <c r="D50" s="196">
        <v>14.087855483263439</v>
      </c>
      <c r="E50" s="196">
        <v>14.704666723466181</v>
      </c>
      <c r="F50" s="196">
        <v>14.28178313456999</v>
      </c>
      <c r="G50" s="196">
        <v>14.896929390689801</v>
      </c>
      <c r="H50" s="196">
        <v>14.41855779392672</v>
      </c>
      <c r="I50" s="132" t="s">
        <v>335</v>
      </c>
      <c r="J50" s="145"/>
    </row>
    <row r="51" spans="1:10" ht="14.25" customHeight="1">
      <c r="A51" s="538" t="s">
        <v>348</v>
      </c>
      <c r="B51" s="532"/>
      <c r="C51" s="532"/>
      <c r="D51" s="532"/>
      <c r="E51" s="532"/>
      <c r="F51" s="532"/>
      <c r="G51" s="532"/>
      <c r="H51" s="532"/>
      <c r="I51" s="533"/>
      <c r="J51" s="448"/>
    </row>
    <row r="52" spans="1:10" ht="14.25" customHeight="1">
      <c r="A52" s="132" t="s">
        <v>271</v>
      </c>
      <c r="B52" s="196"/>
      <c r="C52" s="196">
        <v>15.861896509093331</v>
      </c>
      <c r="D52" s="196">
        <v>15.72191820258924</v>
      </c>
      <c r="E52" s="196">
        <v>16.014539514664659</v>
      </c>
      <c r="F52" s="196">
        <v>14.69870000954216</v>
      </c>
      <c r="G52" s="196">
        <v>16.279748963935671</v>
      </c>
      <c r="H52" s="196">
        <v>14.741273918097461</v>
      </c>
      <c r="I52" s="132" t="s">
        <v>335</v>
      </c>
      <c r="J52" s="448"/>
    </row>
    <row r="53" spans="1:10" ht="14.25" customHeight="1">
      <c r="A53" s="132" t="s">
        <v>338</v>
      </c>
      <c r="B53" s="196"/>
      <c r="C53" s="196">
        <v>12.66582071731059</v>
      </c>
      <c r="D53" s="196">
        <v>12.499276951122249</v>
      </c>
      <c r="E53" s="196">
        <v>13.06905696258398</v>
      </c>
      <c r="F53" s="196">
        <v>11.98610662420154</v>
      </c>
      <c r="G53" s="196">
        <v>13.29736363286186</v>
      </c>
      <c r="H53" s="196">
        <v>12.03634346011876</v>
      </c>
      <c r="I53" s="132" t="s">
        <v>335</v>
      </c>
      <c r="J53" s="448"/>
    </row>
    <row r="54" spans="1:10" ht="14.25" customHeight="1">
      <c r="A54" s="132" t="s">
        <v>339</v>
      </c>
      <c r="B54" s="196"/>
      <c r="C54" s="196">
        <v>12.43256626480863</v>
      </c>
      <c r="D54" s="196">
        <v>12.157334187425469</v>
      </c>
      <c r="E54" s="196">
        <v>12.830419904818649</v>
      </c>
      <c r="F54" s="196">
        <v>11.927473801336021</v>
      </c>
      <c r="G54" s="196">
        <v>12.99980029214756</v>
      </c>
      <c r="H54" s="196">
        <v>12.105728322142051</v>
      </c>
      <c r="I54" s="132" t="s">
        <v>335</v>
      </c>
      <c r="J54" s="448"/>
    </row>
    <row r="55" spans="1:10" ht="14.25" customHeight="1">
      <c r="A55" s="132" t="s">
        <v>340</v>
      </c>
      <c r="B55" s="196"/>
      <c r="C55" s="196">
        <v>53.610409910034917</v>
      </c>
      <c r="D55" s="196">
        <v>52.47580508298006</v>
      </c>
      <c r="E55" s="196">
        <v>52.190521610080182</v>
      </c>
      <c r="F55" s="196">
        <v>49.168580205259097</v>
      </c>
      <c r="G55" s="196">
        <v>52.349780014604001</v>
      </c>
      <c r="H55" s="196">
        <v>46.399296921313741</v>
      </c>
      <c r="I55" s="132" t="s">
        <v>335</v>
      </c>
      <c r="J55" s="448"/>
    </row>
    <row r="56" spans="1:10" ht="27" customHeight="1">
      <c r="A56" s="132" t="s">
        <v>341</v>
      </c>
      <c r="B56" s="196"/>
      <c r="C56" s="196">
        <v>53.164625806141721</v>
      </c>
      <c r="D56" s="196">
        <v>52.441109444365317</v>
      </c>
      <c r="E56" s="196">
        <v>51.275089624247613</v>
      </c>
      <c r="F56" s="196">
        <v>45.156145278842729</v>
      </c>
      <c r="G56" s="196">
        <v>51.560400163104063</v>
      </c>
      <c r="H56" s="196">
        <v>43.580795690549067</v>
      </c>
      <c r="I56" s="132" t="s">
        <v>335</v>
      </c>
      <c r="J56" s="448"/>
    </row>
    <row r="57" spans="1:10" ht="14.25" customHeight="1">
      <c r="A57" s="132" t="s">
        <v>342</v>
      </c>
      <c r="B57" s="196"/>
      <c r="C57" s="196">
        <v>17.124814785942231</v>
      </c>
      <c r="D57" s="196">
        <v>17.278420316261769</v>
      </c>
      <c r="E57" s="196">
        <v>18.0829442079519</v>
      </c>
      <c r="F57" s="196">
        <v>18.089306883016821</v>
      </c>
      <c r="G57" s="196">
        <v>17.764703001068259</v>
      </c>
      <c r="H57" s="196">
        <v>18.63831277722997</v>
      </c>
      <c r="I57" s="132" t="s">
        <v>335</v>
      </c>
      <c r="J57" s="448"/>
    </row>
    <row r="58" spans="1:10" ht="14.25" customHeight="1">
      <c r="A58" s="132" t="s">
        <v>8</v>
      </c>
      <c r="B58" s="196"/>
      <c r="C58" s="196">
        <v>15.672152433301591</v>
      </c>
      <c r="D58" s="196">
        <v>15.637913528019061</v>
      </c>
      <c r="E58" s="196">
        <v>15.375539080161611</v>
      </c>
      <c r="F58" s="196">
        <v>14.93499025584984</v>
      </c>
      <c r="G58" s="196">
        <v>15.360803158352001</v>
      </c>
      <c r="H58" s="196">
        <v>15.05123345097312</v>
      </c>
      <c r="I58" s="132" t="s">
        <v>335</v>
      </c>
      <c r="J58" s="448"/>
    </row>
    <row r="59" spans="1:10" ht="14.25" customHeight="1">
      <c r="A59" s="136" t="s">
        <v>343</v>
      </c>
      <c r="B59" s="196"/>
      <c r="C59" s="196">
        <v>14.938370072061209</v>
      </c>
      <c r="D59" s="196">
        <v>14.79947052540086</v>
      </c>
      <c r="E59" s="196">
        <v>15.395462938987389</v>
      </c>
      <c r="F59" s="196">
        <v>15.069876998738859</v>
      </c>
      <c r="G59" s="196">
        <v>15.61442723369538</v>
      </c>
      <c r="H59" s="196">
        <v>15.21819092307728</v>
      </c>
      <c r="I59" s="132"/>
      <c r="J59" s="448"/>
    </row>
    <row r="60" spans="1:10" ht="27.75" customHeight="1">
      <c r="A60" s="447" t="s">
        <v>349</v>
      </c>
      <c r="B60" s="133"/>
      <c r="C60" s="270"/>
      <c r="D60" s="270"/>
      <c r="E60" s="270"/>
      <c r="F60" s="270"/>
      <c r="G60" s="270"/>
      <c r="H60" s="270"/>
      <c r="I60" s="132" t="s">
        <v>335</v>
      </c>
      <c r="J60" s="448"/>
    </row>
    <row r="61" spans="1:10">
      <c r="A61" s="132" t="s">
        <v>271</v>
      </c>
      <c r="B61" s="199"/>
      <c r="C61" s="271">
        <v>15.079097546208819</v>
      </c>
      <c r="D61" s="271">
        <v>14.88000678484037</v>
      </c>
      <c r="E61" s="271">
        <v>15.178969072542319</v>
      </c>
      <c r="F61" s="271">
        <v>14.018260190860349</v>
      </c>
      <c r="G61" s="271">
        <v>15.473997676945849</v>
      </c>
      <c r="H61" s="271">
        <v>14.21782558327277</v>
      </c>
      <c r="I61" s="143" t="s">
        <v>335</v>
      </c>
      <c r="J61" s="448"/>
    </row>
    <row r="62" spans="1:10">
      <c r="A62" s="132" t="s">
        <v>338</v>
      </c>
      <c r="B62" s="199"/>
      <c r="C62" s="271">
        <v>12.28483956859573</v>
      </c>
      <c r="D62" s="271">
        <v>12.08523769890377</v>
      </c>
      <c r="E62" s="271">
        <v>12.71350759053338</v>
      </c>
      <c r="F62" s="271">
        <v>11.632997158875501</v>
      </c>
      <c r="G62" s="271">
        <v>12.97877401135697</v>
      </c>
      <c r="H62" s="271">
        <v>11.71182607626001</v>
      </c>
      <c r="I62" s="143" t="s">
        <v>335</v>
      </c>
      <c r="J62" s="448"/>
    </row>
    <row r="63" spans="1:10">
      <c r="A63" s="132" t="s">
        <v>339</v>
      </c>
      <c r="B63" s="199"/>
      <c r="C63" s="271">
        <v>11.98588260430521</v>
      </c>
      <c r="D63" s="271">
        <v>11.659775303302119</v>
      </c>
      <c r="E63" s="271">
        <v>12.365183243768451</v>
      </c>
      <c r="F63" s="271">
        <v>11.424317511424841</v>
      </c>
      <c r="G63" s="271">
        <v>12.540649013162721</v>
      </c>
      <c r="H63" s="271">
        <v>11.592602335244591</v>
      </c>
      <c r="I63" s="143" t="s">
        <v>335</v>
      </c>
      <c r="J63" s="448"/>
    </row>
    <row r="64" spans="1:10" ht="15" customHeight="1">
      <c r="A64" s="132" t="s">
        <v>340</v>
      </c>
      <c r="B64" s="199"/>
      <c r="C64" s="271">
        <v>52.045196433399617</v>
      </c>
      <c r="D64" s="271">
        <v>51.141575837987013</v>
      </c>
      <c r="E64" s="271">
        <v>50.670250385462019</v>
      </c>
      <c r="F64" s="271">
        <v>49.168918625071292</v>
      </c>
      <c r="G64" s="271">
        <v>51.066357751370937</v>
      </c>
      <c r="H64" s="271">
        <v>46.433393967820521</v>
      </c>
      <c r="I64" s="143" t="s">
        <v>335</v>
      </c>
      <c r="J64" s="448"/>
    </row>
    <row r="65" spans="1:10" ht="25.5" customHeight="1">
      <c r="A65" s="132" t="s">
        <v>341</v>
      </c>
      <c r="B65" s="199"/>
      <c r="C65" s="271">
        <v>53.002837527794782</v>
      </c>
      <c r="D65" s="271">
        <v>52.254447512029728</v>
      </c>
      <c r="E65" s="271">
        <v>50.917686072421837</v>
      </c>
      <c r="F65" s="271">
        <v>45.73417396360076</v>
      </c>
      <c r="G65" s="271">
        <v>51.120310469540499</v>
      </c>
      <c r="H65" s="271">
        <v>43.859536237394039</v>
      </c>
      <c r="I65" s="143" t="s">
        <v>335</v>
      </c>
      <c r="J65" s="448"/>
    </row>
    <row r="66" spans="1:10">
      <c r="A66" s="132" t="s">
        <v>342</v>
      </c>
      <c r="B66" s="199"/>
      <c r="C66" s="271">
        <v>18.71091199363655</v>
      </c>
      <c r="D66" s="271">
        <v>19.187080825764681</v>
      </c>
      <c r="E66" s="271">
        <v>19.96457332338214</v>
      </c>
      <c r="F66" s="271">
        <v>19.965476098803119</v>
      </c>
      <c r="G66" s="271">
        <v>19.770681012951119</v>
      </c>
      <c r="H66" s="271">
        <v>20.695373255022009</v>
      </c>
      <c r="I66" s="143" t="s">
        <v>335</v>
      </c>
      <c r="J66" s="448"/>
    </row>
    <row r="67" spans="1:10">
      <c r="A67" s="132" t="s">
        <v>8</v>
      </c>
      <c r="B67" s="199"/>
      <c r="C67" s="271">
        <v>16.20634073338762</v>
      </c>
      <c r="D67" s="271">
        <v>16.264682156363101</v>
      </c>
      <c r="E67" s="271">
        <v>15.973694277688381</v>
      </c>
      <c r="F67" s="271">
        <v>15.47277723585581</v>
      </c>
      <c r="G67" s="271">
        <v>15.97438804691113</v>
      </c>
      <c r="H67" s="271">
        <v>15.624277151900831</v>
      </c>
      <c r="I67" s="143" t="s">
        <v>335</v>
      </c>
      <c r="J67" s="448"/>
    </row>
    <row r="68" spans="1:10">
      <c r="A68" s="132" t="s">
        <v>343</v>
      </c>
      <c r="B68" s="199"/>
      <c r="C68" s="271">
        <v>14.69664883134692</v>
      </c>
      <c r="D68" s="271">
        <v>14.536475780472751</v>
      </c>
      <c r="E68" s="271">
        <v>15.237461535280911</v>
      </c>
      <c r="F68" s="271">
        <v>15.983820255269819</v>
      </c>
      <c r="G68" s="271">
        <v>15.479716554610439</v>
      </c>
      <c r="H68" s="271">
        <v>16.29905838566334</v>
      </c>
      <c r="I68" s="143" t="s">
        <v>335</v>
      </c>
      <c r="J68" s="448"/>
    </row>
    <row r="69" spans="1:10" ht="14.25" customHeight="1">
      <c r="A69" s="538" t="s">
        <v>350</v>
      </c>
      <c r="B69" s="532"/>
      <c r="C69" s="532"/>
      <c r="D69" s="532"/>
      <c r="E69" s="532"/>
      <c r="F69" s="532"/>
      <c r="G69" s="532"/>
      <c r="H69" s="532"/>
      <c r="I69" s="533"/>
      <c r="J69" s="448"/>
    </row>
    <row r="70" spans="1:10" ht="14.25" customHeight="1">
      <c r="A70" s="132" t="s">
        <v>271</v>
      </c>
      <c r="B70" s="200"/>
      <c r="C70" s="269">
        <v>0.4469264363384316</v>
      </c>
      <c r="D70" s="269">
        <v>0.44533733497520561</v>
      </c>
      <c r="E70" s="269">
        <v>0.46854624991537502</v>
      </c>
      <c r="F70" s="269">
        <v>0.40733874761047162</v>
      </c>
      <c r="G70" s="269">
        <v>0.47193671164228612</v>
      </c>
      <c r="H70" s="269">
        <v>0.3859709323706278</v>
      </c>
      <c r="I70" s="143" t="s">
        <v>335</v>
      </c>
      <c r="J70" s="543" t="s">
        <v>351</v>
      </c>
    </row>
    <row r="71" spans="1:10" ht="14.25" customHeight="1">
      <c r="A71" s="132" t="s">
        <v>338</v>
      </c>
      <c r="B71" s="200"/>
      <c r="C71" s="269">
        <v>0.2454953927073166</v>
      </c>
      <c r="D71" s="269">
        <v>0.2450216349036699</v>
      </c>
      <c r="E71" s="269">
        <v>0.23561775213920819</v>
      </c>
      <c r="F71" s="269">
        <v>0.23805168816689601</v>
      </c>
      <c r="G71" s="269">
        <v>0.2355423809114196</v>
      </c>
      <c r="H71" s="269">
        <v>0.2380264364184454</v>
      </c>
      <c r="I71" s="143" t="s">
        <v>293</v>
      </c>
      <c r="J71" s="544"/>
    </row>
    <row r="72" spans="1:10" ht="14.25" customHeight="1">
      <c r="A72" s="132" t="s">
        <v>339</v>
      </c>
      <c r="B72" s="200"/>
      <c r="C72" s="269">
        <v>0.19654052719017001</v>
      </c>
      <c r="D72" s="269">
        <v>0.1910461434162205</v>
      </c>
      <c r="E72" s="269">
        <v>0.1608136615737964</v>
      </c>
      <c r="F72" s="269">
        <v>0.1665338350790338</v>
      </c>
      <c r="G72" s="269">
        <v>0.15479087189506249</v>
      </c>
      <c r="H72" s="269">
        <v>0.16573864254378021</v>
      </c>
      <c r="I72" s="143" t="s">
        <v>335</v>
      </c>
      <c r="J72" s="544"/>
    </row>
    <row r="73" spans="1:10" ht="14.25" customHeight="1">
      <c r="A73" s="132" t="s">
        <v>340</v>
      </c>
      <c r="B73" s="200"/>
      <c r="C73" s="269">
        <v>2.7379868613489288E-3</v>
      </c>
      <c r="D73" s="269">
        <v>2.9114467142473269E-3</v>
      </c>
      <c r="E73" s="269">
        <v>3.30352279934176E-3</v>
      </c>
      <c r="F73" s="269">
        <v>6.8608218356642162E-3</v>
      </c>
      <c r="G73" s="269">
        <v>3.2531953865585811E-3</v>
      </c>
      <c r="H73" s="269">
        <v>7.9772824977857419E-3</v>
      </c>
      <c r="I73" s="143" t="s">
        <v>293</v>
      </c>
      <c r="J73" s="544"/>
    </row>
    <row r="74" spans="1:10" ht="25.7" customHeight="1">
      <c r="A74" s="132" t="s">
        <v>341</v>
      </c>
      <c r="B74" s="200"/>
      <c r="C74" s="269">
        <v>1.323885140667558E-2</v>
      </c>
      <c r="D74" s="269">
        <v>1.3261626244435399E-2</v>
      </c>
      <c r="E74" s="269">
        <v>1.5666792925228039E-2</v>
      </c>
      <c r="F74" s="269">
        <v>4.0466677625440109E-2</v>
      </c>
      <c r="G74" s="269">
        <v>1.547871680430628E-2</v>
      </c>
      <c r="H74" s="269">
        <v>4.3686647640456419E-2</v>
      </c>
      <c r="I74" s="143" t="s">
        <v>335</v>
      </c>
      <c r="J74" s="544"/>
    </row>
    <row r="75" spans="1:10" ht="14.25" customHeight="1">
      <c r="A75" s="132" t="s">
        <v>342</v>
      </c>
      <c r="B75" s="200"/>
      <c r="C75" s="269">
        <v>8.2112759986675745E-3</v>
      </c>
      <c r="D75" s="269">
        <v>9.2431200521777314E-3</v>
      </c>
      <c r="E75" s="269">
        <v>9.5109262675173809E-3</v>
      </c>
      <c r="F75" s="269">
        <v>1.4416279860815539E-2</v>
      </c>
      <c r="G75" s="269">
        <v>9.3897118358442569E-3</v>
      </c>
      <c r="H75" s="269">
        <v>1.8771333267725711E-2</v>
      </c>
      <c r="I75" s="143"/>
      <c r="J75" s="544"/>
    </row>
    <row r="76" spans="1:10" ht="14.25" customHeight="1">
      <c r="A76" s="132" t="s">
        <v>8</v>
      </c>
      <c r="B76" s="200"/>
      <c r="C76" s="269">
        <v>7.0179270081551171E-2</v>
      </c>
      <c r="D76" s="269">
        <v>7.6139554766273709E-2</v>
      </c>
      <c r="E76" s="269">
        <v>8.9541697320470057E-2</v>
      </c>
      <c r="F76" s="269">
        <v>0.1050770202157217</v>
      </c>
      <c r="G76" s="269">
        <v>9.2681105431232785E-2</v>
      </c>
      <c r="H76" s="269">
        <v>0.1172111883439428</v>
      </c>
      <c r="I76" s="143" t="s">
        <v>335</v>
      </c>
      <c r="J76" s="544"/>
    </row>
    <row r="77" spans="1:10" s="441" customFormat="1" ht="27.4" customHeight="1">
      <c r="A77" s="132" t="s">
        <v>352</v>
      </c>
      <c r="B77" s="442"/>
      <c r="C77" s="443">
        <v>1.6670259415838551E-2</v>
      </c>
      <c r="D77" s="443">
        <v>1.7039138927769759E-2</v>
      </c>
      <c r="E77" s="443">
        <v>1.6999397059063281E-2</v>
      </c>
      <c r="F77" s="443">
        <v>2.1254929605957096E-2</v>
      </c>
      <c r="G77" s="443">
        <v>1.6927306093289962E-2</v>
      </c>
      <c r="H77" s="443">
        <v>2.2617536917235892E-2</v>
      </c>
      <c r="I77" s="143"/>
      <c r="J77" s="544"/>
    </row>
    <row r="78" spans="1:10" ht="14.25" customHeight="1">
      <c r="A78" s="132" t="s">
        <v>343</v>
      </c>
      <c r="B78" s="200"/>
      <c r="C78" s="269">
        <v>1</v>
      </c>
      <c r="D78" s="269">
        <v>1</v>
      </c>
      <c r="E78" s="269">
        <v>1</v>
      </c>
      <c r="F78" s="269">
        <v>1</v>
      </c>
      <c r="G78" s="269">
        <v>1</v>
      </c>
      <c r="H78" s="269">
        <v>1</v>
      </c>
      <c r="I78" s="143" t="s">
        <v>335</v>
      </c>
      <c r="J78" s="544"/>
    </row>
    <row r="79" spans="1:10" ht="14.25" customHeight="1">
      <c r="A79" s="447" t="s">
        <v>353</v>
      </c>
      <c r="B79" s="200"/>
      <c r="C79" s="269">
        <v>0.3194898178284945</v>
      </c>
      <c r="D79" s="269">
        <v>0.32806961438288301</v>
      </c>
      <c r="E79" s="269">
        <v>0.38840666087235398</v>
      </c>
      <c r="F79" s="269">
        <v>0.40598992190655442</v>
      </c>
      <c r="G79" s="269">
        <v>0.38776133333034862</v>
      </c>
      <c r="H79" s="269">
        <v>0.45628536200409009</v>
      </c>
      <c r="I79" s="143" t="s">
        <v>335</v>
      </c>
      <c r="J79" s="448"/>
    </row>
    <row r="80" spans="1:10" ht="15.75" customHeight="1">
      <c r="A80" s="447" t="s">
        <v>354</v>
      </c>
      <c r="B80" s="225"/>
      <c r="C80" s="228">
        <f>SupportingMeasures!D46</f>
        <v>380539.84696400107</v>
      </c>
      <c r="D80" s="228">
        <v>396518.59260399902</v>
      </c>
      <c r="E80" s="228">
        <f>SupportingMeasures!F46</f>
        <v>494680.72893800051</v>
      </c>
      <c r="F80" s="228">
        <f>SupportingMeasures!I46</f>
        <v>1235770.265545005</v>
      </c>
      <c r="G80" s="228">
        <f>SupportingMeasures!G46</f>
        <v>498070.27435499831</v>
      </c>
      <c r="H80" s="228">
        <f>SupportingMeasures!J46</f>
        <v>1440962.876126003</v>
      </c>
      <c r="I80" s="143" t="s">
        <v>335</v>
      </c>
      <c r="J80" s="448"/>
    </row>
    <row r="81" spans="1:10" ht="30" customHeight="1">
      <c r="A81" s="447" t="s">
        <v>355</v>
      </c>
      <c r="B81" s="225"/>
      <c r="C81" s="305">
        <f>PrimaryMeasures!D39</f>
        <v>83614703.81977576</v>
      </c>
      <c r="D81" s="305">
        <v>83972745.813120395</v>
      </c>
      <c r="E81" s="228">
        <f>PrimaryMeasures!F39</f>
        <v>94374790.558068156</v>
      </c>
      <c r="F81" s="228">
        <f>PrimaryMeasures!I39</f>
        <v>85412968.287173957</v>
      </c>
      <c r="G81" s="228">
        <f>PrimaryMeasures!G39</f>
        <v>100071162.84740829</v>
      </c>
      <c r="H81" s="228">
        <f>PrimaryMeasures!J39</f>
        <v>88133934.014264613</v>
      </c>
      <c r="I81" s="268" t="s">
        <v>335</v>
      </c>
      <c r="J81" s="547" t="s">
        <v>356</v>
      </c>
    </row>
    <row r="82" spans="1:10" ht="38.25" customHeight="1">
      <c r="A82" s="266" t="s">
        <v>357</v>
      </c>
      <c r="B82" s="228"/>
      <c r="C82" s="228">
        <v>79051889.476975203</v>
      </c>
      <c r="D82" s="228">
        <v>79214337.772559494</v>
      </c>
      <c r="E82" s="228">
        <v>88682509.154607698</v>
      </c>
      <c r="F82" s="228">
        <v>79725709.960233793</v>
      </c>
      <c r="G82" s="228">
        <v>93762686.785244495</v>
      </c>
      <c r="H82" s="228">
        <v>81804496.322731197</v>
      </c>
      <c r="I82" s="268" t="s">
        <v>358</v>
      </c>
      <c r="J82" s="468"/>
    </row>
    <row r="83" spans="1:10" ht="25.5" customHeight="1">
      <c r="A83" s="447" t="s">
        <v>359</v>
      </c>
      <c r="B83" s="306"/>
      <c r="C83" s="282">
        <f>C82-C84-C85</f>
        <v>67951929.462877527</v>
      </c>
      <c r="D83" s="282">
        <f t="shared" ref="D83:H83" si="0">D82-D84-D85</f>
        <v>67519331.46120514</v>
      </c>
      <c r="E83" s="282">
        <f t="shared" si="0"/>
        <v>74659150.408429176</v>
      </c>
      <c r="F83" s="282">
        <f t="shared" si="0"/>
        <v>65770166.954989702</v>
      </c>
      <c r="G83" s="282">
        <f t="shared" si="0"/>
        <v>78131606.953000173</v>
      </c>
      <c r="H83" s="282">
        <f t="shared" si="0"/>
        <v>66340385.047986954</v>
      </c>
      <c r="I83" s="136" t="s">
        <v>358</v>
      </c>
      <c r="J83" s="468"/>
    </row>
    <row r="84" spans="1:10" ht="25.5" customHeight="1">
      <c r="A84" s="447" t="s">
        <v>360</v>
      </c>
      <c r="B84" s="276"/>
      <c r="C84" s="284">
        <v>10302948.51920785</v>
      </c>
      <c r="D84" s="228">
        <v>10862069.424704131</v>
      </c>
      <c r="E84" s="228">
        <v>13042600.064316679</v>
      </c>
      <c r="F84" s="228">
        <v>12972870.44455537</v>
      </c>
      <c r="G84" s="228">
        <v>14534342.678650189</v>
      </c>
      <c r="H84" s="284">
        <v>14368918.067369651</v>
      </c>
      <c r="I84" s="268" t="s">
        <v>361</v>
      </c>
      <c r="J84" s="468"/>
    </row>
    <row r="85" spans="1:10" ht="25.5" customHeight="1">
      <c r="A85" s="447" t="s">
        <v>362</v>
      </c>
      <c r="B85" s="276"/>
      <c r="C85" s="228">
        <f>'SB375 CO2 Analysis (EMFAC2014)'!E10</f>
        <v>797011.49488983199</v>
      </c>
      <c r="D85" s="228">
        <f>'SB375 CO2 Analysis (EMFAC2014)'!J10</f>
        <v>832936.88665022596</v>
      </c>
      <c r="E85" s="228">
        <f>'SB375 CO2 Analysis (EMFAC2014)'!H10</f>
        <v>980758.68186184403</v>
      </c>
      <c r="F85" s="228">
        <f>'SB375 CO2 Analysis (EMFAC2014)'!K10</f>
        <v>982672.56068871706</v>
      </c>
      <c r="G85" s="228">
        <f>'SB375 CO2 Analysis (EMFAC2014)'!I10</f>
        <v>1096737.15359414</v>
      </c>
      <c r="H85" s="228">
        <f>'SB375 CO2 Analysis (EMFAC2014)'!L10</f>
        <v>1095193.20737459</v>
      </c>
      <c r="I85" s="268" t="s">
        <v>363</v>
      </c>
      <c r="J85" s="468"/>
    </row>
    <row r="86" spans="1:10" ht="28.5" customHeight="1">
      <c r="A86" s="137" t="s">
        <v>364</v>
      </c>
      <c r="B86" s="135"/>
      <c r="C86" s="283">
        <f>'SB375 CO2 Analysis (EMFAC2014)'!E9</f>
        <v>23.886289318740396</v>
      </c>
      <c r="D86" s="283">
        <f>'SB375 CO2 Analysis (EMFAC2014)'!J9</f>
        <v>23.408803536855395</v>
      </c>
      <c r="E86" s="283">
        <f>'SB375 CO2 Analysis (EMFAC2014)'!H9</f>
        <v>24.495569116294504</v>
      </c>
      <c r="F86" s="283">
        <f>'SB375 CO2 Analysis (EMFAC2014)'!K9</f>
        <v>22.021553712151452</v>
      </c>
      <c r="G86" s="283">
        <f>'SB375 CO2 Analysis (EMFAC2014)'!I9</f>
        <v>25.029567407515781</v>
      </c>
      <c r="H86" s="283">
        <f>'SB375 CO2 Analysis (EMFAC2014)'!L9</f>
        <v>21.837377160888899</v>
      </c>
      <c r="I86" s="138" t="s">
        <v>365</v>
      </c>
      <c r="J86" s="456"/>
    </row>
    <row r="87" spans="1:10" ht="14.25" customHeight="1">
      <c r="A87" s="531" t="s">
        <v>366</v>
      </c>
      <c r="B87" s="532"/>
      <c r="C87" s="532"/>
      <c r="D87" s="532"/>
      <c r="E87" s="532"/>
      <c r="F87" s="532"/>
      <c r="G87" s="532"/>
      <c r="H87" s="532"/>
      <c r="I87" s="533"/>
      <c r="J87" s="448"/>
    </row>
    <row r="88" spans="1:10" ht="30" customHeight="1">
      <c r="A88" s="130" t="s">
        <v>367</v>
      </c>
      <c r="B88" s="133"/>
      <c r="C88" s="228">
        <v>42120.336176430799</v>
      </c>
      <c r="D88" s="228">
        <v>37822.063464797197</v>
      </c>
      <c r="E88" s="228">
        <v>29164.9679803611</v>
      </c>
      <c r="F88" s="228">
        <v>26700.065931641398</v>
      </c>
      <c r="G88" s="228">
        <v>29807.8704282824</v>
      </c>
      <c r="H88" s="228">
        <v>26741.832597099401</v>
      </c>
      <c r="I88" s="132" t="s">
        <v>368</v>
      </c>
      <c r="J88" s="448"/>
    </row>
    <row r="89" spans="1:10" ht="42.75" customHeight="1">
      <c r="A89" s="130" t="s">
        <v>369</v>
      </c>
      <c r="B89" s="275"/>
      <c r="C89" s="228">
        <f>'SB375 CO2 Analysis (EMFAC2014)'!E12</f>
        <v>39519.027274453401</v>
      </c>
      <c r="D89" s="228">
        <f>'SB375 CO2 Analysis (EMFAC2014)'!J12</f>
        <v>39275.126206516201</v>
      </c>
      <c r="E89" s="228">
        <f>'SB375 CO2 Analysis (EMFAC2014)'!H12</f>
        <v>43533.1263329707</v>
      </c>
      <c r="F89" s="228">
        <f>'SB375 CO2 Analysis (EMFAC2014)'!K12</f>
        <v>38472.531502877697</v>
      </c>
      <c r="G89" s="228">
        <f>'SB375 CO2 Analysis (EMFAC2014)'!I12</f>
        <v>46031.349730577</v>
      </c>
      <c r="H89" s="228">
        <f>'SB375 CO2 Analysis (EMFAC2014)'!L12</f>
        <v>39356.272095896798</v>
      </c>
      <c r="I89" s="143" t="s">
        <v>368</v>
      </c>
      <c r="J89" s="448"/>
    </row>
    <row r="90" spans="1:10" ht="27.75" customHeight="1">
      <c r="A90" s="130" t="s">
        <v>370</v>
      </c>
      <c r="B90" s="276"/>
      <c r="C90" s="228">
        <f t="shared" ref="C90:D90" si="1">C89-C91-C92</f>
        <v>33970.018573399728</v>
      </c>
      <c r="D90" s="228">
        <f t="shared" si="1"/>
        <v>33476.644999954136</v>
      </c>
      <c r="E90" s="228">
        <f t="shared" ref="E90:H90" si="2">E89-E91-E92</f>
        <v>36649.236220596264</v>
      </c>
      <c r="F90" s="228">
        <f t="shared" si="2"/>
        <v>31738.128407855787</v>
      </c>
      <c r="G90" s="228">
        <f t="shared" si="2"/>
        <v>38357.511372333211</v>
      </c>
      <c r="H90" s="228">
        <f t="shared" si="2"/>
        <v>31916.463791851977</v>
      </c>
      <c r="I90" s="143" t="s">
        <v>358</v>
      </c>
      <c r="J90" s="448"/>
    </row>
    <row r="91" spans="1:10" ht="27.75" customHeight="1">
      <c r="A91" s="130" t="s">
        <v>371</v>
      </c>
      <c r="B91" s="275"/>
      <c r="C91" s="228">
        <f t="shared" ref="C91:D91" si="3">C89*C84/C82</f>
        <v>5150.5726963864063</v>
      </c>
      <c r="D91" s="228">
        <f t="shared" si="3"/>
        <v>5385.5041841551129</v>
      </c>
      <c r="E91" s="228">
        <f t="shared" ref="E91:H91" si="4">E89*E84/E82</f>
        <v>6402.4480331340428</v>
      </c>
      <c r="F91" s="228">
        <f t="shared" si="4"/>
        <v>6260.203479026427</v>
      </c>
      <c r="G91" s="228">
        <f t="shared" si="4"/>
        <v>7135.4121120416185</v>
      </c>
      <c r="H91" s="228">
        <f t="shared" si="4"/>
        <v>6912.9091260709702</v>
      </c>
      <c r="I91" s="143" t="s">
        <v>358</v>
      </c>
      <c r="J91" s="448"/>
    </row>
    <row r="92" spans="1:10" ht="29.25" customHeight="1">
      <c r="A92" s="130" t="s">
        <v>372</v>
      </c>
      <c r="B92" s="275"/>
      <c r="C92" s="228">
        <f t="shared" ref="C92:D92" si="5">C89*C85/C82</f>
        <v>398.43600466726423</v>
      </c>
      <c r="D92" s="228">
        <f t="shared" si="5"/>
        <v>412.97702240695378</v>
      </c>
      <c r="E92" s="228">
        <f t="shared" ref="E92:H92" si="6">E89*E85/E82</f>
        <v>481.4420792403925</v>
      </c>
      <c r="F92" s="228">
        <f t="shared" si="6"/>
        <v>474.19961599548355</v>
      </c>
      <c r="G92" s="228">
        <f t="shared" si="6"/>
        <v>538.42624620217418</v>
      </c>
      <c r="H92" s="228">
        <f t="shared" si="6"/>
        <v>526.89917797385476</v>
      </c>
      <c r="I92" s="143" t="s">
        <v>358</v>
      </c>
      <c r="J92" s="448"/>
    </row>
    <row r="93" spans="1:10" ht="24.95" customHeight="1">
      <c r="A93" s="139" t="s">
        <v>373</v>
      </c>
      <c r="B93" s="283">
        <v>26</v>
      </c>
      <c r="C93" s="283">
        <f>'SB375 CO2 Analysis (EMFAC2014)'!E14</f>
        <v>23.64132641415155</v>
      </c>
      <c r="D93" s="283">
        <f>'SB375 CO2 Analysis (EMFAC2014)'!J14</f>
        <v>22.968478708558031</v>
      </c>
      <c r="E93" s="285">
        <f>'SB375 CO2 Analysis (EMFAC2014)'!H14</f>
        <v>23.783168006029424</v>
      </c>
      <c r="F93" s="283">
        <f>'SB375 CO2 Analysis (EMFAC2014)'!K14</f>
        <v>20.991529759634894</v>
      </c>
      <c r="G93" s="283">
        <f>'SB375 CO2 Analysis (EMFAC2014)'!I14</f>
        <v>24.288301326627739</v>
      </c>
      <c r="H93" s="283">
        <f>'SB375 CO2 Analysis (EMFAC2014)'!L14</f>
        <v>20.730685951155273</v>
      </c>
      <c r="I93" s="132" t="s">
        <v>374</v>
      </c>
      <c r="J93" s="448"/>
    </row>
    <row r="94" spans="1:10" ht="26.85" customHeight="1">
      <c r="A94" s="447" t="s">
        <v>375</v>
      </c>
      <c r="B94" s="277" t="s">
        <v>376</v>
      </c>
      <c r="C94" s="277" t="s">
        <v>376</v>
      </c>
      <c r="D94" s="265">
        <v>1.7999999999999999E-2</v>
      </c>
      <c r="E94" s="265">
        <v>1.7000000000000001E-2</v>
      </c>
      <c r="F94" s="265">
        <v>1.7000000000000001E-2</v>
      </c>
      <c r="G94" s="265">
        <v>1.6E-2</v>
      </c>
      <c r="H94" s="265">
        <v>1.6E-2</v>
      </c>
      <c r="I94" s="132" t="s">
        <v>377</v>
      </c>
      <c r="J94" s="448"/>
    </row>
    <row r="95" spans="1:10" ht="18.75" customHeight="1">
      <c r="A95" s="542" t="s">
        <v>378</v>
      </c>
      <c r="B95" s="532"/>
      <c r="C95" s="532"/>
      <c r="D95" s="532"/>
      <c r="E95" s="532"/>
      <c r="F95" s="532"/>
      <c r="G95" s="532"/>
      <c r="H95" s="532"/>
      <c r="I95" s="533"/>
      <c r="J95" s="448"/>
    </row>
    <row r="96" spans="1:10" ht="18.75" customHeight="1">
      <c r="A96" s="309" t="s">
        <v>78</v>
      </c>
      <c r="B96" s="307" t="s">
        <v>376</v>
      </c>
      <c r="C96" s="277" t="s">
        <v>376</v>
      </c>
      <c r="D96" s="265">
        <f>'Off Model'!B18</f>
        <v>3.0000000000000001E-3</v>
      </c>
      <c r="E96" s="277" t="s">
        <v>376</v>
      </c>
      <c r="F96" s="265">
        <f>'Off Model'!C18</f>
        <v>3.0999999999999999E-3</v>
      </c>
      <c r="G96" s="277" t="s">
        <v>376</v>
      </c>
      <c r="H96" s="265">
        <f>'Off Model'!D18</f>
        <v>3.2000000000000002E-3</v>
      </c>
      <c r="I96" s="132" t="s">
        <v>379</v>
      </c>
      <c r="J96" s="448"/>
    </row>
    <row r="97" spans="1:10" ht="18.75" customHeight="1">
      <c r="A97" s="309" t="s">
        <v>79</v>
      </c>
      <c r="B97" s="307" t="s">
        <v>376</v>
      </c>
      <c r="C97" s="277" t="s">
        <v>376</v>
      </c>
      <c r="D97" s="265">
        <f>'Off Model'!B19</f>
        <v>2.0000000000000001E-4</v>
      </c>
      <c r="E97" s="277" t="s">
        <v>376</v>
      </c>
      <c r="F97" s="265">
        <f>'Off Model'!C19</f>
        <v>1.6999999999999999E-3</v>
      </c>
      <c r="G97" s="277" t="s">
        <v>376</v>
      </c>
      <c r="H97" s="278" t="s">
        <v>376</v>
      </c>
      <c r="I97" s="132" t="s">
        <v>379</v>
      </c>
      <c r="J97" s="448"/>
    </row>
    <row r="98" spans="1:10" ht="18.75" customHeight="1">
      <c r="A98" s="309" t="s">
        <v>380</v>
      </c>
      <c r="B98" s="307" t="s">
        <v>376</v>
      </c>
      <c r="C98" s="277" t="s">
        <v>376</v>
      </c>
      <c r="D98" s="265">
        <f>'Off Model'!B20</f>
        <v>1E-4</v>
      </c>
      <c r="E98" s="277" t="s">
        <v>376</v>
      </c>
      <c r="F98" s="265">
        <f>'Off Model'!C20</f>
        <v>1E-4</v>
      </c>
      <c r="G98" s="277" t="s">
        <v>376</v>
      </c>
      <c r="H98" s="265">
        <f>'Off Model'!D20</f>
        <v>1E-4</v>
      </c>
      <c r="I98" s="132" t="s">
        <v>379</v>
      </c>
      <c r="J98" s="448"/>
    </row>
    <row r="99" spans="1:10" ht="18.75" customHeight="1">
      <c r="A99" s="309" t="s">
        <v>381</v>
      </c>
      <c r="B99" s="307" t="s">
        <v>376</v>
      </c>
      <c r="C99" s="277" t="s">
        <v>376</v>
      </c>
      <c r="D99" s="277" t="s">
        <v>376</v>
      </c>
      <c r="E99" s="277" t="s">
        <v>376</v>
      </c>
      <c r="F99" s="265">
        <f>'Off Model'!C21</f>
        <v>3.7000000000000002E-3</v>
      </c>
      <c r="G99" s="277" t="s">
        <v>376</v>
      </c>
      <c r="H99" s="265">
        <f>'Off Model'!D21</f>
        <v>5.5999999999999999E-3</v>
      </c>
      <c r="I99" s="132" t="s">
        <v>379</v>
      </c>
      <c r="J99" s="448"/>
    </row>
    <row r="100" spans="1:10" ht="18.75" customHeight="1">
      <c r="A100" s="309" t="s">
        <v>382</v>
      </c>
      <c r="B100" s="308" t="s">
        <v>376</v>
      </c>
      <c r="C100" s="301" t="s">
        <v>376</v>
      </c>
      <c r="D100" s="301" t="s">
        <v>376</v>
      </c>
      <c r="E100" s="301" t="s">
        <v>376</v>
      </c>
      <c r="F100" s="302">
        <f>'Off Model'!C22</f>
        <v>2.1499999999999998E-2</v>
      </c>
      <c r="G100" s="301" t="s">
        <v>376</v>
      </c>
      <c r="H100" s="302">
        <f>'Off Model'!D22</f>
        <v>1.72E-2</v>
      </c>
      <c r="I100" s="132" t="s">
        <v>379</v>
      </c>
      <c r="J100" s="448"/>
    </row>
    <row r="101" spans="1:10">
      <c r="A101" s="310" t="s">
        <v>383</v>
      </c>
      <c r="B101" s="303" t="s">
        <v>376</v>
      </c>
      <c r="C101" s="303" t="s">
        <v>376</v>
      </c>
      <c r="D101" s="304">
        <f>SUM(D96:D100)</f>
        <v>3.3E-3</v>
      </c>
      <c r="E101" s="303" t="s">
        <v>376</v>
      </c>
      <c r="F101" s="304">
        <f>SUM(F96:F100)</f>
        <v>3.0099999999999998E-2</v>
      </c>
      <c r="G101" s="303" t="s">
        <v>376</v>
      </c>
      <c r="H101" s="304">
        <f>SUM(H96:H100)</f>
        <v>2.6099999999999998E-2</v>
      </c>
      <c r="I101" s="132" t="s">
        <v>379</v>
      </c>
      <c r="J101" s="448"/>
    </row>
    <row r="103" spans="1:10">
      <c r="A103" s="140"/>
      <c r="B103" s="448"/>
      <c r="C103" s="448"/>
      <c r="D103" s="448"/>
      <c r="E103" s="448"/>
      <c r="F103" s="448"/>
      <c r="G103" s="448"/>
      <c r="H103" s="448"/>
      <c r="I103" s="448"/>
      <c r="J103" s="448"/>
    </row>
  </sheetData>
  <sheetProtection algorithmName="SHA-512" hashValue="feRiGKNBt6bFmerqUY8UpYRAH+fErzLtp1EJEImYIKiWmM1I2IGEYWZdGrIooe8tbKzkAy26hUZM5k03yCsxOw==" saltValue="anouJGzVcqiXRvReSn25lA==" spinCount="100000" sheet="1" objects="1" scenarios="1"/>
  <mergeCells count="15">
    <mergeCell ref="A87:I87"/>
    <mergeCell ref="A95:I95"/>
    <mergeCell ref="J40:J46"/>
    <mergeCell ref="A48:I48"/>
    <mergeCell ref="A51:I51"/>
    <mergeCell ref="A69:I69"/>
    <mergeCell ref="J70:J78"/>
    <mergeCell ref="J81:J86"/>
    <mergeCell ref="A37:I37"/>
    <mergeCell ref="A1:I1"/>
    <mergeCell ref="A4:I4"/>
    <mergeCell ref="A12:I12"/>
    <mergeCell ref="A19:I19"/>
    <mergeCell ref="A27:I27"/>
    <mergeCell ref="B33:H33"/>
  </mergeCells>
  <pageMargins left="0.25" right="0.25" top="0.75" bottom="0.75" header="0.3" footer="0.3"/>
  <pageSetup paperSize="5" orientation="landscape" horizontalDpi="1200" verticalDpi="1200" r:id="rId1"/>
  <headerFooter>
    <oddHeader>&amp;LDRAFT - FOR INTERNAL USE ONLY</oddHeader>
    <oddFooter>&amp;L&amp;11 &amp;Z&amp;F&amp;R&amp;D</oddFooter>
  </headerFooter>
  <rowBreaks count="2" manualBreakCount="2">
    <brk id="26" max="16383" man="1"/>
    <brk id="50"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345D1F-40FD-4EAA-87A9-2F92387BC171}">
  <dimension ref="A1:F26"/>
  <sheetViews>
    <sheetView workbookViewId="0">
      <pane xSplit="1" ySplit="1" topLeftCell="B5" activePane="bottomRight" state="frozen"/>
      <selection pane="bottomRight" activeCell="B20" sqref="B20"/>
      <selection pane="bottomLeft" activeCell="A4" sqref="A4"/>
      <selection pane="topRight" activeCell="B1" sqref="B1"/>
    </sheetView>
  </sheetViews>
  <sheetFormatPr defaultColWidth="9.140625" defaultRowHeight="15"/>
  <cols>
    <col min="1" max="1" width="36.5703125" style="289" customWidth="1"/>
    <col min="2" max="4" width="15.85546875" style="289" customWidth="1"/>
    <col min="5" max="16384" width="9.140625" style="289"/>
  </cols>
  <sheetData>
    <row r="1" spans="1:6" ht="15.75" customHeight="1" thickBot="1">
      <c r="A1" s="231" t="s">
        <v>384</v>
      </c>
      <c r="B1" s="335" t="s">
        <v>63</v>
      </c>
      <c r="C1" s="242" t="s">
        <v>385</v>
      </c>
      <c r="D1" s="242" t="s">
        <v>386</v>
      </c>
      <c r="E1" s="359"/>
      <c r="F1" s="359"/>
    </row>
    <row r="2" spans="1:6">
      <c r="A2" s="359" t="s">
        <v>387</v>
      </c>
      <c r="B2" s="336">
        <v>463</v>
      </c>
      <c r="C2" s="230">
        <v>475</v>
      </c>
      <c r="D2" s="230">
        <v>459</v>
      </c>
      <c r="E2" s="359"/>
      <c r="F2" s="359"/>
    </row>
    <row r="3" spans="1:6">
      <c r="A3" s="232" t="s">
        <v>292</v>
      </c>
      <c r="B3" s="337">
        <v>3383955</v>
      </c>
      <c r="C3" s="225">
        <v>3620349</v>
      </c>
      <c r="D3" s="225">
        <v>3746077</v>
      </c>
      <c r="E3" s="359"/>
      <c r="F3" s="359"/>
    </row>
    <row r="4" spans="1:6">
      <c r="A4" s="232" t="s">
        <v>388</v>
      </c>
      <c r="B4" s="323"/>
      <c r="C4" s="359"/>
      <c r="D4" s="359"/>
      <c r="E4" s="359"/>
      <c r="F4" s="359"/>
    </row>
    <row r="5" spans="1:6">
      <c r="A5" s="233" t="s">
        <v>78</v>
      </c>
      <c r="B5" s="334">
        <v>129.78009637898091</v>
      </c>
      <c r="C5" s="91">
        <v>143.72672767188345</v>
      </c>
      <c r="D5" s="91">
        <v>156.17317186932246</v>
      </c>
      <c r="E5" s="359"/>
      <c r="F5" s="312"/>
    </row>
    <row r="6" spans="1:6">
      <c r="A6" s="233" t="s">
        <v>79</v>
      </c>
      <c r="B6" s="334">
        <v>10.421481883316355</v>
      </c>
      <c r="C6" s="312">
        <v>81.955129661351947</v>
      </c>
      <c r="D6" s="359" t="s">
        <v>80</v>
      </c>
      <c r="E6" s="359"/>
      <c r="F6" s="359"/>
    </row>
    <row r="7" spans="1:6">
      <c r="A7" s="233" t="s">
        <v>380</v>
      </c>
      <c r="B7" s="324">
        <v>5.7767245423547715</v>
      </c>
      <c r="C7" s="91">
        <v>5.6022779945403123</v>
      </c>
      <c r="D7" s="91">
        <v>5.5116802822352087</v>
      </c>
      <c r="E7" s="359"/>
      <c r="F7" s="359"/>
    </row>
    <row r="8" spans="1:6">
      <c r="A8" s="233" t="s">
        <v>381</v>
      </c>
      <c r="B8" s="324" t="s">
        <v>80</v>
      </c>
      <c r="C8" s="91">
        <v>173.94861708285416</v>
      </c>
      <c r="D8" s="91">
        <v>274.49777540673705</v>
      </c>
      <c r="E8" s="359"/>
      <c r="F8" s="359"/>
    </row>
    <row r="9" spans="1:6" ht="15.75" customHeight="1" thickBot="1">
      <c r="A9" s="298" t="s">
        <v>389</v>
      </c>
      <c r="B9" s="379" t="s">
        <v>80</v>
      </c>
      <c r="C9" s="280">
        <v>1010</v>
      </c>
      <c r="D9" s="45">
        <v>836</v>
      </c>
      <c r="E9" s="359"/>
      <c r="F9" s="91"/>
    </row>
    <row r="10" spans="1:6" s="359" customFormat="1" ht="15.75" customHeight="1">
      <c r="A10" s="438" t="s">
        <v>390</v>
      </c>
      <c r="B10" s="439"/>
      <c r="C10" s="440">
        <f>SUM(C5:C9)</f>
        <v>1415.2327524106299</v>
      </c>
      <c r="D10" s="440">
        <f>SUM(D5:D9)</f>
        <v>1272.1826275582948</v>
      </c>
      <c r="F10" s="91"/>
    </row>
    <row r="11" spans="1:6">
      <c r="A11" s="390" t="s">
        <v>391</v>
      </c>
      <c r="B11" s="323"/>
      <c r="C11" s="359"/>
      <c r="D11" s="359"/>
      <c r="E11" s="359"/>
      <c r="F11" s="359"/>
    </row>
    <row r="12" spans="1:6">
      <c r="A12" s="233" t="s">
        <v>78</v>
      </c>
      <c r="B12" s="338" cm="1">
        <f t="array" ref="B12">(B5*ton_conversion)/B$3</f>
        <v>7.6703204610570133E-2</v>
      </c>
      <c r="C12" s="235">
        <f>(C5*ton_conversion)/C$3</f>
        <v>7.9399377061097398E-2</v>
      </c>
      <c r="D12" s="235">
        <f>(D5*ton_conversion)/D$3</f>
        <v>8.3379584492962885E-2</v>
      </c>
      <c r="E12" s="359"/>
      <c r="F12" s="359"/>
    </row>
    <row r="13" spans="1:6">
      <c r="A13" s="233" t="s">
        <v>79</v>
      </c>
      <c r="B13" s="338">
        <f>(B6*ton_conversion)/B$3</f>
        <v>6.1593501588031495E-3</v>
      </c>
      <c r="C13" s="235">
        <f>(C6*ton_conversion)/C$3</f>
        <v>4.5274712278485833E-2</v>
      </c>
      <c r="D13" s="359" t="s">
        <v>80</v>
      </c>
      <c r="E13" s="359"/>
      <c r="F13" s="359"/>
    </row>
    <row r="14" spans="1:6">
      <c r="A14" s="233" t="s">
        <v>380</v>
      </c>
      <c r="B14" s="338">
        <f>(B7*ton_conversion)/B$3</f>
        <v>3.414185201845043E-3</v>
      </c>
      <c r="C14" s="235">
        <f>(C7*ton_conversion)/C$3</f>
        <v>3.0948828383895103E-3</v>
      </c>
      <c r="D14" s="235">
        <f>(D7*ton_conversion)/D$3</f>
        <v>2.9426412122522888E-3</v>
      </c>
      <c r="E14" s="359"/>
      <c r="F14" s="359"/>
    </row>
    <row r="15" spans="1:6">
      <c r="A15" s="233" t="s">
        <v>381</v>
      </c>
      <c r="B15" s="324" t="s">
        <v>80</v>
      </c>
      <c r="C15" s="235">
        <f>(C8*ton_conversion)/C$3</f>
        <v>9.6094943931015572E-2</v>
      </c>
      <c r="D15" s="235">
        <f>(D8*ton_conversion)/D$3</f>
        <v>0.14655212661498257</v>
      </c>
      <c r="E15" s="359"/>
      <c r="F15" s="359"/>
    </row>
    <row r="16" spans="1:6" ht="15.75" customHeight="1" thickBot="1">
      <c r="A16" s="234" t="s">
        <v>389</v>
      </c>
      <c r="B16" s="379" t="s">
        <v>80</v>
      </c>
      <c r="C16" s="236">
        <f>(C9*ton_conversion)/C$3</f>
        <v>0.55795725771189464</v>
      </c>
      <c r="D16" s="236">
        <f>(D9*ton_conversion)/D$3</f>
        <v>0.44633359111411752</v>
      </c>
      <c r="E16" s="213"/>
      <c r="F16" s="359"/>
    </row>
    <row r="17" spans="1:6">
      <c r="A17" s="237" t="s">
        <v>94</v>
      </c>
      <c r="B17" s="323"/>
      <c r="C17" s="359"/>
      <c r="D17" s="359"/>
      <c r="E17" s="359"/>
      <c r="F17" s="359"/>
    </row>
    <row r="18" spans="1:6">
      <c r="A18" s="233" t="s">
        <v>78</v>
      </c>
      <c r="B18" s="330">
        <f>ROUND(B12/_2005_Baseline,4)</f>
        <v>3.0000000000000001E-3</v>
      </c>
      <c r="C18" s="213">
        <f>ROUND(C12/_2005_Baseline,4)</f>
        <v>3.0999999999999999E-3</v>
      </c>
      <c r="D18" s="213">
        <f>ROUND(D12/_2005_Baseline,4)</f>
        <v>3.2000000000000002E-3</v>
      </c>
      <c r="E18" s="359"/>
      <c r="F18" s="238"/>
    </row>
    <row r="19" spans="1:6">
      <c r="A19" s="233" t="s">
        <v>79</v>
      </c>
      <c r="B19" s="330">
        <f>ROUND(B13/_2005_Baseline,4)</f>
        <v>2.0000000000000001E-4</v>
      </c>
      <c r="C19" s="238">
        <f>ROUND(C13/_2005_Baseline,4)</f>
        <v>1.6999999999999999E-3</v>
      </c>
      <c r="D19" s="359" t="s">
        <v>80</v>
      </c>
      <c r="E19" s="359"/>
      <c r="F19" s="238"/>
    </row>
    <row r="20" spans="1:6">
      <c r="A20" s="233" t="s">
        <v>380</v>
      </c>
      <c r="B20" s="330">
        <f>ROUND(B14/_2005_Baseline,4)</f>
        <v>1E-4</v>
      </c>
      <c r="C20" s="213">
        <f>ROUND(C14/_2005_Baseline,4)</f>
        <v>1E-4</v>
      </c>
      <c r="D20" s="213">
        <f>ROUND(D14/_2005_Baseline,4)</f>
        <v>1E-4</v>
      </c>
      <c r="E20" s="359"/>
      <c r="F20" s="238"/>
    </row>
    <row r="21" spans="1:6">
      <c r="A21" s="233" t="s">
        <v>381</v>
      </c>
      <c r="B21" s="324" t="s">
        <v>80</v>
      </c>
      <c r="C21" s="213">
        <f>ROUND(C15/_2005_Baseline,4)</f>
        <v>3.7000000000000002E-3</v>
      </c>
      <c r="D21" s="213">
        <f>ROUND(D15/_2005_Baseline,4)</f>
        <v>5.5999999999999999E-3</v>
      </c>
      <c r="E21" s="359"/>
      <c r="F21" s="238"/>
    </row>
    <row r="22" spans="1:6" ht="15.75" customHeight="1" thickBot="1">
      <c r="A22" s="298" t="s">
        <v>389</v>
      </c>
      <c r="B22" s="379" t="s">
        <v>80</v>
      </c>
      <c r="C22" s="239">
        <f>ROUND(C16/_2005_Baseline,4)</f>
        <v>2.1499999999999998E-2</v>
      </c>
      <c r="D22" s="239">
        <f>ROUND(D16/_2005_Baseline,4)</f>
        <v>1.72E-2</v>
      </c>
      <c r="E22" s="359"/>
      <c r="F22" s="238"/>
    </row>
    <row r="23" spans="1:6">
      <c r="A23" s="380" t="s">
        <v>390</v>
      </c>
      <c r="B23" s="339">
        <f t="shared" ref="B23:D23" si="0">SUM(B18:B22)</f>
        <v>3.3E-3</v>
      </c>
      <c r="C23" s="240">
        <f t="shared" si="0"/>
        <v>3.0099999999999998E-2</v>
      </c>
      <c r="D23" s="240">
        <f t="shared" si="0"/>
        <v>2.6099999999999998E-2</v>
      </c>
      <c r="E23" s="240"/>
      <c r="F23" s="240"/>
    </row>
    <row r="26" spans="1:6">
      <c r="A26" s="359" t="s">
        <v>392</v>
      </c>
      <c r="B26" s="359"/>
      <c r="C26" s="359"/>
      <c r="D26" s="359"/>
      <c r="E26" s="359"/>
      <c r="F26" s="359"/>
    </row>
  </sheetData>
  <sheetProtection algorithmName="SHA-512" hashValue="66bTx77vqkCHa9BhSRnTBZSNyaDPLhheuCqkSG8z9JrH9O0ZUKRKQYQpW1XP7v0x2oD49ljOZ3En1AD0gqF8zg==" saltValue="tltPFmJ0tfwG0umaAleSjw==" spinCount="100000" sheet="1" objects="1" scenarios="1"/>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7" tint="0.79998168889431442"/>
  </sheetPr>
  <dimension ref="A1:M8"/>
  <sheetViews>
    <sheetView workbookViewId="0">
      <selection activeCell="D7" sqref="D7"/>
    </sheetView>
  </sheetViews>
  <sheetFormatPr defaultRowHeight="15"/>
  <cols>
    <col min="1" max="1" width="23.5703125" style="289" customWidth="1"/>
  </cols>
  <sheetData>
    <row r="1" spans="1:13" ht="25.5" customHeight="1">
      <c r="A1" s="129" t="s">
        <v>289</v>
      </c>
      <c r="B1" s="550">
        <v>2016</v>
      </c>
      <c r="C1" s="533"/>
      <c r="D1" s="550">
        <v>2020</v>
      </c>
      <c r="E1" s="533"/>
      <c r="F1" s="550" t="s">
        <v>393</v>
      </c>
      <c r="G1" s="533"/>
      <c r="H1" s="550">
        <v>2035</v>
      </c>
      <c r="I1" s="533"/>
      <c r="J1" s="550" t="s">
        <v>394</v>
      </c>
      <c r="K1" s="533"/>
      <c r="L1" s="550">
        <v>2050</v>
      </c>
      <c r="M1" s="533"/>
    </row>
    <row r="2" spans="1:13">
      <c r="A2" s="129" t="s">
        <v>3</v>
      </c>
      <c r="B2" s="548">
        <v>458</v>
      </c>
      <c r="C2" s="549"/>
      <c r="D2" s="548">
        <v>463</v>
      </c>
      <c r="E2" s="549"/>
      <c r="F2" s="548">
        <v>469</v>
      </c>
      <c r="G2" s="549"/>
      <c r="H2" s="548">
        <v>475</v>
      </c>
      <c r="I2" s="549"/>
      <c r="J2" s="548">
        <v>460</v>
      </c>
      <c r="K2" s="549"/>
      <c r="L2" s="548">
        <v>459</v>
      </c>
      <c r="M2" s="549"/>
    </row>
    <row r="3" spans="1:13" ht="25.5" customHeight="1">
      <c r="A3" s="294" t="s">
        <v>328</v>
      </c>
      <c r="B3" s="293"/>
      <c r="C3" s="293"/>
      <c r="D3" s="293"/>
      <c r="E3" s="293"/>
      <c r="F3" s="293"/>
      <c r="G3" s="293"/>
      <c r="H3" s="293"/>
      <c r="I3" s="293"/>
      <c r="J3" s="293"/>
      <c r="K3" s="293"/>
      <c r="L3" s="293"/>
      <c r="M3" s="293"/>
    </row>
    <row r="4" spans="1:13">
      <c r="A4" s="120" t="s">
        <v>395</v>
      </c>
      <c r="B4" s="120" t="s">
        <v>396</v>
      </c>
      <c r="C4" s="120" t="s">
        <v>397</v>
      </c>
      <c r="D4" s="120" t="s">
        <v>396</v>
      </c>
      <c r="E4" s="120" t="s">
        <v>397</v>
      </c>
      <c r="F4" s="120" t="s">
        <v>396</v>
      </c>
      <c r="G4" s="120" t="s">
        <v>397</v>
      </c>
      <c r="H4" s="120" t="s">
        <v>396</v>
      </c>
      <c r="I4" s="120" t="s">
        <v>397</v>
      </c>
      <c r="J4" s="120" t="s">
        <v>396</v>
      </c>
      <c r="K4" s="120" t="s">
        <v>397</v>
      </c>
      <c r="L4" s="120" t="s">
        <v>396</v>
      </c>
      <c r="M4" s="120" t="s">
        <v>397</v>
      </c>
    </row>
    <row r="5" spans="1:13">
      <c r="A5" s="120" t="s">
        <v>398</v>
      </c>
      <c r="B5" s="291">
        <v>48</v>
      </c>
      <c r="C5" s="120">
        <v>144</v>
      </c>
      <c r="D5" s="120">
        <v>48</v>
      </c>
      <c r="E5" s="120">
        <v>144</v>
      </c>
      <c r="F5" s="120">
        <v>40</v>
      </c>
      <c r="G5" s="120">
        <v>120</v>
      </c>
      <c r="H5" s="291">
        <v>13.3333333333333</v>
      </c>
      <c r="I5" s="291">
        <v>17.1428571428571</v>
      </c>
      <c r="J5" s="120">
        <v>40</v>
      </c>
      <c r="K5" s="120">
        <v>120</v>
      </c>
      <c r="L5" s="291">
        <v>11.1111111111111</v>
      </c>
      <c r="M5" s="120">
        <v>12</v>
      </c>
    </row>
    <row r="6" spans="1:13">
      <c r="A6" s="120" t="s">
        <v>399</v>
      </c>
      <c r="B6" s="291">
        <v>13.3333333333333</v>
      </c>
      <c r="C6" s="291">
        <v>17.1428571428571</v>
      </c>
      <c r="D6" s="291">
        <v>13.3333333333333</v>
      </c>
      <c r="E6" s="291">
        <v>13.3333333333333</v>
      </c>
      <c r="F6" s="291">
        <v>16.6666666666667</v>
      </c>
      <c r="G6" s="291">
        <v>16.6666666666667</v>
      </c>
      <c r="H6" s="291">
        <v>5.1724137931034502</v>
      </c>
      <c r="I6" s="291">
        <v>5.1724137931034502</v>
      </c>
      <c r="J6" s="291">
        <v>16.6666666666667</v>
      </c>
      <c r="K6" s="291">
        <v>16.6666666666667</v>
      </c>
      <c r="L6" s="291">
        <v>5.4545454545454497</v>
      </c>
      <c r="M6" s="291">
        <v>5.4545454545454497</v>
      </c>
    </row>
    <row r="7" spans="1:13">
      <c r="A7" s="120" t="s">
        <v>400</v>
      </c>
      <c r="B7" s="291">
        <v>15.517241379310301</v>
      </c>
      <c r="C7" s="291">
        <v>17.010309278350501</v>
      </c>
      <c r="D7" s="291">
        <v>14.078212290502799</v>
      </c>
      <c r="E7" s="291">
        <v>17.1428571428571</v>
      </c>
      <c r="F7" s="291">
        <v>13.8613861386139</v>
      </c>
      <c r="G7" s="291">
        <v>17.1428571428571</v>
      </c>
      <c r="H7" s="291">
        <v>10</v>
      </c>
      <c r="I7" s="291">
        <v>10.893854748603401</v>
      </c>
      <c r="J7" s="291">
        <v>13.8613861386139</v>
      </c>
      <c r="K7" s="291">
        <v>17.1428571428571</v>
      </c>
      <c r="L7" s="291">
        <v>10</v>
      </c>
      <c r="M7" s="291">
        <v>10.8121827411168</v>
      </c>
    </row>
    <row r="8" spans="1:13">
      <c r="A8" s="120" t="s">
        <v>401</v>
      </c>
      <c r="B8" s="291">
        <v>28.372320662917598</v>
      </c>
      <c r="C8" s="291">
        <v>29.6630669546437</v>
      </c>
      <c r="D8" s="291">
        <v>26.693606509929701</v>
      </c>
      <c r="E8" s="291">
        <v>27.196484697778299</v>
      </c>
      <c r="F8" s="291">
        <v>26.202834679659301</v>
      </c>
      <c r="G8" s="291">
        <v>26.680859284737501</v>
      </c>
      <c r="H8" s="291">
        <v>14.1526058680733</v>
      </c>
      <c r="I8" s="291">
        <v>17.5275115078121</v>
      </c>
      <c r="J8" s="291">
        <v>26.202834679659301</v>
      </c>
      <c r="K8" s="291">
        <v>26.680859284737501</v>
      </c>
      <c r="L8" s="291">
        <v>14.086561311787101</v>
      </c>
      <c r="M8" s="291">
        <v>17.358993964437399</v>
      </c>
    </row>
  </sheetData>
  <sheetProtection algorithmName="SHA-512" hashValue="L6KzWL35iA1fTuLQ5lKNkwwAbjBH5fVsro3Z6p4U9g5b2RU4OqvJeXwa8aSEla7D1YLa3IKsnwG4UWDdARSiRw==" saltValue="By4sJyOsJsAhHWiWl3TKHw==" spinCount="100000" sheet="1" objects="1" scenarios="1"/>
  <mergeCells count="12">
    <mergeCell ref="L2:M2"/>
    <mergeCell ref="B1:C1"/>
    <mergeCell ref="D1:E1"/>
    <mergeCell ref="F1:G1"/>
    <mergeCell ref="H1:I1"/>
    <mergeCell ref="J1:K1"/>
    <mergeCell ref="L1:M1"/>
    <mergeCell ref="B2:C2"/>
    <mergeCell ref="D2:E2"/>
    <mergeCell ref="F2:G2"/>
    <mergeCell ref="H2:I2"/>
    <mergeCell ref="J2:K2"/>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4" tint="-0.249977111117893"/>
  </sheetPr>
  <dimension ref="A1:J13"/>
  <sheetViews>
    <sheetView zoomScaleNormal="100" workbookViewId="0">
      <pane xSplit="1" ySplit="3" topLeftCell="B4" activePane="bottomRight" state="frozen"/>
      <selection pane="bottomRight" activeCell="M4" sqref="M4"/>
      <selection pane="bottomLeft" activeCell="A4" sqref="A4"/>
      <selection pane="topRight" activeCell="B1" sqref="B1"/>
    </sheetView>
  </sheetViews>
  <sheetFormatPr defaultColWidth="9.28515625" defaultRowHeight="15"/>
  <cols>
    <col min="1" max="1" width="9.7109375" style="289" customWidth="1"/>
    <col min="2" max="2" width="11.42578125" style="289" customWidth="1"/>
    <col min="3" max="4" width="17.42578125" style="289" customWidth="1"/>
    <col min="5" max="6" width="13.7109375" style="289" customWidth="1"/>
    <col min="7" max="7" width="16" style="289" customWidth="1"/>
    <col min="8" max="9" width="13.7109375" style="289" customWidth="1"/>
    <col min="10" max="10" width="14.5703125" style="289" customWidth="1"/>
    <col min="11" max="13" width="9.28515625" style="289" customWidth="1"/>
    <col min="14" max="16384" width="9.28515625" style="289"/>
  </cols>
  <sheetData>
    <row r="1" spans="1:10" ht="18.75" customHeight="1">
      <c r="A1" s="551" t="s">
        <v>402</v>
      </c>
      <c r="B1" s="453"/>
      <c r="C1" s="453"/>
      <c r="D1" s="453"/>
      <c r="E1" s="453"/>
      <c r="F1" s="453"/>
      <c r="G1" s="453"/>
      <c r="H1" s="453"/>
      <c r="I1" s="453"/>
      <c r="J1" s="454"/>
    </row>
    <row r="2" spans="1:10" ht="18" customHeight="1">
      <c r="A2" s="205"/>
      <c r="B2" s="206"/>
      <c r="C2" s="207"/>
      <c r="D2" s="207"/>
      <c r="E2" s="552" t="s">
        <v>403</v>
      </c>
      <c r="F2" s="553"/>
      <c r="G2" s="488"/>
      <c r="H2" s="552" t="s">
        <v>404</v>
      </c>
      <c r="I2" s="553"/>
      <c r="J2" s="488"/>
    </row>
    <row r="3" spans="1:10" ht="47.25" customHeight="1">
      <c r="A3" s="208" t="s">
        <v>405</v>
      </c>
      <c r="B3" s="211" t="s">
        <v>406</v>
      </c>
      <c r="C3" s="209" t="s">
        <v>407</v>
      </c>
      <c r="D3" s="209" t="s">
        <v>408</v>
      </c>
      <c r="E3" s="450" t="s">
        <v>409</v>
      </c>
      <c r="F3" s="450" t="s">
        <v>410</v>
      </c>
      <c r="G3" s="209" t="s">
        <v>411</v>
      </c>
      <c r="H3" s="211" t="s">
        <v>409</v>
      </c>
      <c r="I3" s="450" t="s">
        <v>410</v>
      </c>
      <c r="J3" s="210" t="s">
        <v>411</v>
      </c>
    </row>
    <row r="4" spans="1:10" ht="15.75" customHeight="1">
      <c r="A4" s="122">
        <v>2023</v>
      </c>
      <c r="B4" s="203">
        <v>464</v>
      </c>
      <c r="C4" s="228">
        <v>11271113.5098355</v>
      </c>
      <c r="D4" s="228">
        <v>85550082.528306499</v>
      </c>
      <c r="E4" s="123">
        <v>13.6</v>
      </c>
      <c r="F4" s="123">
        <v>13.37</v>
      </c>
      <c r="G4" s="123">
        <v>13.38</v>
      </c>
      <c r="H4" s="123">
        <v>19.3</v>
      </c>
      <c r="I4" s="201">
        <v>17.27</v>
      </c>
      <c r="J4" s="124">
        <v>17.27</v>
      </c>
    </row>
    <row r="5" spans="1:10" ht="15.6" customHeight="1">
      <c r="A5" s="122" t="s">
        <v>412</v>
      </c>
      <c r="B5" s="203">
        <v>467</v>
      </c>
      <c r="C5" s="228">
        <v>11548681.816156499</v>
      </c>
      <c r="D5" s="228">
        <v>85564607.228400603</v>
      </c>
      <c r="E5" s="123">
        <v>12.1</v>
      </c>
      <c r="F5" s="123">
        <v>11.52</v>
      </c>
      <c r="G5" s="123">
        <v>11.54</v>
      </c>
      <c r="H5" s="123">
        <v>17.3</v>
      </c>
      <c r="I5" s="201">
        <v>14.87</v>
      </c>
      <c r="J5" s="124">
        <v>14.88</v>
      </c>
    </row>
    <row r="6" spans="1:10" ht="15.75" customHeight="1">
      <c r="A6" s="122" t="s">
        <v>413</v>
      </c>
      <c r="B6" s="203">
        <v>473</v>
      </c>
      <c r="C6" s="228">
        <v>11890204.1673363</v>
      </c>
      <c r="D6" s="228">
        <v>86231874.968374997</v>
      </c>
      <c r="E6" s="123">
        <v>11</v>
      </c>
      <c r="F6" s="123">
        <v>10.25</v>
      </c>
      <c r="G6" s="123">
        <v>10.29</v>
      </c>
      <c r="H6" s="123">
        <v>15.9</v>
      </c>
      <c r="I6" s="201">
        <v>13.46</v>
      </c>
      <c r="J6" s="124">
        <v>13.47</v>
      </c>
    </row>
    <row r="7" spans="1:10" ht="15.75" customHeight="1">
      <c r="A7" s="122" t="s">
        <v>414</v>
      </c>
      <c r="B7" s="203">
        <v>468</v>
      </c>
      <c r="C7" s="228">
        <v>12097331.8174782</v>
      </c>
      <c r="D7" s="228">
        <v>86019767.264727697</v>
      </c>
      <c r="E7" s="123">
        <v>10</v>
      </c>
      <c r="F7" s="123">
        <v>9.06</v>
      </c>
      <c r="G7" s="123">
        <v>9.1199999999999992</v>
      </c>
      <c r="H7" s="123">
        <v>15.1</v>
      </c>
      <c r="I7" s="201">
        <v>12.48</v>
      </c>
      <c r="J7" s="124">
        <v>12.5</v>
      </c>
    </row>
    <row r="8" spans="1:10" ht="15.75" customHeight="1">
      <c r="A8" s="122">
        <v>2040</v>
      </c>
      <c r="B8" s="203">
        <v>471</v>
      </c>
      <c r="C8" s="228">
        <v>12817317.578923199</v>
      </c>
      <c r="D8" s="228">
        <v>87461031.270922795</v>
      </c>
      <c r="E8" s="123">
        <v>10</v>
      </c>
      <c r="F8" s="123">
        <v>7.19</v>
      </c>
      <c r="G8" s="123">
        <v>7.31</v>
      </c>
      <c r="H8" s="123">
        <v>15.1</v>
      </c>
      <c r="I8" s="201">
        <v>11.52</v>
      </c>
      <c r="J8" s="124">
        <v>11.57</v>
      </c>
    </row>
    <row r="9" spans="1:10" ht="16.5" customHeight="1" thickBot="1">
      <c r="A9" s="125">
        <v>2050</v>
      </c>
      <c r="B9" s="204">
        <v>459</v>
      </c>
      <c r="C9" s="241">
        <v>13470325.981821001</v>
      </c>
      <c r="D9" s="241">
        <v>88369585.277775407</v>
      </c>
      <c r="E9" s="126">
        <v>10</v>
      </c>
      <c r="F9" s="126">
        <v>6.52</v>
      </c>
      <c r="G9" s="126">
        <v>6.61</v>
      </c>
      <c r="H9" s="126">
        <v>15.1</v>
      </c>
      <c r="I9" s="202">
        <v>11.8</v>
      </c>
      <c r="J9" s="127">
        <v>11.83</v>
      </c>
    </row>
    <row r="11" spans="1:10" ht="42.95" customHeight="1">
      <c r="A11" s="554" t="s">
        <v>415</v>
      </c>
      <c r="B11" s="480"/>
      <c r="C11" s="480"/>
      <c r="D11" s="480"/>
      <c r="E11" s="480"/>
      <c r="F11" s="480"/>
      <c r="G11" s="480"/>
      <c r="H11" s="480"/>
      <c r="I11" s="480"/>
      <c r="J11" s="480"/>
    </row>
    <row r="13" spans="1:10" ht="17.25" customHeight="1">
      <c r="A13" s="359" t="s">
        <v>416</v>
      </c>
      <c r="B13" s="359"/>
      <c r="C13" s="359"/>
      <c r="D13" s="359"/>
      <c r="E13" s="359"/>
      <c r="F13" s="359"/>
      <c r="G13" s="359"/>
      <c r="H13" s="359"/>
      <c r="I13" s="359"/>
      <c r="J13" s="359"/>
    </row>
  </sheetData>
  <sheetProtection algorithmName="SHA-512" hashValue="IjxQw5mXRa7817ovrz6AtDZAtgW3dv4+YXp/BL9kYRvzJzHrTMEYizDfs/3O5qcxmySAc08Sd/EKY9z+yNdg3A==" saltValue="DTVPev+sK6G1sstWK90wiA==" spinCount="100000" sheet="1" objects="1" scenarios="1"/>
  <mergeCells count="4">
    <mergeCell ref="A1:J1"/>
    <mergeCell ref="E2:G2"/>
    <mergeCell ref="H2:J2"/>
    <mergeCell ref="A11:J11"/>
  </mergeCells>
  <pageMargins left="0.7" right="0.7" top="0.75" bottom="0.75" header="0.3" footer="0.3"/>
  <pageSetup orientation="portrait" horizontalDpi="1200" verticalDpi="1200" r:id="rId1"/>
  <headerFooter>
    <oddHeader>&amp;LDRAFT - FOR INTERNAL USE ONLY</oddHeader>
    <oddFooter>&amp;L&amp;11 &amp;Z&amp;F&amp;R&amp;D</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47C243-CD5B-4FF4-B7B1-21D8165C640F}">
  <dimension ref="A1:H26"/>
  <sheetViews>
    <sheetView workbookViewId="0">
      <pane xSplit="1" ySplit="3" topLeftCell="B13" activePane="bottomRight" state="frozen"/>
      <selection pane="bottomRight" activeCell="A15" sqref="A15"/>
      <selection pane="bottomLeft" activeCell="A4" sqref="A4"/>
      <selection pane="topRight" activeCell="B1" sqref="B1"/>
    </sheetView>
  </sheetViews>
  <sheetFormatPr defaultRowHeight="15"/>
  <cols>
    <col min="1" max="1" width="31.42578125" style="311" customWidth="1"/>
    <col min="2" max="8" width="14" customWidth="1"/>
  </cols>
  <sheetData>
    <row r="1" spans="1:8" ht="18.75">
      <c r="A1" s="557" t="s">
        <v>417</v>
      </c>
      <c r="B1" s="558">
        <v>2016</v>
      </c>
      <c r="C1" s="555" t="s">
        <v>418</v>
      </c>
      <c r="D1" s="555"/>
      <c r="E1" s="555"/>
      <c r="F1" s="555" t="s">
        <v>419</v>
      </c>
      <c r="G1" s="556"/>
      <c r="H1" s="556"/>
    </row>
    <row r="2" spans="1:8" ht="18.75">
      <c r="A2" s="557"/>
      <c r="B2" s="559"/>
      <c r="C2" s="451">
        <v>2025</v>
      </c>
      <c r="D2" s="451">
        <v>2035</v>
      </c>
      <c r="E2" s="451">
        <v>2050</v>
      </c>
      <c r="F2" s="451">
        <v>2025</v>
      </c>
      <c r="G2" s="451">
        <v>2035</v>
      </c>
      <c r="H2" s="451">
        <v>2050</v>
      </c>
    </row>
    <row r="3" spans="1:8" ht="15.75">
      <c r="A3" s="557"/>
      <c r="B3" s="351">
        <v>458</v>
      </c>
      <c r="C3" s="351">
        <v>461</v>
      </c>
      <c r="D3" s="351">
        <v>469</v>
      </c>
      <c r="E3" s="351">
        <v>460</v>
      </c>
      <c r="F3" s="351">
        <v>462</v>
      </c>
      <c r="G3" s="351">
        <v>475</v>
      </c>
      <c r="H3" s="351">
        <v>459</v>
      </c>
    </row>
    <row r="4" spans="1:8">
      <c r="A4" s="352" t="s">
        <v>420</v>
      </c>
      <c r="B4" s="354">
        <v>0.16634640315448701</v>
      </c>
      <c r="C4" s="354">
        <v>0.188450759365691</v>
      </c>
      <c r="D4" s="354">
        <v>0.17875770510254399</v>
      </c>
      <c r="E4" s="354">
        <v>0.17579131748474</v>
      </c>
      <c r="F4" s="354">
        <v>0.21734166557859999</v>
      </c>
      <c r="G4" s="354">
        <v>0.21266945906597501</v>
      </c>
      <c r="H4" s="354">
        <v>0.21007410967444901</v>
      </c>
    </row>
    <row r="5" spans="1:8">
      <c r="A5" s="352" t="s">
        <v>421</v>
      </c>
      <c r="B5" s="274">
        <v>3.1183388754371902E-3</v>
      </c>
      <c r="C5" s="274">
        <v>3.2271946288773001E-3</v>
      </c>
      <c r="D5" s="274">
        <v>3.4767387123105899E-3</v>
      </c>
      <c r="E5" s="274">
        <v>3.84814862136272E-3</v>
      </c>
      <c r="F5" s="274">
        <v>4.2004870371938402E-3</v>
      </c>
      <c r="G5" s="274">
        <v>4.4518500958837899E-3</v>
      </c>
      <c r="H5" s="274">
        <v>5.4620858767215003E-3</v>
      </c>
    </row>
    <row r="6" spans="1:8">
      <c r="A6" s="352" t="s">
        <v>422</v>
      </c>
      <c r="B6" s="274">
        <v>3.7818451379325203E-4</v>
      </c>
      <c r="C6" s="274">
        <v>4.5104574487175902E-4</v>
      </c>
      <c r="D6" s="274">
        <v>5.0993863450030704E-4</v>
      </c>
      <c r="E6" s="274">
        <v>5.4468365692771298E-4</v>
      </c>
      <c r="F6" s="274">
        <v>1.6107725071071799E-3</v>
      </c>
      <c r="G6" s="274">
        <v>2.3420610485532698E-3</v>
      </c>
      <c r="H6" s="274">
        <v>2.5016815517106199E-3</v>
      </c>
    </row>
    <row r="7" spans="1:8">
      <c r="A7" s="352" t="s">
        <v>423</v>
      </c>
      <c r="B7" s="274">
        <v>7.1800851360276996E-3</v>
      </c>
      <c r="C7" s="274">
        <v>7.5893152341030799E-3</v>
      </c>
      <c r="D7" s="274">
        <v>8.5071135142867401E-3</v>
      </c>
      <c r="E7" s="274">
        <v>8.2585506090664101E-3</v>
      </c>
      <c r="F7" s="274">
        <v>5.68086295028849E-2</v>
      </c>
      <c r="G7" s="274">
        <v>5.9239383687069901E-2</v>
      </c>
      <c r="H7" s="274">
        <v>6.4649338230484896E-2</v>
      </c>
    </row>
    <row r="8" spans="1:8">
      <c r="A8" s="352" t="s">
        <v>424</v>
      </c>
      <c r="B8" s="274">
        <v>0.14499161258513599</v>
      </c>
      <c r="C8" s="274">
        <v>0.16532512266904301</v>
      </c>
      <c r="D8" s="274">
        <v>0.15345357703485901</v>
      </c>
      <c r="E8" s="274">
        <v>0.150943844824971</v>
      </c>
      <c r="F8" s="274">
        <v>0.1449609555427</v>
      </c>
      <c r="G8" s="274">
        <v>0.12949736531613601</v>
      </c>
      <c r="H8" s="274">
        <v>0.117473937543133</v>
      </c>
    </row>
    <row r="9" spans="1:8">
      <c r="A9" s="352" t="s">
        <v>425</v>
      </c>
      <c r="B9" s="274">
        <v>1.61490297647241E-4</v>
      </c>
      <c r="C9" s="274">
        <v>1.5194664547402701E-4</v>
      </c>
      <c r="D9" s="274">
        <v>1.9404641445771201E-4</v>
      </c>
      <c r="E9" s="274">
        <v>1.6772368708630099E-5</v>
      </c>
      <c r="F9" s="274">
        <v>1.5842364270432499E-4</v>
      </c>
      <c r="G9" s="274">
        <v>3.7877243833021402E-4</v>
      </c>
      <c r="H9" s="274">
        <v>2.0951738033541401E-4</v>
      </c>
    </row>
    <row r="10" spans="1:8">
      <c r="A10" s="352" t="s">
        <v>426</v>
      </c>
      <c r="B10" s="274">
        <v>1.2646677293722401E-2</v>
      </c>
      <c r="C10" s="274">
        <v>1.50990428472564E-2</v>
      </c>
      <c r="D10" s="274">
        <v>1.6026680539855301E-2</v>
      </c>
      <c r="E10" s="274">
        <v>1.52821736795722E-2</v>
      </c>
      <c r="F10" s="274">
        <v>2.3618990540339699E-2</v>
      </c>
      <c r="G10" s="274">
        <v>3.2067229989063299E-2</v>
      </c>
      <c r="H10" s="274">
        <v>3.3099660464287799E-2</v>
      </c>
    </row>
    <row r="11" spans="1:8">
      <c r="A11" s="353" t="s">
        <v>427</v>
      </c>
      <c r="B11" s="354">
        <v>3.9289881494932101E-2</v>
      </c>
      <c r="C11" s="354">
        <v>4.1418086774023602E-2</v>
      </c>
      <c r="D11" s="354">
        <v>3.8570824319975897E-2</v>
      </c>
      <c r="E11" s="354">
        <v>3.7659885976054797E-2</v>
      </c>
      <c r="F11" s="354">
        <v>5.5516092101724999E-2</v>
      </c>
      <c r="G11" s="354">
        <v>6.0749829867224998E-2</v>
      </c>
      <c r="H11" s="354">
        <v>6.9089661130661104E-2</v>
      </c>
    </row>
    <row r="12" spans="1:8">
      <c r="A12" s="353" t="s">
        <v>428</v>
      </c>
      <c r="B12" s="274">
        <v>1.6669698751878E-3</v>
      </c>
      <c r="C12" s="274">
        <v>1.7447255068938101E-3</v>
      </c>
      <c r="D12" s="274">
        <v>1.93345041115586E-3</v>
      </c>
      <c r="E12" s="274">
        <v>1.9715841152456799E-3</v>
      </c>
      <c r="F12" s="274">
        <v>1.9910603194958601E-3</v>
      </c>
      <c r="G12" s="274">
        <v>2.25115703369725E-3</v>
      </c>
      <c r="H12" s="274">
        <v>2.5830119394934601E-3</v>
      </c>
    </row>
    <row r="13" spans="1:8">
      <c r="A13" s="353" t="s">
        <v>429</v>
      </c>
      <c r="B13" s="274">
        <v>7.8821197909547701E-5</v>
      </c>
      <c r="C13" s="274">
        <v>9.0990122155597901E-5</v>
      </c>
      <c r="D13" s="274">
        <v>1.08288609548366E-4</v>
      </c>
      <c r="E13" s="274">
        <v>1.12730744536265E-4</v>
      </c>
      <c r="F13" s="274">
        <v>2.8978738892727998E-4</v>
      </c>
      <c r="G13" s="274">
        <v>4.0355838923706802E-4</v>
      </c>
      <c r="H13" s="274">
        <v>4.4989513720025101E-4</v>
      </c>
    </row>
    <row r="14" spans="1:8">
      <c r="A14" s="353" t="s">
        <v>430</v>
      </c>
      <c r="B14" s="274">
        <v>2.68148618669825E-3</v>
      </c>
      <c r="C14" s="274">
        <v>2.5276684174849301E-3</v>
      </c>
      <c r="D14" s="274">
        <v>2.8978617722281602E-3</v>
      </c>
      <c r="E14" s="274">
        <v>2.7751457878412E-3</v>
      </c>
      <c r="F14" s="274">
        <v>1.74448028269556E-2</v>
      </c>
      <c r="G14" s="274">
        <v>2.28414499780492E-2</v>
      </c>
      <c r="H14" s="274">
        <v>3.29643777895193E-2</v>
      </c>
    </row>
    <row r="15" spans="1:8">
      <c r="A15" s="353" t="s">
        <v>431</v>
      </c>
      <c r="B15" s="274">
        <v>3.3576598358606401E-2</v>
      </c>
      <c r="C15" s="274">
        <v>3.56197206863796E-2</v>
      </c>
      <c r="D15" s="274">
        <v>3.2086530781740799E-2</v>
      </c>
      <c r="E15" s="274">
        <v>3.1487879703130099E-2</v>
      </c>
      <c r="F15" s="274">
        <v>3.3822219197974498E-2</v>
      </c>
      <c r="G15" s="274">
        <v>3.2763956401001E-2</v>
      </c>
      <c r="H15" s="274">
        <v>3.03909969595605E-2</v>
      </c>
    </row>
    <row r="16" spans="1:8">
      <c r="A16" s="353" t="s">
        <v>432</v>
      </c>
      <c r="B16" s="274">
        <v>1.8116019014465201E-4</v>
      </c>
      <c r="C16" s="274">
        <v>1.82616473577379E-4</v>
      </c>
      <c r="D16" s="274">
        <v>2.06454382328555E-4</v>
      </c>
      <c r="E16" s="274">
        <v>6.6419553778531497E-6</v>
      </c>
      <c r="F16" s="274">
        <v>1.94521859116815E-4</v>
      </c>
      <c r="G16" s="274">
        <v>8.2001527344544598E-4</v>
      </c>
      <c r="H16" s="274">
        <v>7.6665673096975803E-4</v>
      </c>
    </row>
    <row r="17" spans="1:8">
      <c r="A17" s="353" t="s">
        <v>433</v>
      </c>
      <c r="B17" s="274">
        <v>1.1049232505458901E-3</v>
      </c>
      <c r="C17" s="274">
        <v>1.25261341822991E-3</v>
      </c>
      <c r="D17" s="274">
        <v>1.3382383629748601E-3</v>
      </c>
      <c r="E17" s="274">
        <v>1.3059036699230001E-3</v>
      </c>
      <c r="F17" s="274">
        <v>1.7739799951920899E-3</v>
      </c>
      <c r="G17" s="274">
        <v>1.6712999850897301E-3</v>
      </c>
      <c r="H17" s="274">
        <v>1.9369869699671499E-3</v>
      </c>
    </row>
    <row r="18" spans="1:8">
      <c r="A18" s="381" t="s">
        <v>390</v>
      </c>
      <c r="B18" s="354">
        <v>7.6346260641720495E-2</v>
      </c>
      <c r="C18" s="354">
        <v>8.2136175263986796E-2</v>
      </c>
      <c r="D18" s="354">
        <v>7.5169172832739203E-2</v>
      </c>
      <c r="E18" s="354">
        <v>7.1765610154256601E-2</v>
      </c>
      <c r="F18" s="354">
        <v>0.10040761171186099</v>
      </c>
      <c r="G18" s="354">
        <v>0.100388807726934</v>
      </c>
      <c r="H18" s="354">
        <v>0.103945283301142</v>
      </c>
    </row>
    <row r="21" spans="1:8">
      <c r="A21" s="355" t="s">
        <v>434</v>
      </c>
      <c r="B21" s="359"/>
      <c r="C21" s="359"/>
      <c r="D21" s="359"/>
      <c r="E21" s="359"/>
      <c r="F21" s="359"/>
      <c r="G21" s="359"/>
      <c r="H21" s="359"/>
    </row>
    <row r="22" spans="1:8">
      <c r="A22" s="355" t="s">
        <v>435</v>
      </c>
      <c r="B22" s="359"/>
      <c r="C22" s="359"/>
      <c r="D22" s="359"/>
      <c r="E22" s="359"/>
      <c r="F22" s="359"/>
      <c r="G22" s="359"/>
      <c r="H22" s="359"/>
    </row>
    <row r="23" spans="1:8">
      <c r="A23" s="355" t="s">
        <v>436</v>
      </c>
      <c r="B23" s="359"/>
      <c r="C23" s="359"/>
      <c r="D23" s="359"/>
      <c r="E23" s="359"/>
      <c r="F23" s="359"/>
      <c r="G23" s="359"/>
      <c r="H23" s="359"/>
    </row>
    <row r="24" spans="1:8">
      <c r="A24" s="355" t="s">
        <v>437</v>
      </c>
      <c r="B24" s="359"/>
      <c r="C24" s="359"/>
      <c r="D24" s="359"/>
      <c r="E24" s="359"/>
      <c r="F24" s="359"/>
      <c r="G24" s="359"/>
      <c r="H24" s="359"/>
    </row>
    <row r="25" spans="1:8">
      <c r="A25" s="355" t="s">
        <v>438</v>
      </c>
      <c r="B25" s="359"/>
      <c r="C25" s="359"/>
      <c r="D25" s="359"/>
      <c r="E25" s="359"/>
      <c r="F25" s="359"/>
      <c r="G25" s="359"/>
      <c r="H25" s="359"/>
    </row>
    <row r="26" spans="1:8">
      <c r="A26" s="355" t="s">
        <v>439</v>
      </c>
      <c r="B26" s="359"/>
      <c r="C26" s="359"/>
      <c r="D26" s="359"/>
      <c r="E26" s="359"/>
      <c r="F26" s="359"/>
      <c r="G26" s="359"/>
      <c r="H26" s="359"/>
    </row>
  </sheetData>
  <sheetProtection algorithmName="SHA-512" hashValue="tZqqAPJNgDWIyPaAkASjIWTpiHNEGkRVjytLJeaT4AhTpy8AVJ7Ej4QxKEASa7vXFrsSuD5SR6XceKrIiC1KQQ==" saltValue="XvDarGW85CpqdqYfV1sKcA==" spinCount="100000" sheet="1" objects="1" scenarios="1"/>
  <mergeCells count="4">
    <mergeCell ref="C1:E1"/>
    <mergeCell ref="F1:H1"/>
    <mergeCell ref="A1:A3"/>
    <mergeCell ref="B1:B2"/>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5" tint="0.59999389629810485"/>
  </sheetPr>
  <dimension ref="A1:J25"/>
  <sheetViews>
    <sheetView workbookViewId="0">
      <pane xSplit="3" ySplit="4" topLeftCell="D5" activePane="bottomRight" state="frozen"/>
      <selection pane="bottomRight" activeCell="F13" sqref="F13"/>
      <selection pane="bottomLeft" activeCell="A5" sqref="A5"/>
      <selection pane="topRight" activeCell="D1" sqref="D1"/>
    </sheetView>
  </sheetViews>
  <sheetFormatPr defaultRowHeight="15"/>
  <cols>
    <col min="1" max="1" width="24.85546875" style="289" customWidth="1"/>
    <col min="2" max="2" width="12.7109375" style="289" customWidth="1"/>
    <col min="3" max="3" width="5.28515625" style="289" customWidth="1"/>
    <col min="4" max="7" width="11.85546875" style="290" bestFit="1" customWidth="1"/>
    <col min="8" max="8" width="12.5703125" style="290" customWidth="1"/>
    <col min="9" max="10" width="12.5703125" style="289" customWidth="1"/>
  </cols>
  <sheetData>
    <row r="1" spans="1:10">
      <c r="A1" s="350" t="s">
        <v>440</v>
      </c>
      <c r="B1" s="350"/>
      <c r="C1" s="350"/>
      <c r="D1" s="350">
        <v>2016</v>
      </c>
      <c r="E1" s="560" t="s">
        <v>1</v>
      </c>
      <c r="F1" s="561"/>
      <c r="G1" s="561"/>
      <c r="H1" s="560" t="s">
        <v>2</v>
      </c>
      <c r="I1" s="562"/>
      <c r="J1" s="562"/>
    </row>
    <row r="2" spans="1:10">
      <c r="A2" s="350"/>
      <c r="B2" s="350"/>
      <c r="C2" s="350"/>
      <c r="D2" s="350"/>
      <c r="E2" s="350">
        <v>2025</v>
      </c>
      <c r="F2" s="350">
        <v>2035</v>
      </c>
      <c r="G2" s="350">
        <v>2050</v>
      </c>
      <c r="H2" s="350">
        <v>2025</v>
      </c>
      <c r="I2" s="350">
        <v>2035</v>
      </c>
      <c r="J2" s="350">
        <v>2050</v>
      </c>
    </row>
    <row r="3" spans="1:10">
      <c r="A3" s="350"/>
      <c r="B3" s="350" t="s">
        <v>3</v>
      </c>
      <c r="C3" s="350"/>
      <c r="D3" s="350">
        <v>458</v>
      </c>
      <c r="E3" s="350">
        <v>461</v>
      </c>
      <c r="F3" s="350">
        <v>469</v>
      </c>
      <c r="G3" s="350">
        <v>460</v>
      </c>
      <c r="H3" s="350">
        <v>462</v>
      </c>
      <c r="I3" s="350">
        <v>475</v>
      </c>
      <c r="J3" s="350">
        <v>459</v>
      </c>
    </row>
    <row r="4" spans="1:10">
      <c r="A4" s="359" t="s">
        <v>441</v>
      </c>
      <c r="B4" s="359" t="s">
        <v>67</v>
      </c>
      <c r="C4" s="359"/>
      <c r="D4" s="312" t="s">
        <v>442</v>
      </c>
      <c r="E4" s="312" t="s">
        <v>442</v>
      </c>
      <c r="F4" s="312" t="s">
        <v>442</v>
      </c>
      <c r="G4" s="312" t="s">
        <v>442</v>
      </c>
      <c r="H4" s="312" t="s">
        <v>442</v>
      </c>
      <c r="I4" s="312" t="s">
        <v>442</v>
      </c>
      <c r="J4" s="359" t="s">
        <v>442</v>
      </c>
    </row>
    <row r="5" spans="1:10">
      <c r="A5" s="361" t="s">
        <v>443</v>
      </c>
      <c r="B5" s="361" t="s">
        <v>390</v>
      </c>
      <c r="C5" s="361"/>
      <c r="D5" s="360">
        <v>5.1227375648825397</v>
      </c>
      <c r="E5" s="360">
        <v>5.0892374654247901</v>
      </c>
      <c r="F5" s="360">
        <v>5.5934736832176002</v>
      </c>
      <c r="G5" s="360">
        <v>5.8488188992090402</v>
      </c>
      <c r="H5" s="360">
        <v>5.1051131331826802</v>
      </c>
      <c r="I5" s="360">
        <v>5.2917379284920303</v>
      </c>
      <c r="J5" s="360">
        <v>5.4444230090538204</v>
      </c>
    </row>
    <row r="6" spans="1:10">
      <c r="A6" s="359" t="s">
        <v>444</v>
      </c>
      <c r="B6" s="359" t="s">
        <v>390</v>
      </c>
      <c r="C6" s="359"/>
      <c r="D6" s="312">
        <v>11.426382958117401</v>
      </c>
      <c r="E6" s="312">
        <v>12.012858343052599</v>
      </c>
      <c r="F6" s="312">
        <v>13.5891200961496</v>
      </c>
      <c r="G6" s="312">
        <v>14.3624519452122</v>
      </c>
      <c r="H6" s="312">
        <v>12.059066295623101</v>
      </c>
      <c r="I6" s="312">
        <v>12.856326544395699</v>
      </c>
      <c r="J6" s="312">
        <v>13.3661926563574</v>
      </c>
    </row>
    <row r="7" spans="1:10">
      <c r="A7" s="359" t="s">
        <v>445</v>
      </c>
      <c r="B7" s="359" t="s">
        <v>390</v>
      </c>
      <c r="C7" s="359"/>
      <c r="D7" s="312">
        <v>16.5491205229999</v>
      </c>
      <c r="E7" s="312">
        <v>17.102095808477401</v>
      </c>
      <c r="F7" s="312">
        <v>19.1825937793671</v>
      </c>
      <c r="G7" s="312">
        <v>20.211270844421399</v>
      </c>
      <c r="H7" s="312">
        <v>17.164179428805799</v>
      </c>
      <c r="I7" s="312">
        <v>18.1480644728877</v>
      </c>
      <c r="J7" s="312">
        <v>18.810615665411198</v>
      </c>
    </row>
    <row r="8" spans="1:10" s="92" customFormat="1">
      <c r="A8" s="361" t="s">
        <v>443</v>
      </c>
      <c r="B8" s="361" t="s">
        <v>181</v>
      </c>
      <c r="C8" s="361"/>
      <c r="D8" s="360">
        <v>4.8829336378605799</v>
      </c>
      <c r="E8" s="360">
        <v>4.9042617639324497</v>
      </c>
      <c r="F8" s="360">
        <v>5.4330618935882899</v>
      </c>
      <c r="G8" s="360">
        <v>5.8110785031085603</v>
      </c>
      <c r="H8" s="360">
        <v>4.8888262977638197</v>
      </c>
      <c r="I8" s="360">
        <v>5.17554293998601</v>
      </c>
      <c r="J8" s="360">
        <v>5.4332217887578098</v>
      </c>
    </row>
    <row r="9" spans="1:10">
      <c r="A9" s="359" t="s">
        <v>444</v>
      </c>
      <c r="B9" s="359" t="s">
        <v>181</v>
      </c>
      <c r="C9" s="359"/>
      <c r="D9" s="312">
        <v>10.890116606291301</v>
      </c>
      <c r="E9" s="312">
        <v>11.5777479276754</v>
      </c>
      <c r="F9" s="312">
        <v>13.199726987182199</v>
      </c>
      <c r="G9" s="312">
        <v>14.269790574799</v>
      </c>
      <c r="H9" s="312">
        <v>11.547933340778799</v>
      </c>
      <c r="I9" s="312">
        <v>12.574913819881701</v>
      </c>
      <c r="J9" s="312">
        <v>13.3385181920805</v>
      </c>
    </row>
    <row r="10" spans="1:10">
      <c r="A10" s="359" t="s">
        <v>445</v>
      </c>
      <c r="B10" s="359" t="s">
        <v>181</v>
      </c>
      <c r="C10" s="359"/>
      <c r="D10" s="312">
        <v>15.773050244151801</v>
      </c>
      <c r="E10" s="312">
        <v>16.4820096916079</v>
      </c>
      <c r="F10" s="312">
        <v>18.632788880770399</v>
      </c>
      <c r="G10" s="312">
        <v>20.0808690779076</v>
      </c>
      <c r="H10" s="312">
        <v>16.436759638542501</v>
      </c>
      <c r="I10" s="312">
        <v>17.750456759867699</v>
      </c>
      <c r="J10" s="312">
        <v>18.771739980838301</v>
      </c>
    </row>
    <row r="11" spans="1:10" s="92" customFormat="1">
      <c r="A11" s="361" t="s">
        <v>443</v>
      </c>
      <c r="B11" s="361" t="s">
        <v>199</v>
      </c>
      <c r="C11" s="361"/>
      <c r="D11" s="360">
        <v>5.13744212349531</v>
      </c>
      <c r="E11" s="360">
        <v>5.1039774524086399</v>
      </c>
      <c r="F11" s="360">
        <v>5.6125227734021097</v>
      </c>
      <c r="G11" s="360">
        <v>5.8540460413932696</v>
      </c>
      <c r="H11" s="360">
        <v>5.1223484480539598</v>
      </c>
      <c r="I11" s="360">
        <v>5.3055358329062496</v>
      </c>
      <c r="J11" s="360">
        <v>5.44597326558688</v>
      </c>
    </row>
    <row r="12" spans="1:10">
      <c r="A12" s="359" t="s">
        <v>444</v>
      </c>
      <c r="B12" s="359" t="s">
        <v>199</v>
      </c>
      <c r="C12" s="359"/>
      <c r="D12" s="312">
        <v>11.459266332443599</v>
      </c>
      <c r="E12" s="312">
        <v>12.047530569606501</v>
      </c>
      <c r="F12" s="312">
        <v>13.635360985956799</v>
      </c>
      <c r="G12" s="312">
        <v>14.375285783274499</v>
      </c>
      <c r="H12" s="312">
        <v>12.099797104648299</v>
      </c>
      <c r="I12" s="312">
        <v>12.889743686211499</v>
      </c>
      <c r="J12" s="312">
        <v>13.370022847306901</v>
      </c>
    </row>
    <row r="13" spans="1:10">
      <c r="A13" s="359" t="s">
        <v>445</v>
      </c>
      <c r="B13" s="359" t="s">
        <v>199</v>
      </c>
      <c r="C13" s="359"/>
      <c r="D13" s="312">
        <v>16.596708455938899</v>
      </c>
      <c r="E13" s="312">
        <v>17.1515080220153</v>
      </c>
      <c r="F13" s="312">
        <v>19.247883759358999</v>
      </c>
      <c r="G13" s="312">
        <v>20.2293318246677</v>
      </c>
      <c r="H13" s="312">
        <v>17.222145552702099</v>
      </c>
      <c r="I13" s="312">
        <v>18.195279519117701</v>
      </c>
      <c r="J13" s="312">
        <v>18.815996112893799</v>
      </c>
    </row>
    <row r="14" spans="1:10" s="92" customFormat="1">
      <c r="A14" s="361" t="s">
        <v>443</v>
      </c>
      <c r="B14" s="361" t="s">
        <v>180</v>
      </c>
      <c r="C14" s="361"/>
      <c r="D14" s="360">
        <v>5.50230396028903</v>
      </c>
      <c r="E14" s="360">
        <v>5.4051845731496</v>
      </c>
      <c r="F14" s="360">
        <v>5.8808251892354599</v>
      </c>
      <c r="G14" s="360">
        <v>6.06402471935239</v>
      </c>
      <c r="H14" s="360">
        <v>5.4071138370049301</v>
      </c>
      <c r="I14" s="360">
        <v>5.5025168125640898</v>
      </c>
      <c r="J14" s="360">
        <v>5.6309434364947304</v>
      </c>
    </row>
    <row r="15" spans="1:10">
      <c r="A15" s="359" t="s">
        <v>444</v>
      </c>
      <c r="B15" s="359" t="s">
        <v>180</v>
      </c>
      <c r="C15" s="359"/>
      <c r="D15" s="312">
        <v>12.2799427222183</v>
      </c>
      <c r="E15" s="312">
        <v>12.758239776840901</v>
      </c>
      <c r="F15" s="312">
        <v>14.287573320826301</v>
      </c>
      <c r="G15" s="312">
        <v>14.8913743847653</v>
      </c>
      <c r="H15" s="312">
        <v>12.773568771670901</v>
      </c>
      <c r="I15" s="312">
        <v>13.368717041102601</v>
      </c>
      <c r="J15" s="312">
        <v>13.8247219194407</v>
      </c>
    </row>
    <row r="16" spans="1:10">
      <c r="A16" s="359" t="s">
        <v>445</v>
      </c>
      <c r="B16" s="359" t="s">
        <v>180</v>
      </c>
      <c r="C16" s="359"/>
      <c r="D16" s="312">
        <v>17.782246682507299</v>
      </c>
      <c r="E16" s="312">
        <v>18.1634243499905</v>
      </c>
      <c r="F16" s="312">
        <v>20.168398510061898</v>
      </c>
      <c r="G16" s="312">
        <v>20.9553991041176</v>
      </c>
      <c r="H16" s="312">
        <v>18.180682608675902</v>
      </c>
      <c r="I16" s="312">
        <v>18.871233853666698</v>
      </c>
      <c r="J16" s="312">
        <v>19.455665355935299</v>
      </c>
    </row>
    <row r="17" spans="1:10" s="92" customFormat="1">
      <c r="A17" s="361" t="s">
        <v>443</v>
      </c>
      <c r="B17" s="361" t="s">
        <v>197</v>
      </c>
      <c r="C17" s="361"/>
      <c r="D17" s="360">
        <v>4.68354930382469</v>
      </c>
      <c r="E17" s="360">
        <v>4.6671868103504996</v>
      </c>
      <c r="F17" s="360">
        <v>5.1333276869429501</v>
      </c>
      <c r="G17" s="360">
        <v>5.3862275263791597</v>
      </c>
      <c r="H17" s="360">
        <v>4.7017125062147702</v>
      </c>
      <c r="I17" s="360">
        <v>4.9542725332273703</v>
      </c>
      <c r="J17" s="360">
        <v>5.0436259351764097</v>
      </c>
    </row>
    <row r="18" spans="1:10">
      <c r="A18" s="359" t="s">
        <v>444</v>
      </c>
      <c r="B18" s="359" t="s">
        <v>197</v>
      </c>
      <c r="C18" s="359"/>
      <c r="D18" s="312">
        <v>10.438747040932601</v>
      </c>
      <c r="E18" s="312">
        <v>11.0171577460648</v>
      </c>
      <c r="F18" s="312">
        <v>12.470662573611101</v>
      </c>
      <c r="G18" s="312">
        <v>13.2255172889765</v>
      </c>
      <c r="H18" s="312">
        <v>11.1046620865457</v>
      </c>
      <c r="I18" s="312">
        <v>12.0359689402546</v>
      </c>
      <c r="J18" s="312">
        <v>12.3809001251692</v>
      </c>
    </row>
    <row r="19" spans="1:10">
      <c r="A19" s="359" t="s">
        <v>445</v>
      </c>
      <c r="B19" s="359" t="s">
        <v>197</v>
      </c>
      <c r="C19" s="359"/>
      <c r="D19" s="312">
        <v>15.1222963447573</v>
      </c>
      <c r="E19" s="312">
        <v>15.6843445564154</v>
      </c>
      <c r="F19" s="312">
        <v>17.603990260553999</v>
      </c>
      <c r="G19" s="312">
        <v>18.6117448153555</v>
      </c>
      <c r="H19" s="312">
        <v>15.806374592760401</v>
      </c>
      <c r="I19" s="312">
        <v>16.990241473482001</v>
      </c>
      <c r="J19" s="312">
        <v>17.424526060345698</v>
      </c>
    </row>
    <row r="20" spans="1:10" s="92" customFormat="1">
      <c r="A20" s="361" t="s">
        <v>443</v>
      </c>
      <c r="B20" s="361" t="s">
        <v>420</v>
      </c>
      <c r="C20" s="361"/>
      <c r="D20" s="360">
        <v>5.4800161060306198</v>
      </c>
      <c r="E20" s="360">
        <v>5.4809208476945397</v>
      </c>
      <c r="F20" s="360">
        <v>6.0146277036530904</v>
      </c>
      <c r="G20" s="360">
        <v>6.2799904144613201</v>
      </c>
      <c r="H20" s="360">
        <v>5.4942519188991499</v>
      </c>
      <c r="I20" s="360">
        <v>5.6432258752447</v>
      </c>
      <c r="J20" s="360">
        <v>5.76861014521982</v>
      </c>
    </row>
    <row r="21" spans="1:10">
      <c r="A21" s="359" t="s">
        <v>444</v>
      </c>
      <c r="B21" s="359" t="s">
        <v>420</v>
      </c>
      <c r="C21" s="359"/>
      <c r="D21" s="312">
        <v>12.218063181947301</v>
      </c>
      <c r="E21" s="312">
        <v>12.9275128289487</v>
      </c>
      <c r="F21" s="312">
        <v>14.606613019727099</v>
      </c>
      <c r="G21" s="312">
        <v>15.416891851598599</v>
      </c>
      <c r="H21" s="312">
        <v>12.9674377426175</v>
      </c>
      <c r="I21" s="312">
        <v>13.7027954970974</v>
      </c>
      <c r="J21" s="312">
        <v>14.156167718758599</v>
      </c>
    </row>
    <row r="22" spans="1:10">
      <c r="A22" s="359" t="s">
        <v>445</v>
      </c>
      <c r="B22" s="359" t="s">
        <v>420</v>
      </c>
      <c r="C22" s="359"/>
      <c r="D22" s="312">
        <v>17.698079287977901</v>
      </c>
      <c r="E22" s="312">
        <v>18.408433676643199</v>
      </c>
      <c r="F22" s="312">
        <v>20.6212407233803</v>
      </c>
      <c r="G22" s="312">
        <v>21.696882266060101</v>
      </c>
      <c r="H22" s="312">
        <v>18.461689661516701</v>
      </c>
      <c r="I22" s="312">
        <v>19.3460213723422</v>
      </c>
      <c r="J22" s="312">
        <v>19.924777863978498</v>
      </c>
    </row>
    <row r="23" spans="1:10" s="92" customFormat="1">
      <c r="A23" s="361" t="s">
        <v>443</v>
      </c>
      <c r="B23" s="361" t="s">
        <v>427</v>
      </c>
      <c r="C23" s="361"/>
      <c r="D23" s="360">
        <v>4.9550881984670303</v>
      </c>
      <c r="E23" s="360">
        <v>4.92410817146986</v>
      </c>
      <c r="F23" s="360">
        <v>5.43014543204138</v>
      </c>
      <c r="G23" s="360">
        <v>5.6947529007667503</v>
      </c>
      <c r="H23" s="360">
        <v>4.9403927476847302</v>
      </c>
      <c r="I23" s="360">
        <v>5.1553342582395603</v>
      </c>
      <c r="J23" s="360">
        <v>5.32811812633995</v>
      </c>
    </row>
    <row r="24" spans="1:10">
      <c r="A24" s="359" t="s">
        <v>444</v>
      </c>
      <c r="B24" s="359" t="s">
        <v>427</v>
      </c>
      <c r="C24" s="359"/>
      <c r="D24" s="312">
        <v>11.0548949320678</v>
      </c>
      <c r="E24" s="312">
        <v>11.6272502799936</v>
      </c>
      <c r="F24" s="312">
        <v>13.1945249027646</v>
      </c>
      <c r="G24" s="312">
        <v>13.985679963375199</v>
      </c>
      <c r="H24" s="312">
        <v>11.6745574175382</v>
      </c>
      <c r="I24" s="312">
        <v>12.5278330972299</v>
      </c>
      <c r="J24" s="312">
        <v>13.082782370900301</v>
      </c>
    </row>
    <row r="25" spans="1:10">
      <c r="A25" s="359" t="s">
        <v>445</v>
      </c>
      <c r="B25" s="359" t="s">
        <v>427</v>
      </c>
      <c r="C25" s="359"/>
      <c r="D25" s="312">
        <v>16.009983130535002</v>
      </c>
      <c r="E25" s="312">
        <v>16.5513584514635</v>
      </c>
      <c r="F25" s="312">
        <v>18.624670334805899</v>
      </c>
      <c r="G25" s="312">
        <v>19.6804328641417</v>
      </c>
      <c r="H25" s="312">
        <v>16.614950165222801</v>
      </c>
      <c r="I25" s="312">
        <v>17.6831673554695</v>
      </c>
      <c r="J25" s="312">
        <v>18.410900497240199</v>
      </c>
    </row>
  </sheetData>
  <sheetProtection algorithmName="SHA-512" hashValue="ObVvGJPTyTPlTX0uXmihxStwXUam//xmbU4bhYRMUfseNMV14pBXAh5mY+bhSCCaAOFNgZX9EaKT/Pq7qEkN2w==" saltValue="kv52O9LRXlHNDVIF4RZjDg==" spinCount="100000" sheet="1" objects="1" scenarios="1"/>
  <autoFilter ref="A4:B25" xr:uid="{00000000-0009-0000-0000-00000A000000}"/>
  <mergeCells count="2">
    <mergeCell ref="E1:G1"/>
    <mergeCell ref="H1:J1"/>
  </mergeCell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8" tint="0.79998168889431442"/>
  </sheetPr>
  <dimension ref="A1:K61"/>
  <sheetViews>
    <sheetView workbookViewId="0">
      <pane xSplit="2" ySplit="3" topLeftCell="C4" activePane="bottomRight" state="frozen"/>
      <selection pane="bottomRight" activeCell="B57" sqref="B57"/>
      <selection pane="bottomLeft" activeCell="A4" sqref="A4"/>
      <selection pane="topRight" activeCell="C1" sqref="C1"/>
    </sheetView>
  </sheetViews>
  <sheetFormatPr defaultColWidth="9.140625" defaultRowHeight="15"/>
  <cols>
    <col min="1" max="1" width="10.42578125" style="289" customWidth="1"/>
    <col min="2" max="2" width="29.5703125" style="289" customWidth="1"/>
    <col min="3" max="3" width="0.85546875" style="289" customWidth="1"/>
    <col min="4" max="10" width="12.7109375" style="289" customWidth="1"/>
    <col min="11" max="11" width="12.140625" style="289" customWidth="1"/>
    <col min="12" max="16384" width="9.140625" style="289"/>
  </cols>
  <sheetData>
    <row r="1" spans="1:11">
      <c r="A1" s="350" t="s">
        <v>446</v>
      </c>
      <c r="B1" s="350"/>
      <c r="C1" s="350"/>
      <c r="D1" s="350">
        <v>2016</v>
      </c>
      <c r="E1" s="560" t="s">
        <v>1</v>
      </c>
      <c r="F1" s="562"/>
      <c r="G1" s="562"/>
      <c r="H1" s="560" t="s">
        <v>2</v>
      </c>
      <c r="I1" s="562"/>
      <c r="J1" s="562"/>
      <c r="K1" s="361"/>
    </row>
    <row r="2" spans="1:11">
      <c r="A2" s="350"/>
      <c r="B2" s="350"/>
      <c r="C2" s="350"/>
      <c r="D2" s="350"/>
      <c r="E2" s="350">
        <v>2025</v>
      </c>
      <c r="F2" s="350">
        <v>2035</v>
      </c>
      <c r="G2" s="350">
        <v>2050</v>
      </c>
      <c r="H2" s="350">
        <v>2025</v>
      </c>
      <c r="I2" s="350">
        <v>2035</v>
      </c>
      <c r="J2" s="350">
        <v>2050</v>
      </c>
      <c r="K2" s="350">
        <v>2020</v>
      </c>
    </row>
    <row r="3" spans="1:11">
      <c r="A3" s="350"/>
      <c r="B3" s="350" t="s">
        <v>3</v>
      </c>
      <c r="C3" s="350"/>
      <c r="D3" s="350">
        <v>458</v>
      </c>
      <c r="E3" s="350">
        <v>461</v>
      </c>
      <c r="F3" s="350">
        <v>469</v>
      </c>
      <c r="G3" s="350">
        <v>460</v>
      </c>
      <c r="H3" s="350">
        <v>462</v>
      </c>
      <c r="I3" s="350">
        <v>475</v>
      </c>
      <c r="J3" s="350">
        <v>459</v>
      </c>
      <c r="K3" s="350">
        <v>463</v>
      </c>
    </row>
    <row r="4" spans="1:11">
      <c r="A4" s="359"/>
      <c r="B4" s="120" t="s">
        <v>447</v>
      </c>
      <c r="C4" s="359"/>
      <c r="D4" s="359">
        <v>38</v>
      </c>
      <c r="E4" s="359">
        <v>39</v>
      </c>
      <c r="F4" s="359">
        <v>39</v>
      </c>
      <c r="G4" s="359">
        <v>39</v>
      </c>
      <c r="H4" s="359">
        <v>38</v>
      </c>
      <c r="I4" s="359">
        <v>38</v>
      </c>
      <c r="J4" s="359">
        <v>38</v>
      </c>
      <c r="K4" s="359">
        <v>38</v>
      </c>
    </row>
    <row r="5" spans="1:11">
      <c r="A5" s="359"/>
      <c r="B5" s="120" t="s">
        <v>448</v>
      </c>
      <c r="C5" s="359"/>
      <c r="D5" s="225">
        <v>1134848</v>
      </c>
      <c r="E5" s="225">
        <v>1219745</v>
      </c>
      <c r="F5" s="225">
        <v>1327588</v>
      </c>
      <c r="G5" s="225">
        <v>1374841</v>
      </c>
      <c r="H5" s="225">
        <v>1219745</v>
      </c>
      <c r="I5" s="225">
        <v>1327588</v>
      </c>
      <c r="J5" s="225">
        <v>1374841</v>
      </c>
      <c r="K5" s="225">
        <v>1166240</v>
      </c>
    </row>
    <row r="6" spans="1:11">
      <c r="A6" s="359"/>
      <c r="B6" s="120" t="s">
        <v>449</v>
      </c>
      <c r="C6" s="359"/>
      <c r="D6" s="225">
        <v>3265489</v>
      </c>
      <c r="E6" s="225">
        <v>3424145</v>
      </c>
      <c r="F6" s="225">
        <v>3573645</v>
      </c>
      <c r="G6" s="225">
        <v>3699373</v>
      </c>
      <c r="H6" s="225">
        <v>3424145</v>
      </c>
      <c r="I6" s="225">
        <v>3573645</v>
      </c>
      <c r="J6" s="225">
        <v>3699373</v>
      </c>
      <c r="K6" s="225"/>
    </row>
    <row r="7" spans="1:11">
      <c r="A7" s="359"/>
      <c r="B7" s="286" t="s">
        <v>450</v>
      </c>
      <c r="C7" s="359"/>
      <c r="D7" s="225">
        <v>1043403</v>
      </c>
      <c r="E7" s="225">
        <v>1015950</v>
      </c>
      <c r="F7" s="225">
        <v>999043</v>
      </c>
      <c r="G7" s="225">
        <v>974315</v>
      </c>
      <c r="H7" s="225">
        <v>1018857</v>
      </c>
      <c r="I7" s="225">
        <v>999670</v>
      </c>
      <c r="J7" s="225">
        <v>977181</v>
      </c>
      <c r="K7" s="225"/>
    </row>
    <row r="8" spans="1:11">
      <c r="A8" s="359"/>
      <c r="B8" s="119" t="s">
        <v>451</v>
      </c>
      <c r="C8" s="359"/>
      <c r="D8" s="225">
        <v>1751635</v>
      </c>
      <c r="E8" s="225">
        <v>1958214</v>
      </c>
      <c r="F8" s="225">
        <v>2199864</v>
      </c>
      <c r="G8" s="225">
        <v>2524785</v>
      </c>
      <c r="H8" s="225">
        <v>1958172</v>
      </c>
      <c r="I8" s="225">
        <v>2199706</v>
      </c>
      <c r="J8" s="225">
        <v>2524516</v>
      </c>
      <c r="K8" s="225"/>
    </row>
    <row r="9" spans="1:11">
      <c r="A9" s="359"/>
      <c r="B9" s="90" t="s">
        <v>452</v>
      </c>
      <c r="C9" s="359"/>
      <c r="D9" s="225">
        <v>188688</v>
      </c>
      <c r="E9" s="225">
        <v>252744</v>
      </c>
      <c r="F9" s="225">
        <v>379360</v>
      </c>
      <c r="G9" s="225">
        <v>450177</v>
      </c>
      <c r="H9" s="225">
        <v>252744</v>
      </c>
      <c r="I9" s="225">
        <v>379360</v>
      </c>
      <c r="J9" s="225">
        <v>450177</v>
      </c>
      <c r="K9" s="225"/>
    </row>
    <row r="10" spans="1:11">
      <c r="A10" s="359"/>
      <c r="B10" s="90" t="s">
        <v>453</v>
      </c>
      <c r="C10" s="359"/>
      <c r="D10" s="225">
        <v>2223424</v>
      </c>
      <c r="E10" s="225">
        <v>2442882</v>
      </c>
      <c r="F10" s="225">
        <v>2699394</v>
      </c>
      <c r="G10" s="225">
        <v>2950990</v>
      </c>
      <c r="H10" s="225">
        <v>2444225</v>
      </c>
      <c r="I10" s="225">
        <v>2699350</v>
      </c>
      <c r="J10" s="225">
        <v>2949285</v>
      </c>
      <c r="K10" s="225"/>
    </row>
    <row r="11" spans="1:11">
      <c r="A11" s="246"/>
      <c r="B11" s="245" t="s">
        <v>454</v>
      </c>
      <c r="C11" s="359"/>
      <c r="D11" s="225">
        <v>2222086</v>
      </c>
      <c r="E11" s="225">
        <f t="shared" ref="E11:J12" si="0">E$6-E7</f>
        <v>2408195</v>
      </c>
      <c r="F11" s="225">
        <f t="shared" si="0"/>
        <v>2574602</v>
      </c>
      <c r="G11" s="225">
        <f t="shared" si="0"/>
        <v>2725058</v>
      </c>
      <c r="H11" s="225">
        <f t="shared" si="0"/>
        <v>2405288</v>
      </c>
      <c r="I11" s="225">
        <f t="shared" si="0"/>
        <v>2573975</v>
      </c>
      <c r="J11" s="225">
        <f t="shared" si="0"/>
        <v>2722192</v>
      </c>
      <c r="K11" s="225"/>
    </row>
    <row r="12" spans="1:11" ht="15" customHeight="1">
      <c r="A12" s="359"/>
      <c r="B12" s="119" t="s">
        <v>455</v>
      </c>
      <c r="C12" s="359"/>
      <c r="D12" s="225">
        <v>1513854</v>
      </c>
      <c r="E12" s="225">
        <f t="shared" si="0"/>
        <v>1465931</v>
      </c>
      <c r="F12" s="225">
        <f t="shared" si="0"/>
        <v>1373781</v>
      </c>
      <c r="G12" s="225">
        <f t="shared" si="0"/>
        <v>1174588</v>
      </c>
      <c r="H12" s="225">
        <f t="shared" si="0"/>
        <v>1465973</v>
      </c>
      <c r="I12" s="225">
        <f t="shared" si="0"/>
        <v>1373939</v>
      </c>
      <c r="J12" s="225">
        <f t="shared" si="0"/>
        <v>1174857</v>
      </c>
      <c r="K12" s="225"/>
    </row>
    <row r="13" spans="1:11" ht="15" customHeight="1">
      <c r="A13" s="359"/>
      <c r="B13" s="90" t="s">
        <v>456</v>
      </c>
      <c r="C13" s="359"/>
      <c r="D13" s="225">
        <v>3076801</v>
      </c>
      <c r="E13" s="225">
        <v>3171401</v>
      </c>
      <c r="F13" s="225">
        <v>3171402</v>
      </c>
      <c r="G13" s="225">
        <v>3171403</v>
      </c>
      <c r="H13" s="225">
        <v>3171404</v>
      </c>
      <c r="I13" s="225">
        <v>3171405</v>
      </c>
      <c r="J13" s="225">
        <v>3171406</v>
      </c>
      <c r="K13" s="225"/>
    </row>
    <row r="14" spans="1:11">
      <c r="A14" s="359"/>
      <c r="B14" s="90" t="s">
        <v>457</v>
      </c>
      <c r="C14" s="359"/>
      <c r="D14" s="220">
        <f t="shared" ref="D14:J17" si="1">D7/D$6</f>
        <v>0.31952427339366324</v>
      </c>
      <c r="E14" s="220">
        <f t="shared" si="1"/>
        <v>0.2967018043920453</v>
      </c>
      <c r="F14" s="220">
        <f t="shared" si="1"/>
        <v>0.27955854596637325</v>
      </c>
      <c r="G14" s="220">
        <f t="shared" si="1"/>
        <v>0.26337300942619196</v>
      </c>
      <c r="H14" s="220">
        <f t="shared" si="1"/>
        <v>0.29755077544905373</v>
      </c>
      <c r="I14" s="220">
        <f t="shared" si="1"/>
        <v>0.27973399708141128</v>
      </c>
      <c r="J14" s="220">
        <f t="shared" si="1"/>
        <v>0.26414773530541524</v>
      </c>
      <c r="K14" s="359"/>
    </row>
    <row r="15" spans="1:11">
      <c r="A15" s="359"/>
      <c r="B15" s="90" t="s">
        <v>458</v>
      </c>
      <c r="C15" s="359"/>
      <c r="D15" s="220">
        <f t="shared" si="1"/>
        <v>0.53640817653956263</v>
      </c>
      <c r="E15" s="220">
        <f t="shared" si="1"/>
        <v>0.57188407617083969</v>
      </c>
      <c r="F15" s="220">
        <f t="shared" si="1"/>
        <v>0.61557989111957123</v>
      </c>
      <c r="G15" s="220">
        <f t="shared" si="1"/>
        <v>0.68248997870720252</v>
      </c>
      <c r="H15" s="220">
        <f t="shared" si="1"/>
        <v>0.57187181033513479</v>
      </c>
      <c r="I15" s="220">
        <f t="shared" si="1"/>
        <v>0.61553567855788693</v>
      </c>
      <c r="J15" s="220">
        <f t="shared" si="1"/>
        <v>0.68241726368225097</v>
      </c>
      <c r="K15" s="359"/>
    </row>
    <row r="16" spans="1:11" ht="15.6" customHeight="1">
      <c r="A16" s="359"/>
      <c r="B16" s="90" t="s">
        <v>459</v>
      </c>
      <c r="C16" s="359"/>
      <c r="D16" s="220">
        <f t="shared" si="1"/>
        <v>5.7782463820885629E-2</v>
      </c>
      <c r="E16" s="220">
        <f t="shared" si="1"/>
        <v>7.3812294748031984E-2</v>
      </c>
      <c r="F16" s="220">
        <f t="shared" si="1"/>
        <v>0.10615492025648882</v>
      </c>
      <c r="G16" s="220">
        <f t="shared" si="1"/>
        <v>0.12169008099480642</v>
      </c>
      <c r="H16" s="220">
        <f t="shared" si="1"/>
        <v>7.3812294748031984E-2</v>
      </c>
      <c r="I16" s="220">
        <f t="shared" si="1"/>
        <v>0.10615492025648882</v>
      </c>
      <c r="J16" s="220">
        <f t="shared" si="1"/>
        <v>0.12169008099480642</v>
      </c>
      <c r="K16" s="359"/>
    </row>
    <row r="17" spans="1:11" ht="14.1" customHeight="1">
      <c r="A17" s="359"/>
      <c r="B17" s="90" t="s">
        <v>460</v>
      </c>
      <c r="C17" s="359"/>
      <c r="D17" s="220">
        <f t="shared" si="1"/>
        <v>0.68088546615836099</v>
      </c>
      <c r="E17" s="220">
        <f t="shared" si="1"/>
        <v>0.71342831568172493</v>
      </c>
      <c r="F17" s="220">
        <f t="shared" si="1"/>
        <v>0.7553615426266459</v>
      </c>
      <c r="G17" s="220">
        <f t="shared" si="1"/>
        <v>0.79770004268290873</v>
      </c>
      <c r="H17" s="220">
        <f t="shared" si="1"/>
        <v>0.7138205303805768</v>
      </c>
      <c r="I17" s="220">
        <f t="shared" si="1"/>
        <v>0.75534923026769585</v>
      </c>
      <c r="J17" s="220">
        <f t="shared" si="1"/>
        <v>0.7972391537701119</v>
      </c>
      <c r="K17" s="359"/>
    </row>
    <row r="18" spans="1:11">
      <c r="A18" s="359"/>
      <c r="B18" s="90" t="s">
        <v>461</v>
      </c>
      <c r="C18" s="359"/>
      <c r="D18" s="225">
        <v>1646419</v>
      </c>
      <c r="E18" s="225">
        <v>1789965</v>
      </c>
      <c r="F18" s="225">
        <v>1936818</v>
      </c>
      <c r="G18" s="225">
        <v>2095301</v>
      </c>
      <c r="H18" s="225">
        <v>1762747</v>
      </c>
      <c r="I18" s="225">
        <v>1922475</v>
      </c>
      <c r="J18" s="225">
        <v>2087318</v>
      </c>
      <c r="K18" s="225">
        <v>1704906</v>
      </c>
    </row>
    <row r="19" spans="1:11">
      <c r="A19" s="359"/>
      <c r="B19" s="90" t="s">
        <v>462</v>
      </c>
      <c r="C19" s="359"/>
      <c r="D19" s="225">
        <v>329961</v>
      </c>
      <c r="E19" s="225">
        <v>347977</v>
      </c>
      <c r="F19" s="225">
        <v>359417</v>
      </c>
      <c r="G19" s="225">
        <v>359417</v>
      </c>
      <c r="H19" s="225">
        <v>347977</v>
      </c>
      <c r="I19" s="225">
        <v>359417</v>
      </c>
      <c r="J19" s="225">
        <v>359417</v>
      </c>
      <c r="K19" s="225">
        <v>336717</v>
      </c>
    </row>
    <row r="20" spans="1:11">
      <c r="A20" s="359"/>
      <c r="B20" s="90" t="s">
        <v>463</v>
      </c>
      <c r="C20" s="359"/>
      <c r="D20" s="225">
        <v>13942441</v>
      </c>
      <c r="E20" s="225">
        <v>14610638</v>
      </c>
      <c r="F20" s="225">
        <v>15284538</v>
      </c>
      <c r="G20" s="225">
        <v>15832341</v>
      </c>
      <c r="H20" s="225">
        <v>14543137</v>
      </c>
      <c r="I20" s="225">
        <v>15083991</v>
      </c>
      <c r="J20" s="225">
        <v>15597028</v>
      </c>
      <c r="K20" s="225">
        <v>14185775</v>
      </c>
    </row>
    <row r="21" spans="1:11">
      <c r="A21" s="359"/>
      <c r="B21" s="90" t="s">
        <v>464</v>
      </c>
      <c r="C21" s="359"/>
      <c r="D21" s="225">
        <v>9010448.7941186205</v>
      </c>
      <c r="E21" s="225">
        <v>9476063.9194229692</v>
      </c>
      <c r="F21" s="225">
        <v>9982856.1570123807</v>
      </c>
      <c r="G21" s="225">
        <v>10356711.115044201</v>
      </c>
      <c r="H21" s="225">
        <v>8953299.2983242292</v>
      </c>
      <c r="I21" s="225">
        <v>8915706.7160109095</v>
      </c>
      <c r="J21" s="225">
        <v>8843685.1220467798</v>
      </c>
      <c r="K21" s="225">
        <v>9124704.1805812791</v>
      </c>
    </row>
    <row r="22" spans="1:11">
      <c r="A22" s="359"/>
      <c r="B22" s="90" t="s">
        <v>465</v>
      </c>
      <c r="C22" s="359"/>
      <c r="D22" s="244">
        <f>SUM('[1]SB375 Data Table'!C28:C32)</f>
        <v>13427</v>
      </c>
      <c r="E22" s="244">
        <v>14480.8459859999</v>
      </c>
      <c r="F22" s="244">
        <v>14879.7787509999</v>
      </c>
      <c r="G22" s="244">
        <v>14944.016960999899</v>
      </c>
      <c r="H22" s="244">
        <v>14514.6810029999</v>
      </c>
      <c r="I22" s="244">
        <v>15211.3638129999</v>
      </c>
      <c r="J22" s="244">
        <v>15574.784358999899</v>
      </c>
      <c r="K22" s="244">
        <v>14265.5516019999</v>
      </c>
    </row>
    <row r="23" spans="1:11">
      <c r="A23" s="359"/>
      <c r="B23" s="90" t="s">
        <v>466</v>
      </c>
      <c r="C23" s="359"/>
      <c r="D23" s="359"/>
      <c r="E23" s="359"/>
      <c r="F23" s="359"/>
      <c r="G23" s="359"/>
      <c r="H23" s="359"/>
      <c r="I23" s="359"/>
      <c r="J23" s="359"/>
      <c r="K23" s="359"/>
    </row>
    <row r="24" spans="1:11" ht="30">
      <c r="A24" s="359"/>
      <c r="B24" s="90" t="s">
        <v>467</v>
      </c>
      <c r="C24" s="359"/>
      <c r="D24" s="359">
        <v>0.16300000000000001</v>
      </c>
      <c r="E24" s="359">
        <v>0.186</v>
      </c>
      <c r="F24" s="359">
        <v>0.17399999999999999</v>
      </c>
      <c r="G24" s="359">
        <v>0.17399999999999999</v>
      </c>
      <c r="H24" s="359">
        <v>0.186</v>
      </c>
      <c r="I24" s="223">
        <v>0.2</v>
      </c>
      <c r="J24" s="223">
        <v>0.19700000000000001</v>
      </c>
      <c r="K24" s="359">
        <v>0.193</v>
      </c>
    </row>
    <row r="25" spans="1:11" ht="15.75" thickBot="1">
      <c r="A25" s="359"/>
      <c r="B25" s="385" t="s">
        <v>468</v>
      </c>
      <c r="C25" s="359"/>
      <c r="D25" s="359"/>
      <c r="E25" s="359"/>
      <c r="F25" s="359"/>
      <c r="G25" s="359"/>
      <c r="H25" s="359"/>
      <c r="I25" s="359"/>
      <c r="J25" s="359"/>
      <c r="K25" s="359"/>
    </row>
    <row r="26" spans="1:11" s="359" customFormat="1">
      <c r="A26" s="572" t="s">
        <v>469</v>
      </c>
      <c r="B26" s="386" t="s">
        <v>470</v>
      </c>
      <c r="C26" s="387"/>
      <c r="D26" s="388">
        <v>506081</v>
      </c>
      <c r="E26" s="387"/>
      <c r="F26" s="387"/>
      <c r="G26" s="387"/>
      <c r="H26" s="388">
        <v>584052</v>
      </c>
      <c r="I26" s="388">
        <v>689581</v>
      </c>
      <c r="J26" s="389">
        <v>732086</v>
      </c>
    </row>
    <row r="27" spans="1:11" s="359" customFormat="1">
      <c r="A27" s="573"/>
      <c r="B27" s="382" t="s">
        <v>471</v>
      </c>
      <c r="C27" s="390"/>
      <c r="D27" s="284">
        <v>69589</v>
      </c>
      <c r="E27" s="390"/>
      <c r="F27" s="390"/>
      <c r="G27" s="390"/>
      <c r="H27" s="284">
        <v>72046</v>
      </c>
      <c r="I27" s="284">
        <v>79994</v>
      </c>
      <c r="J27" s="391">
        <v>82344</v>
      </c>
    </row>
    <row r="28" spans="1:11" s="359" customFormat="1">
      <c r="A28" s="573"/>
      <c r="B28" s="382" t="s">
        <v>472</v>
      </c>
      <c r="C28" s="390"/>
      <c r="D28" s="284">
        <v>101486</v>
      </c>
      <c r="E28" s="390"/>
      <c r="F28" s="390"/>
      <c r="G28" s="390"/>
      <c r="H28" s="284">
        <v>114655</v>
      </c>
      <c r="I28" s="284">
        <v>129881</v>
      </c>
      <c r="J28" s="391">
        <v>134374</v>
      </c>
    </row>
    <row r="29" spans="1:11" s="359" customFormat="1">
      <c r="A29" s="573"/>
      <c r="B29" s="382" t="s">
        <v>473</v>
      </c>
      <c r="C29" s="390"/>
      <c r="D29" s="284">
        <v>85174</v>
      </c>
      <c r="E29" s="390"/>
      <c r="F29" s="390"/>
      <c r="G29" s="390"/>
      <c r="H29" s="284">
        <v>106342</v>
      </c>
      <c r="I29" s="284">
        <v>140484</v>
      </c>
      <c r="J29" s="391">
        <v>153205</v>
      </c>
    </row>
    <row r="30" spans="1:11" s="359" customFormat="1">
      <c r="A30" s="573"/>
      <c r="B30" s="382" t="s">
        <v>474</v>
      </c>
      <c r="C30" s="390"/>
      <c r="D30" s="284">
        <v>128353</v>
      </c>
      <c r="E30" s="390"/>
      <c r="F30" s="390"/>
      <c r="G30" s="390"/>
      <c r="H30" s="284">
        <v>145767</v>
      </c>
      <c r="I30" s="284">
        <v>160529</v>
      </c>
      <c r="J30" s="391">
        <v>172769</v>
      </c>
    </row>
    <row r="31" spans="1:11" s="359" customFormat="1">
      <c r="A31" s="573"/>
      <c r="B31" s="382" t="s">
        <v>475</v>
      </c>
      <c r="C31" s="390"/>
      <c r="D31" s="284">
        <v>121479</v>
      </c>
      <c r="E31" s="390"/>
      <c r="F31" s="390"/>
      <c r="G31" s="390"/>
      <c r="H31" s="284">
        <v>145242</v>
      </c>
      <c r="I31" s="284">
        <v>178693</v>
      </c>
      <c r="J31" s="391">
        <v>189394</v>
      </c>
    </row>
    <row r="32" spans="1:11" s="359" customFormat="1">
      <c r="A32" s="573"/>
      <c r="B32" s="396" t="s">
        <v>476</v>
      </c>
      <c r="C32" s="390"/>
      <c r="D32" s="397">
        <v>628768</v>
      </c>
      <c r="E32" s="390"/>
      <c r="F32" s="390"/>
      <c r="G32" s="390"/>
      <c r="H32" s="397">
        <v>638006</v>
      </c>
      <c r="I32" s="397">
        <v>642754</v>
      </c>
      <c r="J32" s="400">
        <v>635692</v>
      </c>
    </row>
    <row r="33" spans="1:10" s="359" customFormat="1">
      <c r="A33" s="573"/>
      <c r="B33" s="384" t="s">
        <v>477</v>
      </c>
      <c r="C33" s="120"/>
      <c r="D33" s="284">
        <v>1134849</v>
      </c>
      <c r="E33" s="390"/>
      <c r="F33" s="390"/>
      <c r="G33" s="390"/>
      <c r="H33" s="284">
        <v>1222058</v>
      </c>
      <c r="I33" s="284">
        <v>1332335</v>
      </c>
      <c r="J33" s="391">
        <v>1367778</v>
      </c>
    </row>
    <row r="34" spans="1:10" s="359" customFormat="1" ht="15.75" thickBot="1">
      <c r="A34" s="574"/>
      <c r="B34" s="392" t="s">
        <v>478</v>
      </c>
      <c r="C34" s="402"/>
      <c r="D34" s="401">
        <f>D26/D33</f>
        <v>0.44594567206738517</v>
      </c>
      <c r="E34" s="410"/>
      <c r="F34" s="357"/>
      <c r="G34" s="411"/>
      <c r="H34" s="401">
        <f t="shared" ref="H34" si="2">H26/H33</f>
        <v>0.47792494300597843</v>
      </c>
      <c r="I34" s="401">
        <f t="shared" ref="I34" si="3">I26/I33</f>
        <v>0.51757328299564298</v>
      </c>
      <c r="J34" s="403">
        <f t="shared" ref="J34" si="4">J26/J33</f>
        <v>0.53523744350325853</v>
      </c>
    </row>
    <row r="35" spans="1:10" s="359" customFormat="1">
      <c r="A35" s="566" t="s">
        <v>67</v>
      </c>
      <c r="B35" s="386" t="s">
        <v>470</v>
      </c>
      <c r="C35" s="387"/>
      <c r="D35" s="388">
        <v>1453913</v>
      </c>
      <c r="E35" s="390"/>
      <c r="F35" s="390"/>
      <c r="G35" s="390"/>
      <c r="H35" s="388">
        <v>1657130</v>
      </c>
      <c r="I35" s="388">
        <v>1875367</v>
      </c>
      <c r="J35" s="389">
        <v>1988009</v>
      </c>
    </row>
    <row r="36" spans="1:10" s="359" customFormat="1">
      <c r="A36" s="567"/>
      <c r="B36" s="382" t="s">
        <v>471</v>
      </c>
      <c r="C36" s="390"/>
      <c r="D36" s="284">
        <v>172824</v>
      </c>
      <c r="E36" s="390"/>
      <c r="F36" s="390"/>
      <c r="G36" s="390"/>
      <c r="H36" s="284">
        <v>178181</v>
      </c>
      <c r="I36" s="284">
        <v>190284</v>
      </c>
      <c r="J36" s="391">
        <v>197683</v>
      </c>
    </row>
    <row r="37" spans="1:10" s="359" customFormat="1">
      <c r="A37" s="567"/>
      <c r="B37" s="382" t="s">
        <v>472</v>
      </c>
      <c r="C37" s="390"/>
      <c r="D37" s="284">
        <v>318246</v>
      </c>
      <c r="E37" s="390"/>
      <c r="F37" s="390"/>
      <c r="G37" s="390"/>
      <c r="H37" s="284">
        <v>353777</v>
      </c>
      <c r="I37" s="284">
        <v>390145</v>
      </c>
      <c r="J37" s="391">
        <v>395748</v>
      </c>
    </row>
    <row r="38" spans="1:10" s="359" customFormat="1">
      <c r="A38" s="567"/>
      <c r="B38" s="382" t="s">
        <v>473</v>
      </c>
      <c r="C38" s="390"/>
      <c r="D38" s="284">
        <v>253054</v>
      </c>
      <c r="E38" s="390"/>
      <c r="F38" s="390"/>
      <c r="G38" s="390"/>
      <c r="H38" s="284">
        <v>315300</v>
      </c>
      <c r="I38" s="284">
        <v>396722</v>
      </c>
      <c r="J38" s="391">
        <v>430929</v>
      </c>
    </row>
    <row r="39" spans="1:10" s="359" customFormat="1">
      <c r="A39" s="567"/>
      <c r="B39" s="382" t="s">
        <v>474</v>
      </c>
      <c r="C39" s="390"/>
      <c r="D39" s="284">
        <v>392726</v>
      </c>
      <c r="E39" s="390"/>
      <c r="F39" s="390"/>
      <c r="G39" s="390"/>
      <c r="H39" s="284">
        <v>433156</v>
      </c>
      <c r="I39" s="284">
        <v>455086</v>
      </c>
      <c r="J39" s="391">
        <v>487082</v>
      </c>
    </row>
    <row r="40" spans="1:10" s="359" customFormat="1">
      <c r="A40" s="567"/>
      <c r="B40" s="382" t="s">
        <v>475</v>
      </c>
      <c r="C40" s="390"/>
      <c r="D40" s="284">
        <v>317063</v>
      </c>
      <c r="E40" s="390"/>
      <c r="F40" s="390"/>
      <c r="G40" s="390"/>
      <c r="H40" s="284">
        <v>376716</v>
      </c>
      <c r="I40" s="284">
        <v>443130</v>
      </c>
      <c r="J40" s="391">
        <v>476567</v>
      </c>
    </row>
    <row r="41" spans="1:10" s="359" customFormat="1">
      <c r="A41" s="567"/>
      <c r="B41" s="396" t="s">
        <v>476</v>
      </c>
      <c r="C41" s="390"/>
      <c r="D41" s="397">
        <v>1855597</v>
      </c>
      <c r="E41" s="390"/>
      <c r="F41" s="390"/>
      <c r="G41" s="390"/>
      <c r="H41" s="397">
        <v>1813718</v>
      </c>
      <c r="I41" s="397">
        <v>1744981</v>
      </c>
      <c r="J41" s="400">
        <v>1758064</v>
      </c>
    </row>
    <row r="42" spans="1:10" s="359" customFormat="1">
      <c r="A42" s="567"/>
      <c r="B42" s="384" t="s">
        <v>477</v>
      </c>
      <c r="C42" s="120"/>
      <c r="D42" s="284">
        <v>3309510</v>
      </c>
      <c r="E42" s="390"/>
      <c r="F42" s="390"/>
      <c r="G42" s="390"/>
      <c r="H42" s="284">
        <v>3470848</v>
      </c>
      <c r="I42" s="284">
        <v>3620348</v>
      </c>
      <c r="J42" s="391">
        <v>3746073</v>
      </c>
    </row>
    <row r="43" spans="1:10" s="359" customFormat="1" ht="15.75" thickBot="1">
      <c r="A43" s="568"/>
      <c r="B43" s="404" t="s">
        <v>478</v>
      </c>
      <c r="C43" s="357"/>
      <c r="D43" s="401">
        <f>D35/D42</f>
        <v>0.43931367483403888</v>
      </c>
      <c r="E43" s="357"/>
      <c r="F43" s="357"/>
      <c r="G43" s="357"/>
      <c r="H43" s="401">
        <f t="shared" ref="H43:J43" si="5">H35/H42</f>
        <v>0.47744240024339873</v>
      </c>
      <c r="I43" s="401">
        <f t="shared" si="5"/>
        <v>0.51800738492542708</v>
      </c>
      <c r="J43" s="403">
        <f t="shared" si="5"/>
        <v>0.53069147344432421</v>
      </c>
    </row>
    <row r="44" spans="1:10" ht="14.65" customHeight="1">
      <c r="A44" s="569" t="s">
        <v>479</v>
      </c>
      <c r="B44" s="405" t="s">
        <v>470</v>
      </c>
      <c r="C44" s="387"/>
      <c r="D44" s="388">
        <v>533521</v>
      </c>
      <c r="E44" s="387"/>
      <c r="F44" s="387"/>
      <c r="G44" s="387"/>
      <c r="H44" s="393">
        <v>624884</v>
      </c>
      <c r="I44" s="393">
        <v>743711</v>
      </c>
      <c r="J44" s="394">
        <v>801537</v>
      </c>
    </row>
    <row r="45" spans="1:10">
      <c r="A45" s="570"/>
      <c r="B45" s="406" t="s">
        <v>471</v>
      </c>
      <c r="C45" s="390"/>
      <c r="D45" s="284">
        <v>75078</v>
      </c>
      <c r="E45" s="390"/>
      <c r="F45" s="390"/>
      <c r="G45" s="390"/>
      <c r="H45" s="383">
        <v>77962</v>
      </c>
      <c r="I45" s="383">
        <v>87665</v>
      </c>
      <c r="J45" s="395">
        <v>90392</v>
      </c>
    </row>
    <row r="46" spans="1:10">
      <c r="A46" s="570"/>
      <c r="B46" s="406" t="s">
        <v>472</v>
      </c>
      <c r="C46" s="390"/>
      <c r="D46" s="284">
        <v>106569</v>
      </c>
      <c r="E46" s="390"/>
      <c r="F46" s="390"/>
      <c r="G46" s="390"/>
      <c r="H46" s="383">
        <v>121999</v>
      </c>
      <c r="I46" s="383">
        <v>138813</v>
      </c>
      <c r="J46" s="395">
        <v>142289</v>
      </c>
    </row>
    <row r="47" spans="1:10">
      <c r="A47" s="570"/>
      <c r="B47" s="406" t="s">
        <v>473</v>
      </c>
      <c r="C47" s="390"/>
      <c r="D47" s="284">
        <v>89685</v>
      </c>
      <c r="E47" s="390"/>
      <c r="F47" s="390"/>
      <c r="G47" s="390"/>
      <c r="H47" s="383">
        <v>114623</v>
      </c>
      <c r="I47" s="383">
        <v>153360</v>
      </c>
      <c r="J47" s="395">
        <v>170879</v>
      </c>
    </row>
    <row r="48" spans="1:10">
      <c r="A48" s="570"/>
      <c r="B48" s="406" t="s">
        <v>474</v>
      </c>
      <c r="C48" s="390"/>
      <c r="D48" s="284">
        <v>132231</v>
      </c>
      <c r="E48" s="390"/>
      <c r="F48" s="390"/>
      <c r="G48" s="390"/>
      <c r="H48" s="383">
        <v>152789</v>
      </c>
      <c r="I48" s="383">
        <v>168617</v>
      </c>
      <c r="J48" s="395">
        <v>185473</v>
      </c>
    </row>
    <row r="49" spans="1:10">
      <c r="A49" s="570"/>
      <c r="B49" s="406" t="s">
        <v>475</v>
      </c>
      <c r="C49" s="390"/>
      <c r="D49" s="284">
        <v>129958</v>
      </c>
      <c r="E49" s="390"/>
      <c r="F49" s="390"/>
      <c r="G49" s="390"/>
      <c r="H49" s="383">
        <v>157511</v>
      </c>
      <c r="I49" s="383">
        <v>195256</v>
      </c>
      <c r="J49" s="395">
        <v>212504</v>
      </c>
    </row>
    <row r="50" spans="1:10">
      <c r="A50" s="570"/>
      <c r="B50" s="407" t="s">
        <v>476</v>
      </c>
      <c r="C50" s="390"/>
      <c r="D50" s="397">
        <v>657034</v>
      </c>
      <c r="E50" s="390"/>
      <c r="F50" s="390"/>
      <c r="G50" s="390"/>
      <c r="H50" s="398">
        <v>663332</v>
      </c>
      <c r="I50" s="398">
        <v>666155</v>
      </c>
      <c r="J50" s="399">
        <v>669762</v>
      </c>
    </row>
    <row r="51" spans="1:10">
      <c r="A51" s="570"/>
      <c r="B51" s="408" t="s">
        <v>477</v>
      </c>
      <c r="C51" s="120"/>
      <c r="D51" s="284">
        <v>1190555</v>
      </c>
      <c r="E51" s="390"/>
      <c r="F51" s="390"/>
      <c r="G51" s="390"/>
      <c r="H51" s="383">
        <v>1288216</v>
      </c>
      <c r="I51" s="383">
        <v>1409866</v>
      </c>
      <c r="J51" s="395">
        <v>1471299</v>
      </c>
    </row>
    <row r="52" spans="1:10" s="359" customFormat="1" ht="15.75" thickBot="1">
      <c r="A52" s="571"/>
      <c r="B52" s="409" t="s">
        <v>478</v>
      </c>
      <c r="C52" s="357"/>
      <c r="D52" s="401">
        <f>D44/D51</f>
        <v>0.44812797392812598</v>
      </c>
      <c r="E52" s="357"/>
      <c r="F52" s="357"/>
      <c r="G52" s="357"/>
      <c r="H52" s="401">
        <f t="shared" ref="H52" si="6">H44/H51</f>
        <v>0.48507703677023106</v>
      </c>
      <c r="I52" s="401">
        <f t="shared" ref="I52" si="7">I44/I51</f>
        <v>0.52750474158537053</v>
      </c>
      <c r="J52" s="403">
        <f t="shared" ref="J52" si="8">J44/J51</f>
        <v>0.54478185603334195</v>
      </c>
    </row>
    <row r="53" spans="1:10">
      <c r="A53" s="563" t="s">
        <v>480</v>
      </c>
      <c r="B53" s="405" t="s">
        <v>470</v>
      </c>
      <c r="C53" s="387"/>
      <c r="D53" s="388">
        <v>1113109</v>
      </c>
      <c r="E53" s="387"/>
      <c r="F53" s="387"/>
      <c r="G53" s="387"/>
      <c r="H53" s="393">
        <v>1213064</v>
      </c>
      <c r="I53" s="393">
        <v>1347193</v>
      </c>
      <c r="J53" s="394">
        <v>1484038</v>
      </c>
    </row>
    <row r="54" spans="1:10">
      <c r="A54" s="564"/>
      <c r="B54" s="406" t="s">
        <v>471</v>
      </c>
      <c r="C54" s="390"/>
      <c r="D54" s="284">
        <v>78247</v>
      </c>
      <c r="E54" s="390"/>
      <c r="F54" s="390"/>
      <c r="G54" s="390"/>
      <c r="H54" s="383">
        <v>79873</v>
      </c>
      <c r="I54" s="383">
        <v>82603</v>
      </c>
      <c r="J54" s="395">
        <v>85544</v>
      </c>
    </row>
    <row r="55" spans="1:10">
      <c r="A55" s="564"/>
      <c r="B55" s="406" t="s">
        <v>472</v>
      </c>
      <c r="C55" s="390"/>
      <c r="D55" s="284">
        <v>153855</v>
      </c>
      <c r="E55" s="390"/>
      <c r="F55" s="390"/>
      <c r="G55" s="390"/>
      <c r="H55" s="383">
        <v>168685</v>
      </c>
      <c r="I55" s="383">
        <v>193254</v>
      </c>
      <c r="J55" s="395">
        <v>218401</v>
      </c>
    </row>
    <row r="56" spans="1:10">
      <c r="A56" s="564"/>
      <c r="B56" s="406" t="s">
        <v>473</v>
      </c>
      <c r="C56" s="390"/>
      <c r="D56" s="284">
        <v>491342</v>
      </c>
      <c r="E56" s="390"/>
      <c r="F56" s="390"/>
      <c r="G56" s="390"/>
      <c r="H56" s="383">
        <v>533327</v>
      </c>
      <c r="I56" s="383">
        <v>594637</v>
      </c>
      <c r="J56" s="395">
        <v>655856</v>
      </c>
    </row>
    <row r="57" spans="1:10">
      <c r="A57" s="564"/>
      <c r="B57" s="406" t="s">
        <v>474</v>
      </c>
      <c r="C57" s="390"/>
      <c r="D57" s="284">
        <v>164146</v>
      </c>
      <c r="E57" s="390"/>
      <c r="F57" s="390"/>
      <c r="G57" s="390"/>
      <c r="H57" s="383">
        <v>175202</v>
      </c>
      <c r="I57" s="383">
        <v>192714</v>
      </c>
      <c r="J57" s="395">
        <v>211651</v>
      </c>
    </row>
    <row r="58" spans="1:10">
      <c r="A58" s="564"/>
      <c r="B58" s="406" t="s">
        <v>475</v>
      </c>
      <c r="C58" s="390"/>
      <c r="D58" s="284">
        <v>225519</v>
      </c>
      <c r="E58" s="390"/>
      <c r="F58" s="390"/>
      <c r="G58" s="390"/>
      <c r="H58" s="383">
        <v>255977</v>
      </c>
      <c r="I58" s="383">
        <v>283985</v>
      </c>
      <c r="J58" s="395">
        <v>312586</v>
      </c>
    </row>
    <row r="59" spans="1:10">
      <c r="A59" s="564"/>
      <c r="B59" s="407" t="s">
        <v>476</v>
      </c>
      <c r="C59" s="390"/>
      <c r="D59" s="397">
        <v>533310</v>
      </c>
      <c r="E59" s="390"/>
      <c r="F59" s="390"/>
      <c r="G59" s="390"/>
      <c r="H59" s="398">
        <v>548683</v>
      </c>
      <c r="I59" s="398">
        <v>574282</v>
      </c>
      <c r="J59" s="399">
        <v>602280</v>
      </c>
    </row>
    <row r="60" spans="1:10">
      <c r="A60" s="564"/>
      <c r="B60" s="408" t="s">
        <v>477</v>
      </c>
      <c r="C60" s="120"/>
      <c r="D60" s="284">
        <v>1646419</v>
      </c>
      <c r="E60" s="390"/>
      <c r="F60" s="390"/>
      <c r="G60" s="390"/>
      <c r="H60" s="383">
        <v>1761747</v>
      </c>
      <c r="I60" s="383">
        <v>1921475</v>
      </c>
      <c r="J60" s="395">
        <v>2086318</v>
      </c>
    </row>
    <row r="61" spans="1:10" ht="15.75" thickBot="1">
      <c r="A61" s="565"/>
      <c r="B61" s="409" t="s">
        <v>478</v>
      </c>
      <c r="C61" s="357"/>
      <c r="D61" s="401">
        <f>D53/D60</f>
        <v>0.67607881104384726</v>
      </c>
      <c r="E61" s="357"/>
      <c r="F61" s="357"/>
      <c r="G61" s="357"/>
      <c r="H61" s="401">
        <f t="shared" ref="H61" si="9">H53/H60</f>
        <v>0.68855743758893873</v>
      </c>
      <c r="I61" s="401">
        <f t="shared" ref="I61" si="10">I53/I60</f>
        <v>0.70112439662238646</v>
      </c>
      <c r="J61" s="403">
        <f t="shared" ref="J61" si="11">J53/J60</f>
        <v>0.71131917569613068</v>
      </c>
    </row>
  </sheetData>
  <sheetProtection algorithmName="SHA-512" hashValue="OBblIyaXPTyIiHzHYUa5tCdUnYzCVRzthNmOHx4T2I2wfaMFEseJUE9qOW126XFpJDpFqD3NnilsO8Pt+4nqnw==" saltValue="NJAeU2oFJP+HzNnTb17WjA==" spinCount="100000" sheet="1" objects="1" scenarios="1"/>
  <mergeCells count="6">
    <mergeCell ref="A53:A61"/>
    <mergeCell ref="E1:G1"/>
    <mergeCell ref="H1:J1"/>
    <mergeCell ref="A35:A43"/>
    <mergeCell ref="A44:A52"/>
    <mergeCell ref="A26:A34"/>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CB1B506327AE54D91624CB87D32BBBB" ma:contentTypeVersion="21" ma:contentTypeDescription="Create a new document." ma:contentTypeScope="" ma:versionID="758d7f0ac769299d6756f3ac06dfdcf8">
  <xsd:schema xmlns:xsd="http://www.w3.org/2001/XMLSchema" xmlns:xs="http://www.w3.org/2001/XMLSchema" xmlns:p="http://schemas.microsoft.com/office/2006/metadata/properties" xmlns:ns1="http://schemas.microsoft.com/sharepoint/v3" xmlns:ns2="0299cf38-ba3b-4c19-92b4-8f634aad8513" xmlns:ns3="35bbf58e-2e60-452b-81fa-bf7b891d412a" targetNamespace="http://schemas.microsoft.com/office/2006/metadata/properties" ma:root="true" ma:fieldsID="fc4b35b199ba46741ea13d5d54db2f2c" ns1:_="" ns2:_="" ns3:_="">
    <xsd:import namespace="http://schemas.microsoft.com/sharepoint/v3"/>
    <xsd:import namespace="0299cf38-ba3b-4c19-92b4-8f634aad8513"/>
    <xsd:import namespace="35bbf58e-2e60-452b-81fa-bf7b891d412a"/>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MediaServiceAutoKeyPoints" minOccurs="0"/>
                <xsd:element ref="ns2:MediaServiceKeyPoints" minOccurs="0"/>
                <xsd:element ref="ns2:Provider" minOccurs="0"/>
                <xsd:element ref="ns2:SubjectArea" minOccurs="0"/>
                <xsd:element ref="ns2:Description" minOccurs="0"/>
                <xsd:element ref="ns2:Location" minOccurs="0"/>
                <xsd:element ref="ns2:Year" minOccurs="0"/>
                <xsd:element ref="ns1:_ip_UnifiedCompliancePolicyProperties" minOccurs="0"/>
                <xsd:element ref="ns1:_ip_UnifiedCompliancePolicyUIAc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4" nillable="true" ma:displayName="Unified Compliance Policy Properties" ma:hidden="true" ma:internalName="_ip_UnifiedCompliancePolicyProperties">
      <xsd:simpleType>
        <xsd:restriction base="dms:Note"/>
      </xsd:simpleType>
    </xsd:element>
    <xsd:element name="_ip_UnifiedCompliancePolicyUIAction" ma:index="25"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299cf38-ba3b-4c19-92b4-8f634aad851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Provider" ma:index="19" nillable="true" ma:displayName="Provider" ma:format="Dropdown" ma:internalName="Provider">
      <xsd:simpleType>
        <xsd:restriction base="dms:Note">
          <xsd:maxLength value="255"/>
        </xsd:restriction>
      </xsd:simpleType>
    </xsd:element>
    <xsd:element name="SubjectArea" ma:index="20" nillable="true" ma:displayName="Subject Area" ma:format="Dropdown" ma:internalName="SubjectArea">
      <xsd:simpleType>
        <xsd:restriction base="dms:Note">
          <xsd:maxLength value="255"/>
        </xsd:restriction>
      </xsd:simpleType>
    </xsd:element>
    <xsd:element name="Description" ma:index="21" nillable="true" ma:displayName="Description" ma:format="Dropdown" ma:internalName="Description">
      <xsd:simpleType>
        <xsd:restriction base="dms:Note">
          <xsd:maxLength value="255"/>
        </xsd:restriction>
      </xsd:simpleType>
    </xsd:element>
    <xsd:element name="Location" ma:index="22" nillable="true" ma:displayName="Location" ma:format="Dropdown" ma:internalName="Location">
      <xsd:simpleType>
        <xsd:restriction base="dms:Note">
          <xsd:maxLength value="255"/>
        </xsd:restriction>
      </xsd:simpleType>
    </xsd:element>
    <xsd:element name="Year" ma:index="23" nillable="true" ma:displayName="Year" ma:format="Dropdown" ma:internalName="Year">
      <xsd:simpleType>
        <xsd:restriction base="dms:Note">
          <xsd:maxLength value="255"/>
        </xsd:restriction>
      </xsd:simpleType>
    </xsd:element>
    <xsd:element name="MediaLengthInSeconds" ma:index="26"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35bbf58e-2e60-452b-81fa-bf7b891d412a"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Description xmlns="0299cf38-ba3b-4c19-92b4-8f634aad8513" xsi:nil="true"/>
    <_ip_UnifiedCompliancePolicyUIAction xmlns="http://schemas.microsoft.com/sharepoint/v3" xsi:nil="true"/>
    <_ip_UnifiedCompliancePolicyProperties xmlns="http://schemas.microsoft.com/sharepoint/v3" xsi:nil="true"/>
    <Year xmlns="0299cf38-ba3b-4c19-92b4-8f634aad8513" xsi:nil="true"/>
    <Provider xmlns="0299cf38-ba3b-4c19-92b4-8f634aad8513" xsi:nil="true"/>
    <SubjectArea xmlns="0299cf38-ba3b-4c19-92b4-8f634aad8513" xsi:nil="true"/>
    <Location xmlns="0299cf38-ba3b-4c19-92b4-8f634aad8513" xsi:nil="true"/>
  </documentManagement>
</p:properties>
</file>

<file path=customXml/itemProps1.xml><?xml version="1.0" encoding="utf-8"?>
<ds:datastoreItem xmlns:ds="http://schemas.openxmlformats.org/officeDocument/2006/customXml" ds:itemID="{28AE452B-157F-41CA-BD39-A14D43FF1BA9}"/>
</file>

<file path=customXml/itemProps2.xml><?xml version="1.0" encoding="utf-8"?>
<ds:datastoreItem xmlns:ds="http://schemas.openxmlformats.org/officeDocument/2006/customXml" ds:itemID="{51CAD0BF-BEFE-4118-9327-0963E0C127EB}"/>
</file>

<file path=customXml/itemProps3.xml><?xml version="1.0" encoding="utf-8"?>
<ds:datastoreItem xmlns:ds="http://schemas.openxmlformats.org/officeDocument/2006/customXml" ds:itemID="{06D3B44C-3DAE-49B6-80CA-EB4AFB73F0A9}"/>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Ouyang, Ziying</dc:creator>
  <cp:keywords/>
  <dc:description/>
  <cp:lastModifiedBy>Susan Xu</cp:lastModifiedBy>
  <cp:revision/>
  <dcterms:created xsi:type="dcterms:W3CDTF">2020-09-10T16:06:02Z</dcterms:created>
  <dcterms:modified xsi:type="dcterms:W3CDTF">2022-03-17T20:47:02Z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0x0101007CB1B506327AE54D91624CB87D32BBBB</vt:lpwstr>
  </property>
</Properties>
</file>