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eewr7\OneDrive\바탕 화면\승률예측 C#\WindowsFormsApp6\WindowsFormsApp6\"/>
    </mc:Choice>
  </mc:AlternateContent>
  <xr:revisionPtr revIDLastSave="0" documentId="13_ncr:1_{A11E4A08-586F-4C4E-94CE-4632B6A80F15}" xr6:coauthVersionLast="45" xr6:coauthVersionMax="45" xr10:uidLastSave="{00000000-0000-0000-0000-000000000000}"/>
  <bookViews>
    <workbookView xWindow="28680" yWindow="1320" windowWidth="29040" windowHeight="15840" xr2:uid="{EDC752B0-5838-41E5-A78D-B5DD0A27DCF0}"/>
  </bookViews>
  <sheets>
    <sheet name="Match Setup" sheetId="1" r:id="rId1"/>
    <sheet name="입력창" sheetId="2" r:id="rId2"/>
    <sheet name="계산창" sheetId="3" r:id="rId3"/>
    <sheet name="제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8" i="3"/>
  <c r="E9" i="3"/>
  <c r="E10" i="3"/>
  <c r="E11" i="3"/>
  <c r="E12" i="3"/>
  <c r="E13" i="3"/>
  <c r="E14" i="3"/>
  <c r="E15" i="3"/>
  <c r="E16" i="3"/>
  <c r="E17" i="3"/>
  <c r="E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B4" i="3"/>
  <c r="C4" i="3"/>
  <c r="A4" i="3"/>
  <c r="C2" i="3"/>
  <c r="P2" i="2"/>
  <c r="A2" i="3"/>
  <c r="N2" i="2"/>
  <c r="M3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S3" i="3"/>
  <c r="T3" i="3"/>
  <c r="W6" i="3"/>
  <c r="V6" i="3"/>
  <c r="W5" i="3"/>
  <c r="V5" i="3"/>
  <c r="W4" i="3"/>
  <c r="V4" i="3"/>
  <c r="W3" i="3"/>
  <c r="V3" i="3"/>
  <c r="S35" i="2"/>
  <c r="S36" i="2"/>
  <c r="U36" i="2" s="1"/>
  <c r="S37" i="2"/>
  <c r="S38" i="2"/>
  <c r="S39" i="2"/>
  <c r="S40" i="2"/>
  <c r="U40" i="2" s="1"/>
  <c r="S41" i="2"/>
  <c r="S42" i="2"/>
  <c r="S43" i="2"/>
  <c r="S44" i="2"/>
  <c r="U44" i="2" s="1"/>
  <c r="S45" i="2"/>
  <c r="S46" i="2"/>
  <c r="S47" i="2"/>
  <c r="S48" i="2"/>
  <c r="U48" i="2" s="1"/>
  <c r="S49" i="2"/>
  <c r="S50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U35" i="2"/>
  <c r="U37" i="2"/>
  <c r="U38" i="2"/>
  <c r="U39" i="2"/>
  <c r="U41" i="2"/>
  <c r="U42" i="2"/>
  <c r="U43" i="2"/>
  <c r="U45" i="2"/>
  <c r="U46" i="2"/>
  <c r="U47" i="2"/>
  <c r="U49" i="2"/>
  <c r="U50" i="2"/>
  <c r="T35" i="2"/>
  <c r="V35" i="2" s="1"/>
  <c r="T36" i="2"/>
  <c r="T37" i="2"/>
  <c r="V37" i="2" s="1"/>
  <c r="T38" i="2"/>
  <c r="V38" i="2" s="1"/>
  <c r="T39" i="2"/>
  <c r="V39" i="2" s="1"/>
  <c r="T40" i="2"/>
  <c r="T41" i="2"/>
  <c r="V41" i="2" s="1"/>
  <c r="T42" i="2"/>
  <c r="V42" i="2" s="1"/>
  <c r="T43" i="2"/>
  <c r="V43" i="2" s="1"/>
  <c r="T44" i="2"/>
  <c r="T45" i="2"/>
  <c r="V45" i="2" s="1"/>
  <c r="T46" i="2"/>
  <c r="V46" i="2" s="1"/>
  <c r="T47" i="2"/>
  <c r="V47" i="2" s="1"/>
  <c r="T48" i="2"/>
  <c r="T49" i="2"/>
  <c r="V49" i="2" s="1"/>
  <c r="T50" i="2"/>
  <c r="V50" i="2" s="1"/>
  <c r="G13" i="4"/>
  <c r="B13" i="4"/>
  <c r="M18" i="2"/>
  <c r="M19" i="2"/>
  <c r="M20" i="2"/>
  <c r="M21" i="2"/>
  <c r="M22" i="2"/>
  <c r="M23" i="2"/>
  <c r="M24" i="2"/>
  <c r="M25" i="2"/>
  <c r="M26" i="2"/>
  <c r="M27" i="2"/>
  <c r="M28" i="2"/>
  <c r="M29" i="2"/>
  <c r="M16" i="2"/>
  <c r="M17" i="2"/>
  <c r="O3" i="3" l="1"/>
  <c r="P3" i="3"/>
  <c r="Q3" i="3"/>
  <c r="R3" i="3"/>
  <c r="V48" i="2"/>
  <c r="V44" i="2"/>
  <c r="V40" i="2"/>
  <c r="V36" i="2"/>
  <c r="S2" i="3"/>
  <c r="T2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M5" i="1"/>
  <c r="L5" i="1"/>
  <c r="M8" i="1"/>
  <c r="L8" i="1"/>
  <c r="L7" i="1"/>
  <c r="J49" i="3" l="1"/>
  <c r="K49" i="3"/>
  <c r="J45" i="3"/>
  <c r="K45" i="3"/>
  <c r="L45" i="3" s="1"/>
  <c r="K37" i="3"/>
  <c r="J37" i="3"/>
  <c r="K48" i="3"/>
  <c r="J48" i="3"/>
  <c r="K40" i="3"/>
  <c r="J40" i="3"/>
  <c r="K51" i="3"/>
  <c r="J51" i="3"/>
  <c r="K47" i="3"/>
  <c r="J47" i="3"/>
  <c r="K43" i="3"/>
  <c r="J43" i="3"/>
  <c r="J39" i="3"/>
  <c r="K39" i="3"/>
  <c r="K44" i="3"/>
  <c r="J44" i="3"/>
  <c r="K36" i="3"/>
  <c r="J36" i="3"/>
  <c r="K50" i="3"/>
  <c r="J50" i="3"/>
  <c r="N50" i="3" s="1"/>
  <c r="R50" i="3" s="1"/>
  <c r="K46" i="3"/>
  <c r="J46" i="3"/>
  <c r="K42" i="3"/>
  <c r="J42" i="3"/>
  <c r="N42" i="3" s="1"/>
  <c r="R42" i="3" s="1"/>
  <c r="K38" i="3"/>
  <c r="N38" i="3" s="1"/>
  <c r="R38" i="3" s="1"/>
  <c r="J38" i="3"/>
  <c r="J41" i="3"/>
  <c r="K41" i="3"/>
  <c r="L41" i="3" s="1"/>
  <c r="L49" i="3"/>
  <c r="L37" i="3"/>
  <c r="N46" i="3" l="1"/>
  <c r="R46" i="3" s="1"/>
  <c r="N41" i="3"/>
  <c r="R41" i="3" s="1"/>
  <c r="N37" i="3"/>
  <c r="R37" i="3" s="1"/>
  <c r="N45" i="3"/>
  <c r="R45" i="3" s="1"/>
  <c r="N49" i="3"/>
  <c r="R49" i="3" s="1"/>
  <c r="M43" i="3"/>
  <c r="N43" i="3"/>
  <c r="R43" i="3" s="1"/>
  <c r="M40" i="3"/>
  <c r="N40" i="3"/>
  <c r="R40" i="3" s="1"/>
  <c r="M36" i="3"/>
  <c r="N36" i="3"/>
  <c r="R36" i="3" s="1"/>
  <c r="M47" i="3"/>
  <c r="N47" i="3"/>
  <c r="R47" i="3" s="1"/>
  <c r="M44" i="3"/>
  <c r="N44" i="3"/>
  <c r="R44" i="3" s="1"/>
  <c r="M39" i="3"/>
  <c r="N39" i="3"/>
  <c r="R39" i="3" s="1"/>
  <c r="M51" i="3"/>
  <c r="N51" i="3"/>
  <c r="R51" i="3" s="1"/>
  <c r="M48" i="3"/>
  <c r="N48" i="3"/>
  <c r="R48" i="3" s="1"/>
  <c r="M41" i="3"/>
  <c r="L39" i="3"/>
  <c r="M38" i="3"/>
  <c r="L38" i="3"/>
  <c r="M42" i="3"/>
  <c r="L42" i="3"/>
  <c r="M45" i="3"/>
  <c r="L36" i="3"/>
  <c r="L44" i="3"/>
  <c r="L51" i="3"/>
  <c r="M46" i="3"/>
  <c r="L46" i="3"/>
  <c r="M49" i="3"/>
  <c r="L48" i="3"/>
  <c r="L47" i="3"/>
  <c r="M50" i="3"/>
  <c r="L50" i="3"/>
  <c r="M37" i="3"/>
  <c r="L43" i="3"/>
  <c r="L40" i="3"/>
  <c r="Q38" i="3" l="1"/>
  <c r="P41" i="3"/>
  <c r="Q41" i="3"/>
  <c r="O41" i="3"/>
  <c r="Q37" i="3"/>
  <c r="P37" i="3"/>
  <c r="O37" i="3"/>
  <c r="Q49" i="3"/>
  <c r="P49" i="3"/>
  <c r="O49" i="3"/>
  <c r="Q47" i="3"/>
  <c r="P47" i="3"/>
  <c r="O47" i="3"/>
  <c r="Q36" i="3"/>
  <c r="P36" i="3"/>
  <c r="O36" i="3"/>
  <c r="Q45" i="3"/>
  <c r="O45" i="3"/>
  <c r="P45" i="3"/>
  <c r="Q43" i="3"/>
  <c r="P43" i="3"/>
  <c r="O43" i="3"/>
  <c r="Q48" i="3"/>
  <c r="P48" i="3"/>
  <c r="O48" i="3"/>
  <c r="Q51" i="3"/>
  <c r="P51" i="3"/>
  <c r="P38" i="3"/>
  <c r="O38" i="3"/>
  <c r="Q44" i="3"/>
  <c r="P44" i="3"/>
  <c r="O44" i="3"/>
  <c r="Q46" i="3"/>
  <c r="P46" i="3"/>
  <c r="O46" i="3"/>
  <c r="Q40" i="3"/>
  <c r="P40" i="3"/>
  <c r="O40" i="3"/>
  <c r="Q39" i="3"/>
  <c r="P39" i="3"/>
  <c r="O39" i="3"/>
  <c r="Q50" i="3" l="1"/>
  <c r="P50" i="3"/>
  <c r="O50" i="3"/>
  <c r="Q42" i="3"/>
  <c r="P42" i="3"/>
  <c r="O42" i="3"/>
  <c r="M5" i="2" l="1"/>
  <c r="M4" i="2"/>
  <c r="M6" i="2"/>
  <c r="M7" i="2"/>
  <c r="M8" i="2"/>
  <c r="M9" i="2"/>
  <c r="M10" i="2"/>
  <c r="M11" i="2"/>
  <c r="M12" i="2"/>
  <c r="M13" i="2"/>
  <c r="M14" i="2"/>
  <c r="M15" i="2"/>
  <c r="P3" i="2" l="1"/>
  <c r="P4" i="2" s="1"/>
  <c r="N3" i="2"/>
  <c r="X37" i="2"/>
  <c r="D38" i="3" s="1"/>
  <c r="X39" i="2"/>
  <c r="D40" i="3" s="1"/>
  <c r="X41" i="2"/>
  <c r="D42" i="3" s="1"/>
  <c r="X43" i="2"/>
  <c r="D44" i="3" s="1"/>
  <c r="X44" i="2"/>
  <c r="D45" i="3" s="1"/>
  <c r="X46" i="2"/>
  <c r="D47" i="3" s="1"/>
  <c r="X50" i="2"/>
  <c r="D51" i="3" s="1"/>
  <c r="P5" i="2" l="1"/>
  <c r="H42" i="3"/>
  <c r="I42" i="3"/>
  <c r="G42" i="3"/>
  <c r="F42" i="3"/>
  <c r="H38" i="3"/>
  <c r="I38" i="3"/>
  <c r="G38" i="3"/>
  <c r="F38" i="3"/>
  <c r="H47" i="3"/>
  <c r="G47" i="3"/>
  <c r="F47" i="3"/>
  <c r="I47" i="3"/>
  <c r="H44" i="3"/>
  <c r="I44" i="3"/>
  <c r="G44" i="3"/>
  <c r="F44" i="3"/>
  <c r="H40" i="3"/>
  <c r="I40" i="3"/>
  <c r="G40" i="3"/>
  <c r="F40" i="3"/>
  <c r="H51" i="3"/>
  <c r="G51" i="3"/>
  <c r="F51" i="3"/>
  <c r="I51" i="3"/>
  <c r="H45" i="3"/>
  <c r="I45" i="3"/>
  <c r="G45" i="3"/>
  <c r="F45" i="3"/>
  <c r="N4" i="2"/>
  <c r="Q4" i="2" s="1"/>
  <c r="Q3" i="2"/>
  <c r="X48" i="2"/>
  <c r="D49" i="3" s="1"/>
  <c r="X49" i="2"/>
  <c r="D50" i="3" s="1"/>
  <c r="X42" i="2"/>
  <c r="D43" i="3" s="1"/>
  <c r="X40" i="2"/>
  <c r="D41" i="3" s="1"/>
  <c r="X38" i="2"/>
  <c r="D39" i="3" s="1"/>
  <c r="X36" i="2"/>
  <c r="D37" i="3" s="1"/>
  <c r="X47" i="2"/>
  <c r="D48" i="3" s="1"/>
  <c r="X45" i="2"/>
  <c r="D46" i="3" s="1"/>
  <c r="X35" i="2"/>
  <c r="D36" i="3" s="1"/>
  <c r="S3" i="2"/>
  <c r="U3" i="2" s="1"/>
  <c r="R3" i="2"/>
  <c r="T3" i="2" s="1"/>
  <c r="R2" i="2"/>
  <c r="S2" i="2"/>
  <c r="E3" i="2"/>
  <c r="C3" i="2"/>
  <c r="F10" i="4"/>
  <c r="B10" i="4"/>
  <c r="F9" i="4"/>
  <c r="B9" i="4"/>
  <c r="I4" i="1"/>
  <c r="I5" i="1"/>
  <c r="I6" i="1"/>
  <c r="I3" i="1"/>
  <c r="H4" i="1"/>
  <c r="H5" i="1"/>
  <c r="H6" i="1"/>
  <c r="H3" i="1"/>
  <c r="R4" i="2" l="1"/>
  <c r="T4" i="2" s="1"/>
  <c r="S4" i="2"/>
  <c r="U4" i="2" s="1"/>
  <c r="P6" i="2"/>
  <c r="H50" i="3"/>
  <c r="I50" i="3"/>
  <c r="G50" i="3"/>
  <c r="F50" i="3"/>
  <c r="H36" i="3"/>
  <c r="I36" i="3"/>
  <c r="G36" i="3"/>
  <c r="F36" i="3"/>
  <c r="H49" i="3"/>
  <c r="I49" i="3"/>
  <c r="G49" i="3"/>
  <c r="F49" i="3"/>
  <c r="H46" i="3"/>
  <c r="I46" i="3"/>
  <c r="G46" i="3"/>
  <c r="F46" i="3"/>
  <c r="H41" i="3"/>
  <c r="I41" i="3"/>
  <c r="G41" i="3"/>
  <c r="F41" i="3"/>
  <c r="H37" i="3"/>
  <c r="I37" i="3"/>
  <c r="G37" i="3"/>
  <c r="F37" i="3"/>
  <c r="H39" i="3"/>
  <c r="G39" i="3"/>
  <c r="F39" i="3"/>
  <c r="I39" i="3"/>
  <c r="H48" i="3"/>
  <c r="I48" i="3"/>
  <c r="G48" i="3"/>
  <c r="F48" i="3"/>
  <c r="H43" i="3"/>
  <c r="G43" i="3"/>
  <c r="F43" i="3"/>
  <c r="I43" i="3"/>
  <c r="V3" i="2"/>
  <c r="X3" i="2" s="1"/>
  <c r="D4" i="3" s="1"/>
  <c r="F4" i="3" s="1"/>
  <c r="N5" i="2"/>
  <c r="T2" i="2"/>
  <c r="U2" i="2"/>
  <c r="S5" i="2" l="1"/>
  <c r="Q5" i="2"/>
  <c r="P7" i="2"/>
  <c r="R5" i="2"/>
  <c r="T5" i="2" s="1"/>
  <c r="V4" i="2"/>
  <c r="X4" i="2" s="1"/>
  <c r="D5" i="3" s="1"/>
  <c r="U5" i="2"/>
  <c r="G4" i="3"/>
  <c r="J4" i="3" s="1"/>
  <c r="I4" i="3"/>
  <c r="H4" i="3"/>
  <c r="N6" i="2"/>
  <c r="Q6" i="2" s="1"/>
  <c r="K4" i="3" l="1"/>
  <c r="N4" i="3" s="1"/>
  <c r="O4" i="3" s="1"/>
  <c r="S6" i="2"/>
  <c r="U6" i="2" s="1"/>
  <c r="V5" i="2"/>
  <c r="X5" i="2" s="1"/>
  <c r="D6" i="3" s="1"/>
  <c r="G5" i="3"/>
  <c r="H5" i="3"/>
  <c r="R6" i="2"/>
  <c r="T6" i="2" s="1"/>
  <c r="P8" i="2"/>
  <c r="I5" i="3"/>
  <c r="F5" i="3"/>
  <c r="N7" i="2"/>
  <c r="Q7" i="2" s="1"/>
  <c r="J5" i="3" l="1"/>
  <c r="R4" i="3"/>
  <c r="Q4" i="3"/>
  <c r="K5" i="3"/>
  <c r="M4" i="3"/>
  <c r="S7" i="2"/>
  <c r="U7" i="2" s="1"/>
  <c r="V6" i="2"/>
  <c r="X6" i="2" s="1"/>
  <c r="D7" i="3" s="1"/>
  <c r="R7" i="2"/>
  <c r="T7" i="2" s="1"/>
  <c r="P9" i="2"/>
  <c r="L4" i="3"/>
  <c r="H6" i="3"/>
  <c r="F6" i="3"/>
  <c r="I6" i="3"/>
  <c r="G6" i="3"/>
  <c r="N8" i="2"/>
  <c r="Q8" i="2" s="1"/>
  <c r="J6" i="3" l="1"/>
  <c r="K6" i="3"/>
  <c r="N5" i="3"/>
  <c r="O5" i="3" s="1"/>
  <c r="M5" i="3"/>
  <c r="P4" i="3"/>
  <c r="L5" i="3"/>
  <c r="R8" i="2"/>
  <c r="T8" i="2" s="1"/>
  <c r="S8" i="2"/>
  <c r="U8" i="2" s="1"/>
  <c r="P10" i="2"/>
  <c r="V7" i="2"/>
  <c r="X7" i="2" s="1"/>
  <c r="D8" i="3" s="1"/>
  <c r="H7" i="3"/>
  <c r="F7" i="3"/>
  <c r="I7" i="3"/>
  <c r="G7" i="3"/>
  <c r="N9" i="2"/>
  <c r="J7" i="3" l="1"/>
  <c r="K7" i="3"/>
  <c r="R5" i="3"/>
  <c r="Q5" i="3"/>
  <c r="N6" i="3"/>
  <c r="R6" i="3" s="1"/>
  <c r="S9" i="2"/>
  <c r="U9" i="2" s="1"/>
  <c r="Q9" i="2"/>
  <c r="P5" i="3"/>
  <c r="M6" i="3"/>
  <c r="R9" i="2"/>
  <c r="T9" i="2" s="1"/>
  <c r="V8" i="2"/>
  <c r="X8" i="2" s="1"/>
  <c r="D9" i="3" s="1"/>
  <c r="P11" i="2"/>
  <c r="N10" i="2"/>
  <c r="L6" i="3"/>
  <c r="H8" i="3"/>
  <c r="G8" i="3"/>
  <c r="F8" i="3"/>
  <c r="I8" i="3"/>
  <c r="K8" i="3" l="1"/>
  <c r="J8" i="3"/>
  <c r="N7" i="3"/>
  <c r="R7" i="3" s="1"/>
  <c r="S10" i="2"/>
  <c r="Q10" i="2"/>
  <c r="R10" i="2"/>
  <c r="T10" i="2" s="1"/>
  <c r="V9" i="2"/>
  <c r="X9" i="2" s="1"/>
  <c r="D10" i="3" s="1"/>
  <c r="U10" i="2"/>
  <c r="P12" i="2"/>
  <c r="L7" i="3"/>
  <c r="N11" i="2"/>
  <c r="Q11" i="2" s="1"/>
  <c r="M7" i="3"/>
  <c r="H9" i="3"/>
  <c r="K9" i="3" s="1"/>
  <c r="G9" i="3"/>
  <c r="F9" i="3"/>
  <c r="I9" i="3"/>
  <c r="J9" i="3" l="1"/>
  <c r="N8" i="3"/>
  <c r="R8" i="3" s="1"/>
  <c r="Q7" i="3"/>
  <c r="P7" i="3"/>
  <c r="O7" i="3"/>
  <c r="Q6" i="3"/>
  <c r="P6" i="3"/>
  <c r="O6" i="3"/>
  <c r="N9" i="3"/>
  <c r="R9" i="3" s="1"/>
  <c r="R11" i="2"/>
  <c r="T11" i="2" s="1"/>
  <c r="S11" i="2"/>
  <c r="U11" i="2" s="1"/>
  <c r="P13" i="2"/>
  <c r="V10" i="2"/>
  <c r="X10" i="2" s="1"/>
  <c r="D11" i="3" s="1"/>
  <c r="M8" i="3"/>
  <c r="N12" i="2"/>
  <c r="Q12" i="2" s="1"/>
  <c r="H10" i="3"/>
  <c r="F10" i="3"/>
  <c r="J10" i="3" s="1"/>
  <c r="I10" i="3"/>
  <c r="G10" i="3"/>
  <c r="L8" i="3"/>
  <c r="K10" i="3" l="1"/>
  <c r="L9" i="3"/>
  <c r="M9" i="3"/>
  <c r="Q8" i="3"/>
  <c r="P8" i="3"/>
  <c r="O8" i="3"/>
  <c r="R12" i="2"/>
  <c r="T12" i="2" s="1"/>
  <c r="S12" i="2"/>
  <c r="U12" i="2" s="1"/>
  <c r="P14" i="2"/>
  <c r="V11" i="2"/>
  <c r="X11" i="2" s="1"/>
  <c r="D12" i="3" s="1"/>
  <c r="H12" i="3" s="1"/>
  <c r="H11" i="3"/>
  <c r="I11" i="3"/>
  <c r="G11" i="3"/>
  <c r="F11" i="3"/>
  <c r="N13" i="2"/>
  <c r="Q13" i="2" s="1"/>
  <c r="K11" i="3" l="1"/>
  <c r="J11" i="3"/>
  <c r="M10" i="3"/>
  <c r="N10" i="3"/>
  <c r="R10" i="3" s="1"/>
  <c r="Q9" i="3"/>
  <c r="P9" i="3"/>
  <c r="O9" i="3"/>
  <c r="V12" i="2"/>
  <c r="X12" i="2" s="1"/>
  <c r="D13" i="3" s="1"/>
  <c r="R13" i="2"/>
  <c r="S13" i="2"/>
  <c r="U13" i="2" s="1"/>
  <c r="P15" i="2"/>
  <c r="T13" i="2"/>
  <c r="I12" i="3"/>
  <c r="F12" i="3"/>
  <c r="G12" i="3"/>
  <c r="N14" i="2"/>
  <c r="Q14" i="2" s="1"/>
  <c r="L10" i="3"/>
  <c r="K12" i="3" l="1"/>
  <c r="N11" i="3"/>
  <c r="R11" i="3" s="1"/>
  <c r="J12" i="3"/>
  <c r="Q10" i="3"/>
  <c r="P10" i="3"/>
  <c r="O10" i="3"/>
  <c r="R14" i="2"/>
  <c r="T14" i="2" s="1"/>
  <c r="S14" i="2"/>
  <c r="U14" i="2" s="1"/>
  <c r="V13" i="2"/>
  <c r="X13" i="2" s="1"/>
  <c r="D14" i="3" s="1"/>
  <c r="I14" i="3" s="1"/>
  <c r="P16" i="2"/>
  <c r="M11" i="3"/>
  <c r="L11" i="3"/>
  <c r="H13" i="3"/>
  <c r="G13" i="3"/>
  <c r="F13" i="3"/>
  <c r="I13" i="3"/>
  <c r="N15" i="2"/>
  <c r="Q15" i="2" s="1"/>
  <c r="M12" i="3" l="1"/>
  <c r="K13" i="3"/>
  <c r="J13" i="3"/>
  <c r="N12" i="3"/>
  <c r="R12" i="3" s="1"/>
  <c r="Q11" i="3"/>
  <c r="P11" i="3"/>
  <c r="O11" i="3"/>
  <c r="V14" i="2"/>
  <c r="X14" i="2" s="1"/>
  <c r="D15" i="3" s="1"/>
  <c r="R15" i="2"/>
  <c r="T15" i="2" s="1"/>
  <c r="S15" i="2"/>
  <c r="U15" i="2" s="1"/>
  <c r="P17" i="2"/>
  <c r="L12" i="3"/>
  <c r="H14" i="3"/>
  <c r="F14" i="3"/>
  <c r="G14" i="3"/>
  <c r="N16" i="2"/>
  <c r="K14" i="3" l="1"/>
  <c r="J14" i="3"/>
  <c r="L14" i="3" s="1"/>
  <c r="N13" i="3"/>
  <c r="R13" i="3" s="1"/>
  <c r="S16" i="2"/>
  <c r="Q16" i="2"/>
  <c r="Q12" i="3"/>
  <c r="P12" i="3"/>
  <c r="O12" i="3"/>
  <c r="V15" i="2"/>
  <c r="X15" i="2" s="1"/>
  <c r="D16" i="3" s="1"/>
  <c r="R16" i="2"/>
  <c r="T16" i="2" s="1"/>
  <c r="U16" i="2"/>
  <c r="P18" i="2"/>
  <c r="L13" i="3"/>
  <c r="H15" i="3"/>
  <c r="I15" i="3"/>
  <c r="G15" i="3"/>
  <c r="F15" i="3"/>
  <c r="M13" i="3"/>
  <c r="N17" i="2"/>
  <c r="J15" i="3" l="1"/>
  <c r="K15" i="3"/>
  <c r="N14" i="3"/>
  <c r="R14" i="3" s="1"/>
  <c r="S17" i="2"/>
  <c r="U17" i="2" s="1"/>
  <c r="Q17" i="2"/>
  <c r="R17" i="2"/>
  <c r="T17" i="2" s="1"/>
  <c r="P19" i="2"/>
  <c r="V16" i="2"/>
  <c r="X16" i="2" s="1"/>
  <c r="D17" i="3" s="1"/>
  <c r="M14" i="3"/>
  <c r="N18" i="2"/>
  <c r="Q18" i="2" s="1"/>
  <c r="H16" i="3"/>
  <c r="G16" i="3"/>
  <c r="F16" i="3"/>
  <c r="I16" i="3"/>
  <c r="N15" i="3" l="1"/>
  <c r="R15" i="3" s="1"/>
  <c r="K16" i="3"/>
  <c r="J16" i="3"/>
  <c r="Q14" i="3"/>
  <c r="P14" i="3"/>
  <c r="O14" i="3"/>
  <c r="P13" i="3"/>
  <c r="O13" i="3"/>
  <c r="Q13" i="3"/>
  <c r="P20" i="2"/>
  <c r="R18" i="2"/>
  <c r="T18" i="2" s="1"/>
  <c r="S18" i="2"/>
  <c r="U18" i="2" s="1"/>
  <c r="V17" i="2"/>
  <c r="X17" i="2" s="1"/>
  <c r="D18" i="3" s="1"/>
  <c r="M15" i="3"/>
  <c r="L15" i="3"/>
  <c r="N19" i="2"/>
  <c r="F17" i="3"/>
  <c r="I17" i="3"/>
  <c r="G17" i="3"/>
  <c r="H17" i="3"/>
  <c r="J17" i="3" l="1"/>
  <c r="K17" i="3"/>
  <c r="N16" i="3"/>
  <c r="R16" i="3" s="1"/>
  <c r="S19" i="2"/>
  <c r="Q19" i="2"/>
  <c r="Q15" i="3"/>
  <c r="O15" i="3"/>
  <c r="R19" i="2"/>
  <c r="T19" i="2" s="1"/>
  <c r="P21" i="2"/>
  <c r="V18" i="2"/>
  <c r="X18" i="2" s="1"/>
  <c r="D19" i="3" s="1"/>
  <c r="L16" i="3"/>
  <c r="F18" i="3"/>
  <c r="J18" i="3" s="1"/>
  <c r="H18" i="3"/>
  <c r="I18" i="3"/>
  <c r="G18" i="3"/>
  <c r="U19" i="2"/>
  <c r="N20" i="2"/>
  <c r="Q20" i="2" s="1"/>
  <c r="M16" i="3"/>
  <c r="K18" i="3" l="1"/>
  <c r="N17" i="3"/>
  <c r="R17" i="3" s="1"/>
  <c r="P15" i="3"/>
  <c r="Q16" i="3"/>
  <c r="O16" i="3"/>
  <c r="R20" i="2"/>
  <c r="T20" i="2" s="1"/>
  <c r="S20" i="2"/>
  <c r="U20" i="2" s="1"/>
  <c r="P22" i="2"/>
  <c r="V19" i="2"/>
  <c r="X19" i="2" s="1"/>
  <c r="D20" i="3" s="1"/>
  <c r="L17" i="3"/>
  <c r="F19" i="3"/>
  <c r="G19" i="3"/>
  <c r="H19" i="3"/>
  <c r="I19" i="3"/>
  <c r="M17" i="3"/>
  <c r="N18" i="3"/>
  <c r="R18" i="3" s="1"/>
  <c r="N21" i="2"/>
  <c r="Q21" i="2" s="1"/>
  <c r="J19" i="3" l="1"/>
  <c r="K19" i="3"/>
  <c r="P16" i="3"/>
  <c r="V20" i="2"/>
  <c r="X20" i="2" s="1"/>
  <c r="D21" i="3" s="1"/>
  <c r="R21" i="2"/>
  <c r="T21" i="2" s="1"/>
  <c r="S21" i="2"/>
  <c r="U21" i="2" s="1"/>
  <c r="P23" i="2"/>
  <c r="M18" i="3"/>
  <c r="L18" i="3"/>
  <c r="N22" i="2"/>
  <c r="Q22" i="2" s="1"/>
  <c r="G20" i="3"/>
  <c r="I20" i="3"/>
  <c r="H20" i="3"/>
  <c r="F20" i="3"/>
  <c r="J20" i="3" l="1"/>
  <c r="K20" i="3"/>
  <c r="N20" i="3" s="1"/>
  <c r="R20" i="3" s="1"/>
  <c r="N19" i="3"/>
  <c r="R19" i="3" s="1"/>
  <c r="O17" i="3"/>
  <c r="Q17" i="3"/>
  <c r="P17" i="3"/>
  <c r="R22" i="2"/>
  <c r="T22" i="2" s="1"/>
  <c r="S22" i="2"/>
  <c r="U22" i="2" s="1"/>
  <c r="P24" i="2"/>
  <c r="V21" i="2"/>
  <c r="X21" i="2" s="1"/>
  <c r="D22" i="3" s="1"/>
  <c r="I22" i="3" s="1"/>
  <c r="L19" i="3"/>
  <c r="M19" i="3"/>
  <c r="I21" i="3"/>
  <c r="H21" i="3"/>
  <c r="F21" i="3"/>
  <c r="G21" i="3"/>
  <c r="N23" i="2"/>
  <c r="K21" i="3" l="1"/>
  <c r="J21" i="3"/>
  <c r="S23" i="2"/>
  <c r="Q23" i="2"/>
  <c r="Q18" i="3"/>
  <c r="P18" i="3"/>
  <c r="O18" i="3"/>
  <c r="R23" i="2"/>
  <c r="T23" i="2" s="1"/>
  <c r="P25" i="2"/>
  <c r="V22" i="2"/>
  <c r="X22" i="2" s="1"/>
  <c r="D23" i="3" s="1"/>
  <c r="F23" i="3" s="1"/>
  <c r="L20" i="3"/>
  <c r="F22" i="3"/>
  <c r="H22" i="3"/>
  <c r="K22" i="3" s="1"/>
  <c r="G22" i="3"/>
  <c r="U23" i="2"/>
  <c r="N24" i="2"/>
  <c r="Q24" i="2" s="1"/>
  <c r="M20" i="3"/>
  <c r="J22" i="3" l="1"/>
  <c r="M22" i="3" s="1"/>
  <c r="N21" i="3"/>
  <c r="R21" i="3" s="1"/>
  <c r="Q19" i="3"/>
  <c r="P19" i="3"/>
  <c r="O19" i="3"/>
  <c r="P26" i="2"/>
  <c r="R24" i="2"/>
  <c r="T24" i="2" s="1"/>
  <c r="S24" i="2"/>
  <c r="U24" i="2" s="1"/>
  <c r="V23" i="2"/>
  <c r="X23" i="2" s="1"/>
  <c r="D24" i="3" s="1"/>
  <c r="L21" i="3"/>
  <c r="G23" i="3"/>
  <c r="J23" i="3" s="1"/>
  <c r="I23" i="3"/>
  <c r="H23" i="3"/>
  <c r="N25" i="2"/>
  <c r="M21" i="3"/>
  <c r="K23" i="3" l="1"/>
  <c r="N22" i="3"/>
  <c r="R22" i="3" s="1"/>
  <c r="S25" i="2"/>
  <c r="Q25" i="2"/>
  <c r="Q20" i="3"/>
  <c r="P20" i="3"/>
  <c r="O20" i="3"/>
  <c r="R25" i="2"/>
  <c r="T25" i="2" s="1"/>
  <c r="P27" i="2"/>
  <c r="V24" i="2"/>
  <c r="X24" i="2" s="1"/>
  <c r="D25" i="3" s="1"/>
  <c r="L22" i="3"/>
  <c r="N26" i="2"/>
  <c r="Q26" i="2" s="1"/>
  <c r="U25" i="2"/>
  <c r="G24" i="3"/>
  <c r="F24" i="3"/>
  <c r="I24" i="3"/>
  <c r="H24" i="3"/>
  <c r="J24" i="3" l="1"/>
  <c r="K24" i="3"/>
  <c r="M23" i="3"/>
  <c r="N23" i="3"/>
  <c r="R23" i="3" s="1"/>
  <c r="Q22" i="3"/>
  <c r="P22" i="3"/>
  <c r="O22" i="3"/>
  <c r="Q21" i="3"/>
  <c r="P21" i="3"/>
  <c r="O21" i="3"/>
  <c r="V25" i="2"/>
  <c r="X25" i="2" s="1"/>
  <c r="D26" i="3" s="1"/>
  <c r="H26" i="3" s="1"/>
  <c r="P28" i="2"/>
  <c r="R26" i="2"/>
  <c r="T26" i="2" s="1"/>
  <c r="S26" i="2"/>
  <c r="U26" i="2" s="1"/>
  <c r="L23" i="3"/>
  <c r="N27" i="2"/>
  <c r="Q27" i="2" s="1"/>
  <c r="F25" i="3"/>
  <c r="I25" i="3"/>
  <c r="G25" i="3"/>
  <c r="H25" i="3"/>
  <c r="K25" i="3" s="1"/>
  <c r="J25" i="3" l="1"/>
  <c r="N24" i="3"/>
  <c r="R24" i="3" s="1"/>
  <c r="Q23" i="3"/>
  <c r="P23" i="3"/>
  <c r="O23" i="3"/>
  <c r="R27" i="2"/>
  <c r="T27" i="2" s="1"/>
  <c r="S27" i="2"/>
  <c r="U27" i="2" s="1"/>
  <c r="P29" i="2"/>
  <c r="V26" i="2"/>
  <c r="X26" i="2" s="1"/>
  <c r="D27" i="3" s="1"/>
  <c r="F26" i="3"/>
  <c r="M24" i="3"/>
  <c r="L24" i="3"/>
  <c r="G26" i="3"/>
  <c r="I26" i="3"/>
  <c r="K26" i="3" s="1"/>
  <c r="N28" i="2"/>
  <c r="Q28" i="2" s="1"/>
  <c r="J26" i="3" l="1"/>
  <c r="L26" i="3" s="1"/>
  <c r="N25" i="3"/>
  <c r="R25" i="3" s="1"/>
  <c r="Q24" i="3"/>
  <c r="P24" i="3"/>
  <c r="O24" i="3"/>
  <c r="R28" i="2"/>
  <c r="T28" i="2" s="1"/>
  <c r="S28" i="2"/>
  <c r="U28" i="2" s="1"/>
  <c r="P30" i="2"/>
  <c r="V27" i="2"/>
  <c r="X27" i="2" s="1"/>
  <c r="D28" i="3" s="1"/>
  <c r="I28" i="3" s="1"/>
  <c r="L25" i="3"/>
  <c r="N29" i="2"/>
  <c r="F27" i="3"/>
  <c r="H27" i="3"/>
  <c r="G27" i="3"/>
  <c r="I27" i="3"/>
  <c r="M25" i="3"/>
  <c r="K27" i="3" l="1"/>
  <c r="J27" i="3"/>
  <c r="N26" i="3"/>
  <c r="R26" i="3" s="1"/>
  <c r="S29" i="2"/>
  <c r="Q29" i="2"/>
  <c r="P25" i="3"/>
  <c r="Q25" i="3"/>
  <c r="R29" i="2"/>
  <c r="T29" i="2" s="1"/>
  <c r="P31" i="2"/>
  <c r="V28" i="2"/>
  <c r="X28" i="2" s="1"/>
  <c r="D29" i="3" s="1"/>
  <c r="M26" i="3"/>
  <c r="G28" i="3"/>
  <c r="F28" i="3"/>
  <c r="H28" i="3"/>
  <c r="K28" i="3" s="1"/>
  <c r="U29" i="2"/>
  <c r="N30" i="2"/>
  <c r="L27" i="3" l="1"/>
  <c r="J28" i="3"/>
  <c r="M28" i="3" s="1"/>
  <c r="M27" i="3"/>
  <c r="N27" i="3"/>
  <c r="S30" i="2"/>
  <c r="U30" i="2" s="1"/>
  <c r="Q30" i="2"/>
  <c r="O25" i="3"/>
  <c r="Q26" i="3"/>
  <c r="P26" i="3"/>
  <c r="O26" i="3"/>
  <c r="R30" i="2"/>
  <c r="T30" i="2" s="1"/>
  <c r="P32" i="2"/>
  <c r="V29" i="2"/>
  <c r="X29" i="2" s="1"/>
  <c r="D30" i="3" s="1"/>
  <c r="N31" i="2"/>
  <c r="H29" i="3"/>
  <c r="F29" i="3"/>
  <c r="I29" i="3"/>
  <c r="G29" i="3"/>
  <c r="K29" i="3" l="1"/>
  <c r="P27" i="3"/>
  <c r="R27" i="3"/>
  <c r="J29" i="3"/>
  <c r="O27" i="3"/>
  <c r="Q27" i="3"/>
  <c r="N28" i="3"/>
  <c r="R28" i="3" s="1"/>
  <c r="L28" i="3"/>
  <c r="S31" i="2"/>
  <c r="U31" i="2" s="1"/>
  <c r="Q31" i="2"/>
  <c r="P28" i="3"/>
  <c r="V30" i="2"/>
  <c r="X30" i="2" s="1"/>
  <c r="D31" i="3" s="1"/>
  <c r="P33" i="2"/>
  <c r="R31" i="2"/>
  <c r="T31" i="2" s="1"/>
  <c r="N32" i="2"/>
  <c r="Q32" i="2" s="1"/>
  <c r="F30" i="3"/>
  <c r="H30" i="3"/>
  <c r="I30" i="3"/>
  <c r="G30" i="3"/>
  <c r="J30" i="3" l="1"/>
  <c r="K30" i="3"/>
  <c r="Q28" i="3"/>
  <c r="M29" i="3"/>
  <c r="N29" i="3"/>
  <c r="R29" i="3" s="1"/>
  <c r="O28" i="3"/>
  <c r="L29" i="3"/>
  <c r="R32" i="2"/>
  <c r="T32" i="2" s="1"/>
  <c r="S32" i="2"/>
  <c r="U32" i="2" s="1"/>
  <c r="P34" i="2"/>
  <c r="V31" i="2"/>
  <c r="X31" i="2" s="1"/>
  <c r="D32" i="3" s="1"/>
  <c r="N33" i="2"/>
  <c r="Q33" i="2" s="1"/>
  <c r="G31" i="3"/>
  <c r="I31" i="3"/>
  <c r="F31" i="3"/>
  <c r="H31" i="3"/>
  <c r="N30" i="3" l="1"/>
  <c r="R30" i="3" s="1"/>
  <c r="K31" i="3"/>
  <c r="J31" i="3"/>
  <c r="M30" i="3"/>
  <c r="L30" i="3"/>
  <c r="Q29" i="3"/>
  <c r="O29" i="3"/>
  <c r="P29" i="3"/>
  <c r="V32" i="2"/>
  <c r="X32" i="2" s="1"/>
  <c r="D33" i="3" s="1"/>
  <c r="R33" i="2"/>
  <c r="T33" i="2" s="1"/>
  <c r="S33" i="2"/>
  <c r="U33" i="2" s="1"/>
  <c r="H32" i="3"/>
  <c r="G32" i="3"/>
  <c r="F32" i="3"/>
  <c r="I32" i="3"/>
  <c r="N34" i="2"/>
  <c r="K32" i="3" l="1"/>
  <c r="J32" i="3"/>
  <c r="M31" i="3"/>
  <c r="N31" i="3"/>
  <c r="Q30" i="3"/>
  <c r="O30" i="3"/>
  <c r="P30" i="3"/>
  <c r="R34" i="2"/>
  <c r="T34" i="2" s="1"/>
  <c r="Q34" i="2"/>
  <c r="L31" i="3"/>
  <c r="V33" i="2"/>
  <c r="X33" i="2" s="1"/>
  <c r="D34" i="3" s="1"/>
  <c r="S34" i="2"/>
  <c r="U34" i="2" s="1"/>
  <c r="H33" i="3"/>
  <c r="F33" i="3"/>
  <c r="G33" i="3"/>
  <c r="I33" i="3"/>
  <c r="J33" i="3" l="1"/>
  <c r="K33" i="3"/>
  <c r="O31" i="3"/>
  <c r="R31" i="3"/>
  <c r="N32" i="3"/>
  <c r="L32" i="3"/>
  <c r="Q31" i="3"/>
  <c r="P31" i="3"/>
  <c r="M32" i="3"/>
  <c r="V34" i="2"/>
  <c r="X34" i="2" s="1"/>
  <c r="D35" i="3" s="1"/>
  <c r="H35" i="3" s="1"/>
  <c r="H34" i="3"/>
  <c r="I34" i="3"/>
  <c r="G34" i="3"/>
  <c r="F34" i="3"/>
  <c r="J34" i="3" l="1"/>
  <c r="K34" i="3"/>
  <c r="O32" i="3"/>
  <c r="R32" i="3"/>
  <c r="N33" i="3"/>
  <c r="R33" i="3" s="1"/>
  <c r="L33" i="3"/>
  <c r="P32" i="3"/>
  <c r="Q32" i="3"/>
  <c r="M33" i="3"/>
  <c r="G35" i="3"/>
  <c r="F35" i="3"/>
  <c r="I35" i="3"/>
  <c r="K35" i="3" s="1"/>
  <c r="J35" i="3" l="1"/>
  <c r="L35" i="3" s="1"/>
  <c r="M34" i="3"/>
  <c r="N34" i="3"/>
  <c r="R34" i="3" s="1"/>
  <c r="O33" i="3"/>
  <c r="P33" i="3"/>
  <c r="Q33" i="3"/>
  <c r="L34" i="3"/>
  <c r="N35" i="3" l="1"/>
  <c r="R35" i="3" s="1"/>
  <c r="P34" i="3"/>
  <c r="Q34" i="3"/>
  <c r="O34" i="3"/>
  <c r="M35" i="3"/>
  <c r="O35" i="3" l="1"/>
  <c r="P35" i="3"/>
  <c r="Q35" i="3"/>
</calcChain>
</file>

<file path=xl/sharedStrings.xml><?xml version="1.0" encoding="utf-8"?>
<sst xmlns="http://schemas.openxmlformats.org/spreadsheetml/2006/main" count="287" uniqueCount="141">
  <si>
    <t>난이도_변별도 초기값</t>
  </si>
  <si>
    <t>완수자</t>
  </si>
  <si>
    <t>미수자</t>
  </si>
  <si>
    <t>theta0</t>
    <phoneticPr fontId="6" type="noConversion"/>
  </si>
  <si>
    <t>1-theta0</t>
  </si>
  <si>
    <t>theta1</t>
    <phoneticPr fontId="6" type="noConversion"/>
  </si>
  <si>
    <t>1-theta1</t>
    <phoneticPr fontId="6" type="noConversion"/>
  </si>
  <si>
    <t>득점</t>
    <phoneticPr fontId="2" type="noConversion"/>
  </si>
  <si>
    <t>평가기준</t>
    <phoneticPr fontId="2" type="noConversion"/>
  </si>
  <si>
    <t>Alpha</t>
    <phoneticPr fontId="2" type="noConversion"/>
  </si>
  <si>
    <t>Beta</t>
    <phoneticPr fontId="2" type="noConversion"/>
  </si>
  <si>
    <t>%</t>
    <phoneticPr fontId="2" type="noConversion"/>
  </si>
  <si>
    <t>최초확률</t>
    <phoneticPr fontId="2" type="noConversion"/>
  </si>
  <si>
    <t>A Player</t>
    <phoneticPr fontId="2" type="noConversion"/>
  </si>
  <si>
    <t>B Player</t>
    <phoneticPr fontId="2" type="noConversion"/>
  </si>
  <si>
    <t>최짱구</t>
  </si>
  <si>
    <t>최짱구</t>
    <phoneticPr fontId="2" type="noConversion"/>
  </si>
  <si>
    <t>홍길동</t>
  </si>
  <si>
    <t>홍길동</t>
    <phoneticPr fontId="2" type="noConversion"/>
  </si>
  <si>
    <t>vs</t>
    <phoneticPr fontId="2" type="noConversion"/>
  </si>
  <si>
    <t>이름</t>
    <phoneticPr fontId="2" type="noConversion"/>
  </si>
  <si>
    <t>국가</t>
    <phoneticPr fontId="2" type="noConversion"/>
  </si>
  <si>
    <t>기본설정</t>
    <phoneticPr fontId="2" type="noConversion"/>
  </si>
  <si>
    <t>정보</t>
    <phoneticPr fontId="2" type="noConversion"/>
  </si>
  <si>
    <t>Korea</t>
    <phoneticPr fontId="2" type="noConversion"/>
  </si>
  <si>
    <t>China</t>
    <phoneticPr fontId="2" type="noConversion"/>
  </si>
  <si>
    <t>Score</t>
    <phoneticPr fontId="2" type="noConversion"/>
  </si>
  <si>
    <t>승부예측 99%</t>
    <phoneticPr fontId="2" type="noConversion"/>
  </si>
  <si>
    <t>승부예측 95%</t>
    <phoneticPr fontId="2" type="noConversion"/>
  </si>
  <si>
    <t>승부예측 90%</t>
    <phoneticPr fontId="2" type="noConversion"/>
  </si>
  <si>
    <t>승부예측 70%</t>
    <phoneticPr fontId="2" type="noConversion"/>
  </si>
  <si>
    <t>기술</t>
    <phoneticPr fontId="2" type="noConversion"/>
  </si>
  <si>
    <t>득/실점 기술</t>
    <phoneticPr fontId="2" type="noConversion"/>
  </si>
  <si>
    <t>득점여부</t>
    <phoneticPr fontId="2" type="noConversion"/>
  </si>
  <si>
    <t>VS</t>
    <phoneticPr fontId="2" type="noConversion"/>
  </si>
  <si>
    <t>SCORE</t>
    <phoneticPr fontId="2" type="noConversion"/>
  </si>
  <si>
    <t>시점</t>
    <phoneticPr fontId="2" type="noConversion"/>
  </si>
  <si>
    <t>구간</t>
    <phoneticPr fontId="2" type="noConversion"/>
  </si>
  <si>
    <t>득점선수</t>
    <phoneticPr fontId="2" type="noConversion"/>
  </si>
  <si>
    <t>DROP</t>
  </si>
  <si>
    <t>CLEAR</t>
  </si>
  <si>
    <t>SMASH</t>
  </si>
  <si>
    <t>DRIVE</t>
  </si>
  <si>
    <t>S.CUT</t>
  </si>
  <si>
    <t>S.RECEIVE</t>
  </si>
  <si>
    <t>HAIRPIN</t>
  </si>
  <si>
    <t>PUSH</t>
  </si>
  <si>
    <t>U.CLEAR</t>
  </si>
  <si>
    <t>SERVICE</t>
  </si>
  <si>
    <t>기술+시점</t>
    <phoneticPr fontId="2" type="noConversion"/>
  </si>
  <si>
    <t>적용</t>
    <phoneticPr fontId="2" type="noConversion"/>
  </si>
  <si>
    <t>DROP</t>
    <phoneticPr fontId="2" type="noConversion"/>
  </si>
  <si>
    <t>CLEAR</t>
    <phoneticPr fontId="2" type="noConversion"/>
  </si>
  <si>
    <t>SMASH</t>
    <phoneticPr fontId="2" type="noConversion"/>
  </si>
  <si>
    <t>DRIVE</t>
    <phoneticPr fontId="2" type="noConversion"/>
  </si>
  <si>
    <t>S.CUT</t>
    <phoneticPr fontId="2" type="noConversion"/>
  </si>
  <si>
    <t>S.RECEIVE</t>
    <phoneticPr fontId="2" type="noConversion"/>
  </si>
  <si>
    <t>PUSH</t>
    <phoneticPr fontId="2" type="noConversion"/>
  </si>
  <si>
    <t>U.CLEAR</t>
    <phoneticPr fontId="2" type="noConversion"/>
  </si>
  <si>
    <t>SERVICE</t>
    <phoneticPr fontId="2" type="noConversion"/>
  </si>
  <si>
    <t>DROP+0-5</t>
  </si>
  <si>
    <t>DROP+6-10</t>
  </si>
  <si>
    <t>DROP+11-15</t>
  </si>
  <si>
    <t>DROP+16-20</t>
  </si>
  <si>
    <t>DROP+21-</t>
  </si>
  <si>
    <t>CLEAR+0-5</t>
  </si>
  <si>
    <t>CLEAR+6-10</t>
  </si>
  <si>
    <t>CLEAR+11-15</t>
  </si>
  <si>
    <t>CLEAR+16-20</t>
  </si>
  <si>
    <t>CLEAR+21-</t>
  </si>
  <si>
    <t>SMASH+0-5</t>
  </si>
  <si>
    <t>SMASH+6-10</t>
  </si>
  <si>
    <t>SMASH+11-15</t>
  </si>
  <si>
    <t>SMASH+16-20</t>
  </si>
  <si>
    <t>SMASH+21-</t>
  </si>
  <si>
    <t>DRIVE+0-5</t>
  </si>
  <si>
    <t>DRIVE+6-10</t>
  </si>
  <si>
    <t>DRIVE+11-15</t>
  </si>
  <si>
    <t>DRIVE+16-20</t>
  </si>
  <si>
    <t>DRIVE+21-</t>
  </si>
  <si>
    <t>S.CUT+0-5</t>
  </si>
  <si>
    <t>S.CUT+6-10</t>
  </si>
  <si>
    <t>S.CUT+11-15</t>
  </si>
  <si>
    <t>S.CUT+16-20</t>
  </si>
  <si>
    <t>S.CUT+21-</t>
  </si>
  <si>
    <t>S.RECEIVE+0-5</t>
  </si>
  <si>
    <t>S.RECEIVE+6-10</t>
  </si>
  <si>
    <t>S.RECEIVE+11-15</t>
  </si>
  <si>
    <t>S.RECEIVE+16-20</t>
  </si>
  <si>
    <t>S.RECEIVE+21-</t>
  </si>
  <si>
    <t>HAIRPIN+0-5</t>
  </si>
  <si>
    <t>HAIRPIN+6-10</t>
  </si>
  <si>
    <t>HAIRPIN+11-15</t>
  </si>
  <si>
    <t>HAIRPIN+16-20</t>
  </si>
  <si>
    <t>HAIRPIN+21-</t>
  </si>
  <si>
    <t>PUSH+0-5</t>
  </si>
  <si>
    <t>PUSH+6-10</t>
  </si>
  <si>
    <t>PUSH+11-15</t>
  </si>
  <si>
    <t>PUSH+16-20</t>
  </si>
  <si>
    <t>PUSH+21-</t>
  </si>
  <si>
    <t>U.CLEAR+0-5</t>
  </si>
  <si>
    <t>U.CLEAR+6-10</t>
  </si>
  <si>
    <t>U.CLEAR+11-15</t>
  </si>
  <si>
    <t>U.CLEAR+16-20</t>
  </si>
  <si>
    <t>U.CLEAR+21-</t>
  </si>
  <si>
    <t>SERVICE+0-5</t>
  </si>
  <si>
    <t>SERVICE+6-10</t>
  </si>
  <si>
    <t>SERVICE+11-15</t>
  </si>
  <si>
    <t>SERVICE+16-20</t>
  </si>
  <si>
    <t>SERVICE+21-</t>
  </si>
  <si>
    <t>초반승률</t>
    <phoneticPr fontId="2" type="noConversion"/>
  </si>
  <si>
    <t>배당률</t>
    <phoneticPr fontId="2" type="noConversion"/>
  </si>
  <si>
    <t>승률</t>
    <phoneticPr fontId="2" type="noConversion"/>
  </si>
  <si>
    <t>환급률</t>
    <phoneticPr fontId="2" type="noConversion"/>
  </si>
  <si>
    <t>항목</t>
    <phoneticPr fontId="2" type="noConversion"/>
  </si>
  <si>
    <t>theta0</t>
    <phoneticPr fontId="2" type="noConversion"/>
  </si>
  <si>
    <t>1-theta</t>
    <phoneticPr fontId="2" type="noConversion"/>
  </si>
  <si>
    <t>theta1</t>
    <phoneticPr fontId="2" type="noConversion"/>
  </si>
  <si>
    <t>1-theta1</t>
    <phoneticPr fontId="2" type="noConversion"/>
  </si>
  <si>
    <r>
      <rPr>
        <sz val="10"/>
        <color indexed="8"/>
        <rFont val="맑은 고딕"/>
        <family val="2"/>
        <charset val="129"/>
      </rPr>
      <t>사후확률</t>
    </r>
    <phoneticPr fontId="2" type="noConversion"/>
  </si>
  <si>
    <t>분자</t>
    <phoneticPr fontId="2" type="noConversion"/>
  </si>
  <si>
    <t>분모</t>
    <phoneticPr fontId="2" type="noConversion"/>
  </si>
  <si>
    <t>최초사전확률</t>
    <phoneticPr fontId="2" type="noConversion"/>
  </si>
  <si>
    <t>축차확률비 계산</t>
    <phoneticPr fontId="2" type="noConversion"/>
  </si>
  <si>
    <t xml:space="preserve">승률 </t>
    <phoneticPr fontId="2" type="noConversion"/>
  </si>
  <si>
    <t>패배률</t>
    <phoneticPr fontId="2" type="noConversion"/>
  </si>
  <si>
    <t>승패평가</t>
    <phoneticPr fontId="2" type="noConversion"/>
  </si>
  <si>
    <t>타구선수</t>
    <phoneticPr fontId="2" type="noConversion"/>
  </si>
  <si>
    <t>HAIRPIN</t>
    <phoneticPr fontId="2" type="noConversion"/>
  </si>
  <si>
    <t>S.Cut</t>
  </si>
  <si>
    <t>U.Clear</t>
  </si>
  <si>
    <t>Clear</t>
  </si>
  <si>
    <t>HairPin</t>
  </si>
  <si>
    <t>Push</t>
  </si>
  <si>
    <t>Smash</t>
  </si>
  <si>
    <t>S.Receive</t>
  </si>
  <si>
    <t>Drop</t>
  </si>
  <si>
    <t>MISS</t>
  </si>
  <si>
    <t>F-ERROR</t>
  </si>
  <si>
    <t>NOTOUCH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</si>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</sst>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5" fillId="2" borderId="3" xfId="0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8" fillId="0" borderId="0" xfId="0" applyFo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9" fontId="5" fillId="6" borderId="3" xfId="0" applyNumberFormat="1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28574</xdr:rowOff>
    </xdr:from>
    <xdr:to>
      <xdr:col>3</xdr:col>
      <xdr:colOff>676050</xdr:colOff>
      <xdr:row>7</xdr:row>
      <xdr:rowOff>374</xdr:rowOff>
    </xdr:to>
    <xdr:sp macro="[0]!Sheet2.입력2_성공" textlink="">
      <xdr:nvSpPr>
        <xdr:cNvPr id="2" name="직사각형 1">
          <a:extLst>
            <a:ext uri="{FF2B5EF4-FFF2-40B4-BE49-F238E27FC236}">
              <a16:creationId xmlns:a16="http://schemas.microsoft.com/office/drawing/2014/main" id="{03632FB1-4E7C-4719-8C83-7D3734D49249}"/>
            </a:ext>
          </a:extLst>
        </xdr:cNvPr>
        <xdr:cNvSpPr/>
      </xdr:nvSpPr>
      <xdr:spPr>
        <a:xfrm>
          <a:off x="1390650" y="657224"/>
          <a:ext cx="1342800" cy="810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19050</xdr:colOff>
      <xdr:row>3</xdr:row>
      <xdr:rowOff>38099</xdr:rowOff>
    </xdr:from>
    <xdr:to>
      <xdr:col>5</xdr:col>
      <xdr:colOff>676276</xdr:colOff>
      <xdr:row>7</xdr:row>
      <xdr:rowOff>9524</xdr:rowOff>
    </xdr:to>
    <xdr:sp macro="[0]!Sheet2.입력3_성공" textlink="">
      <xdr:nvSpPr>
        <xdr:cNvPr id="3" name="직사각형 2">
          <a:extLst>
            <a:ext uri="{FF2B5EF4-FFF2-40B4-BE49-F238E27FC236}">
              <a16:creationId xmlns:a16="http://schemas.microsoft.com/office/drawing/2014/main" id="{6D8E9395-1D11-411E-B29C-77BA584E4754}"/>
            </a:ext>
          </a:extLst>
        </xdr:cNvPr>
        <xdr:cNvSpPr/>
      </xdr:nvSpPr>
      <xdr:spPr>
        <a:xfrm>
          <a:off x="2762250" y="666749"/>
          <a:ext cx="1343026" cy="8096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2</xdr:col>
      <xdr:colOff>177075</xdr:colOff>
      <xdr:row>13</xdr:row>
      <xdr:rowOff>2400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7DE5DB6-265E-41A4-A727-8FDDCCEF213F}"/>
            </a:ext>
          </a:extLst>
        </xdr:cNvPr>
        <xdr:cNvSpPr/>
      </xdr:nvSpPr>
      <xdr:spPr>
        <a:xfrm>
          <a:off x="704850" y="2114550"/>
          <a:ext cx="843825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DROP</a:t>
          </a:r>
          <a:endParaRPr lang="ko-KR" altLang="en-US" sz="1100" b="1"/>
        </a:p>
      </xdr:txBody>
    </xdr:sp>
    <xdr:clientData/>
  </xdr:twoCellAnchor>
  <xdr:twoCellAnchor>
    <xdr:from>
      <xdr:col>2</xdr:col>
      <xdr:colOff>219075</xdr:colOff>
      <xdr:row>10</xdr:row>
      <xdr:rowOff>19050</xdr:rowOff>
    </xdr:from>
    <xdr:to>
      <xdr:col>3</xdr:col>
      <xdr:colOff>253275</xdr:colOff>
      <xdr:row>13</xdr:row>
      <xdr:rowOff>2400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1FCDCE43-D2F9-4255-BAEF-F65298F8EB8A}"/>
            </a:ext>
          </a:extLst>
        </xdr:cNvPr>
        <xdr:cNvSpPr/>
      </xdr:nvSpPr>
      <xdr:spPr>
        <a:xfrm>
          <a:off x="1590675" y="2114550"/>
          <a:ext cx="72000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CLEAR</a:t>
          </a:r>
          <a:endParaRPr lang="ko-KR" altLang="en-US" sz="1100" b="1"/>
        </a:p>
      </xdr:txBody>
    </xdr:sp>
    <xdr:clientData/>
  </xdr:twoCellAnchor>
  <xdr:twoCellAnchor>
    <xdr:from>
      <xdr:col>3</xdr:col>
      <xdr:colOff>314325</xdr:colOff>
      <xdr:row>10</xdr:row>
      <xdr:rowOff>19050</xdr:rowOff>
    </xdr:from>
    <xdr:to>
      <xdr:col>4</xdr:col>
      <xdr:colOff>348525</xdr:colOff>
      <xdr:row>13</xdr:row>
      <xdr:rowOff>2400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EC8871E7-BFFA-40D0-8B10-276B1FEBD59D}"/>
            </a:ext>
          </a:extLst>
        </xdr:cNvPr>
        <xdr:cNvSpPr/>
      </xdr:nvSpPr>
      <xdr:spPr>
        <a:xfrm>
          <a:off x="2371725" y="2114550"/>
          <a:ext cx="72000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SMASH</a:t>
          </a:r>
          <a:endParaRPr lang="ko-KR" altLang="en-US" sz="1100" b="1"/>
        </a:p>
      </xdr:txBody>
    </xdr:sp>
    <xdr:clientData/>
  </xdr:twoCellAnchor>
  <xdr:twoCellAnchor>
    <xdr:from>
      <xdr:col>4</xdr:col>
      <xdr:colOff>400050</xdr:colOff>
      <xdr:row>10</xdr:row>
      <xdr:rowOff>19050</xdr:rowOff>
    </xdr:from>
    <xdr:to>
      <xdr:col>5</xdr:col>
      <xdr:colOff>434250</xdr:colOff>
      <xdr:row>13</xdr:row>
      <xdr:rowOff>2400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B8AE9668-80C0-4AC3-A0EF-56D7B48F3C84}"/>
            </a:ext>
          </a:extLst>
        </xdr:cNvPr>
        <xdr:cNvSpPr/>
      </xdr:nvSpPr>
      <xdr:spPr>
        <a:xfrm>
          <a:off x="3143250" y="2114550"/>
          <a:ext cx="72000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DRIVE</a:t>
          </a:r>
          <a:endParaRPr lang="ko-KR" altLang="en-US" sz="1100" b="1"/>
        </a:p>
      </xdr:txBody>
    </xdr:sp>
    <xdr:clientData/>
  </xdr:twoCellAnchor>
  <xdr:twoCellAnchor>
    <xdr:from>
      <xdr:col>5</xdr:col>
      <xdr:colOff>495300</xdr:colOff>
      <xdr:row>10</xdr:row>
      <xdr:rowOff>19050</xdr:rowOff>
    </xdr:from>
    <xdr:to>
      <xdr:col>6</xdr:col>
      <xdr:colOff>529500</xdr:colOff>
      <xdr:row>13</xdr:row>
      <xdr:rowOff>2400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5C1CFD53-4F82-450B-A839-C2693C2AFCFE}"/>
            </a:ext>
          </a:extLst>
        </xdr:cNvPr>
        <xdr:cNvSpPr/>
      </xdr:nvSpPr>
      <xdr:spPr>
        <a:xfrm>
          <a:off x="3924300" y="2114550"/>
          <a:ext cx="72000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S.CUT</a:t>
          </a:r>
          <a:endParaRPr lang="ko-KR" altLang="en-US" sz="1100" b="1"/>
        </a:p>
      </xdr:txBody>
    </xdr:sp>
    <xdr:clientData/>
  </xdr:twoCellAnchor>
  <xdr:twoCellAnchor>
    <xdr:from>
      <xdr:col>1</xdr:col>
      <xdr:colOff>9525</xdr:colOff>
      <xdr:row>14</xdr:row>
      <xdr:rowOff>180975</xdr:rowOff>
    </xdr:from>
    <xdr:to>
      <xdr:col>2</xdr:col>
      <xdr:colOff>177075</xdr:colOff>
      <xdr:row>17</xdr:row>
      <xdr:rowOff>164325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858275A6-3E1B-4BE0-842B-5C01EF69820B}"/>
            </a:ext>
          </a:extLst>
        </xdr:cNvPr>
        <xdr:cNvSpPr/>
      </xdr:nvSpPr>
      <xdr:spPr>
        <a:xfrm>
          <a:off x="695325" y="3114675"/>
          <a:ext cx="85335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S.RECEIVE</a:t>
          </a:r>
          <a:endParaRPr lang="ko-KR" altLang="en-US" sz="1100" b="1"/>
        </a:p>
      </xdr:txBody>
    </xdr:sp>
    <xdr:clientData/>
  </xdr:twoCellAnchor>
  <xdr:twoCellAnchor>
    <xdr:from>
      <xdr:col>2</xdr:col>
      <xdr:colOff>219075</xdr:colOff>
      <xdr:row>14</xdr:row>
      <xdr:rowOff>180975</xdr:rowOff>
    </xdr:from>
    <xdr:to>
      <xdr:col>3</xdr:col>
      <xdr:colOff>253275</xdr:colOff>
      <xdr:row>17</xdr:row>
      <xdr:rowOff>164325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3F85D39B-AE93-457E-BE90-F8BE60644861}"/>
            </a:ext>
          </a:extLst>
        </xdr:cNvPr>
        <xdr:cNvSpPr/>
      </xdr:nvSpPr>
      <xdr:spPr>
        <a:xfrm>
          <a:off x="1590675" y="3114675"/>
          <a:ext cx="72000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HAIRPIN</a:t>
          </a:r>
          <a:endParaRPr lang="ko-KR" altLang="en-US" sz="1100" b="1"/>
        </a:p>
      </xdr:txBody>
    </xdr:sp>
    <xdr:clientData/>
  </xdr:twoCellAnchor>
  <xdr:twoCellAnchor>
    <xdr:from>
      <xdr:col>3</xdr:col>
      <xdr:colOff>314325</xdr:colOff>
      <xdr:row>14</xdr:row>
      <xdr:rowOff>180975</xdr:rowOff>
    </xdr:from>
    <xdr:to>
      <xdr:col>4</xdr:col>
      <xdr:colOff>348525</xdr:colOff>
      <xdr:row>17</xdr:row>
      <xdr:rowOff>164325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939CC596-A76C-4668-A784-5E5C881E2CDC}"/>
            </a:ext>
          </a:extLst>
        </xdr:cNvPr>
        <xdr:cNvSpPr/>
      </xdr:nvSpPr>
      <xdr:spPr>
        <a:xfrm>
          <a:off x="2371725" y="3114675"/>
          <a:ext cx="72000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PUSH</a:t>
          </a:r>
          <a:endParaRPr lang="ko-KR" altLang="en-US" sz="1100" b="1"/>
        </a:p>
      </xdr:txBody>
    </xdr:sp>
    <xdr:clientData/>
  </xdr:twoCellAnchor>
  <xdr:twoCellAnchor>
    <xdr:from>
      <xdr:col>4</xdr:col>
      <xdr:colOff>400050</xdr:colOff>
      <xdr:row>14</xdr:row>
      <xdr:rowOff>180975</xdr:rowOff>
    </xdr:from>
    <xdr:to>
      <xdr:col>5</xdr:col>
      <xdr:colOff>434250</xdr:colOff>
      <xdr:row>17</xdr:row>
      <xdr:rowOff>164325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10DBA39D-0C39-4AE7-90B8-405E5F30012E}"/>
            </a:ext>
          </a:extLst>
        </xdr:cNvPr>
        <xdr:cNvSpPr/>
      </xdr:nvSpPr>
      <xdr:spPr>
        <a:xfrm>
          <a:off x="3143250" y="3114675"/>
          <a:ext cx="72000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U.CLEAR</a:t>
          </a:r>
          <a:endParaRPr lang="ko-KR" altLang="en-US" sz="1100" b="1"/>
        </a:p>
      </xdr:txBody>
    </xdr:sp>
    <xdr:clientData/>
  </xdr:twoCellAnchor>
  <xdr:twoCellAnchor>
    <xdr:from>
      <xdr:col>5</xdr:col>
      <xdr:colOff>495300</xdr:colOff>
      <xdr:row>14</xdr:row>
      <xdr:rowOff>180975</xdr:rowOff>
    </xdr:from>
    <xdr:to>
      <xdr:col>6</xdr:col>
      <xdr:colOff>529500</xdr:colOff>
      <xdr:row>17</xdr:row>
      <xdr:rowOff>164325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66ADBE34-3773-49AA-A345-DBDD7866E86B}"/>
            </a:ext>
          </a:extLst>
        </xdr:cNvPr>
        <xdr:cNvSpPr/>
      </xdr:nvSpPr>
      <xdr:spPr>
        <a:xfrm>
          <a:off x="3924300" y="3114675"/>
          <a:ext cx="720000" cy="61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50" b="1"/>
            <a:t>SERVICE</a:t>
          </a:r>
          <a:endParaRPr lang="ko-KR" altLang="en-US" sz="1100" b="1"/>
        </a:p>
      </xdr:txBody>
    </xdr:sp>
    <xdr:clientData/>
  </xdr:twoCellAnchor>
  <xdr:twoCellAnchor>
    <xdr:from>
      <xdr:col>1</xdr:col>
      <xdr:colOff>638175</xdr:colOff>
      <xdr:row>19</xdr:row>
      <xdr:rowOff>114299</xdr:rowOff>
    </xdr:from>
    <xdr:to>
      <xdr:col>3</xdr:col>
      <xdr:colOff>609375</xdr:colOff>
      <xdr:row>23</xdr:row>
      <xdr:rowOff>86099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9C8A2F96-A8E0-4D8B-9D11-58E0C1C50C5A}"/>
            </a:ext>
          </a:extLst>
        </xdr:cNvPr>
        <xdr:cNvSpPr/>
      </xdr:nvSpPr>
      <xdr:spPr>
        <a:xfrm>
          <a:off x="1323975" y="4095749"/>
          <a:ext cx="1342800" cy="810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ysClr val="windowText" lastClr="000000"/>
              </a:solidFill>
            </a:rPr>
            <a:t>득점</a:t>
          </a:r>
        </a:p>
      </xdr:txBody>
    </xdr:sp>
    <xdr:clientData/>
  </xdr:twoCellAnchor>
  <xdr:twoCellAnchor>
    <xdr:from>
      <xdr:col>4</xdr:col>
      <xdr:colOff>38100</xdr:colOff>
      <xdr:row>19</xdr:row>
      <xdr:rowOff>114299</xdr:rowOff>
    </xdr:from>
    <xdr:to>
      <xdr:col>6</xdr:col>
      <xdr:colOff>9526</xdr:colOff>
      <xdr:row>23</xdr:row>
      <xdr:rowOff>85724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81C31D59-E42D-4139-9E24-6AAEF3CDDA80}"/>
            </a:ext>
          </a:extLst>
        </xdr:cNvPr>
        <xdr:cNvSpPr/>
      </xdr:nvSpPr>
      <xdr:spPr>
        <a:xfrm>
          <a:off x="2781300" y="4095749"/>
          <a:ext cx="1343026" cy="809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실점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123824</xdr:colOff>
      <xdr:row>1</xdr:row>
      <xdr:rowOff>38100</xdr:rowOff>
    </xdr:from>
    <xdr:to>
      <xdr:col>6</xdr:col>
      <xdr:colOff>600074</xdr:colOff>
      <xdr:row>7</xdr:row>
      <xdr:rowOff>180975</xdr:rowOff>
    </xdr:to>
    <xdr:pic>
      <xdr:nvPicPr>
        <xdr:cNvPr id="2" name="그림 1" descr="Taiwan's Wang defeated at Indonesia Masters badminton tourney ...">
          <a:extLst>
            <a:ext uri="{FF2B5EF4-FFF2-40B4-BE49-F238E27FC236}">
              <a16:creationId xmlns:a16="http://schemas.microsoft.com/office/drawing/2014/main" id="{324BEE7D-3BB5-4CFE-A224-D279397063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88" t="5596" r="27233" b="58638"/>
        <a:stretch/>
      </xdr:blipFill>
      <xdr:spPr bwMode="auto">
        <a:xfrm>
          <a:off x="3552824" y="247650"/>
          <a:ext cx="1162051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115955</xdr:colOff>
      <xdr:row>1</xdr:row>
      <xdr:rowOff>15736</xdr:rowOff>
    </xdr:from>
    <xdr:to>
      <xdr:col>2</xdr:col>
      <xdr:colOff>632974</xdr:colOff>
      <xdr:row>7</xdr:row>
      <xdr:rowOff>180693</xdr:rowOff>
    </xdr:to>
    <xdr:pic>
      <xdr:nvPicPr>
        <xdr:cNvPr id="3" name="그림 2" descr="Taiwan's Wang defeated at Indonesia Masters badminton tourney ...">
          <a:extLst>
            <a:ext uri="{FF2B5EF4-FFF2-40B4-BE49-F238E27FC236}">
              <a16:creationId xmlns:a16="http://schemas.microsoft.com/office/drawing/2014/main" id="{25F7DE60-5A79-4A91-BA87-BE7F0845D5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08" t="7707" r="56628" b="54015"/>
        <a:stretch/>
      </xdr:blipFill>
      <xdr:spPr bwMode="auto">
        <a:xfrm>
          <a:off x="803412" y="222801"/>
          <a:ext cx="1204475" cy="140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8283</xdr:colOff>
      <xdr:row>1</xdr:row>
      <xdr:rowOff>25054</xdr:rowOff>
    </xdr:from>
    <xdr:to>
      <xdr:col>12</xdr:col>
      <xdr:colOff>8283</xdr:colOff>
      <xdr:row>27</xdr:row>
      <xdr:rowOff>103044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EF47192-86AA-40E9-B735-5EFDFCCAD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4305" y="232119"/>
          <a:ext cx="2749826" cy="5378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C955-34C1-4F19-B22F-564F94392351}">
  <sheetPr codeName="Sheet1"/>
  <dimension ref="A1:M67"/>
  <sheetViews>
    <sheetView tabSelected="1" workbookViewId="0">
      <selection activeCell="G16" sqref="G16"/>
    </sheetView>
  </sheetViews>
  <sheetFormatPr defaultRowHeight="16.5" x14ac:dyDescent="0.3"/>
  <cols>
    <col min="1" max="1" width="14.125" bestFit="1" customWidth="1"/>
    <col min="2" max="2" width="5.875" bestFit="1" customWidth="1"/>
    <col min="3" max="3" width="6.5" bestFit="1" customWidth="1"/>
    <col min="4" max="4" width="5.5" customWidth="1"/>
    <col min="5" max="5" width="6.5" customWidth="1"/>
    <col min="6" max="6" width="3.625" customWidth="1"/>
    <col min="8" max="8" width="6.5" bestFit="1" customWidth="1"/>
    <col min="9" max="9" width="5.25" bestFit="1" customWidth="1"/>
    <col min="10" max="10" width="3.5" customWidth="1"/>
  </cols>
  <sheetData>
    <row r="1" spans="1:13" x14ac:dyDescent="0.3">
      <c r="A1" s="35" t="s">
        <v>0</v>
      </c>
      <c r="B1" s="36"/>
      <c r="C1" s="36"/>
      <c r="D1" s="36"/>
      <c r="E1" s="37"/>
      <c r="G1" s="34" t="s">
        <v>8</v>
      </c>
      <c r="H1" s="31"/>
      <c r="I1" s="31"/>
      <c r="J1" s="6"/>
      <c r="K1" s="31" t="s">
        <v>22</v>
      </c>
      <c r="L1" s="31"/>
      <c r="M1" s="31"/>
    </row>
    <row r="2" spans="1:13" x14ac:dyDescent="0.3">
      <c r="A2" s="38" t="s">
        <v>49</v>
      </c>
      <c r="B2" s="40" t="s">
        <v>1</v>
      </c>
      <c r="C2" s="40"/>
      <c r="D2" s="40" t="s">
        <v>2</v>
      </c>
      <c r="E2" s="40"/>
      <c r="G2" s="7" t="s">
        <v>11</v>
      </c>
      <c r="H2" s="7" t="s">
        <v>9</v>
      </c>
      <c r="I2" s="7" t="s">
        <v>10</v>
      </c>
      <c r="J2" s="5"/>
      <c r="K2" s="4" t="s">
        <v>23</v>
      </c>
      <c r="L2" s="4" t="s">
        <v>13</v>
      </c>
      <c r="M2" s="4" t="s">
        <v>14</v>
      </c>
    </row>
    <row r="3" spans="1:13" x14ac:dyDescent="0.3">
      <c r="A3" s="39"/>
      <c r="B3" s="1" t="s">
        <v>3</v>
      </c>
      <c r="C3" s="1" t="s">
        <v>4</v>
      </c>
      <c r="D3" s="1" t="s">
        <v>5</v>
      </c>
      <c r="E3" s="1" t="s">
        <v>6</v>
      </c>
      <c r="G3" s="9">
        <v>0.3</v>
      </c>
      <c r="H3" s="3">
        <f>(1-G3)/G3</f>
        <v>2.3333333333333335</v>
      </c>
      <c r="I3" s="3">
        <f>G3/(1-G3)</f>
        <v>0.4285714285714286</v>
      </c>
      <c r="K3" s="25" t="s">
        <v>20</v>
      </c>
      <c r="L3" s="25" t="s">
        <v>16</v>
      </c>
      <c r="M3" s="25" t="s">
        <v>18</v>
      </c>
    </row>
    <row r="4" spans="1:13" x14ac:dyDescent="0.3">
      <c r="A4" s="8" t="s">
        <v>60</v>
      </c>
      <c r="B4" s="2">
        <v>0.68518518518518523</v>
      </c>
      <c r="C4" s="3">
        <v>0.31481481481481477</v>
      </c>
      <c r="D4" s="2">
        <v>0.31481481481481483</v>
      </c>
      <c r="E4" s="3">
        <v>0.68518518518518512</v>
      </c>
      <c r="G4" s="9">
        <v>0.1</v>
      </c>
      <c r="H4" s="3">
        <f t="shared" ref="H4:H6" si="0">(1-G4)/G4</f>
        <v>9</v>
      </c>
      <c r="I4" s="3">
        <f t="shared" ref="I4:I6" si="1">G4/(1-G4)</f>
        <v>0.11111111111111112</v>
      </c>
      <c r="K4" s="25" t="s">
        <v>21</v>
      </c>
      <c r="L4" s="25" t="s">
        <v>24</v>
      </c>
      <c r="M4" s="25" t="s">
        <v>25</v>
      </c>
    </row>
    <row r="5" spans="1:13" x14ac:dyDescent="0.3">
      <c r="A5" s="8" t="s">
        <v>61</v>
      </c>
      <c r="B5" s="2">
        <v>0.75714285714285712</v>
      </c>
      <c r="C5" s="3">
        <v>0.24285714285714288</v>
      </c>
      <c r="D5" s="2">
        <v>0.24285714285714285</v>
      </c>
      <c r="E5" s="3">
        <v>0.75714285714285712</v>
      </c>
      <c r="G5" s="9">
        <v>0.05</v>
      </c>
      <c r="H5" s="3">
        <f t="shared" si="0"/>
        <v>18.999999999999996</v>
      </c>
      <c r="I5" s="3">
        <f t="shared" si="1"/>
        <v>5.2631578947368425E-2</v>
      </c>
      <c r="K5" s="25" t="s">
        <v>12</v>
      </c>
      <c r="L5" s="26">
        <f>(L8*0.25)+0.375</f>
        <v>0.52408854166666674</v>
      </c>
      <c r="M5" s="26">
        <f>(M8*0.25)+0.375</f>
        <v>0.47591145833333337</v>
      </c>
    </row>
    <row r="6" spans="1:13" x14ac:dyDescent="0.3">
      <c r="A6" s="8" t="s">
        <v>62</v>
      </c>
      <c r="B6" s="2">
        <v>0.91566265060240959</v>
      </c>
      <c r="C6" s="3">
        <v>8.4337349397590411E-2</v>
      </c>
      <c r="D6" s="2">
        <v>8.4337349397590355E-2</v>
      </c>
      <c r="E6" s="3">
        <v>0.9156626506024097</v>
      </c>
      <c r="G6" s="9">
        <v>0.01</v>
      </c>
      <c r="H6" s="3">
        <f t="shared" si="0"/>
        <v>99</v>
      </c>
      <c r="I6" s="3">
        <f t="shared" si="1"/>
        <v>1.0101010101010102E-2</v>
      </c>
      <c r="K6" s="25" t="s">
        <v>111</v>
      </c>
      <c r="L6" s="26">
        <v>1.55</v>
      </c>
      <c r="M6" s="26">
        <v>2.29</v>
      </c>
    </row>
    <row r="7" spans="1:13" x14ac:dyDescent="0.3">
      <c r="A7" s="8" t="s">
        <v>63</v>
      </c>
      <c r="B7" s="2">
        <v>0.96703296703296704</v>
      </c>
      <c r="C7" s="3">
        <v>3.2967032967032961E-2</v>
      </c>
      <c r="D7" s="2">
        <v>3.2967032967032968E-2</v>
      </c>
      <c r="E7" s="3">
        <v>0.96703296703296704</v>
      </c>
      <c r="K7" s="22" t="s">
        <v>113</v>
      </c>
      <c r="L7" s="32">
        <f>(L6*M6)/(L6+M6)</f>
        <v>0.92434895833333341</v>
      </c>
      <c r="M7" s="33"/>
    </row>
    <row r="8" spans="1:13" x14ac:dyDescent="0.3">
      <c r="A8" s="8" t="s">
        <v>64</v>
      </c>
      <c r="B8" s="2">
        <v>0.95</v>
      </c>
      <c r="C8" s="3">
        <v>5.0000000000000044E-2</v>
      </c>
      <c r="D8" s="2">
        <v>0.05</v>
      </c>
      <c r="E8" s="3">
        <v>0.95</v>
      </c>
      <c r="K8" s="22" t="s">
        <v>112</v>
      </c>
      <c r="L8" s="23">
        <f>L7/L6</f>
        <v>0.59635416666666674</v>
      </c>
      <c r="M8" s="23">
        <f>L7/M6</f>
        <v>0.40364583333333337</v>
      </c>
    </row>
    <row r="9" spans="1:13" x14ac:dyDescent="0.3">
      <c r="A9" s="8" t="s">
        <v>65</v>
      </c>
      <c r="B9" s="2">
        <v>0.61538461538461542</v>
      </c>
      <c r="C9" s="3">
        <v>0.38461538461538458</v>
      </c>
      <c r="D9" s="2">
        <v>0.38461538461538464</v>
      </c>
      <c r="E9" s="3">
        <v>0.61538461538461542</v>
      </c>
    </row>
    <row r="10" spans="1:13" x14ac:dyDescent="0.3">
      <c r="A10" s="8" t="s">
        <v>66</v>
      </c>
      <c r="B10" s="2">
        <v>0.8</v>
      </c>
      <c r="C10" s="3">
        <v>0.19999999999999996</v>
      </c>
      <c r="D10" s="2">
        <v>0.2</v>
      </c>
      <c r="E10" s="3">
        <v>0.8</v>
      </c>
    </row>
    <row r="11" spans="1:13" x14ac:dyDescent="0.3">
      <c r="A11" s="8" t="s">
        <v>67</v>
      </c>
      <c r="B11" s="2">
        <v>0.8833333333333333</v>
      </c>
      <c r="C11" s="3">
        <v>0.1166666666666667</v>
      </c>
      <c r="D11" s="2">
        <v>0.11666666666666667</v>
      </c>
      <c r="E11" s="3">
        <v>0.8833333333333333</v>
      </c>
    </row>
    <row r="12" spans="1:13" x14ac:dyDescent="0.3">
      <c r="A12" s="8" t="s">
        <v>68</v>
      </c>
      <c r="B12" s="2">
        <v>0.97872340425531912</v>
      </c>
      <c r="C12" s="3">
        <v>2.1276595744680882E-2</v>
      </c>
      <c r="D12" s="2">
        <v>2.1276595744680851E-2</v>
      </c>
      <c r="E12" s="3">
        <v>0.97872340425531912</v>
      </c>
    </row>
    <row r="13" spans="1:13" x14ac:dyDescent="0.3">
      <c r="A13" s="8" t="s">
        <v>69</v>
      </c>
      <c r="B13" s="2">
        <v>0.91666666666666663</v>
      </c>
      <c r="C13" s="3">
        <v>8.333333333333337E-2</v>
      </c>
      <c r="D13" s="2">
        <v>8.3333333333333329E-2</v>
      </c>
      <c r="E13" s="3">
        <v>0.91666666666666663</v>
      </c>
    </row>
    <row r="14" spans="1:13" x14ac:dyDescent="0.3">
      <c r="A14" s="8" t="s">
        <v>70</v>
      </c>
      <c r="B14" s="2">
        <v>0.67597765363128492</v>
      </c>
      <c r="C14" s="3">
        <v>0.32402234636871508</v>
      </c>
      <c r="D14" s="2">
        <v>0.32402234636871508</v>
      </c>
      <c r="E14" s="3">
        <v>0.67597765363128492</v>
      </c>
    </row>
    <row r="15" spans="1:13" x14ac:dyDescent="0.3">
      <c r="A15" s="8" t="s">
        <v>71</v>
      </c>
      <c r="B15" s="2">
        <v>0.79127725856697817</v>
      </c>
      <c r="C15" s="3">
        <v>0.20872274143302183</v>
      </c>
      <c r="D15" s="2">
        <v>0.2087227414330218</v>
      </c>
      <c r="E15" s="3">
        <v>0.79127725856697817</v>
      </c>
    </row>
    <row r="16" spans="1:13" x14ac:dyDescent="0.3">
      <c r="A16" s="8" t="s">
        <v>72</v>
      </c>
      <c r="B16" s="2">
        <v>0.86626139817629177</v>
      </c>
      <c r="C16" s="3">
        <v>0.13373860182370823</v>
      </c>
      <c r="D16" s="2">
        <v>0.1337386018237082</v>
      </c>
      <c r="E16" s="3">
        <v>0.86626139817629177</v>
      </c>
    </row>
    <row r="17" spans="1:5" x14ac:dyDescent="0.3">
      <c r="A17" s="8" t="s">
        <v>73</v>
      </c>
      <c r="B17" s="2">
        <v>0.95294117647058818</v>
      </c>
      <c r="C17" s="3">
        <v>4.705882352941182E-2</v>
      </c>
      <c r="D17" s="2">
        <v>4.7058823529411764E-2</v>
      </c>
      <c r="E17" s="3">
        <v>0.95294117647058818</v>
      </c>
    </row>
    <row r="18" spans="1:5" x14ac:dyDescent="0.3">
      <c r="A18" s="8" t="s">
        <v>74</v>
      </c>
      <c r="B18" s="2">
        <v>0.98837209302325579</v>
      </c>
      <c r="C18" s="3">
        <v>1.1627906976744207E-2</v>
      </c>
      <c r="D18" s="2">
        <v>1.1627906976744186E-2</v>
      </c>
      <c r="E18" s="3">
        <v>0.98837209302325579</v>
      </c>
    </row>
    <row r="19" spans="1:5" x14ac:dyDescent="0.3">
      <c r="A19" s="8" t="s">
        <v>75</v>
      </c>
      <c r="B19" s="2">
        <v>0.61290322580645162</v>
      </c>
      <c r="C19" s="3">
        <v>0.38709677419354838</v>
      </c>
      <c r="D19" s="2">
        <v>0.38709677419354838</v>
      </c>
      <c r="E19" s="3">
        <v>0.61290322580645162</v>
      </c>
    </row>
    <row r="20" spans="1:5" x14ac:dyDescent="0.3">
      <c r="A20" s="8" t="s">
        <v>76</v>
      </c>
      <c r="B20" s="2">
        <v>0.89795918367346939</v>
      </c>
      <c r="C20" s="3">
        <v>0.10204081632653061</v>
      </c>
      <c r="D20" s="2">
        <v>0.10204081632653061</v>
      </c>
      <c r="E20" s="3">
        <v>0.89795918367346939</v>
      </c>
    </row>
    <row r="21" spans="1:5" x14ac:dyDescent="0.3">
      <c r="A21" s="8" t="s">
        <v>77</v>
      </c>
      <c r="B21" s="2">
        <v>0.90740740740740744</v>
      </c>
      <c r="C21" s="3">
        <v>9.259259259259256E-2</v>
      </c>
      <c r="D21" s="2">
        <v>9.2592592592592587E-2</v>
      </c>
      <c r="E21" s="3">
        <v>0.90740740740740744</v>
      </c>
    </row>
    <row r="22" spans="1:5" x14ac:dyDescent="0.3">
      <c r="A22" s="8" t="s">
        <v>78</v>
      </c>
      <c r="B22" s="2">
        <v>0.9642857142857143</v>
      </c>
      <c r="C22" s="3">
        <v>3.5714285714285698E-2</v>
      </c>
      <c r="D22" s="2">
        <v>3.5714285714285712E-2</v>
      </c>
      <c r="E22" s="3">
        <v>0.9642857142857143</v>
      </c>
    </row>
    <row r="23" spans="1:5" x14ac:dyDescent="0.3">
      <c r="A23" s="8" t="s">
        <v>79</v>
      </c>
      <c r="B23" s="2">
        <v>0.94117647058823528</v>
      </c>
      <c r="C23" s="3">
        <v>5.8823529411764719E-2</v>
      </c>
      <c r="D23" s="2">
        <v>5.8823529411764705E-2</v>
      </c>
      <c r="E23" s="3">
        <v>0.94117647058823528</v>
      </c>
    </row>
    <row r="24" spans="1:5" x14ac:dyDescent="0.3">
      <c r="A24" s="8" t="s">
        <v>80</v>
      </c>
      <c r="B24" s="2">
        <v>0.7</v>
      </c>
      <c r="C24" s="3">
        <v>0.30000000000000004</v>
      </c>
      <c r="D24" s="2">
        <v>0.3</v>
      </c>
      <c r="E24" s="3">
        <v>0.7</v>
      </c>
    </row>
    <row r="25" spans="1:5" x14ac:dyDescent="0.3">
      <c r="A25" s="8" t="s">
        <v>81</v>
      </c>
      <c r="B25" s="2">
        <v>0.82539682539682535</v>
      </c>
      <c r="C25" s="3">
        <v>0.17460317460317465</v>
      </c>
      <c r="D25" s="2">
        <v>0.17460317460317459</v>
      </c>
      <c r="E25" s="3">
        <v>0.82539682539682535</v>
      </c>
    </row>
    <row r="26" spans="1:5" x14ac:dyDescent="0.3">
      <c r="A26" s="8" t="s">
        <v>82</v>
      </c>
      <c r="B26" s="2">
        <v>0.89473684210526316</v>
      </c>
      <c r="C26" s="3">
        <v>0.10526315789473684</v>
      </c>
      <c r="D26" s="2">
        <v>0.10526315789473684</v>
      </c>
      <c r="E26" s="3">
        <v>0.89473684210526316</v>
      </c>
    </row>
    <row r="27" spans="1:5" x14ac:dyDescent="0.3">
      <c r="A27" s="8" t="s">
        <v>83</v>
      </c>
      <c r="B27" s="2">
        <v>0.97368421052631582</v>
      </c>
      <c r="C27" s="3">
        <v>2.6315789473684181E-2</v>
      </c>
      <c r="D27" s="2">
        <v>2.6315789473684209E-2</v>
      </c>
      <c r="E27" s="3">
        <v>0.97368421052631582</v>
      </c>
    </row>
    <row r="28" spans="1:5" x14ac:dyDescent="0.3">
      <c r="A28" s="8" t="s">
        <v>84</v>
      </c>
      <c r="B28" s="2">
        <v>0.95454545454545459</v>
      </c>
      <c r="C28" s="3">
        <v>4.5454545454545414E-2</v>
      </c>
      <c r="D28" s="2">
        <v>4.5454545454545456E-2</v>
      </c>
      <c r="E28" s="3">
        <v>0.95454545454545459</v>
      </c>
    </row>
    <row r="29" spans="1:5" x14ac:dyDescent="0.3">
      <c r="A29" s="8" t="s">
        <v>85</v>
      </c>
      <c r="B29" s="2">
        <v>0.9</v>
      </c>
      <c r="C29" s="3">
        <v>9.9999999999999978E-2</v>
      </c>
      <c r="D29" s="2">
        <v>0.1</v>
      </c>
      <c r="E29" s="3">
        <v>0.9</v>
      </c>
    </row>
    <row r="30" spans="1:5" x14ac:dyDescent="0.3">
      <c r="A30" s="8" t="s">
        <v>86</v>
      </c>
      <c r="B30" s="2">
        <v>0.70588235294117652</v>
      </c>
      <c r="C30" s="3">
        <v>0.29411764705882348</v>
      </c>
      <c r="D30" s="2">
        <v>0.29411764705882354</v>
      </c>
      <c r="E30" s="3">
        <v>0.70588235294117641</v>
      </c>
    </row>
    <row r="31" spans="1:5" x14ac:dyDescent="0.3">
      <c r="A31" s="8" t="s">
        <v>87</v>
      </c>
      <c r="B31" s="2">
        <v>0.75</v>
      </c>
      <c r="C31" s="3">
        <v>0.25</v>
      </c>
      <c r="D31" s="2">
        <v>0.25</v>
      </c>
      <c r="E31" s="3">
        <v>0.75</v>
      </c>
    </row>
    <row r="32" spans="1:5" x14ac:dyDescent="0.3">
      <c r="A32" s="8" t="s">
        <v>88</v>
      </c>
      <c r="B32" s="2">
        <v>0.95</v>
      </c>
      <c r="C32" s="3">
        <v>5.0000000000000044E-2</v>
      </c>
      <c r="D32" s="2">
        <v>0.05</v>
      </c>
      <c r="E32" s="3">
        <v>0.95</v>
      </c>
    </row>
    <row r="33" spans="1:5" x14ac:dyDescent="0.3">
      <c r="A33" s="8" t="s">
        <v>89</v>
      </c>
      <c r="B33" s="2">
        <v>0.83333333333333337</v>
      </c>
      <c r="C33" s="3">
        <v>0.16666666666666663</v>
      </c>
      <c r="D33" s="2">
        <v>0.16666666666666666</v>
      </c>
      <c r="E33" s="3">
        <v>0.83333333333333337</v>
      </c>
    </row>
    <row r="34" spans="1:5" x14ac:dyDescent="0.3">
      <c r="A34" s="8" t="s">
        <v>90</v>
      </c>
      <c r="B34" s="2">
        <v>0.72043010752688175</v>
      </c>
      <c r="C34" s="3">
        <v>0.27956989247311825</v>
      </c>
      <c r="D34" s="2">
        <v>0.27956989247311825</v>
      </c>
      <c r="E34" s="3">
        <v>0.72043010752688175</v>
      </c>
    </row>
    <row r="35" spans="1:5" x14ac:dyDescent="0.3">
      <c r="A35" s="8" t="s">
        <v>91</v>
      </c>
      <c r="B35" s="2">
        <v>0.89928057553956831</v>
      </c>
      <c r="C35" s="3">
        <v>0.10071942446043169</v>
      </c>
      <c r="D35" s="2">
        <v>0.10071942446043165</v>
      </c>
      <c r="E35" s="3">
        <v>0.89928057553956831</v>
      </c>
    </row>
    <row r="36" spans="1:5" x14ac:dyDescent="0.3">
      <c r="A36" s="8" t="s">
        <v>92</v>
      </c>
      <c r="B36" s="2">
        <v>0.90849673202614378</v>
      </c>
      <c r="C36" s="3">
        <v>9.1503267973856217E-2</v>
      </c>
      <c r="D36" s="2">
        <v>9.1503267973856203E-2</v>
      </c>
      <c r="E36" s="3">
        <v>0.90849673202614378</v>
      </c>
    </row>
    <row r="37" spans="1:5" x14ac:dyDescent="0.3">
      <c r="A37" s="8" t="s">
        <v>93</v>
      </c>
      <c r="B37" s="2">
        <v>0.93902439024390238</v>
      </c>
      <c r="C37" s="3">
        <v>6.0975609756097615E-2</v>
      </c>
      <c r="D37" s="2">
        <v>6.097560975609756E-2</v>
      </c>
      <c r="E37" s="3">
        <v>0.93902439024390238</v>
      </c>
    </row>
    <row r="38" spans="1:5" x14ac:dyDescent="0.3">
      <c r="A38" s="8" t="s">
        <v>94</v>
      </c>
      <c r="B38" s="2">
        <v>0.96666666666666667</v>
      </c>
      <c r="C38" s="3">
        <v>3.3333333333333326E-2</v>
      </c>
      <c r="D38" s="2">
        <v>3.3333333333333333E-2</v>
      </c>
      <c r="E38" s="3">
        <v>0.96666666666666667</v>
      </c>
    </row>
    <row r="39" spans="1:5" x14ac:dyDescent="0.3">
      <c r="A39" s="8" t="s">
        <v>95</v>
      </c>
      <c r="B39" s="2">
        <v>0.7</v>
      </c>
      <c r="C39" s="3">
        <v>0.30000000000000004</v>
      </c>
      <c r="D39" s="2">
        <v>0.3</v>
      </c>
      <c r="E39" s="3">
        <v>0.7</v>
      </c>
    </row>
    <row r="40" spans="1:5" x14ac:dyDescent="0.3">
      <c r="A40" s="8" t="s">
        <v>96</v>
      </c>
      <c r="B40" s="2">
        <v>0.80701754385964908</v>
      </c>
      <c r="C40" s="3">
        <v>0.19298245614035092</v>
      </c>
      <c r="D40" s="2">
        <v>0.19298245614035087</v>
      </c>
      <c r="E40" s="3">
        <v>0.80701754385964919</v>
      </c>
    </row>
    <row r="41" spans="1:5" x14ac:dyDescent="0.3">
      <c r="A41" s="8" t="s">
        <v>97</v>
      </c>
      <c r="B41" s="2">
        <v>0.84337349397590367</v>
      </c>
      <c r="C41" s="3">
        <v>0.15662650602409633</v>
      </c>
      <c r="D41" s="2">
        <v>0.15662650602409639</v>
      </c>
      <c r="E41" s="3">
        <v>0.84337349397590367</v>
      </c>
    </row>
    <row r="42" spans="1:5" x14ac:dyDescent="0.3">
      <c r="A42" s="8" t="s">
        <v>98</v>
      </c>
      <c r="B42" s="2">
        <v>0.92592592592592593</v>
      </c>
      <c r="C42" s="3">
        <v>7.407407407407407E-2</v>
      </c>
      <c r="D42" s="2">
        <v>7.407407407407407E-2</v>
      </c>
      <c r="E42" s="3">
        <v>0.92592592592592593</v>
      </c>
    </row>
    <row r="43" spans="1:5" x14ac:dyDescent="0.3">
      <c r="A43" s="8" t="s">
        <v>99</v>
      </c>
      <c r="B43" s="2">
        <v>0.96296296296296291</v>
      </c>
      <c r="C43" s="3">
        <v>3.703703703703709E-2</v>
      </c>
      <c r="D43" s="2">
        <v>3.7037037037037035E-2</v>
      </c>
      <c r="E43" s="3">
        <v>0.96296296296296302</v>
      </c>
    </row>
    <row r="44" spans="1:5" x14ac:dyDescent="0.3">
      <c r="A44" s="8" t="s">
        <v>100</v>
      </c>
      <c r="B44" s="2">
        <v>0.65277777777777779</v>
      </c>
      <c r="C44" s="3">
        <v>0.34722222222222221</v>
      </c>
      <c r="D44" s="2">
        <v>0.34722222222222221</v>
      </c>
      <c r="E44" s="3">
        <v>0.65277777777777779</v>
      </c>
    </row>
    <row r="45" spans="1:5" x14ac:dyDescent="0.3">
      <c r="A45" s="8" t="s">
        <v>101</v>
      </c>
      <c r="B45" s="2">
        <v>0.82014388489208634</v>
      </c>
      <c r="C45" s="3">
        <v>0.17985611510791366</v>
      </c>
      <c r="D45" s="2">
        <v>0.17985611510791366</v>
      </c>
      <c r="E45" s="3">
        <v>0.82014388489208634</v>
      </c>
    </row>
    <row r="46" spans="1:5" x14ac:dyDescent="0.3">
      <c r="A46" s="12" t="s">
        <v>102</v>
      </c>
      <c r="B46" s="2">
        <v>0.93793103448275861</v>
      </c>
      <c r="C46" s="3">
        <v>6.2068965517241392E-2</v>
      </c>
      <c r="D46" s="2">
        <v>6.2068965517241378E-2</v>
      </c>
      <c r="E46" s="3">
        <v>0.93793103448275861</v>
      </c>
    </row>
    <row r="47" spans="1:5" x14ac:dyDescent="0.3">
      <c r="A47" s="8" t="s">
        <v>103</v>
      </c>
      <c r="B47" s="2">
        <v>0.94074074074074077</v>
      </c>
      <c r="C47" s="3">
        <v>5.9259259259259234E-2</v>
      </c>
      <c r="D47" s="2">
        <v>5.9259259259259262E-2</v>
      </c>
      <c r="E47" s="3">
        <v>0.94074074074074077</v>
      </c>
    </row>
    <row r="48" spans="1:5" x14ac:dyDescent="0.3">
      <c r="A48" s="12" t="s">
        <v>104</v>
      </c>
      <c r="B48" s="2">
        <v>0.95652173913043481</v>
      </c>
      <c r="C48" s="3">
        <v>4.3478260869565188E-2</v>
      </c>
      <c r="D48" s="2">
        <v>4.3478260869565216E-2</v>
      </c>
      <c r="E48" s="3">
        <v>0.95652173913043481</v>
      </c>
    </row>
    <row r="49" spans="1:5" x14ac:dyDescent="0.3">
      <c r="A49" s="8" t="s">
        <v>105</v>
      </c>
      <c r="B49" s="2">
        <v>0.8571428571428571</v>
      </c>
      <c r="C49" s="3">
        <v>0.1428571428571429</v>
      </c>
      <c r="D49" s="2">
        <v>0.14285714285714285</v>
      </c>
      <c r="E49" s="3">
        <v>0.85714285714285721</v>
      </c>
    </row>
    <row r="50" spans="1:5" x14ac:dyDescent="0.3">
      <c r="A50" s="8" t="s">
        <v>106</v>
      </c>
      <c r="B50" s="2">
        <v>0.66666666666666663</v>
      </c>
      <c r="C50" s="3">
        <v>0.33333333333333337</v>
      </c>
      <c r="D50" s="2">
        <v>0.33333333333333331</v>
      </c>
      <c r="E50" s="3">
        <v>0.66666666666666674</v>
      </c>
    </row>
    <row r="51" spans="1:5" x14ac:dyDescent="0.3">
      <c r="A51" s="8" t="s">
        <v>107</v>
      </c>
      <c r="B51" s="2">
        <v>0.9</v>
      </c>
      <c r="C51" s="3">
        <v>9.9999999999999978E-2</v>
      </c>
      <c r="D51" s="2">
        <v>0.1</v>
      </c>
      <c r="E51" s="3">
        <v>0.9</v>
      </c>
    </row>
    <row r="52" spans="1:5" x14ac:dyDescent="0.3">
      <c r="A52" s="12" t="s">
        <v>108</v>
      </c>
      <c r="B52" s="2">
        <v>0.875</v>
      </c>
      <c r="C52" s="3">
        <v>0.125</v>
      </c>
      <c r="D52" s="2">
        <v>0.125</v>
      </c>
      <c r="E52" s="3">
        <v>0.875</v>
      </c>
    </row>
    <row r="53" spans="1:5" x14ac:dyDescent="0.3">
      <c r="A53" s="8" t="s">
        <v>109</v>
      </c>
      <c r="B53" s="2">
        <v>0.5</v>
      </c>
      <c r="C53" s="3">
        <v>0.5</v>
      </c>
      <c r="D53" s="2">
        <v>0.5</v>
      </c>
      <c r="E53" s="3">
        <v>0.5</v>
      </c>
    </row>
    <row r="54" spans="1:5" x14ac:dyDescent="0.3">
      <c r="A54" s="8" t="s">
        <v>39</v>
      </c>
      <c r="B54" s="2">
        <v>0.48172757475083056</v>
      </c>
      <c r="C54" s="3">
        <v>0.5182724252491695</v>
      </c>
      <c r="D54" s="2">
        <v>0.25490196078431371</v>
      </c>
      <c r="E54" s="3">
        <v>0.74509803921568629</v>
      </c>
    </row>
    <row r="55" spans="1:5" x14ac:dyDescent="0.3">
      <c r="A55" s="8" t="s">
        <v>40</v>
      </c>
      <c r="B55" s="2">
        <v>0.31868131868131866</v>
      </c>
      <c r="C55" s="3">
        <v>0.68131868131868134</v>
      </c>
      <c r="D55" s="2">
        <v>0.1743119266055046</v>
      </c>
      <c r="E55" s="3">
        <v>0.82568807339449535</v>
      </c>
    </row>
    <row r="56" spans="1:5" x14ac:dyDescent="0.3">
      <c r="A56" s="8" t="s">
        <v>41</v>
      </c>
      <c r="B56" s="2">
        <v>0.75404312668463613</v>
      </c>
      <c r="C56" s="3">
        <v>0.24595687331536387</v>
      </c>
      <c r="D56" s="2">
        <v>0.61298482293423273</v>
      </c>
      <c r="E56" s="3">
        <v>0.38701517706576727</v>
      </c>
    </row>
    <row r="57" spans="1:5" x14ac:dyDescent="0.3">
      <c r="A57" s="8" t="s">
        <v>42</v>
      </c>
      <c r="B57" s="2">
        <v>0.57843137254901966</v>
      </c>
      <c r="C57" s="3">
        <v>0.42156862745098034</v>
      </c>
      <c r="D57" s="2">
        <v>0.35193133047210301</v>
      </c>
      <c r="E57" s="3">
        <v>0.64806866952789699</v>
      </c>
    </row>
    <row r="58" spans="1:5" x14ac:dyDescent="0.3">
      <c r="A58" s="8" t="s">
        <v>43</v>
      </c>
      <c r="B58" s="2">
        <v>0.27054794520547948</v>
      </c>
      <c r="C58" s="3">
        <v>0.72945205479452047</v>
      </c>
      <c r="D58" s="2">
        <v>0.15210355987055016</v>
      </c>
      <c r="E58" s="3">
        <v>0.84789644012944987</v>
      </c>
    </row>
    <row r="59" spans="1:5" x14ac:dyDescent="0.3">
      <c r="A59" s="8" t="s">
        <v>44</v>
      </c>
      <c r="B59" s="2">
        <v>0.50847457627118642</v>
      </c>
      <c r="C59" s="3">
        <v>0.49152542372881358</v>
      </c>
      <c r="D59" s="2">
        <v>0.234375</v>
      </c>
      <c r="E59" s="3">
        <v>0.765625</v>
      </c>
    </row>
    <row r="60" spans="1:5" x14ac:dyDescent="0.3">
      <c r="A60" s="8" t="s">
        <v>45</v>
      </c>
      <c r="B60" s="2">
        <v>0.4037735849056604</v>
      </c>
      <c r="C60" s="3">
        <v>0.5962264150943396</v>
      </c>
      <c r="D60" s="2">
        <v>0.19004524886877827</v>
      </c>
      <c r="E60" s="3">
        <v>0.80995475113122173</v>
      </c>
    </row>
    <row r="61" spans="1:5" x14ac:dyDescent="0.3">
      <c r="A61" s="8" t="s">
        <v>46</v>
      </c>
      <c r="B61" s="2">
        <v>0.86440677966101698</v>
      </c>
      <c r="C61" s="3">
        <v>0.13559322033898302</v>
      </c>
      <c r="D61" s="2">
        <v>0.74608150470219436</v>
      </c>
      <c r="E61" s="3">
        <v>0.25391849529780564</v>
      </c>
    </row>
    <row r="62" spans="1:5" x14ac:dyDescent="0.3">
      <c r="A62" s="8" t="s">
        <v>47</v>
      </c>
      <c r="B62" s="2">
        <v>0.29166666666666669</v>
      </c>
      <c r="C62" s="3">
        <v>0.70833333333333326</v>
      </c>
      <c r="D62" s="2">
        <v>0.19224555735056542</v>
      </c>
      <c r="E62" s="3">
        <v>0.80775444264943452</v>
      </c>
    </row>
    <row r="63" spans="1:5" x14ac:dyDescent="0.3">
      <c r="A63" s="8" t="s">
        <v>48</v>
      </c>
      <c r="B63" s="2">
        <v>2.2222222222222223E-2</v>
      </c>
      <c r="C63" s="3">
        <v>0.97777777777777775</v>
      </c>
      <c r="D63" s="2">
        <v>2.564102564102564E-2</v>
      </c>
      <c r="E63" s="3">
        <v>0.97435897435897434</v>
      </c>
    </row>
    <row r="64" spans="1:5" x14ac:dyDescent="0.3">
      <c r="A64" s="8" t="s">
        <v>137</v>
      </c>
      <c r="B64" s="2">
        <v>0.58882282996432822</v>
      </c>
      <c r="C64" s="3">
        <v>0.41117717003567178</v>
      </c>
      <c r="D64" s="2">
        <v>0.41117717003567184</v>
      </c>
      <c r="E64" s="3">
        <v>0.58882282996432811</v>
      </c>
    </row>
    <row r="65" spans="1:5" x14ac:dyDescent="0.3">
      <c r="A65" s="8" t="s">
        <v>138</v>
      </c>
      <c r="B65" s="2">
        <v>0.58904109589041098</v>
      </c>
      <c r="C65" s="3">
        <v>0.41095890410958902</v>
      </c>
      <c r="D65" s="2">
        <v>0.41095890410958902</v>
      </c>
      <c r="E65" s="3">
        <v>0.58904109589041098</v>
      </c>
    </row>
    <row r="66" spans="1:5" x14ac:dyDescent="0.3">
      <c r="A66" s="24" t="s">
        <v>139</v>
      </c>
      <c r="B66" s="2">
        <v>0.61271676300578037</v>
      </c>
      <c r="C66" s="3">
        <v>0.38728323699421963</v>
      </c>
      <c r="D66" s="2">
        <v>0.38728323699421963</v>
      </c>
      <c r="E66" s="3">
        <v>0.61271676300578037</v>
      </c>
    </row>
    <row r="67" spans="1:5" x14ac:dyDescent="0.3">
      <c r="A67" s="8" t="s">
        <v>140</v>
      </c>
      <c r="B67" s="2">
        <v>0.57352941176470584</v>
      </c>
      <c r="C67" s="3">
        <v>0.42647058823529416</v>
      </c>
      <c r="D67" s="2">
        <v>0.4264705882352941</v>
      </c>
      <c r="E67" s="3">
        <v>0.57352941176470584</v>
      </c>
    </row>
  </sheetData>
  <mergeCells count="7">
    <mergeCell ref="K1:M1"/>
    <mergeCell ref="L7:M7"/>
    <mergeCell ref="G1:I1"/>
    <mergeCell ref="A1:E1"/>
    <mergeCell ref="A2:A3"/>
    <mergeCell ref="B2:C2"/>
    <mergeCell ref="D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2826-1C77-4B22-A539-6DB6A714E781}">
  <sheetPr codeName="Sheet2"/>
  <dimension ref="B1:AC50"/>
  <sheetViews>
    <sheetView zoomScaleNormal="100" workbookViewId="0">
      <selection activeCell="T10" sqref="T10"/>
    </sheetView>
  </sheetViews>
  <sheetFormatPr defaultRowHeight="16.5" x14ac:dyDescent="0.3"/>
  <cols>
    <col min="1" max="1" width="4.5" customWidth="1"/>
    <col min="8" max="8" width="5" customWidth="1"/>
    <col min="10" max="10" width="9.5" customWidth="1"/>
    <col min="13" max="13" width="11.875" customWidth="1"/>
    <col min="15" max="15" width="3.375" bestFit="1" customWidth="1"/>
    <col min="17" max="21" width="9" customWidth="1"/>
    <col min="23" max="23" width="5.375" customWidth="1"/>
    <col min="24" max="24" width="18.875" customWidth="1"/>
  </cols>
  <sheetData>
    <row r="1" spans="2:29" x14ac:dyDescent="0.3">
      <c r="J1" s="41" t="s">
        <v>31</v>
      </c>
      <c r="K1" s="42"/>
      <c r="L1" s="42"/>
      <c r="M1" s="42"/>
      <c r="N1" s="41" t="s">
        <v>35</v>
      </c>
      <c r="O1" s="41"/>
      <c r="P1" s="41"/>
      <c r="Q1" s="41"/>
      <c r="R1" s="41"/>
      <c r="S1" s="41"/>
      <c r="T1" s="41"/>
      <c r="U1" s="41"/>
      <c r="V1" s="41"/>
      <c r="W1" s="21"/>
      <c r="X1" s="41" t="s">
        <v>50</v>
      </c>
    </row>
    <row r="2" spans="2:29" x14ac:dyDescent="0.3">
      <c r="J2" s="12" t="s">
        <v>127</v>
      </c>
      <c r="K2" s="12" t="s">
        <v>31</v>
      </c>
      <c r="L2" s="12" t="s">
        <v>33</v>
      </c>
      <c r="M2" s="12" t="s">
        <v>38</v>
      </c>
      <c r="N2" s="12" t="str">
        <f>'Match Setup'!L3</f>
        <v>최짱구</v>
      </c>
      <c r="O2" s="12" t="s">
        <v>34</v>
      </c>
      <c r="P2" s="12" t="str">
        <f>'Match Setup'!M3</f>
        <v>홍길동</v>
      </c>
      <c r="Q2" s="12" t="s">
        <v>37</v>
      </c>
      <c r="R2" s="12" t="str">
        <f>N2</f>
        <v>최짱구</v>
      </c>
      <c r="S2" s="12" t="str">
        <f>P2</f>
        <v>홍길동</v>
      </c>
      <c r="T2" s="12" t="str">
        <f>N2</f>
        <v>최짱구</v>
      </c>
      <c r="U2" s="12" t="str">
        <f>P2</f>
        <v>홍길동</v>
      </c>
      <c r="V2" s="12" t="s">
        <v>36</v>
      </c>
      <c r="W2" s="20"/>
      <c r="X2" s="41"/>
    </row>
    <row r="3" spans="2:29" x14ac:dyDescent="0.3">
      <c r="C3" s="43" t="str">
        <f>'Match Setup'!L3</f>
        <v>최짱구</v>
      </c>
      <c r="D3" s="43"/>
      <c r="E3" s="43" t="str">
        <f>'Match Setup'!M3</f>
        <v>홍길동</v>
      </c>
      <c r="F3" s="43"/>
      <c r="G3" s="17"/>
      <c r="J3" s="8" t="s">
        <v>17</v>
      </c>
      <c r="K3" s="12" t="s">
        <v>129</v>
      </c>
      <c r="L3" s="12" t="s">
        <v>7</v>
      </c>
      <c r="M3" s="12" t="str">
        <f>IF(AND(J3=$C$3,L3="득점"),J3,IF(AND(J3=$C$3,L3="실점"),$E$3,IF(AND(J3=$E$3,L3="득점"),J3,IF(AND(J3=$E$3,L3="실점"),$C$3,""))))</f>
        <v>홍길동</v>
      </c>
      <c r="N3" s="12">
        <f>IF(M3=$N$2,1,0)</f>
        <v>0</v>
      </c>
      <c r="O3" s="12" t="s">
        <v>34</v>
      </c>
      <c r="P3" s="12">
        <f>IF(M3=P2,1,0)</f>
        <v>1</v>
      </c>
      <c r="Q3" s="12">
        <f>IF(AND(N3&lt;=0,P3&lt;=0),"",IF(AND(N3&lt;=5,P3&lt;=5),1,IF(AND(N3&lt;=10,P3&lt;=10),2,IF(AND(N3&lt;=15,P3&lt;=15),3,IF(AND(N3&lt;=20,P3&lt;=20),4,IF(AND(N3&lt;=30,P3&lt;=30),5,""))))))</f>
        <v>1</v>
      </c>
      <c r="R3" s="12">
        <f>N3-P3</f>
        <v>-1</v>
      </c>
      <c r="S3" s="12">
        <f>P3-N3</f>
        <v>1</v>
      </c>
      <c r="T3" s="12">
        <f>IF(R3&gt;=2,1,0)</f>
        <v>0</v>
      </c>
      <c r="U3" s="12">
        <f>IF(S3&gt;=2,1,0)</f>
        <v>0</v>
      </c>
      <c r="V3" s="12">
        <f>IF(AND(OR(T3=1,U3=1),Q3=1),"0-5",IF(AND(OR(T3=1,U3=1),Q3=2),"6-10",IF(AND(OR(T3=1,U3=1),Q3=3),"11-15",IF(AND(OR(T3=1,U3=1),Q3=4),"16-20",IF(AND(OR(T3=1,U3=1),Q3=5),"21-",0)))))</f>
        <v>0</v>
      </c>
      <c r="W3" s="20"/>
      <c r="X3" s="8" t="str">
        <f>IF(V3=0,K3,IF(V3="0-5",K3&amp;"+0-5",IF(V3="6-10",K3&amp;"+6-10",IF(V3="11-15",K3&amp;"+11-15",IF(V3="16-20",K3&amp;"+16-20",IF(V3="21-",K3&amp;"+21-",""))))))</f>
        <v>S.Cut</v>
      </c>
    </row>
    <row r="4" spans="2:29" x14ac:dyDescent="0.3">
      <c r="B4" s="18"/>
      <c r="C4" s="18"/>
      <c r="D4" s="18"/>
      <c r="E4" s="19"/>
      <c r="F4" s="19"/>
      <c r="G4" s="18"/>
      <c r="J4" s="8" t="s">
        <v>15</v>
      </c>
      <c r="K4" s="12" t="s">
        <v>130</v>
      </c>
      <c r="L4" s="12" t="s">
        <v>7</v>
      </c>
      <c r="M4" s="12" t="str">
        <f t="shared" ref="M4:M50" si="0">IF(AND(J4=$C$3,L4="득점"),J4,IF(AND(J4=$C$3,L4="실점"),$E$3,IF(AND(J4=$E$3,L4="득점"),J4,IF(AND(J4=$E$3,L4="실점"),$C$3,""))))</f>
        <v>최짱구</v>
      </c>
      <c r="N4" s="12">
        <f>IF(M4=$N$2,1,0)+N3</f>
        <v>1</v>
      </c>
      <c r="O4" s="12" t="s">
        <v>34</v>
      </c>
      <c r="P4" s="12">
        <f>IF(M4=$P$2,1,0)+P3</f>
        <v>1</v>
      </c>
      <c r="Q4" s="12">
        <f t="shared" ref="Q4:Q27" si="1">IF(AND(N4&lt;=0,P4&lt;=0),"",IF(AND(N4&lt;=5,P4&lt;=5),1,IF(AND(N4&lt;=10,P4&lt;=10),2,IF(AND(N4&lt;=15,P4&lt;=15),3,IF(AND(N4&lt;=20,P4&lt;=20),4,IF(AND(N4&lt;=30,P4&lt;=30),5,""))))))</f>
        <v>1</v>
      </c>
      <c r="R4" s="12">
        <f t="shared" ref="R4:R50" si="2">N4-P4</f>
        <v>0</v>
      </c>
      <c r="S4" s="12">
        <f t="shared" ref="S4:S50" si="3">P4-N4</f>
        <v>0</v>
      </c>
      <c r="T4" s="12">
        <f t="shared" ref="T4:T50" si="4">IF(R4&gt;=2,1,0)</f>
        <v>0</v>
      </c>
      <c r="U4" s="12">
        <f t="shared" ref="U4:U50" si="5">IF(S4&gt;=2,1,0)</f>
        <v>0</v>
      </c>
      <c r="V4" s="12">
        <f t="shared" ref="V4:V50" si="6">IF(AND(OR(T4=1,U4=1),Q4=1),"0-5",IF(AND(OR(T4=1,U4=1),Q4=2),"6-10",IF(AND(OR(T4=1,U4=1),Q4=3),"11-15",IF(AND(OR(T4=1,U4=1),Q4=4),"16-20",IF(AND(OR(T4=1,U4=1),Q4=5),"21-",0)))))</f>
        <v>0</v>
      </c>
      <c r="W4" s="20"/>
      <c r="X4" s="8" t="str">
        <f t="shared" ref="X4:X50" si="7">IF(V4=0,K4,IF(V4="0-5",K4&amp;"+0-5",IF(V4="6-10",K4&amp;"+6-10",IF(V4="11-15",K4&amp;"+11-15",IF(V4="16-20",K4&amp;"+16-20",IF(V4="21-",K4&amp;"+21-",""))))))</f>
        <v>U.Clear</v>
      </c>
    </row>
    <row r="5" spans="2:29" x14ac:dyDescent="0.3">
      <c r="B5" s="18"/>
      <c r="C5" s="18"/>
      <c r="D5" s="18"/>
      <c r="E5" s="19"/>
      <c r="F5" s="19"/>
      <c r="G5" s="18"/>
      <c r="J5" s="8" t="s">
        <v>17</v>
      </c>
      <c r="K5" s="12" t="s">
        <v>131</v>
      </c>
      <c r="L5" s="12" t="s">
        <v>7</v>
      </c>
      <c r="M5" s="12" t="str">
        <f>IF(AND(J5=$C$3,L5="득점"),J5,IF(AND(J5=$C$3,L5="실점"),$E$3,IF(AND(J5=$E$3,L5="득점"),J5,IF(AND(J5=$E$3,L5="실점"),$C$3,""))))</f>
        <v>홍길동</v>
      </c>
      <c r="N5" s="12">
        <f t="shared" ref="N5:N34" si="8">IF(M5=$N$2,1,0)+N4</f>
        <v>1</v>
      </c>
      <c r="O5" s="12" t="s">
        <v>34</v>
      </c>
      <c r="P5" s="12">
        <f t="shared" ref="P5:P34" si="9">IF(M5=$P$2,1,0)+P4</f>
        <v>2</v>
      </c>
      <c r="Q5" s="12">
        <f t="shared" si="1"/>
        <v>1</v>
      </c>
      <c r="R5" s="12">
        <f t="shared" si="2"/>
        <v>-1</v>
      </c>
      <c r="S5" s="12">
        <f t="shared" si="3"/>
        <v>1</v>
      </c>
      <c r="T5" s="12">
        <f t="shared" si="4"/>
        <v>0</v>
      </c>
      <c r="U5" s="12">
        <f t="shared" si="5"/>
        <v>0</v>
      </c>
      <c r="V5" s="12">
        <f t="shared" si="6"/>
        <v>0</v>
      </c>
      <c r="W5" s="20"/>
      <c r="X5" s="8" t="str">
        <f t="shared" si="7"/>
        <v>Clear</v>
      </c>
    </row>
    <row r="6" spans="2:29" x14ac:dyDescent="0.3">
      <c r="B6" s="18"/>
      <c r="C6" s="18"/>
      <c r="D6" s="18"/>
      <c r="E6" s="19"/>
      <c r="F6" s="19"/>
      <c r="G6" s="18"/>
      <c r="J6" s="8" t="s">
        <v>15</v>
      </c>
      <c r="K6" s="12" t="s">
        <v>132</v>
      </c>
      <c r="L6" s="12" t="s">
        <v>7</v>
      </c>
      <c r="M6" s="12" t="str">
        <f t="shared" si="0"/>
        <v>최짱구</v>
      </c>
      <c r="N6" s="12">
        <f t="shared" si="8"/>
        <v>2</v>
      </c>
      <c r="O6" s="12" t="s">
        <v>34</v>
      </c>
      <c r="P6" s="12">
        <f t="shared" si="9"/>
        <v>2</v>
      </c>
      <c r="Q6" s="12">
        <f t="shared" si="1"/>
        <v>1</v>
      </c>
      <c r="R6" s="12">
        <f t="shared" si="2"/>
        <v>0</v>
      </c>
      <c r="S6" s="12">
        <f t="shared" si="3"/>
        <v>0</v>
      </c>
      <c r="T6" s="12">
        <f t="shared" si="4"/>
        <v>0</v>
      </c>
      <c r="U6" s="12">
        <f t="shared" si="5"/>
        <v>0</v>
      </c>
      <c r="V6" s="12">
        <f t="shared" si="6"/>
        <v>0</v>
      </c>
      <c r="W6" s="20"/>
      <c r="X6" s="8" t="str">
        <f t="shared" si="7"/>
        <v>HairPin</v>
      </c>
    </row>
    <row r="7" spans="2:29" x14ac:dyDescent="0.3">
      <c r="B7" s="18"/>
      <c r="C7" s="18"/>
      <c r="D7" s="18"/>
      <c r="E7" s="19"/>
      <c r="F7" s="19"/>
      <c r="G7" s="18"/>
      <c r="J7" s="8" t="s">
        <v>15</v>
      </c>
      <c r="K7" s="12" t="s">
        <v>133</v>
      </c>
      <c r="L7" s="12" t="s">
        <v>7</v>
      </c>
      <c r="M7" s="12" t="str">
        <f t="shared" si="0"/>
        <v>최짱구</v>
      </c>
      <c r="N7" s="12">
        <f t="shared" si="8"/>
        <v>3</v>
      </c>
      <c r="O7" s="12" t="s">
        <v>34</v>
      </c>
      <c r="P7" s="12">
        <f t="shared" si="9"/>
        <v>2</v>
      </c>
      <c r="Q7" s="12">
        <f t="shared" si="1"/>
        <v>1</v>
      </c>
      <c r="R7" s="12">
        <f t="shared" si="2"/>
        <v>1</v>
      </c>
      <c r="S7" s="12">
        <f t="shared" si="3"/>
        <v>-1</v>
      </c>
      <c r="T7" s="12">
        <f t="shared" si="4"/>
        <v>0</v>
      </c>
      <c r="U7" s="12">
        <f t="shared" si="5"/>
        <v>0</v>
      </c>
      <c r="V7" s="12">
        <f t="shared" si="6"/>
        <v>0</v>
      </c>
      <c r="W7" s="20"/>
      <c r="X7" s="8" t="str">
        <f t="shared" si="7"/>
        <v>Push</v>
      </c>
    </row>
    <row r="8" spans="2:29" x14ac:dyDescent="0.3">
      <c r="J8" s="8" t="s">
        <v>17</v>
      </c>
      <c r="K8" s="12" t="s">
        <v>134</v>
      </c>
      <c r="L8" s="12" t="s">
        <v>7</v>
      </c>
      <c r="M8" s="12" t="str">
        <f t="shared" si="0"/>
        <v>홍길동</v>
      </c>
      <c r="N8" s="12">
        <f t="shared" si="8"/>
        <v>3</v>
      </c>
      <c r="O8" s="12" t="s">
        <v>34</v>
      </c>
      <c r="P8" s="12">
        <f t="shared" si="9"/>
        <v>3</v>
      </c>
      <c r="Q8" s="12">
        <f t="shared" si="1"/>
        <v>1</v>
      </c>
      <c r="R8" s="12">
        <f t="shared" si="2"/>
        <v>0</v>
      </c>
      <c r="S8" s="12">
        <f t="shared" si="3"/>
        <v>0</v>
      </c>
      <c r="T8" s="12">
        <f t="shared" si="4"/>
        <v>0</v>
      </c>
      <c r="U8" s="12">
        <f t="shared" si="5"/>
        <v>0</v>
      </c>
      <c r="V8" s="12">
        <f t="shared" si="6"/>
        <v>0</v>
      </c>
      <c r="W8" s="20"/>
      <c r="X8" s="8" t="str">
        <f t="shared" si="7"/>
        <v>Smash</v>
      </c>
    </row>
    <row r="9" spans="2:29" x14ac:dyDescent="0.3">
      <c r="B9" s="44" t="s">
        <v>32</v>
      </c>
      <c r="C9" s="45"/>
      <c r="D9" s="45"/>
      <c r="E9" s="45"/>
      <c r="F9" s="45"/>
      <c r="G9" s="46"/>
      <c r="J9" s="8" t="s">
        <v>17</v>
      </c>
      <c r="K9" s="12" t="s">
        <v>134</v>
      </c>
      <c r="L9" s="12" t="s">
        <v>7</v>
      </c>
      <c r="M9" s="12" t="str">
        <f t="shared" si="0"/>
        <v>홍길동</v>
      </c>
      <c r="N9" s="12">
        <f t="shared" si="8"/>
        <v>3</v>
      </c>
      <c r="O9" s="12" t="s">
        <v>34</v>
      </c>
      <c r="P9" s="12">
        <f t="shared" si="9"/>
        <v>4</v>
      </c>
      <c r="Q9" s="12">
        <f t="shared" si="1"/>
        <v>1</v>
      </c>
      <c r="R9" s="12">
        <f t="shared" si="2"/>
        <v>-1</v>
      </c>
      <c r="S9" s="12">
        <f t="shared" si="3"/>
        <v>1</v>
      </c>
      <c r="T9" s="12">
        <f t="shared" si="4"/>
        <v>0</v>
      </c>
      <c r="U9" s="12">
        <f t="shared" si="5"/>
        <v>0</v>
      </c>
      <c r="V9" s="12">
        <f t="shared" si="6"/>
        <v>0</v>
      </c>
      <c r="W9" s="20"/>
      <c r="X9" s="8" t="str">
        <f t="shared" si="7"/>
        <v>Smash</v>
      </c>
    </row>
    <row r="10" spans="2:29" x14ac:dyDescent="0.3">
      <c r="B10" s="10" t="s">
        <v>51</v>
      </c>
      <c r="C10" s="11" t="s">
        <v>52</v>
      </c>
      <c r="D10" s="11" t="s">
        <v>53</v>
      </c>
      <c r="E10" s="11" t="s">
        <v>54</v>
      </c>
      <c r="F10" s="11" t="s">
        <v>55</v>
      </c>
      <c r="J10" s="8" t="s">
        <v>17</v>
      </c>
      <c r="K10" s="12" t="s">
        <v>134</v>
      </c>
      <c r="L10" s="12" t="s">
        <v>7</v>
      </c>
      <c r="M10" s="12" t="str">
        <f t="shared" si="0"/>
        <v>홍길동</v>
      </c>
      <c r="N10" s="12">
        <f t="shared" si="8"/>
        <v>3</v>
      </c>
      <c r="O10" s="12" t="s">
        <v>34</v>
      </c>
      <c r="P10" s="12">
        <f t="shared" si="9"/>
        <v>5</v>
      </c>
      <c r="Q10" s="12">
        <f t="shared" si="1"/>
        <v>1</v>
      </c>
      <c r="R10" s="12">
        <f t="shared" si="2"/>
        <v>-2</v>
      </c>
      <c r="S10" s="12">
        <f t="shared" si="3"/>
        <v>2</v>
      </c>
      <c r="T10" s="12">
        <f t="shared" si="4"/>
        <v>0</v>
      </c>
      <c r="U10" s="12">
        <f t="shared" si="5"/>
        <v>1</v>
      </c>
      <c r="V10" s="12" t="str">
        <f t="shared" si="6"/>
        <v>0-5</v>
      </c>
      <c r="W10" s="20"/>
      <c r="X10" s="8" t="str">
        <f t="shared" si="7"/>
        <v>Smash+0-5</v>
      </c>
    </row>
    <row r="11" spans="2:29" x14ac:dyDescent="0.3">
      <c r="J11" s="8" t="s">
        <v>17</v>
      </c>
      <c r="K11" s="12" t="s">
        <v>134</v>
      </c>
      <c r="L11" s="12" t="s">
        <v>7</v>
      </c>
      <c r="M11" s="12" t="str">
        <f t="shared" si="0"/>
        <v>홍길동</v>
      </c>
      <c r="N11" s="12">
        <f t="shared" si="8"/>
        <v>3</v>
      </c>
      <c r="O11" s="12" t="s">
        <v>34</v>
      </c>
      <c r="P11" s="12">
        <f t="shared" si="9"/>
        <v>6</v>
      </c>
      <c r="Q11" s="12">
        <f t="shared" si="1"/>
        <v>2</v>
      </c>
      <c r="R11" s="12">
        <f t="shared" si="2"/>
        <v>-3</v>
      </c>
      <c r="S11" s="12">
        <f t="shared" si="3"/>
        <v>3</v>
      </c>
      <c r="T11" s="12">
        <f t="shared" si="4"/>
        <v>0</v>
      </c>
      <c r="U11" s="12">
        <f t="shared" si="5"/>
        <v>1</v>
      </c>
      <c r="V11" s="12" t="str">
        <f t="shared" si="6"/>
        <v>6-10</v>
      </c>
      <c r="W11" s="20"/>
      <c r="X11" s="8" t="str">
        <f t="shared" si="7"/>
        <v>Smash+6-10</v>
      </c>
    </row>
    <row r="12" spans="2:29" x14ac:dyDescent="0.3">
      <c r="J12" s="8" t="s">
        <v>15</v>
      </c>
      <c r="K12" s="12" t="s">
        <v>134</v>
      </c>
      <c r="L12" s="12" t="s">
        <v>7</v>
      </c>
      <c r="M12" s="12" t="str">
        <f t="shared" si="0"/>
        <v>최짱구</v>
      </c>
      <c r="N12" s="12">
        <f t="shared" si="8"/>
        <v>4</v>
      </c>
      <c r="O12" s="12" t="s">
        <v>34</v>
      </c>
      <c r="P12" s="12">
        <f t="shared" si="9"/>
        <v>6</v>
      </c>
      <c r="Q12" s="12">
        <f t="shared" si="1"/>
        <v>2</v>
      </c>
      <c r="R12" s="12">
        <f t="shared" si="2"/>
        <v>-2</v>
      </c>
      <c r="S12" s="12">
        <f t="shared" si="3"/>
        <v>2</v>
      </c>
      <c r="T12" s="12">
        <f t="shared" si="4"/>
        <v>0</v>
      </c>
      <c r="U12" s="12">
        <f t="shared" si="5"/>
        <v>1</v>
      </c>
      <c r="V12" s="12" t="str">
        <f t="shared" si="6"/>
        <v>6-10</v>
      </c>
      <c r="W12" s="20"/>
      <c r="X12" s="8" t="str">
        <f t="shared" si="7"/>
        <v>Smash+6-10</v>
      </c>
    </row>
    <row r="13" spans="2:29" x14ac:dyDescent="0.3">
      <c r="J13" s="8" t="s">
        <v>17</v>
      </c>
      <c r="K13" s="12" t="s">
        <v>132</v>
      </c>
      <c r="L13" s="12" t="s">
        <v>7</v>
      </c>
      <c r="M13" s="12" t="str">
        <f t="shared" si="0"/>
        <v>홍길동</v>
      </c>
      <c r="N13" s="12">
        <f t="shared" si="8"/>
        <v>4</v>
      </c>
      <c r="O13" s="12" t="s">
        <v>34</v>
      </c>
      <c r="P13" s="12">
        <f t="shared" si="9"/>
        <v>7</v>
      </c>
      <c r="Q13" s="12">
        <f t="shared" si="1"/>
        <v>2</v>
      </c>
      <c r="R13" s="12">
        <f t="shared" si="2"/>
        <v>-3</v>
      </c>
      <c r="S13" s="12">
        <f t="shared" si="3"/>
        <v>3</v>
      </c>
      <c r="T13" s="12">
        <f t="shared" si="4"/>
        <v>0</v>
      </c>
      <c r="U13" s="12">
        <f t="shared" si="5"/>
        <v>1</v>
      </c>
      <c r="V13" s="12" t="str">
        <f t="shared" si="6"/>
        <v>6-10</v>
      </c>
      <c r="W13" s="20"/>
      <c r="X13" s="8" t="str">
        <f t="shared" si="7"/>
        <v>HairPin+6-10</v>
      </c>
    </row>
    <row r="14" spans="2:29" x14ac:dyDescent="0.3">
      <c r="J14" s="8" t="s">
        <v>17</v>
      </c>
      <c r="K14" s="12" t="s">
        <v>134</v>
      </c>
      <c r="L14" s="12" t="s">
        <v>7</v>
      </c>
      <c r="M14" s="12" t="str">
        <f t="shared" si="0"/>
        <v>홍길동</v>
      </c>
      <c r="N14" s="12">
        <f t="shared" si="8"/>
        <v>4</v>
      </c>
      <c r="O14" s="12" t="s">
        <v>34</v>
      </c>
      <c r="P14" s="12">
        <f t="shared" si="9"/>
        <v>8</v>
      </c>
      <c r="Q14" s="12">
        <f t="shared" si="1"/>
        <v>2</v>
      </c>
      <c r="R14" s="12">
        <f t="shared" si="2"/>
        <v>-4</v>
      </c>
      <c r="S14" s="12">
        <f t="shared" si="3"/>
        <v>4</v>
      </c>
      <c r="T14" s="12">
        <f t="shared" si="4"/>
        <v>0</v>
      </c>
      <c r="U14" s="12">
        <f t="shared" si="5"/>
        <v>1</v>
      </c>
      <c r="V14" s="12" t="str">
        <f t="shared" si="6"/>
        <v>6-10</v>
      </c>
      <c r="W14" s="20"/>
      <c r="X14" s="8" t="str">
        <f t="shared" si="7"/>
        <v>Smash+6-10</v>
      </c>
      <c r="AC14" t="s">
        <v>16</v>
      </c>
    </row>
    <row r="15" spans="2:29" x14ac:dyDescent="0.3">
      <c r="B15" s="10" t="s">
        <v>56</v>
      </c>
      <c r="C15" s="11" t="s">
        <v>128</v>
      </c>
      <c r="D15" s="11" t="s">
        <v>57</v>
      </c>
      <c r="E15" s="11" t="s">
        <v>58</v>
      </c>
      <c r="F15" s="11" t="s">
        <v>59</v>
      </c>
      <c r="J15" s="8" t="s">
        <v>17</v>
      </c>
      <c r="K15" s="12" t="s">
        <v>135</v>
      </c>
      <c r="L15" s="12" t="s">
        <v>7</v>
      </c>
      <c r="M15" s="12" t="str">
        <f t="shared" si="0"/>
        <v>홍길동</v>
      </c>
      <c r="N15" s="12">
        <f t="shared" si="8"/>
        <v>4</v>
      </c>
      <c r="O15" s="12" t="s">
        <v>34</v>
      </c>
      <c r="P15" s="12">
        <f t="shared" si="9"/>
        <v>9</v>
      </c>
      <c r="Q15" s="12">
        <f t="shared" si="1"/>
        <v>2</v>
      </c>
      <c r="R15" s="12">
        <f t="shared" si="2"/>
        <v>-5</v>
      </c>
      <c r="S15" s="12">
        <f t="shared" si="3"/>
        <v>5</v>
      </c>
      <c r="T15" s="12">
        <f t="shared" si="4"/>
        <v>0</v>
      </c>
      <c r="U15" s="12">
        <f t="shared" si="5"/>
        <v>1</v>
      </c>
      <c r="V15" s="12" t="str">
        <f t="shared" si="6"/>
        <v>6-10</v>
      </c>
      <c r="W15" s="20"/>
      <c r="X15" s="8" t="str">
        <f t="shared" si="7"/>
        <v>S.Receive+6-10</v>
      </c>
    </row>
    <row r="16" spans="2:29" x14ac:dyDescent="0.3">
      <c r="B16" t="s">
        <v>15</v>
      </c>
      <c r="J16" s="8" t="s">
        <v>17</v>
      </c>
      <c r="K16" s="12" t="s">
        <v>130</v>
      </c>
      <c r="L16" s="12" t="s">
        <v>7</v>
      </c>
      <c r="M16" s="12" t="str">
        <f t="shared" si="0"/>
        <v>홍길동</v>
      </c>
      <c r="N16" s="12">
        <f t="shared" si="8"/>
        <v>4</v>
      </c>
      <c r="O16" s="12" t="s">
        <v>34</v>
      </c>
      <c r="P16" s="12">
        <f t="shared" si="9"/>
        <v>10</v>
      </c>
      <c r="Q16" s="12">
        <f t="shared" si="1"/>
        <v>2</v>
      </c>
      <c r="R16" s="12">
        <f t="shared" si="2"/>
        <v>-6</v>
      </c>
      <c r="S16" s="12">
        <f t="shared" si="3"/>
        <v>6</v>
      </c>
      <c r="T16" s="12">
        <f t="shared" si="4"/>
        <v>0</v>
      </c>
      <c r="U16" s="12">
        <f t="shared" si="5"/>
        <v>1</v>
      </c>
      <c r="V16" s="12" t="str">
        <f t="shared" si="6"/>
        <v>6-10</v>
      </c>
      <c r="W16" s="20"/>
      <c r="X16" s="8" t="str">
        <f>IF(V16=0,K16,IF(V16="0-5",K16&amp;"+0-5",IF(V16="6-10",K16&amp;"+6-10",IF(V16="11-15",K16&amp;"+11-15",IF(V16="16-20",K16&amp;"+16-20",IF(V16="21-",K16&amp;"+21-",""))))))</f>
        <v>U.Clear+6-10</v>
      </c>
    </row>
    <row r="17" spans="2:24" x14ac:dyDescent="0.3">
      <c r="B17" t="s">
        <v>15</v>
      </c>
      <c r="J17" s="8" t="s">
        <v>17</v>
      </c>
      <c r="K17" s="12" t="s">
        <v>131</v>
      </c>
      <c r="L17" s="12" t="s">
        <v>7</v>
      </c>
      <c r="M17" s="12" t="str">
        <f t="shared" si="0"/>
        <v>홍길동</v>
      </c>
      <c r="N17" s="12">
        <f t="shared" si="8"/>
        <v>4</v>
      </c>
      <c r="O17" s="12" t="s">
        <v>34</v>
      </c>
      <c r="P17" s="12">
        <f t="shared" si="9"/>
        <v>11</v>
      </c>
      <c r="Q17" s="12">
        <f t="shared" si="1"/>
        <v>3</v>
      </c>
      <c r="R17" s="12">
        <f t="shared" si="2"/>
        <v>-7</v>
      </c>
      <c r="S17" s="12">
        <f t="shared" si="3"/>
        <v>7</v>
      </c>
      <c r="T17" s="12">
        <f t="shared" si="4"/>
        <v>0</v>
      </c>
      <c r="U17" s="12">
        <f t="shared" si="5"/>
        <v>1</v>
      </c>
      <c r="V17" s="12" t="str">
        <f t="shared" si="6"/>
        <v>11-15</v>
      </c>
      <c r="W17" s="20"/>
      <c r="X17" s="8" t="str">
        <f t="shared" si="7"/>
        <v>Clear+11-15</v>
      </c>
    </row>
    <row r="18" spans="2:24" x14ac:dyDescent="0.3">
      <c r="B18" t="s">
        <v>15</v>
      </c>
      <c r="J18" s="8" t="s">
        <v>15</v>
      </c>
      <c r="K18" s="12" t="s">
        <v>133</v>
      </c>
      <c r="L18" s="12" t="s">
        <v>7</v>
      </c>
      <c r="M18" s="12" t="str">
        <f t="shared" si="0"/>
        <v>최짱구</v>
      </c>
      <c r="N18" s="12">
        <f t="shared" si="8"/>
        <v>5</v>
      </c>
      <c r="O18" s="12" t="s">
        <v>34</v>
      </c>
      <c r="P18" s="12">
        <f t="shared" si="9"/>
        <v>11</v>
      </c>
      <c r="Q18" s="12">
        <f t="shared" si="1"/>
        <v>3</v>
      </c>
      <c r="R18" s="12">
        <f t="shared" si="2"/>
        <v>-6</v>
      </c>
      <c r="S18" s="12">
        <f t="shared" si="3"/>
        <v>6</v>
      </c>
      <c r="T18" s="12">
        <f t="shared" si="4"/>
        <v>0</v>
      </c>
      <c r="U18" s="12">
        <f t="shared" si="5"/>
        <v>1</v>
      </c>
      <c r="V18" s="12" t="str">
        <f t="shared" si="6"/>
        <v>11-15</v>
      </c>
      <c r="W18" s="20"/>
      <c r="X18" s="8" t="str">
        <f t="shared" si="7"/>
        <v>Push+11-15</v>
      </c>
    </row>
    <row r="19" spans="2:24" x14ac:dyDescent="0.3">
      <c r="B19" s="44" t="s">
        <v>33</v>
      </c>
      <c r="C19" s="45"/>
      <c r="D19" s="45"/>
      <c r="E19" s="45"/>
      <c r="F19" s="45"/>
      <c r="G19" s="46"/>
      <c r="J19" s="8" t="s">
        <v>15</v>
      </c>
      <c r="K19" s="12" t="s">
        <v>130</v>
      </c>
      <c r="L19" s="12" t="s">
        <v>7</v>
      </c>
      <c r="M19" s="12" t="str">
        <f t="shared" si="0"/>
        <v>최짱구</v>
      </c>
      <c r="N19" s="12">
        <f t="shared" si="8"/>
        <v>6</v>
      </c>
      <c r="O19" s="12" t="s">
        <v>34</v>
      </c>
      <c r="P19" s="12">
        <f t="shared" si="9"/>
        <v>11</v>
      </c>
      <c r="Q19" s="12">
        <f t="shared" si="1"/>
        <v>3</v>
      </c>
      <c r="R19" s="12">
        <f t="shared" si="2"/>
        <v>-5</v>
      </c>
      <c r="S19" s="12">
        <f t="shared" si="3"/>
        <v>5</v>
      </c>
      <c r="T19" s="12">
        <f t="shared" si="4"/>
        <v>0</v>
      </c>
      <c r="U19" s="12">
        <f t="shared" si="5"/>
        <v>1</v>
      </c>
      <c r="V19" s="12" t="str">
        <f t="shared" si="6"/>
        <v>11-15</v>
      </c>
      <c r="W19" s="20"/>
      <c r="X19" s="8" t="str">
        <f t="shared" si="7"/>
        <v>U.Clear+11-15</v>
      </c>
    </row>
    <row r="20" spans="2:24" x14ac:dyDescent="0.3">
      <c r="J20" s="8" t="s">
        <v>17</v>
      </c>
      <c r="K20" s="12" t="s">
        <v>133</v>
      </c>
      <c r="L20" s="12" t="s">
        <v>7</v>
      </c>
      <c r="M20" s="12" t="str">
        <f t="shared" si="0"/>
        <v>홍길동</v>
      </c>
      <c r="N20" s="12">
        <f t="shared" si="8"/>
        <v>6</v>
      </c>
      <c r="O20" s="12" t="s">
        <v>34</v>
      </c>
      <c r="P20" s="12">
        <f t="shared" si="9"/>
        <v>12</v>
      </c>
      <c r="Q20" s="12">
        <f t="shared" si="1"/>
        <v>3</v>
      </c>
      <c r="R20" s="12">
        <f t="shared" si="2"/>
        <v>-6</v>
      </c>
      <c r="S20" s="12">
        <f t="shared" si="3"/>
        <v>6</v>
      </c>
      <c r="T20" s="12">
        <f t="shared" si="4"/>
        <v>0</v>
      </c>
      <c r="U20" s="12">
        <f t="shared" si="5"/>
        <v>1</v>
      </c>
      <c r="V20" s="12" t="str">
        <f t="shared" si="6"/>
        <v>11-15</v>
      </c>
      <c r="W20" s="20"/>
      <c r="X20" s="8" t="str">
        <f t="shared" si="7"/>
        <v>Push+11-15</v>
      </c>
    </row>
    <row r="21" spans="2:24" x14ac:dyDescent="0.3">
      <c r="J21" s="8" t="s">
        <v>15</v>
      </c>
      <c r="K21" s="12" t="s">
        <v>134</v>
      </c>
      <c r="L21" s="12" t="s">
        <v>7</v>
      </c>
      <c r="M21" s="12" t="str">
        <f t="shared" si="0"/>
        <v>최짱구</v>
      </c>
      <c r="N21" s="12">
        <f t="shared" si="8"/>
        <v>7</v>
      </c>
      <c r="O21" s="12" t="s">
        <v>34</v>
      </c>
      <c r="P21" s="12">
        <f t="shared" si="9"/>
        <v>12</v>
      </c>
      <c r="Q21" s="12">
        <f t="shared" si="1"/>
        <v>3</v>
      </c>
      <c r="R21" s="12">
        <f t="shared" si="2"/>
        <v>-5</v>
      </c>
      <c r="S21" s="12">
        <f t="shared" si="3"/>
        <v>5</v>
      </c>
      <c r="T21" s="12">
        <f t="shared" si="4"/>
        <v>0</v>
      </c>
      <c r="U21" s="12">
        <f t="shared" si="5"/>
        <v>1</v>
      </c>
      <c r="V21" s="12" t="str">
        <f t="shared" si="6"/>
        <v>11-15</v>
      </c>
      <c r="W21" s="20"/>
      <c r="X21" s="8" t="str">
        <f t="shared" si="7"/>
        <v>Smash+11-15</v>
      </c>
    </row>
    <row r="22" spans="2:24" x14ac:dyDescent="0.3">
      <c r="J22" s="8" t="s">
        <v>17</v>
      </c>
      <c r="K22" s="12" t="s">
        <v>136</v>
      </c>
      <c r="L22" s="12" t="s">
        <v>7</v>
      </c>
      <c r="M22" s="12" t="str">
        <f t="shared" si="0"/>
        <v>홍길동</v>
      </c>
      <c r="N22" s="12">
        <f t="shared" si="8"/>
        <v>7</v>
      </c>
      <c r="O22" s="12" t="s">
        <v>34</v>
      </c>
      <c r="P22" s="12">
        <f t="shared" si="9"/>
        <v>13</v>
      </c>
      <c r="Q22" s="12">
        <f t="shared" si="1"/>
        <v>3</v>
      </c>
      <c r="R22" s="12">
        <f t="shared" si="2"/>
        <v>-6</v>
      </c>
      <c r="S22" s="12">
        <f t="shared" si="3"/>
        <v>6</v>
      </c>
      <c r="T22" s="12">
        <f t="shared" si="4"/>
        <v>0</v>
      </c>
      <c r="U22" s="12">
        <f t="shared" si="5"/>
        <v>1</v>
      </c>
      <c r="V22" s="12" t="str">
        <f t="shared" si="6"/>
        <v>11-15</v>
      </c>
      <c r="W22" s="20"/>
      <c r="X22" s="8" t="str">
        <f t="shared" si="7"/>
        <v>Drop+11-15</v>
      </c>
    </row>
    <row r="23" spans="2:24" x14ac:dyDescent="0.3">
      <c r="J23" s="8" t="s">
        <v>17</v>
      </c>
      <c r="K23" s="12" t="s">
        <v>132</v>
      </c>
      <c r="L23" s="12" t="s">
        <v>7</v>
      </c>
      <c r="M23" s="12" t="str">
        <f t="shared" si="0"/>
        <v>홍길동</v>
      </c>
      <c r="N23" s="12">
        <f t="shared" si="8"/>
        <v>7</v>
      </c>
      <c r="O23" s="12" t="s">
        <v>34</v>
      </c>
      <c r="P23" s="12">
        <f t="shared" si="9"/>
        <v>14</v>
      </c>
      <c r="Q23" s="12">
        <f t="shared" si="1"/>
        <v>3</v>
      </c>
      <c r="R23" s="12">
        <f t="shared" si="2"/>
        <v>-7</v>
      </c>
      <c r="S23" s="12">
        <f t="shared" si="3"/>
        <v>7</v>
      </c>
      <c r="T23" s="12">
        <f t="shared" si="4"/>
        <v>0</v>
      </c>
      <c r="U23" s="12">
        <f t="shared" si="5"/>
        <v>1</v>
      </c>
      <c r="V23" s="12" t="str">
        <f t="shared" si="6"/>
        <v>11-15</v>
      </c>
      <c r="W23" s="20"/>
      <c r="X23" s="8" t="str">
        <f t="shared" si="7"/>
        <v>HairPin+11-15</v>
      </c>
    </row>
    <row r="24" spans="2:24" x14ac:dyDescent="0.3">
      <c r="J24" s="8" t="s">
        <v>17</v>
      </c>
      <c r="K24" s="12" t="s">
        <v>134</v>
      </c>
      <c r="L24" s="12" t="s">
        <v>7</v>
      </c>
      <c r="M24" s="12" t="str">
        <f t="shared" si="0"/>
        <v>홍길동</v>
      </c>
      <c r="N24" s="12">
        <f t="shared" si="8"/>
        <v>7</v>
      </c>
      <c r="O24" s="12" t="s">
        <v>34</v>
      </c>
      <c r="P24" s="12">
        <f t="shared" si="9"/>
        <v>15</v>
      </c>
      <c r="Q24" s="12">
        <f t="shared" si="1"/>
        <v>3</v>
      </c>
      <c r="R24" s="12">
        <f t="shared" si="2"/>
        <v>-8</v>
      </c>
      <c r="S24" s="12">
        <f t="shared" si="3"/>
        <v>8</v>
      </c>
      <c r="T24" s="12">
        <f t="shared" si="4"/>
        <v>0</v>
      </c>
      <c r="U24" s="12">
        <f t="shared" si="5"/>
        <v>1</v>
      </c>
      <c r="V24" s="12" t="str">
        <f t="shared" si="6"/>
        <v>11-15</v>
      </c>
      <c r="W24" s="20"/>
      <c r="X24" s="8" t="str">
        <f>IF(V24=0,K24,IF(V24="0-5",K24&amp;"+0-5",IF(V24="6-10",K24&amp;"+6-10",IF(V24="11-15",K24&amp;"+11-15",IF(V24="16-20",K24&amp;"+16-20",IF(V24="21-",K24&amp;"+21-",""))))))</f>
        <v>Smash+11-15</v>
      </c>
    </row>
    <row r="25" spans="2:24" x14ac:dyDescent="0.3">
      <c r="J25" s="8" t="s">
        <v>17</v>
      </c>
      <c r="K25" s="12" t="s">
        <v>134</v>
      </c>
      <c r="L25" s="12" t="s">
        <v>7</v>
      </c>
      <c r="M25" s="12" t="str">
        <f t="shared" si="0"/>
        <v>홍길동</v>
      </c>
      <c r="N25" s="12">
        <f t="shared" si="8"/>
        <v>7</v>
      </c>
      <c r="O25" s="12" t="s">
        <v>34</v>
      </c>
      <c r="P25" s="12">
        <f t="shared" si="9"/>
        <v>16</v>
      </c>
      <c r="Q25" s="12">
        <f t="shared" si="1"/>
        <v>4</v>
      </c>
      <c r="R25" s="12">
        <f t="shared" si="2"/>
        <v>-9</v>
      </c>
      <c r="S25" s="12">
        <f t="shared" si="3"/>
        <v>9</v>
      </c>
      <c r="T25" s="12">
        <f t="shared" si="4"/>
        <v>0</v>
      </c>
      <c r="U25" s="12">
        <f t="shared" si="5"/>
        <v>1</v>
      </c>
      <c r="V25" s="12" t="str">
        <f t="shared" si="6"/>
        <v>16-20</v>
      </c>
      <c r="W25" s="20"/>
      <c r="X25" s="8" t="str">
        <f t="shared" si="7"/>
        <v>Smash+16-20</v>
      </c>
    </row>
    <row r="26" spans="2:24" x14ac:dyDescent="0.3">
      <c r="J26" s="8" t="s">
        <v>17</v>
      </c>
      <c r="K26" s="12" t="s">
        <v>132</v>
      </c>
      <c r="L26" s="12" t="s">
        <v>7</v>
      </c>
      <c r="M26" s="12" t="str">
        <f t="shared" si="0"/>
        <v>홍길동</v>
      </c>
      <c r="N26" s="12">
        <f t="shared" si="8"/>
        <v>7</v>
      </c>
      <c r="O26" s="12" t="s">
        <v>34</v>
      </c>
      <c r="P26" s="12">
        <f t="shared" si="9"/>
        <v>17</v>
      </c>
      <c r="Q26" s="12">
        <f t="shared" si="1"/>
        <v>4</v>
      </c>
      <c r="R26" s="12">
        <f t="shared" si="2"/>
        <v>-10</v>
      </c>
      <c r="S26" s="12">
        <f t="shared" si="3"/>
        <v>10</v>
      </c>
      <c r="T26" s="12">
        <f t="shared" si="4"/>
        <v>0</v>
      </c>
      <c r="U26" s="12">
        <f t="shared" si="5"/>
        <v>1</v>
      </c>
      <c r="V26" s="12" t="str">
        <f t="shared" si="6"/>
        <v>16-20</v>
      </c>
      <c r="W26" s="20"/>
      <c r="X26" s="8" t="str">
        <f t="shared" si="7"/>
        <v>HairPin+16-20</v>
      </c>
    </row>
    <row r="27" spans="2:24" x14ac:dyDescent="0.3">
      <c r="J27" s="8" t="s">
        <v>17</v>
      </c>
      <c r="K27" s="12" t="s">
        <v>134</v>
      </c>
      <c r="L27" s="12" t="s">
        <v>7</v>
      </c>
      <c r="M27" s="12" t="str">
        <f t="shared" si="0"/>
        <v>홍길동</v>
      </c>
      <c r="N27" s="12">
        <f t="shared" si="8"/>
        <v>7</v>
      </c>
      <c r="O27" s="12" t="s">
        <v>34</v>
      </c>
      <c r="P27" s="12">
        <f t="shared" si="9"/>
        <v>18</v>
      </c>
      <c r="Q27" s="12">
        <f t="shared" si="1"/>
        <v>4</v>
      </c>
      <c r="R27" s="12">
        <f t="shared" si="2"/>
        <v>-11</v>
      </c>
      <c r="S27" s="12">
        <f t="shared" si="3"/>
        <v>11</v>
      </c>
      <c r="T27" s="12">
        <f t="shared" si="4"/>
        <v>0</v>
      </c>
      <c r="U27" s="12">
        <f t="shared" si="5"/>
        <v>1</v>
      </c>
      <c r="V27" s="12" t="str">
        <f t="shared" si="6"/>
        <v>16-20</v>
      </c>
      <c r="W27" s="20"/>
      <c r="X27" s="8" t="str">
        <f t="shared" si="7"/>
        <v>Smash+16-20</v>
      </c>
    </row>
    <row r="28" spans="2:24" x14ac:dyDescent="0.3">
      <c r="J28" s="8" t="s">
        <v>15</v>
      </c>
      <c r="K28" s="12" t="s">
        <v>133</v>
      </c>
      <c r="L28" s="12" t="s">
        <v>7</v>
      </c>
      <c r="M28" s="12" t="str">
        <f t="shared" si="0"/>
        <v>최짱구</v>
      </c>
      <c r="N28" s="12">
        <f t="shared" si="8"/>
        <v>8</v>
      </c>
      <c r="O28" s="12" t="s">
        <v>34</v>
      </c>
      <c r="P28" s="12">
        <f t="shared" si="9"/>
        <v>18</v>
      </c>
      <c r="Q28" s="12">
        <f>IF(AND(N28&lt;=0,P28&lt;=0),"",IF(AND(N28&lt;=5,P28&lt;=5),1,IF(AND(N28&lt;=10,P28&lt;=10),2,IF(AND(N28&lt;=15,P28&lt;=15),3,IF(AND(N28&lt;=20,P28&lt;=20),4,IF(AND(N28&lt;=30,P28&lt;=30),5,""))))))</f>
        <v>4</v>
      </c>
      <c r="R28" s="12">
        <f t="shared" si="2"/>
        <v>-10</v>
      </c>
      <c r="S28" s="12">
        <f t="shared" si="3"/>
        <v>10</v>
      </c>
      <c r="T28" s="12">
        <f t="shared" si="4"/>
        <v>0</v>
      </c>
      <c r="U28" s="12">
        <f t="shared" si="5"/>
        <v>1</v>
      </c>
      <c r="V28" s="12" t="str">
        <f t="shared" si="6"/>
        <v>16-20</v>
      </c>
      <c r="W28" s="20"/>
      <c r="X28" s="8" t="str">
        <f t="shared" si="7"/>
        <v>Push+16-20</v>
      </c>
    </row>
    <row r="29" spans="2:24" x14ac:dyDescent="0.3">
      <c r="J29" s="8" t="s">
        <v>15</v>
      </c>
      <c r="K29" s="12" t="s">
        <v>130</v>
      </c>
      <c r="L29" s="12" t="s">
        <v>7</v>
      </c>
      <c r="M29" s="12" t="str">
        <f t="shared" si="0"/>
        <v>최짱구</v>
      </c>
      <c r="N29" s="12">
        <f t="shared" si="8"/>
        <v>9</v>
      </c>
      <c r="O29" s="12" t="s">
        <v>34</v>
      </c>
      <c r="P29" s="12">
        <f t="shared" si="9"/>
        <v>18</v>
      </c>
      <c r="Q29" s="12">
        <f>IF(AND(N29&lt;=0,P29&lt;=0),"",IF(AND(N29&lt;=5,P29&lt;=5),1,IF(AND(N29&lt;=10,P29&lt;=10),2,IF(AND(N29&lt;=15,P29&lt;=15),3,IF(AND(N29&lt;=20,P29&lt;=20),4,IF(AND(N29&lt;=30,P29&lt;=30),5,""))))))</f>
        <v>4</v>
      </c>
      <c r="R29" s="12">
        <f t="shared" si="2"/>
        <v>-9</v>
      </c>
      <c r="S29" s="12">
        <f t="shared" si="3"/>
        <v>9</v>
      </c>
      <c r="T29" s="12">
        <f t="shared" si="4"/>
        <v>0</v>
      </c>
      <c r="U29" s="12">
        <f t="shared" si="5"/>
        <v>1</v>
      </c>
      <c r="V29" s="12" t="str">
        <f t="shared" si="6"/>
        <v>16-20</v>
      </c>
      <c r="W29" s="20"/>
      <c r="X29" s="8" t="str">
        <f t="shared" si="7"/>
        <v>U.Clear+16-20</v>
      </c>
    </row>
    <row r="30" spans="2:24" x14ac:dyDescent="0.3">
      <c r="J30" s="8" t="s">
        <v>15</v>
      </c>
      <c r="K30" s="12" t="s">
        <v>130</v>
      </c>
      <c r="L30" s="12" t="s">
        <v>7</v>
      </c>
      <c r="M30" s="12" t="str">
        <f t="shared" si="0"/>
        <v>최짱구</v>
      </c>
      <c r="N30" s="12">
        <f t="shared" si="8"/>
        <v>10</v>
      </c>
      <c r="O30" s="12" t="s">
        <v>34</v>
      </c>
      <c r="P30" s="12">
        <f t="shared" si="9"/>
        <v>18</v>
      </c>
      <c r="Q30" s="12">
        <f t="shared" ref="Q30:Q50" si="10">IF(AND(N30&lt;=0,P30&lt;=0),"",IF(AND(N30&lt;=5,P30&lt;=5),1,IF(AND(N30&lt;=10,P30&lt;=10),2,IF(AND(N30&lt;=15,P30&lt;=15),3,IF(AND(N30&lt;=20,P30&lt;=20),4,IF(AND(N30&lt;=30,P30&lt;=30),5,""))))))</f>
        <v>4</v>
      </c>
      <c r="R30" s="12">
        <f t="shared" si="2"/>
        <v>-8</v>
      </c>
      <c r="S30" s="12">
        <f t="shared" si="3"/>
        <v>8</v>
      </c>
      <c r="T30" s="12">
        <f t="shared" si="4"/>
        <v>0</v>
      </c>
      <c r="U30" s="12">
        <f t="shared" si="5"/>
        <v>1</v>
      </c>
      <c r="V30" s="12" t="str">
        <f t="shared" si="6"/>
        <v>16-20</v>
      </c>
      <c r="W30" s="20"/>
      <c r="X30" s="8" t="str">
        <f t="shared" si="7"/>
        <v>U.Clear+16-20</v>
      </c>
    </row>
    <row r="31" spans="2:24" x14ac:dyDescent="0.3">
      <c r="J31" s="8" t="s">
        <v>17</v>
      </c>
      <c r="K31" s="12" t="s">
        <v>134</v>
      </c>
      <c r="L31" s="12" t="s">
        <v>7</v>
      </c>
      <c r="M31" s="12" t="str">
        <f t="shared" si="0"/>
        <v>홍길동</v>
      </c>
      <c r="N31" s="12">
        <f t="shared" si="8"/>
        <v>10</v>
      </c>
      <c r="O31" s="12" t="s">
        <v>34</v>
      </c>
      <c r="P31" s="12">
        <f t="shared" si="9"/>
        <v>19</v>
      </c>
      <c r="Q31" s="12">
        <f t="shared" si="10"/>
        <v>4</v>
      </c>
      <c r="R31" s="12">
        <f t="shared" si="2"/>
        <v>-9</v>
      </c>
      <c r="S31" s="12">
        <f t="shared" si="3"/>
        <v>9</v>
      </c>
      <c r="T31" s="12">
        <f t="shared" si="4"/>
        <v>0</v>
      </c>
      <c r="U31" s="12">
        <f t="shared" si="5"/>
        <v>1</v>
      </c>
      <c r="V31" s="12" t="str">
        <f t="shared" si="6"/>
        <v>16-20</v>
      </c>
      <c r="W31" s="20"/>
      <c r="X31" s="8" t="str">
        <f t="shared" si="7"/>
        <v>Smash+16-20</v>
      </c>
    </row>
    <row r="32" spans="2:24" x14ac:dyDescent="0.3">
      <c r="J32" s="8" t="s">
        <v>17</v>
      </c>
      <c r="K32" s="12" t="s">
        <v>133</v>
      </c>
      <c r="L32" s="12" t="s">
        <v>7</v>
      </c>
      <c r="M32" s="12" t="str">
        <f t="shared" si="0"/>
        <v>홍길동</v>
      </c>
      <c r="N32" s="12">
        <f t="shared" si="8"/>
        <v>10</v>
      </c>
      <c r="O32" s="12" t="s">
        <v>34</v>
      </c>
      <c r="P32" s="12">
        <f t="shared" si="9"/>
        <v>20</v>
      </c>
      <c r="Q32" s="12">
        <f t="shared" si="10"/>
        <v>4</v>
      </c>
      <c r="R32" s="12">
        <f t="shared" si="2"/>
        <v>-10</v>
      </c>
      <c r="S32" s="12">
        <f t="shared" si="3"/>
        <v>10</v>
      </c>
      <c r="T32" s="12">
        <f t="shared" si="4"/>
        <v>0</v>
      </c>
      <c r="U32" s="12">
        <f t="shared" si="5"/>
        <v>1</v>
      </c>
      <c r="V32" s="12" t="str">
        <f t="shared" si="6"/>
        <v>16-20</v>
      </c>
      <c r="W32" s="20"/>
      <c r="X32" s="8" t="str">
        <f t="shared" si="7"/>
        <v>Push+16-20</v>
      </c>
    </row>
    <row r="33" spans="10:24" x14ac:dyDescent="0.3">
      <c r="J33" s="8" t="s">
        <v>15</v>
      </c>
      <c r="K33" s="12" t="s">
        <v>132</v>
      </c>
      <c r="L33" s="12" t="s">
        <v>7</v>
      </c>
      <c r="M33" s="12" t="str">
        <f t="shared" si="0"/>
        <v>최짱구</v>
      </c>
      <c r="N33" s="12">
        <f t="shared" si="8"/>
        <v>11</v>
      </c>
      <c r="O33" s="12" t="s">
        <v>34</v>
      </c>
      <c r="P33" s="12">
        <f t="shared" si="9"/>
        <v>20</v>
      </c>
      <c r="Q33" s="12">
        <f t="shared" si="10"/>
        <v>4</v>
      </c>
      <c r="R33" s="12">
        <f t="shared" si="2"/>
        <v>-9</v>
      </c>
      <c r="S33" s="12">
        <f t="shared" si="3"/>
        <v>9</v>
      </c>
      <c r="T33" s="12">
        <f t="shared" si="4"/>
        <v>0</v>
      </c>
      <c r="U33" s="12">
        <f t="shared" si="5"/>
        <v>1</v>
      </c>
      <c r="V33" s="12" t="str">
        <f t="shared" si="6"/>
        <v>16-20</v>
      </c>
      <c r="W33" s="20"/>
      <c r="X33" s="8" t="str">
        <f>IF(V33=0,K33,IF(V33="0-5",K33&amp;"+0-5",IF(V33="6-10",K33&amp;"+6-10",IF(V33="11-15",K33&amp;"+11-15",IF(V33="16-20",K33&amp;"+16-20",IF(V33="21-",K33&amp;"+21-",""))))))</f>
        <v>HairPin+16-20</v>
      </c>
    </row>
    <row r="34" spans="10:24" x14ac:dyDescent="0.3">
      <c r="J34" s="8" t="s">
        <v>17</v>
      </c>
      <c r="K34" s="12" t="s">
        <v>133</v>
      </c>
      <c r="L34" s="12" t="s">
        <v>7</v>
      </c>
      <c r="M34" s="12" t="str">
        <f t="shared" si="0"/>
        <v>홍길동</v>
      </c>
      <c r="N34" s="12">
        <f t="shared" si="8"/>
        <v>11</v>
      </c>
      <c r="O34" s="12" t="s">
        <v>34</v>
      </c>
      <c r="P34" s="12">
        <f t="shared" si="9"/>
        <v>21</v>
      </c>
      <c r="Q34" s="12">
        <f t="shared" si="10"/>
        <v>5</v>
      </c>
      <c r="R34" s="12">
        <f t="shared" si="2"/>
        <v>-10</v>
      </c>
      <c r="S34" s="12">
        <f t="shared" si="3"/>
        <v>10</v>
      </c>
      <c r="T34" s="12">
        <f t="shared" si="4"/>
        <v>0</v>
      </c>
      <c r="U34" s="12">
        <f t="shared" si="5"/>
        <v>1</v>
      </c>
      <c r="V34" s="12" t="str">
        <f t="shared" si="6"/>
        <v>21-</v>
      </c>
      <c r="W34" s="20"/>
      <c r="X34" s="8" t="str">
        <f t="shared" si="7"/>
        <v>Push+21-</v>
      </c>
    </row>
    <row r="35" spans="10:24" x14ac:dyDescent="0.3">
      <c r="J35" s="12"/>
      <c r="K35" s="12"/>
      <c r="L35" s="12"/>
      <c r="M35" s="12" t="str">
        <f t="shared" si="0"/>
        <v/>
      </c>
      <c r="N35" s="12"/>
      <c r="O35" s="12" t="s">
        <v>34</v>
      </c>
      <c r="P35" s="12"/>
      <c r="Q35" s="12" t="str">
        <f t="shared" si="10"/>
        <v/>
      </c>
      <c r="R35" s="12">
        <f t="shared" si="2"/>
        <v>0</v>
      </c>
      <c r="S35" s="12">
        <f t="shared" si="3"/>
        <v>0</v>
      </c>
      <c r="T35" s="12">
        <f t="shared" si="4"/>
        <v>0</v>
      </c>
      <c r="U35" s="12">
        <f t="shared" si="5"/>
        <v>0</v>
      </c>
      <c r="V35" s="12">
        <f t="shared" si="6"/>
        <v>0</v>
      </c>
      <c r="W35" s="20"/>
      <c r="X35" s="8">
        <f t="shared" si="7"/>
        <v>0</v>
      </c>
    </row>
    <row r="36" spans="10:24" x14ac:dyDescent="0.3">
      <c r="J36" s="12"/>
      <c r="K36" s="12"/>
      <c r="L36" s="12"/>
      <c r="M36" s="12" t="str">
        <f t="shared" si="0"/>
        <v/>
      </c>
      <c r="N36" s="12"/>
      <c r="O36" s="12" t="s">
        <v>34</v>
      </c>
      <c r="P36" s="12"/>
      <c r="Q36" s="12" t="str">
        <f t="shared" si="10"/>
        <v/>
      </c>
      <c r="R36" s="12">
        <f t="shared" si="2"/>
        <v>0</v>
      </c>
      <c r="S36" s="12">
        <f t="shared" si="3"/>
        <v>0</v>
      </c>
      <c r="T36" s="12">
        <f t="shared" si="4"/>
        <v>0</v>
      </c>
      <c r="U36" s="12">
        <f t="shared" si="5"/>
        <v>0</v>
      </c>
      <c r="V36" s="12">
        <f t="shared" si="6"/>
        <v>0</v>
      </c>
      <c r="W36" s="20"/>
      <c r="X36" s="8">
        <f t="shared" si="7"/>
        <v>0</v>
      </c>
    </row>
    <row r="37" spans="10:24" x14ac:dyDescent="0.3">
      <c r="J37" s="12"/>
      <c r="K37" s="12"/>
      <c r="L37" s="12"/>
      <c r="M37" s="12" t="str">
        <f t="shared" si="0"/>
        <v/>
      </c>
      <c r="N37" s="12"/>
      <c r="O37" s="12" t="s">
        <v>34</v>
      </c>
      <c r="P37" s="12"/>
      <c r="Q37" s="12" t="str">
        <f t="shared" si="10"/>
        <v/>
      </c>
      <c r="R37" s="12">
        <f t="shared" si="2"/>
        <v>0</v>
      </c>
      <c r="S37" s="12">
        <f t="shared" si="3"/>
        <v>0</v>
      </c>
      <c r="T37" s="12">
        <f t="shared" si="4"/>
        <v>0</v>
      </c>
      <c r="U37" s="12">
        <f t="shared" si="5"/>
        <v>0</v>
      </c>
      <c r="V37" s="12">
        <f t="shared" si="6"/>
        <v>0</v>
      </c>
      <c r="W37" s="20"/>
      <c r="X37" s="8">
        <f t="shared" si="7"/>
        <v>0</v>
      </c>
    </row>
    <row r="38" spans="10:24" x14ac:dyDescent="0.3">
      <c r="J38" s="12"/>
      <c r="K38" s="12"/>
      <c r="L38" s="12"/>
      <c r="M38" s="12" t="str">
        <f t="shared" si="0"/>
        <v/>
      </c>
      <c r="N38" s="12"/>
      <c r="O38" s="12" t="s">
        <v>34</v>
      </c>
      <c r="P38" s="12"/>
      <c r="Q38" s="12" t="str">
        <f t="shared" si="10"/>
        <v/>
      </c>
      <c r="R38" s="12">
        <f t="shared" si="2"/>
        <v>0</v>
      </c>
      <c r="S38" s="12">
        <f t="shared" si="3"/>
        <v>0</v>
      </c>
      <c r="T38" s="12">
        <f t="shared" si="4"/>
        <v>0</v>
      </c>
      <c r="U38" s="12">
        <f t="shared" si="5"/>
        <v>0</v>
      </c>
      <c r="V38" s="12">
        <f t="shared" si="6"/>
        <v>0</v>
      </c>
      <c r="W38" s="20"/>
      <c r="X38" s="8">
        <f t="shared" si="7"/>
        <v>0</v>
      </c>
    </row>
    <row r="39" spans="10:24" x14ac:dyDescent="0.3">
      <c r="J39" s="12"/>
      <c r="K39" s="12"/>
      <c r="L39" s="12"/>
      <c r="M39" s="12" t="str">
        <f t="shared" si="0"/>
        <v/>
      </c>
      <c r="N39" s="12"/>
      <c r="O39" s="12" t="s">
        <v>34</v>
      </c>
      <c r="P39" s="12"/>
      <c r="Q39" s="12" t="str">
        <f t="shared" si="10"/>
        <v/>
      </c>
      <c r="R39" s="12">
        <f t="shared" si="2"/>
        <v>0</v>
      </c>
      <c r="S39" s="12">
        <f t="shared" si="3"/>
        <v>0</v>
      </c>
      <c r="T39" s="12">
        <f t="shared" si="4"/>
        <v>0</v>
      </c>
      <c r="U39" s="12">
        <f t="shared" si="5"/>
        <v>0</v>
      </c>
      <c r="V39" s="12">
        <f t="shared" si="6"/>
        <v>0</v>
      </c>
      <c r="W39" s="20"/>
      <c r="X39" s="8">
        <f t="shared" si="7"/>
        <v>0</v>
      </c>
    </row>
    <row r="40" spans="10:24" x14ac:dyDescent="0.3">
      <c r="J40" s="12"/>
      <c r="K40" s="12"/>
      <c r="L40" s="12"/>
      <c r="M40" s="12" t="str">
        <f t="shared" si="0"/>
        <v/>
      </c>
      <c r="N40" s="12"/>
      <c r="O40" s="12" t="s">
        <v>34</v>
      </c>
      <c r="P40" s="12"/>
      <c r="Q40" s="12" t="str">
        <f t="shared" si="10"/>
        <v/>
      </c>
      <c r="R40" s="12">
        <f t="shared" si="2"/>
        <v>0</v>
      </c>
      <c r="S40" s="12">
        <f t="shared" si="3"/>
        <v>0</v>
      </c>
      <c r="T40" s="12">
        <f t="shared" si="4"/>
        <v>0</v>
      </c>
      <c r="U40" s="12">
        <f t="shared" si="5"/>
        <v>0</v>
      </c>
      <c r="V40" s="12">
        <f t="shared" si="6"/>
        <v>0</v>
      </c>
      <c r="W40" s="20"/>
      <c r="X40" s="8">
        <f t="shared" si="7"/>
        <v>0</v>
      </c>
    </row>
    <row r="41" spans="10:24" x14ac:dyDescent="0.3">
      <c r="J41" s="12"/>
      <c r="K41" s="12"/>
      <c r="L41" s="12"/>
      <c r="M41" s="12" t="str">
        <f t="shared" si="0"/>
        <v/>
      </c>
      <c r="N41" s="12"/>
      <c r="O41" s="12" t="s">
        <v>34</v>
      </c>
      <c r="P41" s="12"/>
      <c r="Q41" s="12" t="str">
        <f t="shared" si="10"/>
        <v/>
      </c>
      <c r="R41" s="12">
        <f t="shared" si="2"/>
        <v>0</v>
      </c>
      <c r="S41" s="12">
        <f t="shared" si="3"/>
        <v>0</v>
      </c>
      <c r="T41" s="12">
        <f t="shared" si="4"/>
        <v>0</v>
      </c>
      <c r="U41" s="12">
        <f t="shared" si="5"/>
        <v>0</v>
      </c>
      <c r="V41" s="12">
        <f t="shared" si="6"/>
        <v>0</v>
      </c>
      <c r="W41" s="20"/>
      <c r="X41" s="8">
        <f t="shared" si="7"/>
        <v>0</v>
      </c>
    </row>
    <row r="42" spans="10:24" x14ac:dyDescent="0.3">
      <c r="J42" s="12"/>
      <c r="K42" s="12"/>
      <c r="L42" s="12"/>
      <c r="M42" s="12" t="str">
        <f t="shared" si="0"/>
        <v/>
      </c>
      <c r="N42" s="12"/>
      <c r="O42" s="12" t="s">
        <v>34</v>
      </c>
      <c r="P42" s="12"/>
      <c r="Q42" s="12" t="str">
        <f t="shared" si="10"/>
        <v/>
      </c>
      <c r="R42" s="12">
        <f t="shared" si="2"/>
        <v>0</v>
      </c>
      <c r="S42" s="12">
        <f t="shared" si="3"/>
        <v>0</v>
      </c>
      <c r="T42" s="12">
        <f t="shared" si="4"/>
        <v>0</v>
      </c>
      <c r="U42" s="12">
        <f t="shared" si="5"/>
        <v>0</v>
      </c>
      <c r="V42" s="12">
        <f t="shared" si="6"/>
        <v>0</v>
      </c>
      <c r="W42" s="20"/>
      <c r="X42" s="8">
        <f t="shared" si="7"/>
        <v>0</v>
      </c>
    </row>
    <row r="43" spans="10:24" x14ac:dyDescent="0.3">
      <c r="J43" s="12"/>
      <c r="K43" s="12"/>
      <c r="L43" s="12"/>
      <c r="M43" s="12" t="str">
        <f t="shared" si="0"/>
        <v/>
      </c>
      <c r="N43" s="12"/>
      <c r="O43" s="12" t="s">
        <v>34</v>
      </c>
      <c r="P43" s="12"/>
      <c r="Q43" s="12" t="str">
        <f t="shared" si="10"/>
        <v/>
      </c>
      <c r="R43" s="12">
        <f t="shared" si="2"/>
        <v>0</v>
      </c>
      <c r="S43" s="12">
        <f t="shared" si="3"/>
        <v>0</v>
      </c>
      <c r="T43" s="12">
        <f t="shared" si="4"/>
        <v>0</v>
      </c>
      <c r="U43" s="12">
        <f t="shared" si="5"/>
        <v>0</v>
      </c>
      <c r="V43" s="12">
        <f t="shared" si="6"/>
        <v>0</v>
      </c>
      <c r="W43" s="20"/>
      <c r="X43" s="8">
        <f t="shared" si="7"/>
        <v>0</v>
      </c>
    </row>
    <row r="44" spans="10:24" x14ac:dyDescent="0.3">
      <c r="J44" s="12"/>
      <c r="K44" s="12"/>
      <c r="L44" s="12"/>
      <c r="M44" s="12" t="str">
        <f t="shared" si="0"/>
        <v/>
      </c>
      <c r="N44" s="12"/>
      <c r="O44" s="12" t="s">
        <v>34</v>
      </c>
      <c r="P44" s="12"/>
      <c r="Q44" s="12" t="str">
        <f t="shared" si="10"/>
        <v/>
      </c>
      <c r="R44" s="12">
        <f t="shared" si="2"/>
        <v>0</v>
      </c>
      <c r="S44" s="12">
        <f t="shared" si="3"/>
        <v>0</v>
      </c>
      <c r="T44" s="12">
        <f t="shared" si="4"/>
        <v>0</v>
      </c>
      <c r="U44" s="12">
        <f t="shared" si="5"/>
        <v>0</v>
      </c>
      <c r="V44" s="12">
        <f t="shared" si="6"/>
        <v>0</v>
      </c>
      <c r="W44" s="20"/>
      <c r="X44" s="8">
        <f t="shared" si="7"/>
        <v>0</v>
      </c>
    </row>
    <row r="45" spans="10:24" x14ac:dyDescent="0.3">
      <c r="J45" s="12"/>
      <c r="K45" s="12"/>
      <c r="L45" s="12"/>
      <c r="M45" s="12" t="str">
        <f t="shared" si="0"/>
        <v/>
      </c>
      <c r="N45" s="12"/>
      <c r="O45" s="12" t="s">
        <v>34</v>
      </c>
      <c r="P45" s="12"/>
      <c r="Q45" s="12" t="str">
        <f t="shared" si="10"/>
        <v/>
      </c>
      <c r="R45" s="12">
        <f t="shared" si="2"/>
        <v>0</v>
      </c>
      <c r="S45" s="12">
        <f t="shared" si="3"/>
        <v>0</v>
      </c>
      <c r="T45" s="12">
        <f t="shared" si="4"/>
        <v>0</v>
      </c>
      <c r="U45" s="12">
        <f t="shared" si="5"/>
        <v>0</v>
      </c>
      <c r="V45" s="12">
        <f t="shared" si="6"/>
        <v>0</v>
      </c>
      <c r="W45" s="20"/>
      <c r="X45" s="8">
        <f t="shared" si="7"/>
        <v>0</v>
      </c>
    </row>
    <row r="46" spans="10:24" x14ac:dyDescent="0.3">
      <c r="J46" s="12"/>
      <c r="K46" s="12"/>
      <c r="L46" s="12"/>
      <c r="M46" s="12" t="str">
        <f t="shared" si="0"/>
        <v/>
      </c>
      <c r="N46" s="12"/>
      <c r="O46" s="12" t="s">
        <v>34</v>
      </c>
      <c r="P46" s="12"/>
      <c r="Q46" s="12" t="str">
        <f t="shared" si="10"/>
        <v/>
      </c>
      <c r="R46" s="12">
        <f t="shared" si="2"/>
        <v>0</v>
      </c>
      <c r="S46" s="12">
        <f t="shared" si="3"/>
        <v>0</v>
      </c>
      <c r="T46" s="12">
        <f t="shared" si="4"/>
        <v>0</v>
      </c>
      <c r="U46" s="12">
        <f t="shared" si="5"/>
        <v>0</v>
      </c>
      <c r="V46" s="12">
        <f t="shared" si="6"/>
        <v>0</v>
      </c>
      <c r="W46" s="20"/>
      <c r="X46" s="8">
        <f t="shared" si="7"/>
        <v>0</v>
      </c>
    </row>
    <row r="47" spans="10:24" x14ac:dyDescent="0.3">
      <c r="J47" s="12"/>
      <c r="K47" s="12"/>
      <c r="L47" s="12"/>
      <c r="M47" s="12" t="str">
        <f t="shared" si="0"/>
        <v/>
      </c>
      <c r="N47" s="12"/>
      <c r="O47" s="12" t="s">
        <v>34</v>
      </c>
      <c r="P47" s="12"/>
      <c r="Q47" s="12" t="str">
        <f t="shared" si="10"/>
        <v/>
      </c>
      <c r="R47" s="12">
        <f t="shared" si="2"/>
        <v>0</v>
      </c>
      <c r="S47" s="12">
        <f t="shared" si="3"/>
        <v>0</v>
      </c>
      <c r="T47" s="12">
        <f t="shared" si="4"/>
        <v>0</v>
      </c>
      <c r="U47" s="12">
        <f t="shared" si="5"/>
        <v>0</v>
      </c>
      <c r="V47" s="12">
        <f t="shared" si="6"/>
        <v>0</v>
      </c>
      <c r="W47" s="20"/>
      <c r="X47" s="8">
        <f t="shared" si="7"/>
        <v>0</v>
      </c>
    </row>
    <row r="48" spans="10:24" x14ac:dyDescent="0.3">
      <c r="J48" s="12"/>
      <c r="K48" s="12"/>
      <c r="L48" s="12"/>
      <c r="M48" s="12" t="str">
        <f t="shared" si="0"/>
        <v/>
      </c>
      <c r="N48" s="12"/>
      <c r="O48" s="12" t="s">
        <v>34</v>
      </c>
      <c r="P48" s="12"/>
      <c r="Q48" s="12" t="str">
        <f t="shared" si="10"/>
        <v/>
      </c>
      <c r="R48" s="12">
        <f t="shared" si="2"/>
        <v>0</v>
      </c>
      <c r="S48" s="12">
        <f t="shared" si="3"/>
        <v>0</v>
      </c>
      <c r="T48" s="12">
        <f t="shared" si="4"/>
        <v>0</v>
      </c>
      <c r="U48" s="12">
        <f t="shared" si="5"/>
        <v>0</v>
      </c>
      <c r="V48" s="12">
        <f t="shared" si="6"/>
        <v>0</v>
      </c>
      <c r="W48" s="20"/>
      <c r="X48" s="8">
        <f t="shared" si="7"/>
        <v>0</v>
      </c>
    </row>
    <row r="49" spans="10:24" x14ac:dyDescent="0.3">
      <c r="J49" s="12"/>
      <c r="K49" s="12"/>
      <c r="L49" s="12"/>
      <c r="M49" s="12" t="str">
        <f t="shared" si="0"/>
        <v/>
      </c>
      <c r="N49" s="12"/>
      <c r="O49" s="12" t="s">
        <v>34</v>
      </c>
      <c r="P49" s="12"/>
      <c r="Q49" s="12" t="str">
        <f t="shared" si="10"/>
        <v/>
      </c>
      <c r="R49" s="12">
        <f t="shared" si="2"/>
        <v>0</v>
      </c>
      <c r="S49" s="12">
        <f t="shared" si="3"/>
        <v>0</v>
      </c>
      <c r="T49" s="12">
        <f t="shared" si="4"/>
        <v>0</v>
      </c>
      <c r="U49" s="12">
        <f t="shared" si="5"/>
        <v>0</v>
      </c>
      <c r="V49" s="12">
        <f t="shared" si="6"/>
        <v>0</v>
      </c>
      <c r="W49" s="20"/>
      <c r="X49" s="8">
        <f t="shared" si="7"/>
        <v>0</v>
      </c>
    </row>
    <row r="50" spans="10:24" x14ac:dyDescent="0.3">
      <c r="J50" s="12"/>
      <c r="K50" s="12"/>
      <c r="L50" s="12"/>
      <c r="M50" s="12" t="str">
        <f t="shared" si="0"/>
        <v/>
      </c>
      <c r="N50" s="12"/>
      <c r="O50" s="12" t="s">
        <v>34</v>
      </c>
      <c r="P50" s="12"/>
      <c r="Q50" s="12" t="str">
        <f t="shared" si="10"/>
        <v/>
      </c>
      <c r="R50" s="12">
        <f t="shared" si="2"/>
        <v>0</v>
      </c>
      <c r="S50" s="12">
        <f t="shared" si="3"/>
        <v>0</v>
      </c>
      <c r="T50" s="12">
        <f t="shared" si="4"/>
        <v>0</v>
      </c>
      <c r="U50" s="12">
        <f t="shared" si="5"/>
        <v>0</v>
      </c>
      <c r="V50" s="12">
        <f t="shared" si="6"/>
        <v>0</v>
      </c>
      <c r="W50" s="20"/>
      <c r="X50" s="8">
        <f t="shared" si="7"/>
        <v>0</v>
      </c>
    </row>
  </sheetData>
  <mergeCells count="7">
    <mergeCell ref="B19:G19"/>
    <mergeCell ref="C3:D3"/>
    <mergeCell ref="N1:V1"/>
    <mergeCell ref="J1:M1"/>
    <mergeCell ref="X1:X2"/>
    <mergeCell ref="E3:F3"/>
    <mergeCell ref="B9:G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06A-3C98-4614-8B26-1EC3A75C2A0C}">
  <sheetPr codeName="Sheet3"/>
  <dimension ref="A1:W51"/>
  <sheetViews>
    <sheetView workbookViewId="0">
      <selection activeCell="V11" sqref="V11"/>
    </sheetView>
  </sheetViews>
  <sheetFormatPr defaultRowHeight="16.5" x14ac:dyDescent="0.3"/>
  <cols>
    <col min="4" max="4" width="15.625" bestFit="1" customWidth="1"/>
    <col min="15" max="15" width="9.625" bestFit="1" customWidth="1"/>
    <col min="19" max="20" width="8.5" customWidth="1"/>
  </cols>
  <sheetData>
    <row r="1" spans="1:23" x14ac:dyDescent="0.3">
      <c r="A1" s="51" t="s">
        <v>35</v>
      </c>
      <c r="B1" s="51"/>
      <c r="C1" s="51"/>
      <c r="D1" s="55" t="s">
        <v>123</v>
      </c>
      <c r="E1" s="55"/>
      <c r="F1" s="55"/>
      <c r="G1" s="55"/>
      <c r="H1" s="55"/>
      <c r="I1" s="55"/>
      <c r="J1" s="55"/>
      <c r="K1" s="55"/>
      <c r="L1" s="55"/>
      <c r="M1" s="55"/>
      <c r="N1" s="56"/>
      <c r="O1" s="57" t="s">
        <v>126</v>
      </c>
      <c r="P1" s="55"/>
      <c r="Q1" s="55"/>
      <c r="R1" s="56"/>
      <c r="S1" s="54" t="s">
        <v>122</v>
      </c>
      <c r="T1" s="54"/>
      <c r="U1" s="51" t="s">
        <v>8</v>
      </c>
      <c r="V1" s="51"/>
      <c r="W1" s="51"/>
    </row>
    <row r="2" spans="1:23" x14ac:dyDescent="0.3">
      <c r="A2" s="47" t="str">
        <f>'Match Setup'!L3</f>
        <v>최짱구</v>
      </c>
      <c r="B2" s="47" t="s">
        <v>34</v>
      </c>
      <c r="C2" s="49" t="str">
        <f>'Match Setup'!M3</f>
        <v>홍길동</v>
      </c>
      <c r="D2" s="58" t="s">
        <v>114</v>
      </c>
      <c r="E2" s="58" t="s">
        <v>33</v>
      </c>
      <c r="F2" s="52" t="s">
        <v>115</v>
      </c>
      <c r="G2" s="52" t="s">
        <v>116</v>
      </c>
      <c r="H2" s="52" t="s">
        <v>117</v>
      </c>
      <c r="I2" s="52" t="s">
        <v>118</v>
      </c>
      <c r="J2" s="52" t="s">
        <v>120</v>
      </c>
      <c r="K2" s="53" t="s">
        <v>121</v>
      </c>
      <c r="L2" s="53" t="s">
        <v>124</v>
      </c>
      <c r="M2" s="53" t="s">
        <v>125</v>
      </c>
      <c r="N2" s="52" t="s">
        <v>119</v>
      </c>
      <c r="O2" s="28">
        <v>0.3</v>
      </c>
      <c r="P2" s="28">
        <v>0.1</v>
      </c>
      <c r="Q2" s="28">
        <v>0.05</v>
      </c>
      <c r="R2" s="28">
        <v>0.01</v>
      </c>
      <c r="S2" s="12" t="str">
        <f>'Match Setup'!L3</f>
        <v>최짱구</v>
      </c>
      <c r="T2" s="12" t="str">
        <f>'Match Setup'!M3</f>
        <v>홍길동</v>
      </c>
      <c r="U2" s="7" t="s">
        <v>11</v>
      </c>
      <c r="V2" s="7" t="s">
        <v>9</v>
      </c>
      <c r="W2" s="7" t="s">
        <v>10</v>
      </c>
    </row>
    <row r="3" spans="1:23" x14ac:dyDescent="0.3">
      <c r="A3" s="48"/>
      <c r="B3" s="48"/>
      <c r="C3" s="50"/>
      <c r="D3" s="58"/>
      <c r="E3" s="58"/>
      <c r="F3" s="52"/>
      <c r="G3" s="52"/>
      <c r="H3" s="52"/>
      <c r="I3" s="52"/>
      <c r="J3" s="52"/>
      <c r="K3" s="53"/>
      <c r="L3" s="53"/>
      <c r="M3" s="53"/>
      <c r="N3" s="52"/>
      <c r="O3" s="3" t="str">
        <f>IF(($S$3/$T$3)&gt;$V$3,$S$2&amp;"주도",IF(($S$3/$T$3)&lt;$W$3,$T$2&amp;"주도","접전"))</f>
        <v>접전</v>
      </c>
      <c r="P3" s="3" t="str">
        <f>IF(($S$3/$T$3)&gt;$V$4,"우세",IF(($S$3/$T$3)&lt;$W$4,"열세","접전"))</f>
        <v>접전</v>
      </c>
      <c r="Q3" s="3" t="str">
        <f>IF(($S$3/$T$3)&gt;$V$5,"승 유력",IF(($S$3/$T$3)&lt;$W$5,"패 유력","접전"))</f>
        <v>접전</v>
      </c>
      <c r="R3" s="3" t="str">
        <f>IF(($S$3/$T$3)&gt;$V$5,"승 확실",IF(($S$3/$T$3)&lt;$W$5,"패 확실","접전"))</f>
        <v>접전</v>
      </c>
      <c r="S3" s="29">
        <f>'Match Setup'!L5</f>
        <v>0.52408854166666674</v>
      </c>
      <c r="T3" s="23">
        <f>'Match Setup'!M5</f>
        <v>0.47591145833333337</v>
      </c>
      <c r="U3" s="9">
        <v>0.3</v>
      </c>
      <c r="V3" s="3">
        <f>(1-U3)/U3</f>
        <v>2.3333333333333335</v>
      </c>
      <c r="W3" s="3">
        <f>U3/(1-U3)</f>
        <v>0.4285714285714286</v>
      </c>
    </row>
    <row r="4" spans="1:23" x14ac:dyDescent="0.3">
      <c r="A4" s="8">
        <f>입력창!N3</f>
        <v>0</v>
      </c>
      <c r="B4" s="8" t="str">
        <f>입력창!O3</f>
        <v>VS</v>
      </c>
      <c r="C4" s="8">
        <f>입력창!P3</f>
        <v>1</v>
      </c>
      <c r="D4" s="8" t="str">
        <f>입력창!X3</f>
        <v>S.Cut</v>
      </c>
      <c r="E4" s="8">
        <f>IF(A4&gt;C4,1,2)</f>
        <v>2</v>
      </c>
      <c r="F4" s="3">
        <f>VLOOKUP($D4,'Match Setup'!$A$4:$E$63,2,FALSE)</f>
        <v>0.27054794520547948</v>
      </c>
      <c r="G4" s="3">
        <f>VLOOKUP($D4,'Match Setup'!$A$4:$E$63,3,FALSE)</f>
        <v>0.72945205479452047</v>
      </c>
      <c r="H4" s="3">
        <f>VLOOKUP($D4,'Match Setup'!$A$4:$E$63,4,FALSE)</f>
        <v>0.15210355987055016</v>
      </c>
      <c r="I4" s="3">
        <f>VLOOKUP($D4,'Match Setup'!$A$4:$E$63,5,FALSE)</f>
        <v>0.84789644012944987</v>
      </c>
      <c r="J4" s="27">
        <f>IF(E4=1,($S$3*(F4^1*G4^0)),IF(E4=2,($S$3*(F4^0*G4^1)),""))</f>
        <v>0.3822974636130137</v>
      </c>
      <c r="K4" s="27">
        <f>IF(E4=1,($T$3*(H4^1*I4^0)),IF(E4=2,($T$3*(H4^0*I4^1)),""))</f>
        <v>0.40352363133764835</v>
      </c>
      <c r="L4" s="27">
        <f>J4/(J4+K4)</f>
        <v>0.48649427467586154</v>
      </c>
      <c r="M4" s="27">
        <f>K4/(K4+J4)</f>
        <v>0.51350572532413841</v>
      </c>
      <c r="N4" s="3">
        <f>IFERROR(J4/K4,"")</f>
        <v>0.94739795621319223</v>
      </c>
      <c r="O4" s="3" t="str">
        <f t="shared" ref="O4:O50" si="0">IF(N4="","",IF(N4&gt;$V$3,$S$2&amp;"주도",IF(N4&lt;$W$3,$T$2&amp;"주도","접전")))</f>
        <v>접전</v>
      </c>
      <c r="P4" s="3" t="str">
        <f>IF(N4="","",IF(N4&gt;$V$4,"우세",IF(N4&lt;$W$4,"열세","접전")))</f>
        <v>접전</v>
      </c>
      <c r="Q4" s="3" t="str">
        <f t="shared" ref="Q4:Q51" si="1">IF(N4="","",IF(N4&gt;$V$5,"승 유력",IF(N4&lt;$W$5,"패 유력","접전")))</f>
        <v>접전</v>
      </c>
      <c r="R4" s="3" t="str">
        <f t="shared" ref="R4:R51" si="2">IF(N4="","",IF(N4&gt;$V$6,"승 확실",IF(N4&lt;$W$6,"패 확실","접전")))</f>
        <v>접전</v>
      </c>
      <c r="U4" s="9">
        <v>0.1</v>
      </c>
      <c r="V4" s="3">
        <f t="shared" ref="V4:V6" si="3">(1-U4)/U4</f>
        <v>9</v>
      </c>
      <c r="W4" s="3">
        <f t="shared" ref="W4:W6" si="4">U4/(1-U4)</f>
        <v>0.11111111111111112</v>
      </c>
    </row>
    <row r="5" spans="1:23" x14ac:dyDescent="0.3">
      <c r="A5" s="8">
        <f>입력창!N4</f>
        <v>1</v>
      </c>
      <c r="B5" s="8" t="str">
        <f>입력창!O4</f>
        <v>VS</v>
      </c>
      <c r="C5" s="8">
        <f>입력창!P4</f>
        <v>1</v>
      </c>
      <c r="D5" s="8" t="str">
        <f>입력창!X4</f>
        <v>U.Clear</v>
      </c>
      <c r="E5" s="8">
        <f>IF(A5&gt;A4,1,2)</f>
        <v>1</v>
      </c>
      <c r="F5" s="3">
        <f>VLOOKUP($D5,'Match Setup'!$A$4:$E$63,2,FALSE)</f>
        <v>0.29166666666666669</v>
      </c>
      <c r="G5" s="3">
        <f>VLOOKUP($D5,'Match Setup'!$A$4:$E$63,3,FALSE)</f>
        <v>0.70833333333333326</v>
      </c>
      <c r="H5" s="3">
        <f>VLOOKUP($D5,'Match Setup'!$A$4:$E$63,4,FALSE)</f>
        <v>0.19224555735056542</v>
      </c>
      <c r="I5" s="3">
        <f>VLOOKUP($D5,'Match Setup'!$A$4:$E$63,5,FALSE)</f>
        <v>0.80775444264943452</v>
      </c>
      <c r="J5" s="27">
        <f>IF(E5=1,(J4*(F5^1*G5^0)),IF(E5=2,(J4*(F5^0*G5^1)),""))</f>
        <v>0.111503426887129</v>
      </c>
      <c r="K5" s="27">
        <f>IF(E5=1,(K4*(H5^1*I5^0)),IF(E5=2,(K4*(H5^0*I5^1)),""))</f>
        <v>7.7575625410630289E-2</v>
      </c>
      <c r="L5" s="27">
        <f t="shared" ref="L5:L51" si="5">J5/(J5+K5)</f>
        <v>0.58971856232669717</v>
      </c>
      <c r="M5" s="27">
        <f t="shared" ref="M5:M51" si="6">K5/(K5+J5)</f>
        <v>0.41028143767330283</v>
      </c>
      <c r="N5" s="3">
        <f t="shared" ref="N5:N51" si="7">IFERROR(J5/K5,"")</f>
        <v>1.4373513110195246</v>
      </c>
      <c r="O5" s="3" t="str">
        <f t="shared" si="0"/>
        <v>접전</v>
      </c>
      <c r="P5" s="3" t="str">
        <f t="shared" ref="P5:P51" si="8">IF(N5="","",IF(N5&gt;$V$4,"우세",IF(N5&lt;$W$4,"열세","접전")))</f>
        <v>접전</v>
      </c>
      <c r="Q5" s="3" t="str">
        <f t="shared" si="1"/>
        <v>접전</v>
      </c>
      <c r="R5" s="3" t="str">
        <f t="shared" si="2"/>
        <v>접전</v>
      </c>
      <c r="U5" s="9">
        <v>0.05</v>
      </c>
      <c r="V5" s="3">
        <f t="shared" si="3"/>
        <v>18.999999999999996</v>
      </c>
      <c r="W5" s="3">
        <f t="shared" si="4"/>
        <v>5.2631578947368425E-2</v>
      </c>
    </row>
    <row r="6" spans="1:23" x14ac:dyDescent="0.3">
      <c r="A6" s="8">
        <f>입력창!N5</f>
        <v>1</v>
      </c>
      <c r="B6" s="8" t="str">
        <f>입력창!O5</f>
        <v>VS</v>
      </c>
      <c r="C6" s="8">
        <f>입력창!P5</f>
        <v>2</v>
      </c>
      <c r="D6" s="8" t="str">
        <f>입력창!X5</f>
        <v>Clear</v>
      </c>
      <c r="E6" s="8">
        <f>IF(A6&gt;A5,1,2)</f>
        <v>2</v>
      </c>
      <c r="F6" s="3">
        <f>VLOOKUP($D6,'Match Setup'!$A$4:$E$63,2,FALSE)</f>
        <v>0.31868131868131866</v>
      </c>
      <c r="G6" s="3">
        <f>VLOOKUP($D6,'Match Setup'!$A$4:$E$63,3,FALSE)</f>
        <v>0.68131868131868134</v>
      </c>
      <c r="H6" s="3">
        <f>VLOOKUP($D6,'Match Setup'!$A$4:$E$63,4,FALSE)</f>
        <v>0.1743119266055046</v>
      </c>
      <c r="I6" s="3">
        <f>VLOOKUP($D6,'Match Setup'!$A$4:$E$63,5,FALSE)</f>
        <v>0.82568807339449535</v>
      </c>
      <c r="J6" s="27">
        <f t="shared" ref="J6:J51" si="9">IF(E6=1,(J5*(F6^1*G6^0)),IF(E6=2,(J5*(F6^0*G6^1)),""))</f>
        <v>7.5969367769252727E-2</v>
      </c>
      <c r="K6" s="27">
        <f t="shared" ref="K6:K51" si="10">IF(E6=1,(K5*(H6^1*I6^0)),IF(E6=2,(K5*(H6^0*I6^1)),""))</f>
        <v>6.4053268687676385E-2</v>
      </c>
      <c r="L6" s="27">
        <f t="shared" si="5"/>
        <v>0.54255061675417648</v>
      </c>
      <c r="M6" s="27">
        <f t="shared" si="6"/>
        <v>0.45744938324582352</v>
      </c>
      <c r="N6" s="3">
        <f t="shared" si="7"/>
        <v>1.1860342075543282</v>
      </c>
      <c r="O6" s="3" t="str">
        <f t="shared" si="0"/>
        <v>접전</v>
      </c>
      <c r="P6" s="3" t="str">
        <f t="shared" si="8"/>
        <v>접전</v>
      </c>
      <c r="Q6" s="3" t="str">
        <f t="shared" si="1"/>
        <v>접전</v>
      </c>
      <c r="R6" s="3" t="str">
        <f t="shared" si="2"/>
        <v>접전</v>
      </c>
      <c r="U6" s="9">
        <v>0.01</v>
      </c>
      <c r="V6" s="3">
        <f t="shared" si="3"/>
        <v>99</v>
      </c>
      <c r="W6" s="3">
        <f t="shared" si="4"/>
        <v>1.0101010101010102E-2</v>
      </c>
    </row>
    <row r="7" spans="1:23" x14ac:dyDescent="0.3">
      <c r="A7" s="8">
        <f>입력창!N6</f>
        <v>2</v>
      </c>
      <c r="B7" s="8" t="str">
        <f>입력창!O6</f>
        <v>VS</v>
      </c>
      <c r="C7" s="8">
        <f>입력창!P6</f>
        <v>2</v>
      </c>
      <c r="D7" s="8" t="str">
        <f>입력창!X6</f>
        <v>HairPin</v>
      </c>
      <c r="E7" s="8">
        <f>IF(A7&gt;A6,1,2)</f>
        <v>1</v>
      </c>
      <c r="F7" s="3">
        <f>VLOOKUP($D7,'Match Setup'!$A$4:$E$63,2,FALSE)</f>
        <v>0.4037735849056604</v>
      </c>
      <c r="G7" s="3">
        <f>VLOOKUP($D7,'Match Setup'!$A$4:$E$63,3,FALSE)</f>
        <v>0.5962264150943396</v>
      </c>
      <c r="H7" s="3">
        <f>VLOOKUP($D7,'Match Setup'!$A$4:$E$63,4,FALSE)</f>
        <v>0.19004524886877827</v>
      </c>
      <c r="I7" s="3">
        <f>VLOOKUP($D7,'Match Setup'!$A$4:$E$63,5,FALSE)</f>
        <v>0.80995475113122173</v>
      </c>
      <c r="J7" s="27">
        <f t="shared" si="9"/>
        <v>3.0674423967207706E-2</v>
      </c>
      <c r="K7" s="27">
        <f t="shared" si="10"/>
        <v>1.2173019388608181E-2</v>
      </c>
      <c r="L7" s="27">
        <f t="shared" si="5"/>
        <v>0.71589858261739481</v>
      </c>
      <c r="M7" s="27">
        <f t="shared" si="6"/>
        <v>0.28410141738260514</v>
      </c>
      <c r="N7" s="3">
        <f t="shared" si="7"/>
        <v>2.5198698028784547</v>
      </c>
      <c r="O7" s="3" t="str">
        <f t="shared" si="0"/>
        <v>최짱구주도</v>
      </c>
      <c r="P7" s="3" t="str">
        <f t="shared" si="8"/>
        <v>접전</v>
      </c>
      <c r="Q7" s="3" t="str">
        <f t="shared" si="1"/>
        <v>접전</v>
      </c>
      <c r="R7" s="3" t="str">
        <f t="shared" si="2"/>
        <v>접전</v>
      </c>
    </row>
    <row r="8" spans="1:23" x14ac:dyDescent="0.3">
      <c r="A8" s="8">
        <f>입력창!N7</f>
        <v>3</v>
      </c>
      <c r="B8" s="8" t="str">
        <f>입력창!O7</f>
        <v>VS</v>
      </c>
      <c r="C8" s="8">
        <f>입력창!P7</f>
        <v>2</v>
      </c>
      <c r="D8" s="8" t="str">
        <f>입력창!X7</f>
        <v>Push</v>
      </c>
      <c r="E8" s="8">
        <f t="shared" ref="E8:E35" si="11">IF(A8&gt;A7,1,2)</f>
        <v>1</v>
      </c>
      <c r="F8" s="3">
        <f>VLOOKUP($D8,'Match Setup'!$A$4:$E$63,2,FALSE)</f>
        <v>0.86440677966101698</v>
      </c>
      <c r="G8" s="3">
        <f>VLOOKUP($D8,'Match Setup'!$A$4:$E$63,3,FALSE)</f>
        <v>0.13559322033898302</v>
      </c>
      <c r="H8" s="3">
        <f>VLOOKUP($D8,'Match Setup'!$A$4:$E$63,4,FALSE)</f>
        <v>0.74608150470219436</v>
      </c>
      <c r="I8" s="3">
        <f>VLOOKUP($D8,'Match Setup'!$A$4:$E$63,5,FALSE)</f>
        <v>0.25391849529780564</v>
      </c>
      <c r="J8" s="27">
        <f t="shared" si="9"/>
        <v>2.651518003945073E-2</v>
      </c>
      <c r="K8" s="27">
        <f t="shared" si="10"/>
        <v>9.0820646222217766E-3</v>
      </c>
      <c r="L8" s="27">
        <f t="shared" si="5"/>
        <v>0.74486607858162623</v>
      </c>
      <c r="M8" s="27">
        <f t="shared" si="6"/>
        <v>0.25513392141837371</v>
      </c>
      <c r="N8" s="3">
        <f t="shared" si="7"/>
        <v>2.9195101711315758</v>
      </c>
      <c r="O8" s="3" t="str">
        <f t="shared" si="0"/>
        <v>최짱구주도</v>
      </c>
      <c r="P8" s="3" t="str">
        <f t="shared" si="8"/>
        <v>접전</v>
      </c>
      <c r="Q8" s="3" t="str">
        <f t="shared" si="1"/>
        <v>접전</v>
      </c>
      <c r="R8" s="3" t="str">
        <f t="shared" si="2"/>
        <v>접전</v>
      </c>
    </row>
    <row r="9" spans="1:23" x14ac:dyDescent="0.3">
      <c r="A9" s="8">
        <f>입력창!N8</f>
        <v>3</v>
      </c>
      <c r="B9" s="8" t="str">
        <f>입력창!O8</f>
        <v>VS</v>
      </c>
      <c r="C9" s="8">
        <f>입력창!P8</f>
        <v>3</v>
      </c>
      <c r="D9" s="8" t="str">
        <f>입력창!X8</f>
        <v>Smash</v>
      </c>
      <c r="E9" s="8">
        <f t="shared" si="11"/>
        <v>2</v>
      </c>
      <c r="F9" s="3">
        <f>VLOOKUP($D9,'Match Setup'!$A$4:$E$63,2,FALSE)</f>
        <v>0.75404312668463613</v>
      </c>
      <c r="G9" s="3">
        <f>VLOOKUP($D9,'Match Setup'!$A$4:$E$63,3,FALSE)</f>
        <v>0.24595687331536387</v>
      </c>
      <c r="H9" s="3">
        <f>VLOOKUP($D9,'Match Setup'!$A$4:$E$63,4,FALSE)</f>
        <v>0.61298482293423273</v>
      </c>
      <c r="I9" s="3">
        <f>VLOOKUP($D9,'Match Setup'!$A$4:$E$63,5,FALSE)</f>
        <v>0.38701517706576727</v>
      </c>
      <c r="J9" s="27">
        <f t="shared" si="9"/>
        <v>6.5215907778972482E-3</v>
      </c>
      <c r="K9" s="27">
        <f t="shared" si="10"/>
        <v>3.5148968478919016E-3</v>
      </c>
      <c r="L9" s="27">
        <f t="shared" si="5"/>
        <v>0.64978815508522758</v>
      </c>
      <c r="M9" s="27">
        <f t="shared" si="6"/>
        <v>0.35021184491477236</v>
      </c>
      <c r="N9" s="3">
        <f t="shared" si="7"/>
        <v>1.8554145569900991</v>
      </c>
      <c r="O9" s="3" t="str">
        <f t="shared" si="0"/>
        <v>접전</v>
      </c>
      <c r="P9" s="3" t="str">
        <f t="shared" si="8"/>
        <v>접전</v>
      </c>
      <c r="Q9" s="3" t="str">
        <f t="shared" si="1"/>
        <v>접전</v>
      </c>
      <c r="R9" s="3" t="str">
        <f t="shared" si="2"/>
        <v>접전</v>
      </c>
    </row>
    <row r="10" spans="1:23" x14ac:dyDescent="0.3">
      <c r="A10" s="8">
        <f>입력창!N9</f>
        <v>3</v>
      </c>
      <c r="B10" s="8" t="str">
        <f>입력창!O9</f>
        <v>VS</v>
      </c>
      <c r="C10" s="8">
        <f>입력창!P9</f>
        <v>4</v>
      </c>
      <c r="D10" s="8" t="str">
        <f>입력창!X9</f>
        <v>Smash</v>
      </c>
      <c r="E10" s="8">
        <f t="shared" si="11"/>
        <v>2</v>
      </c>
      <c r="F10" s="3">
        <f>VLOOKUP($D10,'Match Setup'!$A$4:$E$63,2,FALSE)</f>
        <v>0.75404312668463613</v>
      </c>
      <c r="G10" s="3">
        <f>VLOOKUP($D10,'Match Setup'!$A$4:$E$63,3,FALSE)</f>
        <v>0.24595687331536387</v>
      </c>
      <c r="H10" s="3">
        <f>VLOOKUP($D10,'Match Setup'!$A$4:$E$63,4,FALSE)</f>
        <v>0.61298482293423273</v>
      </c>
      <c r="I10" s="3">
        <f>VLOOKUP($D10,'Match Setup'!$A$4:$E$63,5,FALSE)</f>
        <v>0.38701517706576727</v>
      </c>
      <c r="J10" s="27">
        <f t="shared" si="9"/>
        <v>1.6040300767739188E-3</v>
      </c>
      <c r="K10" s="27">
        <f t="shared" si="10"/>
        <v>1.3603184259547915E-3</v>
      </c>
      <c r="L10" s="27">
        <f t="shared" si="5"/>
        <v>0.54110711857846472</v>
      </c>
      <c r="M10" s="27">
        <f t="shared" si="6"/>
        <v>0.45889288142153517</v>
      </c>
      <c r="N10" s="3">
        <f t="shared" si="7"/>
        <v>1.1791577958286266</v>
      </c>
      <c r="O10" s="3" t="str">
        <f t="shared" si="0"/>
        <v>접전</v>
      </c>
      <c r="P10" s="3" t="str">
        <f t="shared" si="8"/>
        <v>접전</v>
      </c>
      <c r="Q10" s="3" t="str">
        <f t="shared" si="1"/>
        <v>접전</v>
      </c>
      <c r="R10" s="3" t="str">
        <f t="shared" si="2"/>
        <v>접전</v>
      </c>
    </row>
    <row r="11" spans="1:23" x14ac:dyDescent="0.3">
      <c r="A11" s="8">
        <f>입력창!N10</f>
        <v>3</v>
      </c>
      <c r="B11" s="8" t="str">
        <f>입력창!O10</f>
        <v>VS</v>
      </c>
      <c r="C11" s="8">
        <f>입력창!P10</f>
        <v>5</v>
      </c>
      <c r="D11" s="8" t="str">
        <f>입력창!X10</f>
        <v>Smash+0-5</v>
      </c>
      <c r="E11" s="8">
        <f t="shared" si="11"/>
        <v>2</v>
      </c>
      <c r="F11" s="3">
        <f>VLOOKUP($D11,'Match Setup'!$A$4:$E$63,2,FALSE)</f>
        <v>0.67597765363128492</v>
      </c>
      <c r="G11" s="3">
        <f>VLOOKUP($D11,'Match Setup'!$A$4:$E$63,3,FALSE)</f>
        <v>0.32402234636871508</v>
      </c>
      <c r="H11" s="3">
        <f>VLOOKUP($D11,'Match Setup'!$A$4:$E$63,4,FALSE)</f>
        <v>0.32402234636871508</v>
      </c>
      <c r="I11" s="3">
        <f>VLOOKUP($D11,'Match Setup'!$A$4:$E$63,5,FALSE)</f>
        <v>0.67597765363128492</v>
      </c>
      <c r="J11" s="27">
        <f t="shared" si="9"/>
        <v>5.1974158912227537E-4</v>
      </c>
      <c r="K11" s="27">
        <f t="shared" si="10"/>
        <v>9.1954485776832274E-4</v>
      </c>
      <c r="L11" s="27">
        <f t="shared" si="5"/>
        <v>0.36111059771674597</v>
      </c>
      <c r="M11" s="27">
        <f t="shared" si="6"/>
        <v>0.63888940228325408</v>
      </c>
      <c r="N11" s="3">
        <f t="shared" si="7"/>
        <v>0.56521613353768885</v>
      </c>
      <c r="O11" s="3" t="str">
        <f t="shared" si="0"/>
        <v>접전</v>
      </c>
      <c r="P11" s="3" t="str">
        <f t="shared" si="8"/>
        <v>접전</v>
      </c>
      <c r="Q11" s="3" t="str">
        <f t="shared" si="1"/>
        <v>접전</v>
      </c>
      <c r="R11" s="3" t="str">
        <f t="shared" si="2"/>
        <v>접전</v>
      </c>
    </row>
    <row r="12" spans="1:23" x14ac:dyDescent="0.3">
      <c r="A12" s="8">
        <f>입력창!N11</f>
        <v>3</v>
      </c>
      <c r="B12" s="8" t="str">
        <f>입력창!O11</f>
        <v>VS</v>
      </c>
      <c r="C12" s="8">
        <f>입력창!P11</f>
        <v>6</v>
      </c>
      <c r="D12" s="8" t="str">
        <f>입력창!X11</f>
        <v>Smash+6-10</v>
      </c>
      <c r="E12" s="8">
        <f t="shared" si="11"/>
        <v>2</v>
      </c>
      <c r="F12" s="3">
        <f>VLOOKUP($D12,'Match Setup'!$A$4:$E$63,2,FALSE)</f>
        <v>0.79127725856697817</v>
      </c>
      <c r="G12" s="3">
        <f>VLOOKUP($D12,'Match Setup'!$A$4:$E$63,3,FALSE)</f>
        <v>0.20872274143302183</v>
      </c>
      <c r="H12" s="3">
        <f>VLOOKUP($D12,'Match Setup'!$A$4:$E$63,4,FALSE)</f>
        <v>0.2087227414330218</v>
      </c>
      <c r="I12" s="3">
        <f>VLOOKUP($D12,'Match Setup'!$A$4:$E$63,5,FALSE)</f>
        <v>0.79127725856697817</v>
      </c>
      <c r="J12" s="27">
        <f t="shared" si="9"/>
        <v>1.0848188931835655E-4</v>
      </c>
      <c r="K12" s="27">
        <f t="shared" si="10"/>
        <v>7.276149341842803E-4</v>
      </c>
      <c r="L12" s="27">
        <f t="shared" si="5"/>
        <v>0.12974799840034845</v>
      </c>
      <c r="M12" s="27">
        <f t="shared" si="6"/>
        <v>0.87025200159965155</v>
      </c>
      <c r="N12" s="3">
        <f t="shared" si="7"/>
        <v>0.14909244467332738</v>
      </c>
      <c r="O12" s="3" t="str">
        <f t="shared" si="0"/>
        <v>홍길동주도</v>
      </c>
      <c r="P12" s="3" t="str">
        <f t="shared" si="8"/>
        <v>접전</v>
      </c>
      <c r="Q12" s="3" t="str">
        <f t="shared" si="1"/>
        <v>접전</v>
      </c>
      <c r="R12" s="3" t="str">
        <f t="shared" si="2"/>
        <v>접전</v>
      </c>
    </row>
    <row r="13" spans="1:23" x14ac:dyDescent="0.3">
      <c r="A13" s="8">
        <f>입력창!N12</f>
        <v>4</v>
      </c>
      <c r="B13" s="8" t="str">
        <f>입력창!O12</f>
        <v>VS</v>
      </c>
      <c r="C13" s="8">
        <f>입력창!P12</f>
        <v>6</v>
      </c>
      <c r="D13" s="8" t="str">
        <f>입력창!X12</f>
        <v>Smash+6-10</v>
      </c>
      <c r="E13" s="8">
        <f t="shared" si="11"/>
        <v>1</v>
      </c>
      <c r="F13" s="3">
        <f>VLOOKUP($D13,'Match Setup'!$A$4:$E$63,2,FALSE)</f>
        <v>0.79127725856697817</v>
      </c>
      <c r="G13" s="3">
        <f>VLOOKUP($D13,'Match Setup'!$A$4:$E$63,3,FALSE)</f>
        <v>0.20872274143302183</v>
      </c>
      <c r="H13" s="3">
        <f>VLOOKUP($D13,'Match Setup'!$A$4:$E$63,4,FALSE)</f>
        <v>0.2087227414330218</v>
      </c>
      <c r="I13" s="3">
        <f>VLOOKUP($D13,'Match Setup'!$A$4:$E$63,5,FALSE)</f>
        <v>0.79127725856697817</v>
      </c>
      <c r="J13" s="27">
        <f t="shared" si="9"/>
        <v>8.5839251983995521E-5</v>
      </c>
      <c r="K13" s="27">
        <f t="shared" si="10"/>
        <v>1.5186978377055072E-4</v>
      </c>
      <c r="L13" s="27">
        <f t="shared" si="5"/>
        <v>0.36111059771674592</v>
      </c>
      <c r="M13" s="27">
        <f t="shared" si="6"/>
        <v>0.63888940228325408</v>
      </c>
      <c r="N13" s="3">
        <f t="shared" si="7"/>
        <v>0.56521613353768885</v>
      </c>
      <c r="O13" s="3" t="str">
        <f t="shared" si="0"/>
        <v>접전</v>
      </c>
      <c r="P13" s="3" t="str">
        <f t="shared" si="8"/>
        <v>접전</v>
      </c>
      <c r="Q13" s="3" t="str">
        <f t="shared" si="1"/>
        <v>접전</v>
      </c>
      <c r="R13" s="3" t="str">
        <f t="shared" si="2"/>
        <v>접전</v>
      </c>
    </row>
    <row r="14" spans="1:23" x14ac:dyDescent="0.3">
      <c r="A14" s="8">
        <f>입력창!N13</f>
        <v>4</v>
      </c>
      <c r="B14" s="8" t="str">
        <f>입력창!O13</f>
        <v>VS</v>
      </c>
      <c r="C14" s="8">
        <f>입력창!P13</f>
        <v>7</v>
      </c>
      <c r="D14" s="8" t="str">
        <f>입력창!X13</f>
        <v>HairPin+6-10</v>
      </c>
      <c r="E14" s="8">
        <f t="shared" si="11"/>
        <v>2</v>
      </c>
      <c r="F14" s="3">
        <f>VLOOKUP($D14,'Match Setup'!$A$4:$E$63,2,FALSE)</f>
        <v>0.89928057553956831</v>
      </c>
      <c r="G14" s="3">
        <f>VLOOKUP($D14,'Match Setup'!$A$4:$E$63,3,FALSE)</f>
        <v>0.10071942446043169</v>
      </c>
      <c r="H14" s="3">
        <f>VLOOKUP($D14,'Match Setup'!$A$4:$E$63,4,FALSE)</f>
        <v>0.10071942446043165</v>
      </c>
      <c r="I14" s="3">
        <f>VLOOKUP($D14,'Match Setup'!$A$4:$E$63,5,FALSE)</f>
        <v>0.89928057553956831</v>
      </c>
      <c r="J14" s="27">
        <f t="shared" si="9"/>
        <v>8.6456800559419991E-6</v>
      </c>
      <c r="K14" s="27">
        <f t="shared" si="10"/>
        <v>1.3657354655625064E-4</v>
      </c>
      <c r="L14" s="27">
        <f t="shared" si="5"/>
        <v>5.9535367717046539E-2</v>
      </c>
      <c r="M14" s="27">
        <f t="shared" si="6"/>
        <v>0.94046463228295341</v>
      </c>
      <c r="N14" s="3">
        <f t="shared" si="7"/>
        <v>6.3304206956221187E-2</v>
      </c>
      <c r="O14" s="3" t="str">
        <f t="shared" si="0"/>
        <v>홍길동주도</v>
      </c>
      <c r="P14" s="3" t="str">
        <f t="shared" si="8"/>
        <v>열세</v>
      </c>
      <c r="Q14" s="3" t="str">
        <f t="shared" si="1"/>
        <v>접전</v>
      </c>
      <c r="R14" s="3" t="str">
        <f t="shared" si="2"/>
        <v>접전</v>
      </c>
    </row>
    <row r="15" spans="1:23" x14ac:dyDescent="0.3">
      <c r="A15" s="8">
        <f>입력창!N14</f>
        <v>4</v>
      </c>
      <c r="B15" s="8" t="str">
        <f>입력창!O14</f>
        <v>VS</v>
      </c>
      <c r="C15" s="8">
        <f>입력창!P14</f>
        <v>8</v>
      </c>
      <c r="D15" s="8" t="str">
        <f>입력창!X14</f>
        <v>Smash+6-10</v>
      </c>
      <c r="E15" s="8">
        <f t="shared" si="11"/>
        <v>2</v>
      </c>
      <c r="F15" s="3">
        <f>VLOOKUP($D15,'Match Setup'!$A$4:$E$63,2,FALSE)</f>
        <v>0.79127725856697817</v>
      </c>
      <c r="G15" s="3">
        <f>VLOOKUP($D15,'Match Setup'!$A$4:$E$63,3,FALSE)</f>
        <v>0.20872274143302183</v>
      </c>
      <c r="H15" s="3">
        <f>VLOOKUP($D15,'Match Setup'!$A$4:$E$63,4,FALSE)</f>
        <v>0.2087227414330218</v>
      </c>
      <c r="I15" s="3">
        <f>VLOOKUP($D15,'Match Setup'!$A$4:$E$63,5,FALSE)</f>
        <v>0.79127725856697817</v>
      </c>
      <c r="J15" s="27">
        <f t="shared" si="9"/>
        <v>1.8045500428290156E-6</v>
      </c>
      <c r="K15" s="27">
        <f t="shared" si="10"/>
        <v>1.0806754151179956E-4</v>
      </c>
      <c r="L15" s="27">
        <f t="shared" si="5"/>
        <v>1.6424098397469666E-2</v>
      </c>
      <c r="M15" s="27">
        <f t="shared" si="6"/>
        <v>0.98357590160253028</v>
      </c>
      <c r="N15" s="3">
        <f t="shared" si="7"/>
        <v>1.6698353803412676E-2</v>
      </c>
      <c r="O15" s="3" t="str">
        <f t="shared" si="0"/>
        <v>홍길동주도</v>
      </c>
      <c r="P15" s="3" t="str">
        <f t="shared" si="8"/>
        <v>열세</v>
      </c>
      <c r="Q15" s="3" t="str">
        <f t="shared" si="1"/>
        <v>패 유력</v>
      </c>
      <c r="R15" s="3" t="str">
        <f t="shared" si="2"/>
        <v>접전</v>
      </c>
    </row>
    <row r="16" spans="1:23" x14ac:dyDescent="0.3">
      <c r="A16" s="8">
        <f>입력창!N15</f>
        <v>4</v>
      </c>
      <c r="B16" s="8" t="str">
        <f>입력창!O15</f>
        <v>VS</v>
      </c>
      <c r="C16" s="8">
        <f>입력창!P15</f>
        <v>9</v>
      </c>
      <c r="D16" s="8" t="str">
        <f>입력창!X15</f>
        <v>S.Receive+6-10</v>
      </c>
      <c r="E16" s="8">
        <f t="shared" si="11"/>
        <v>2</v>
      </c>
      <c r="F16" s="3">
        <f>VLOOKUP($D16,'Match Setup'!$A$4:$E$63,2,FALSE)</f>
        <v>0.70588235294117652</v>
      </c>
      <c r="G16" s="3">
        <f>VLOOKUP($D16,'Match Setup'!$A$4:$E$63,3,FALSE)</f>
        <v>0.29411764705882348</v>
      </c>
      <c r="H16" s="3">
        <f>VLOOKUP($D16,'Match Setup'!$A$4:$E$63,4,FALSE)</f>
        <v>0.29411764705882354</v>
      </c>
      <c r="I16" s="3">
        <f>VLOOKUP($D16,'Match Setup'!$A$4:$E$63,5,FALSE)</f>
        <v>0.70588235294117641</v>
      </c>
      <c r="J16" s="27">
        <f t="shared" si="9"/>
        <v>5.3075001259676923E-7</v>
      </c>
      <c r="K16" s="27">
        <f t="shared" si="10"/>
        <v>7.6282970478917334E-5</v>
      </c>
      <c r="L16" s="27">
        <f t="shared" si="5"/>
        <v>6.9095730450317548E-3</v>
      </c>
      <c r="M16" s="27">
        <f t="shared" si="6"/>
        <v>0.99309042695496819</v>
      </c>
      <c r="N16" s="3">
        <f t="shared" si="7"/>
        <v>6.9576474180886149E-3</v>
      </c>
      <c r="O16" s="3" t="str">
        <f t="shared" si="0"/>
        <v>홍길동주도</v>
      </c>
      <c r="P16" s="3" t="str">
        <f t="shared" si="8"/>
        <v>열세</v>
      </c>
      <c r="Q16" s="3" t="str">
        <f t="shared" si="1"/>
        <v>패 유력</v>
      </c>
      <c r="R16" s="3" t="str">
        <f t="shared" si="2"/>
        <v>패 확실</v>
      </c>
    </row>
    <row r="17" spans="1:18" x14ac:dyDescent="0.3">
      <c r="A17" s="8">
        <f>입력창!N16</f>
        <v>4</v>
      </c>
      <c r="B17" s="8" t="str">
        <f>입력창!O16</f>
        <v>VS</v>
      </c>
      <c r="C17" s="8">
        <f>입력창!P16</f>
        <v>10</v>
      </c>
      <c r="D17" s="8" t="str">
        <f>입력창!X16</f>
        <v>U.Clear+6-10</v>
      </c>
      <c r="E17" s="8">
        <f t="shared" si="11"/>
        <v>2</v>
      </c>
      <c r="F17" s="3">
        <f>VLOOKUP($D17,'Match Setup'!$A$4:$E$63,2,FALSE)</f>
        <v>0.82014388489208634</v>
      </c>
      <c r="G17" s="3">
        <f>VLOOKUP($D17,'Match Setup'!$A$4:$E$63,3,FALSE)</f>
        <v>0.17985611510791366</v>
      </c>
      <c r="H17" s="3">
        <f>VLOOKUP($D17,'Match Setup'!$A$4:$E$63,4,FALSE)</f>
        <v>0.17985611510791366</v>
      </c>
      <c r="I17" s="3">
        <f>VLOOKUP($D17,'Match Setup'!$A$4:$E$63,5,FALSE)</f>
        <v>0.82014388489208634</v>
      </c>
      <c r="J17" s="27">
        <f t="shared" si="9"/>
        <v>9.5458635359131151E-8</v>
      </c>
      <c r="K17" s="27">
        <f t="shared" si="10"/>
        <v>6.2563011759687602E-5</v>
      </c>
      <c r="L17" s="27">
        <f t="shared" si="5"/>
        <v>1.5234753538873067E-3</v>
      </c>
      <c r="M17" s="27">
        <f t="shared" si="6"/>
        <v>0.9984765246461127</v>
      </c>
      <c r="N17" s="3">
        <f t="shared" si="7"/>
        <v>1.525799872387854E-3</v>
      </c>
      <c r="O17" s="3" t="str">
        <f t="shared" si="0"/>
        <v>홍길동주도</v>
      </c>
      <c r="P17" s="3" t="str">
        <f t="shared" si="8"/>
        <v>열세</v>
      </c>
      <c r="Q17" s="3" t="str">
        <f t="shared" si="1"/>
        <v>패 유력</v>
      </c>
      <c r="R17" s="3" t="str">
        <f t="shared" si="2"/>
        <v>패 확실</v>
      </c>
    </row>
    <row r="18" spans="1:18" x14ac:dyDescent="0.3">
      <c r="A18" s="8">
        <f>입력창!N17</f>
        <v>4</v>
      </c>
      <c r="B18" s="8" t="str">
        <f>입력창!O17</f>
        <v>VS</v>
      </c>
      <c r="C18" s="8">
        <f>입력창!P17</f>
        <v>11</v>
      </c>
      <c r="D18" s="8" t="str">
        <f>입력창!X17</f>
        <v>Clear+11-15</v>
      </c>
      <c r="E18" s="8">
        <f t="shared" si="11"/>
        <v>2</v>
      </c>
      <c r="F18" s="3">
        <f>VLOOKUP($D18,'Match Setup'!$A$4:$E$63,2,FALSE)</f>
        <v>0.8833333333333333</v>
      </c>
      <c r="G18" s="3">
        <f>VLOOKUP($D18,'Match Setup'!$A$4:$E$63,3,FALSE)</f>
        <v>0.1166666666666667</v>
      </c>
      <c r="H18" s="3">
        <f>VLOOKUP($D18,'Match Setup'!$A$4:$E$63,4,FALSE)</f>
        <v>0.11666666666666667</v>
      </c>
      <c r="I18" s="3">
        <f>VLOOKUP($D18,'Match Setup'!$A$4:$E$63,5,FALSE)</f>
        <v>0.8833333333333333</v>
      </c>
      <c r="J18" s="27">
        <f t="shared" si="9"/>
        <v>1.1136840791898637E-8</v>
      </c>
      <c r="K18" s="27">
        <f t="shared" si="10"/>
        <v>5.5263993721057382E-5</v>
      </c>
      <c r="L18" s="27">
        <f t="shared" si="5"/>
        <v>2.0148013543698891E-4</v>
      </c>
      <c r="M18" s="27">
        <f t="shared" si="6"/>
        <v>0.99979851986456303</v>
      </c>
      <c r="N18" s="3">
        <f t="shared" si="7"/>
        <v>2.0152073786254681E-4</v>
      </c>
      <c r="O18" s="3" t="str">
        <f t="shared" si="0"/>
        <v>홍길동주도</v>
      </c>
      <c r="P18" s="3" t="str">
        <f t="shared" si="8"/>
        <v>열세</v>
      </c>
      <c r="Q18" s="3" t="str">
        <f t="shared" si="1"/>
        <v>패 유력</v>
      </c>
      <c r="R18" s="3" t="str">
        <f t="shared" si="2"/>
        <v>패 확실</v>
      </c>
    </row>
    <row r="19" spans="1:18" x14ac:dyDescent="0.3">
      <c r="A19" s="8">
        <f>입력창!N18</f>
        <v>5</v>
      </c>
      <c r="B19" s="8" t="str">
        <f>입력창!O18</f>
        <v>VS</v>
      </c>
      <c r="C19" s="8">
        <f>입력창!P18</f>
        <v>11</v>
      </c>
      <c r="D19" s="8" t="str">
        <f>입력창!X18</f>
        <v>Push+11-15</v>
      </c>
      <c r="E19" s="8">
        <f t="shared" si="11"/>
        <v>1</v>
      </c>
      <c r="F19" s="3">
        <f>VLOOKUP($D19,'Match Setup'!$A$4:$E$63,2,FALSE)</f>
        <v>0.84337349397590367</v>
      </c>
      <c r="G19" s="3">
        <f>VLOOKUP($D19,'Match Setup'!$A$4:$E$63,3,FALSE)</f>
        <v>0.15662650602409633</v>
      </c>
      <c r="H19" s="3">
        <f>VLOOKUP($D19,'Match Setup'!$A$4:$E$63,4,FALSE)</f>
        <v>0.15662650602409639</v>
      </c>
      <c r="I19" s="3">
        <f>VLOOKUP($D19,'Match Setup'!$A$4:$E$63,5,FALSE)</f>
        <v>0.84337349397590367</v>
      </c>
      <c r="J19" s="27">
        <f t="shared" si="9"/>
        <v>9.3925163305169243E-9</v>
      </c>
      <c r="K19" s="27">
        <f t="shared" si="10"/>
        <v>8.6558062454668184E-6</v>
      </c>
      <c r="L19" s="27">
        <f t="shared" si="5"/>
        <v>1.0839354743859019E-3</v>
      </c>
      <c r="M19" s="27">
        <f t="shared" si="6"/>
        <v>0.9989160645256141</v>
      </c>
      <c r="N19" s="3">
        <f t="shared" si="7"/>
        <v>1.0851116654137139E-3</v>
      </c>
      <c r="O19" s="3" t="str">
        <f t="shared" si="0"/>
        <v>홍길동주도</v>
      </c>
      <c r="P19" s="3" t="str">
        <f t="shared" si="8"/>
        <v>열세</v>
      </c>
      <c r="Q19" s="3" t="str">
        <f t="shared" si="1"/>
        <v>패 유력</v>
      </c>
      <c r="R19" s="3" t="str">
        <f t="shared" si="2"/>
        <v>패 확실</v>
      </c>
    </row>
    <row r="20" spans="1:18" x14ac:dyDescent="0.3">
      <c r="A20" s="8">
        <f>입력창!N19</f>
        <v>6</v>
      </c>
      <c r="B20" s="8" t="str">
        <f>입력창!O19</f>
        <v>VS</v>
      </c>
      <c r="C20" s="8">
        <f>입력창!P19</f>
        <v>11</v>
      </c>
      <c r="D20" s="8" t="str">
        <f>입력창!X19</f>
        <v>U.Clear+11-15</v>
      </c>
      <c r="E20" s="8">
        <f t="shared" si="11"/>
        <v>1</v>
      </c>
      <c r="F20" s="3">
        <f>VLOOKUP($D20,'Match Setup'!$A$4:$E$63,2,FALSE)</f>
        <v>0.93793103448275861</v>
      </c>
      <c r="G20" s="3">
        <f>VLOOKUP($D20,'Match Setup'!$A$4:$E$63,3,FALSE)</f>
        <v>6.2068965517241392E-2</v>
      </c>
      <c r="H20" s="3">
        <f>VLOOKUP($D20,'Match Setup'!$A$4:$E$63,4,FALSE)</f>
        <v>6.2068965517241378E-2</v>
      </c>
      <c r="I20" s="3">
        <f>VLOOKUP($D20,'Match Setup'!$A$4:$E$63,5,FALSE)</f>
        <v>0.93793103448275861</v>
      </c>
      <c r="J20" s="27">
        <f t="shared" si="9"/>
        <v>8.809532558277942E-9</v>
      </c>
      <c r="K20" s="27">
        <f t="shared" si="10"/>
        <v>5.3725693937380252E-7</v>
      </c>
      <c r="L20" s="27">
        <f t="shared" si="5"/>
        <v>1.6132710963022958E-2</v>
      </c>
      <c r="M20" s="27">
        <f t="shared" si="6"/>
        <v>0.98386728903697707</v>
      </c>
      <c r="N20" s="3">
        <f t="shared" si="7"/>
        <v>1.6397242944029451E-2</v>
      </c>
      <c r="O20" s="3" t="str">
        <f t="shared" si="0"/>
        <v>홍길동주도</v>
      </c>
      <c r="P20" s="3" t="str">
        <f t="shared" si="8"/>
        <v>열세</v>
      </c>
      <c r="Q20" s="3" t="str">
        <f t="shared" si="1"/>
        <v>패 유력</v>
      </c>
      <c r="R20" s="3" t="str">
        <f t="shared" si="2"/>
        <v>접전</v>
      </c>
    </row>
    <row r="21" spans="1:18" x14ac:dyDescent="0.3">
      <c r="A21" s="8">
        <f>입력창!N20</f>
        <v>6</v>
      </c>
      <c r="B21" s="8" t="str">
        <f>입력창!O20</f>
        <v>VS</v>
      </c>
      <c r="C21" s="8">
        <f>입력창!P20</f>
        <v>12</v>
      </c>
      <c r="D21" s="8" t="str">
        <f>입력창!X20</f>
        <v>Push+11-15</v>
      </c>
      <c r="E21" s="8">
        <f t="shared" si="11"/>
        <v>2</v>
      </c>
      <c r="F21" s="3">
        <f>VLOOKUP($D21,'Match Setup'!$A$4:$E$63,2,FALSE)</f>
        <v>0.84337349397590367</v>
      </c>
      <c r="G21" s="3">
        <f>VLOOKUP($D21,'Match Setup'!$A$4:$E$63,3,FALSE)</f>
        <v>0.15662650602409633</v>
      </c>
      <c r="H21" s="3">
        <f>VLOOKUP($D21,'Match Setup'!$A$4:$E$63,4,FALSE)</f>
        <v>0.15662650602409639</v>
      </c>
      <c r="I21" s="3">
        <f>VLOOKUP($D21,'Match Setup'!$A$4:$E$63,5,FALSE)</f>
        <v>0.84337349397590367</v>
      </c>
      <c r="J21" s="27">
        <f t="shared" si="9"/>
        <v>1.3798063043085928E-9</v>
      </c>
      <c r="K21" s="27">
        <f t="shared" si="10"/>
        <v>4.5310826212248409E-7</v>
      </c>
      <c r="L21" s="27">
        <f t="shared" si="5"/>
        <v>3.0359571574338196E-3</v>
      </c>
      <c r="M21" s="27">
        <f t="shared" si="6"/>
        <v>0.99696404284256612</v>
      </c>
      <c r="N21" s="3">
        <f t="shared" si="7"/>
        <v>3.0452022610340393E-3</v>
      </c>
      <c r="O21" s="3" t="str">
        <f t="shared" si="0"/>
        <v>홍길동주도</v>
      </c>
      <c r="P21" s="3" t="str">
        <f t="shared" si="8"/>
        <v>열세</v>
      </c>
      <c r="Q21" s="3" t="str">
        <f t="shared" si="1"/>
        <v>패 유력</v>
      </c>
      <c r="R21" s="3" t="str">
        <f t="shared" si="2"/>
        <v>패 확실</v>
      </c>
    </row>
    <row r="22" spans="1:18" x14ac:dyDescent="0.3">
      <c r="A22" s="8">
        <f>입력창!N21</f>
        <v>7</v>
      </c>
      <c r="B22" s="8" t="str">
        <f>입력창!O21</f>
        <v>VS</v>
      </c>
      <c r="C22" s="8">
        <f>입력창!P21</f>
        <v>12</v>
      </c>
      <c r="D22" s="8" t="str">
        <f>입력창!X21</f>
        <v>Smash+11-15</v>
      </c>
      <c r="E22" s="8">
        <f t="shared" si="11"/>
        <v>1</v>
      </c>
      <c r="F22" s="3">
        <f>VLOOKUP($D22,'Match Setup'!$A$4:$E$63,2,FALSE)</f>
        <v>0.86626139817629177</v>
      </c>
      <c r="G22" s="3">
        <f>VLOOKUP($D22,'Match Setup'!$A$4:$E$63,3,FALSE)</f>
        <v>0.13373860182370823</v>
      </c>
      <c r="H22" s="3">
        <f>VLOOKUP($D22,'Match Setup'!$A$4:$E$63,4,FALSE)</f>
        <v>0.1337386018237082</v>
      </c>
      <c r="I22" s="3">
        <f>VLOOKUP($D22,'Match Setup'!$A$4:$E$63,5,FALSE)</f>
        <v>0.86626139817629177</v>
      </c>
      <c r="J22" s="27">
        <f t="shared" si="9"/>
        <v>1.1952729383828235E-9</v>
      </c>
      <c r="K22" s="27">
        <f t="shared" si="10"/>
        <v>6.0598065451031302E-8</v>
      </c>
      <c r="L22" s="27">
        <f t="shared" si="5"/>
        <v>1.9343071106635447E-2</v>
      </c>
      <c r="M22" s="27">
        <f t="shared" si="6"/>
        <v>0.98065692889336442</v>
      </c>
      <c r="N22" s="3">
        <f t="shared" si="7"/>
        <v>1.9724605554425029E-2</v>
      </c>
      <c r="O22" s="3" t="str">
        <f t="shared" si="0"/>
        <v>홍길동주도</v>
      </c>
      <c r="P22" s="3" t="str">
        <f t="shared" si="8"/>
        <v>열세</v>
      </c>
      <c r="Q22" s="3" t="str">
        <f t="shared" si="1"/>
        <v>패 유력</v>
      </c>
      <c r="R22" s="3" t="str">
        <f t="shared" si="2"/>
        <v>접전</v>
      </c>
    </row>
    <row r="23" spans="1:18" x14ac:dyDescent="0.3">
      <c r="A23" s="8">
        <f>입력창!N22</f>
        <v>7</v>
      </c>
      <c r="B23" s="8" t="str">
        <f>입력창!O22</f>
        <v>VS</v>
      </c>
      <c r="C23" s="8">
        <f>입력창!P22</f>
        <v>13</v>
      </c>
      <c r="D23" s="8" t="str">
        <f>입력창!X22</f>
        <v>Drop+11-15</v>
      </c>
      <c r="E23" s="8">
        <f t="shared" si="11"/>
        <v>2</v>
      </c>
      <c r="F23" s="3">
        <f>VLOOKUP($D23,'Match Setup'!$A$4:$E$63,2,FALSE)</f>
        <v>0.91566265060240959</v>
      </c>
      <c r="G23" s="3">
        <f>VLOOKUP($D23,'Match Setup'!$A$4:$E$63,3,FALSE)</f>
        <v>8.4337349397590411E-2</v>
      </c>
      <c r="H23" s="3">
        <f>VLOOKUP($D23,'Match Setup'!$A$4:$E$63,4,FALSE)</f>
        <v>8.4337349397590355E-2</v>
      </c>
      <c r="I23" s="3">
        <f>VLOOKUP($D23,'Match Setup'!$A$4:$E$63,5,FALSE)</f>
        <v>0.9156626506024097</v>
      </c>
      <c r="J23" s="27">
        <f t="shared" si="9"/>
        <v>1.0080615142987674E-10</v>
      </c>
      <c r="K23" s="27">
        <f t="shared" si="10"/>
        <v>5.5487385232269629E-8</v>
      </c>
      <c r="L23" s="27">
        <f t="shared" si="5"/>
        <v>1.8134454264586272E-3</v>
      </c>
      <c r="M23" s="27">
        <f t="shared" si="6"/>
        <v>0.99818655457354133</v>
      </c>
      <c r="N23" s="3">
        <f t="shared" si="7"/>
        <v>1.8167399852759905E-3</v>
      </c>
      <c r="O23" s="3" t="str">
        <f t="shared" si="0"/>
        <v>홍길동주도</v>
      </c>
      <c r="P23" s="3" t="str">
        <f t="shared" si="8"/>
        <v>열세</v>
      </c>
      <c r="Q23" s="3" t="str">
        <f t="shared" si="1"/>
        <v>패 유력</v>
      </c>
      <c r="R23" s="3" t="str">
        <f t="shared" si="2"/>
        <v>패 확실</v>
      </c>
    </row>
    <row r="24" spans="1:18" x14ac:dyDescent="0.3">
      <c r="A24" s="8">
        <f>입력창!N23</f>
        <v>7</v>
      </c>
      <c r="B24" s="8" t="str">
        <f>입력창!O23</f>
        <v>VS</v>
      </c>
      <c r="C24" s="8">
        <f>입력창!P23</f>
        <v>14</v>
      </c>
      <c r="D24" s="8" t="str">
        <f>입력창!X23</f>
        <v>HairPin+11-15</v>
      </c>
      <c r="E24" s="8">
        <f t="shared" si="11"/>
        <v>2</v>
      </c>
      <c r="F24" s="3">
        <f>VLOOKUP($D24,'Match Setup'!$A$4:$E$63,2,FALSE)</f>
        <v>0.90849673202614378</v>
      </c>
      <c r="G24" s="3">
        <f>VLOOKUP($D24,'Match Setup'!$A$4:$E$63,3,FALSE)</f>
        <v>9.1503267973856217E-2</v>
      </c>
      <c r="H24" s="3">
        <f>VLOOKUP($D24,'Match Setup'!$A$4:$E$63,4,FALSE)</f>
        <v>9.1503267973856203E-2</v>
      </c>
      <c r="I24" s="3">
        <f>VLOOKUP($D24,'Match Setup'!$A$4:$E$63,5,FALSE)</f>
        <v>0.90849673202614378</v>
      </c>
      <c r="J24" s="27">
        <f t="shared" si="9"/>
        <v>9.2240922877011396E-12</v>
      </c>
      <c r="K24" s="27">
        <f t="shared" si="10"/>
        <v>5.041010815219267E-8</v>
      </c>
      <c r="L24" s="27">
        <f t="shared" si="5"/>
        <v>1.8294752978825779E-4</v>
      </c>
      <c r="M24" s="27">
        <f t="shared" si="6"/>
        <v>0.99981705247021169</v>
      </c>
      <c r="N24" s="3">
        <f t="shared" si="7"/>
        <v>1.8298100571125084E-4</v>
      </c>
      <c r="O24" s="3" t="str">
        <f t="shared" si="0"/>
        <v>홍길동주도</v>
      </c>
      <c r="P24" s="3" t="str">
        <f t="shared" si="8"/>
        <v>열세</v>
      </c>
      <c r="Q24" s="3" t="str">
        <f t="shared" si="1"/>
        <v>패 유력</v>
      </c>
      <c r="R24" s="3" t="str">
        <f t="shared" si="2"/>
        <v>패 확실</v>
      </c>
    </row>
    <row r="25" spans="1:18" x14ac:dyDescent="0.3">
      <c r="A25" s="8">
        <f>입력창!N24</f>
        <v>7</v>
      </c>
      <c r="B25" s="8" t="str">
        <f>입력창!O24</f>
        <v>VS</v>
      </c>
      <c r="C25" s="8">
        <f>입력창!P24</f>
        <v>15</v>
      </c>
      <c r="D25" s="8" t="str">
        <f>입력창!X24</f>
        <v>Smash+11-15</v>
      </c>
      <c r="E25" s="8">
        <f t="shared" si="11"/>
        <v>2</v>
      </c>
      <c r="F25" s="3">
        <f>VLOOKUP($D25,'Match Setup'!$A$4:$E$63,2,FALSE)</f>
        <v>0.86626139817629177</v>
      </c>
      <c r="G25" s="3">
        <f>VLOOKUP($D25,'Match Setup'!$A$4:$E$63,3,FALSE)</f>
        <v>0.13373860182370823</v>
      </c>
      <c r="H25" s="3">
        <f>VLOOKUP($D25,'Match Setup'!$A$4:$E$63,4,FALSE)</f>
        <v>0.1337386018237082</v>
      </c>
      <c r="I25" s="3">
        <f>VLOOKUP($D25,'Match Setup'!$A$4:$E$63,5,FALSE)</f>
        <v>0.86626139817629177</v>
      </c>
      <c r="J25" s="27">
        <f t="shared" si="9"/>
        <v>1.2336172056500006E-12</v>
      </c>
      <c r="K25" s="27">
        <f t="shared" si="10"/>
        <v>4.3668330770136507E-8</v>
      </c>
      <c r="L25" s="27">
        <f t="shared" si="5"/>
        <v>2.8248901104394133E-5</v>
      </c>
      <c r="M25" s="27">
        <f t="shared" si="6"/>
        <v>0.99997175109889558</v>
      </c>
      <c r="N25" s="3">
        <f t="shared" si="7"/>
        <v>2.8249699127351009E-5</v>
      </c>
      <c r="O25" s="3" t="str">
        <f t="shared" si="0"/>
        <v>홍길동주도</v>
      </c>
      <c r="P25" s="3" t="str">
        <f t="shared" si="8"/>
        <v>열세</v>
      </c>
      <c r="Q25" s="3" t="str">
        <f t="shared" si="1"/>
        <v>패 유력</v>
      </c>
      <c r="R25" s="3" t="str">
        <f t="shared" si="2"/>
        <v>패 확실</v>
      </c>
    </row>
    <row r="26" spans="1:18" x14ac:dyDescent="0.3">
      <c r="A26" s="8">
        <f>입력창!N25</f>
        <v>7</v>
      </c>
      <c r="B26" s="8" t="str">
        <f>입력창!O25</f>
        <v>VS</v>
      </c>
      <c r="C26" s="8">
        <f>입력창!P25</f>
        <v>16</v>
      </c>
      <c r="D26" s="8" t="str">
        <f>입력창!X25</f>
        <v>Smash+16-20</v>
      </c>
      <c r="E26" s="8">
        <f t="shared" si="11"/>
        <v>2</v>
      </c>
      <c r="F26" s="3">
        <f>VLOOKUP($D26,'Match Setup'!$A$4:$E$63,2,FALSE)</f>
        <v>0.95294117647058818</v>
      </c>
      <c r="G26" s="3">
        <f>VLOOKUP($D26,'Match Setup'!$A$4:$E$63,3,FALSE)</f>
        <v>4.705882352941182E-2</v>
      </c>
      <c r="H26" s="3">
        <f>VLOOKUP($D26,'Match Setup'!$A$4:$E$63,4,FALSE)</f>
        <v>4.7058823529411764E-2</v>
      </c>
      <c r="I26" s="3">
        <f>VLOOKUP($D26,'Match Setup'!$A$4:$E$63,5,FALSE)</f>
        <v>0.95294117647058818</v>
      </c>
      <c r="J26" s="27">
        <f t="shared" si="9"/>
        <v>5.8052574383529512E-14</v>
      </c>
      <c r="K26" s="27">
        <f t="shared" si="10"/>
        <v>4.1613350498600666E-8</v>
      </c>
      <c r="L26" s="27">
        <f t="shared" si="5"/>
        <v>1.3950449243334158E-6</v>
      </c>
      <c r="M26" s="27">
        <f t="shared" si="6"/>
        <v>0.99999860495507575</v>
      </c>
      <c r="N26" s="3">
        <f t="shared" si="7"/>
        <v>1.3950468704864715E-6</v>
      </c>
      <c r="O26" s="3" t="str">
        <f t="shared" si="0"/>
        <v>홍길동주도</v>
      </c>
      <c r="P26" s="3" t="str">
        <f t="shared" si="8"/>
        <v>열세</v>
      </c>
      <c r="Q26" s="3" t="str">
        <f t="shared" si="1"/>
        <v>패 유력</v>
      </c>
      <c r="R26" s="3" t="str">
        <f t="shared" si="2"/>
        <v>패 확실</v>
      </c>
    </row>
    <row r="27" spans="1:18" x14ac:dyDescent="0.3">
      <c r="A27" s="8">
        <f>입력창!N26</f>
        <v>7</v>
      </c>
      <c r="B27" s="8" t="str">
        <f>입력창!O26</f>
        <v>VS</v>
      </c>
      <c r="C27" s="8">
        <f>입력창!P26</f>
        <v>17</v>
      </c>
      <c r="D27" s="8" t="str">
        <f>입력창!X26</f>
        <v>HairPin+16-20</v>
      </c>
      <c r="E27" s="8">
        <f t="shared" si="11"/>
        <v>2</v>
      </c>
      <c r="F27" s="3">
        <f>VLOOKUP($D27,'Match Setup'!$A$4:$E$63,2,FALSE)</f>
        <v>0.93902439024390238</v>
      </c>
      <c r="G27" s="3">
        <f>VLOOKUP($D27,'Match Setup'!$A$4:$E$63,3,FALSE)</f>
        <v>6.0975609756097615E-2</v>
      </c>
      <c r="H27" s="3">
        <f>VLOOKUP($D27,'Match Setup'!$A$4:$E$63,4,FALSE)</f>
        <v>6.097560975609756E-2</v>
      </c>
      <c r="I27" s="3">
        <f>VLOOKUP($D27,'Match Setup'!$A$4:$E$63,5,FALSE)</f>
        <v>0.93902439024390238</v>
      </c>
      <c r="J27" s="27">
        <f t="shared" si="9"/>
        <v>3.5397911209469246E-15</v>
      </c>
      <c r="K27" s="27">
        <f t="shared" si="10"/>
        <v>3.9075951077954281E-8</v>
      </c>
      <c r="L27" s="27">
        <f t="shared" si="5"/>
        <v>9.0587450916411239E-8</v>
      </c>
      <c r="M27" s="27">
        <f t="shared" si="6"/>
        <v>0.99999990941254913</v>
      </c>
      <c r="N27" s="3">
        <f t="shared" si="7"/>
        <v>9.0587459122498249E-8</v>
      </c>
      <c r="O27" s="3" t="str">
        <f t="shared" si="0"/>
        <v>홍길동주도</v>
      </c>
      <c r="P27" s="3" t="str">
        <f t="shared" si="8"/>
        <v>열세</v>
      </c>
      <c r="Q27" s="3" t="str">
        <f t="shared" si="1"/>
        <v>패 유력</v>
      </c>
      <c r="R27" s="3" t="str">
        <f t="shared" si="2"/>
        <v>패 확실</v>
      </c>
    </row>
    <row r="28" spans="1:18" x14ac:dyDescent="0.3">
      <c r="A28" s="8">
        <f>입력창!N27</f>
        <v>7</v>
      </c>
      <c r="B28" s="8" t="str">
        <f>입력창!O27</f>
        <v>VS</v>
      </c>
      <c r="C28" s="8">
        <f>입력창!P27</f>
        <v>18</v>
      </c>
      <c r="D28" s="8" t="str">
        <f>입력창!X27</f>
        <v>Smash+16-20</v>
      </c>
      <c r="E28" s="8">
        <f t="shared" si="11"/>
        <v>2</v>
      </c>
      <c r="F28" s="3">
        <f>VLOOKUP($D28,'Match Setup'!$A$4:$E$63,2,FALSE)</f>
        <v>0.95294117647058818</v>
      </c>
      <c r="G28" s="3">
        <f>VLOOKUP($D28,'Match Setup'!$A$4:$E$63,3,FALSE)</f>
        <v>4.705882352941182E-2</v>
      </c>
      <c r="H28" s="3">
        <f>VLOOKUP($D28,'Match Setup'!$A$4:$E$63,4,FALSE)</f>
        <v>4.7058823529411764E-2</v>
      </c>
      <c r="I28" s="3">
        <f>VLOOKUP($D28,'Match Setup'!$A$4:$E$63,5,FALSE)</f>
        <v>0.95294117647058818</v>
      </c>
      <c r="J28" s="27">
        <f t="shared" si="9"/>
        <v>1.6657840569162017E-16</v>
      </c>
      <c r="K28" s="27">
        <f t="shared" si="10"/>
        <v>3.7237082791932902E-8</v>
      </c>
      <c r="L28" s="27">
        <f t="shared" si="5"/>
        <v>4.4734547514696021E-9</v>
      </c>
      <c r="M28" s="27">
        <f t="shared" si="6"/>
        <v>0.99999999552654528</v>
      </c>
      <c r="N28" s="3">
        <f t="shared" si="7"/>
        <v>4.4734547714813999E-9</v>
      </c>
      <c r="O28" s="3" t="str">
        <f t="shared" si="0"/>
        <v>홍길동주도</v>
      </c>
      <c r="P28" s="3" t="str">
        <f t="shared" si="8"/>
        <v>열세</v>
      </c>
      <c r="Q28" s="3" t="str">
        <f t="shared" si="1"/>
        <v>패 유력</v>
      </c>
      <c r="R28" s="3" t="str">
        <f t="shared" si="2"/>
        <v>패 확실</v>
      </c>
    </row>
    <row r="29" spans="1:18" x14ac:dyDescent="0.3">
      <c r="A29" s="8">
        <f>입력창!N28</f>
        <v>8</v>
      </c>
      <c r="B29" s="8" t="str">
        <f>입력창!O28</f>
        <v>VS</v>
      </c>
      <c r="C29" s="8">
        <f>입력창!P28</f>
        <v>18</v>
      </c>
      <c r="D29" s="8" t="str">
        <f>입력창!X28</f>
        <v>Push+16-20</v>
      </c>
      <c r="E29" s="8">
        <f t="shared" si="11"/>
        <v>1</v>
      </c>
      <c r="F29" s="3">
        <f>VLOOKUP($D29,'Match Setup'!$A$4:$E$63,2,FALSE)</f>
        <v>0.92592592592592593</v>
      </c>
      <c r="G29" s="3">
        <f>VLOOKUP($D29,'Match Setup'!$A$4:$E$63,3,FALSE)</f>
        <v>7.407407407407407E-2</v>
      </c>
      <c r="H29" s="3">
        <f>VLOOKUP($D29,'Match Setup'!$A$4:$E$63,4,FALSE)</f>
        <v>7.407407407407407E-2</v>
      </c>
      <c r="I29" s="3">
        <f>VLOOKUP($D29,'Match Setup'!$A$4:$E$63,5,FALSE)</f>
        <v>0.92592592592592593</v>
      </c>
      <c r="J29" s="27">
        <f t="shared" si="9"/>
        <v>1.5423926452927792E-16</v>
      </c>
      <c r="K29" s="27">
        <f t="shared" si="10"/>
        <v>2.7583024290320665E-9</v>
      </c>
      <c r="L29" s="27">
        <f t="shared" si="5"/>
        <v>5.5918181516674302E-8</v>
      </c>
      <c r="M29" s="27">
        <f t="shared" si="6"/>
        <v>0.99999994408181847</v>
      </c>
      <c r="N29" s="3">
        <f t="shared" si="7"/>
        <v>5.5918184643517503E-8</v>
      </c>
      <c r="O29" s="3" t="str">
        <f t="shared" si="0"/>
        <v>홍길동주도</v>
      </c>
      <c r="P29" s="3" t="str">
        <f t="shared" si="8"/>
        <v>열세</v>
      </c>
      <c r="Q29" s="3" t="str">
        <f t="shared" si="1"/>
        <v>패 유력</v>
      </c>
      <c r="R29" s="3" t="str">
        <f t="shared" si="2"/>
        <v>패 확실</v>
      </c>
    </row>
    <row r="30" spans="1:18" x14ac:dyDescent="0.3">
      <c r="A30" s="8">
        <f>입력창!N29</f>
        <v>9</v>
      </c>
      <c r="B30" s="8" t="str">
        <f>입력창!O29</f>
        <v>VS</v>
      </c>
      <c r="C30" s="8">
        <f>입력창!P29</f>
        <v>18</v>
      </c>
      <c r="D30" s="8" t="str">
        <f>입력창!X29</f>
        <v>U.Clear+16-20</v>
      </c>
      <c r="E30" s="8">
        <f t="shared" si="11"/>
        <v>1</v>
      </c>
      <c r="F30" s="3">
        <f>VLOOKUP($D30,'Match Setup'!$A$4:$E$63,2,FALSE)</f>
        <v>0.94074074074074077</v>
      </c>
      <c r="G30" s="3">
        <f>VLOOKUP($D30,'Match Setup'!$A$4:$E$63,3,FALSE)</f>
        <v>5.9259259259259234E-2</v>
      </c>
      <c r="H30" s="3">
        <f>VLOOKUP($D30,'Match Setup'!$A$4:$E$63,4,FALSE)</f>
        <v>5.9259259259259262E-2</v>
      </c>
      <c r="I30" s="3">
        <f>VLOOKUP($D30,'Match Setup'!$A$4:$E$63,5,FALSE)</f>
        <v>0.94074074074074077</v>
      </c>
      <c r="J30" s="27">
        <f t="shared" si="9"/>
        <v>1.4509915996457998E-16</v>
      </c>
      <c r="K30" s="27">
        <f t="shared" si="10"/>
        <v>1.634549587574558E-10</v>
      </c>
      <c r="L30" s="27">
        <f t="shared" si="5"/>
        <v>8.8770039320315284E-7</v>
      </c>
      <c r="M30" s="27">
        <f t="shared" si="6"/>
        <v>0.99999911229960681</v>
      </c>
      <c r="N30" s="3">
        <f t="shared" si="7"/>
        <v>8.8770118121584034E-7</v>
      </c>
      <c r="O30" s="3" t="str">
        <f t="shared" si="0"/>
        <v>홍길동주도</v>
      </c>
      <c r="P30" s="3" t="str">
        <f t="shared" si="8"/>
        <v>열세</v>
      </c>
      <c r="Q30" s="3" t="str">
        <f t="shared" si="1"/>
        <v>패 유력</v>
      </c>
      <c r="R30" s="3" t="str">
        <f t="shared" si="2"/>
        <v>패 확실</v>
      </c>
    </row>
    <row r="31" spans="1:18" x14ac:dyDescent="0.3">
      <c r="A31" s="8">
        <f>입력창!N30</f>
        <v>10</v>
      </c>
      <c r="B31" s="8" t="str">
        <f>입력창!O30</f>
        <v>VS</v>
      </c>
      <c r="C31" s="8">
        <f>입력창!P30</f>
        <v>18</v>
      </c>
      <c r="D31" s="8" t="str">
        <f>입력창!X30</f>
        <v>U.Clear+16-20</v>
      </c>
      <c r="E31" s="8">
        <f t="shared" si="11"/>
        <v>1</v>
      </c>
      <c r="F31" s="3">
        <f>VLOOKUP($D31,'Match Setup'!$A$4:$E$63,2,FALSE)</f>
        <v>0.94074074074074077</v>
      </c>
      <c r="G31" s="3">
        <f>VLOOKUP($D31,'Match Setup'!$A$4:$E$63,3,FALSE)</f>
        <v>5.9259259259259234E-2</v>
      </c>
      <c r="H31" s="3">
        <f>VLOOKUP($D31,'Match Setup'!$A$4:$E$63,4,FALSE)</f>
        <v>5.9259259259259262E-2</v>
      </c>
      <c r="I31" s="3">
        <f>VLOOKUP($D31,'Match Setup'!$A$4:$E$63,5,FALSE)</f>
        <v>0.94074074074074077</v>
      </c>
      <c r="J31" s="27">
        <f t="shared" si="9"/>
        <v>1.3650069122593821E-16</v>
      </c>
      <c r="K31" s="27">
        <f t="shared" si="10"/>
        <v>9.6862197782196024E-12</v>
      </c>
      <c r="L31" s="27">
        <f t="shared" si="5"/>
        <v>1.4092057662913767E-5</v>
      </c>
      <c r="M31" s="27">
        <f t="shared" si="6"/>
        <v>0.9999859079423371</v>
      </c>
      <c r="N31" s="3">
        <f t="shared" si="7"/>
        <v>1.4092256251801467E-5</v>
      </c>
      <c r="O31" s="3" t="str">
        <f t="shared" si="0"/>
        <v>홍길동주도</v>
      </c>
      <c r="P31" s="3" t="str">
        <f t="shared" si="8"/>
        <v>열세</v>
      </c>
      <c r="Q31" s="3" t="str">
        <f t="shared" si="1"/>
        <v>패 유력</v>
      </c>
      <c r="R31" s="3" t="str">
        <f t="shared" si="2"/>
        <v>패 확실</v>
      </c>
    </row>
    <row r="32" spans="1:18" x14ac:dyDescent="0.3">
      <c r="A32" s="8">
        <f>입력창!N31</f>
        <v>10</v>
      </c>
      <c r="B32" s="8" t="str">
        <f>입력창!O31</f>
        <v>VS</v>
      </c>
      <c r="C32" s="8">
        <f>입력창!P31</f>
        <v>19</v>
      </c>
      <c r="D32" s="8" t="str">
        <f>입력창!X31</f>
        <v>Smash+16-20</v>
      </c>
      <c r="E32" s="8">
        <f t="shared" si="11"/>
        <v>2</v>
      </c>
      <c r="F32" s="3">
        <f>VLOOKUP($D32,'Match Setup'!$A$4:$E$63,2,FALSE)</f>
        <v>0.95294117647058818</v>
      </c>
      <c r="G32" s="3">
        <f>VLOOKUP($D32,'Match Setup'!$A$4:$E$63,3,FALSE)</f>
        <v>4.705882352941182E-2</v>
      </c>
      <c r="H32" s="3">
        <f>VLOOKUP($D32,'Match Setup'!$A$4:$E$63,4,FALSE)</f>
        <v>4.7058823529411764E-2</v>
      </c>
      <c r="I32" s="3">
        <f>VLOOKUP($D32,'Match Setup'!$A$4:$E$63,5,FALSE)</f>
        <v>0.95294117647058818</v>
      </c>
      <c r="J32" s="27">
        <f t="shared" si="9"/>
        <v>6.4235619400441587E-18</v>
      </c>
      <c r="K32" s="27">
        <f t="shared" si="10"/>
        <v>9.2303976710092681E-12</v>
      </c>
      <c r="L32" s="27">
        <f t="shared" si="5"/>
        <v>6.9591340468204724E-7</v>
      </c>
      <c r="M32" s="27">
        <f t="shared" si="6"/>
        <v>0.99999930408659532</v>
      </c>
      <c r="N32" s="3">
        <f t="shared" si="7"/>
        <v>6.95913888977851E-7</v>
      </c>
      <c r="O32" s="3" t="str">
        <f t="shared" si="0"/>
        <v>홍길동주도</v>
      </c>
      <c r="P32" s="3" t="str">
        <f t="shared" si="8"/>
        <v>열세</v>
      </c>
      <c r="Q32" s="3" t="str">
        <f t="shared" si="1"/>
        <v>패 유력</v>
      </c>
      <c r="R32" s="3" t="str">
        <f t="shared" si="2"/>
        <v>패 확실</v>
      </c>
    </row>
    <row r="33" spans="1:18" x14ac:dyDescent="0.3">
      <c r="A33" s="8">
        <f>입력창!N32</f>
        <v>10</v>
      </c>
      <c r="B33" s="8" t="str">
        <f>입력창!O32</f>
        <v>VS</v>
      </c>
      <c r="C33" s="8">
        <f>입력창!P32</f>
        <v>20</v>
      </c>
      <c r="D33" s="8" t="str">
        <f>입력창!X32</f>
        <v>Push+16-20</v>
      </c>
      <c r="E33" s="8">
        <f t="shared" si="11"/>
        <v>2</v>
      </c>
      <c r="F33" s="3">
        <f>VLOOKUP($D33,'Match Setup'!$A$4:$E$63,2,FALSE)</f>
        <v>0.92592592592592593</v>
      </c>
      <c r="G33" s="3">
        <f>VLOOKUP($D33,'Match Setup'!$A$4:$E$63,3,FALSE)</f>
        <v>7.407407407407407E-2</v>
      </c>
      <c r="H33" s="3">
        <f>VLOOKUP($D33,'Match Setup'!$A$4:$E$63,4,FALSE)</f>
        <v>7.407407407407407E-2</v>
      </c>
      <c r="I33" s="3">
        <f>VLOOKUP($D33,'Match Setup'!$A$4:$E$63,5,FALSE)</f>
        <v>0.92592592592592593</v>
      </c>
      <c r="J33" s="27">
        <f t="shared" si="9"/>
        <v>4.7581940296623399E-19</v>
      </c>
      <c r="K33" s="27">
        <f t="shared" si="10"/>
        <v>8.5466645101937676E-12</v>
      </c>
      <c r="L33" s="27">
        <f t="shared" si="5"/>
        <v>5.5673108018732954E-8</v>
      </c>
      <c r="M33" s="27">
        <f t="shared" si="6"/>
        <v>0.99999994432689199</v>
      </c>
      <c r="N33" s="3">
        <f t="shared" si="7"/>
        <v>5.5673111118228082E-8</v>
      </c>
      <c r="O33" s="3" t="str">
        <f t="shared" si="0"/>
        <v>홍길동주도</v>
      </c>
      <c r="P33" s="3" t="str">
        <f t="shared" si="8"/>
        <v>열세</v>
      </c>
      <c r="Q33" s="3" t="str">
        <f t="shared" si="1"/>
        <v>패 유력</v>
      </c>
      <c r="R33" s="3" t="str">
        <f t="shared" si="2"/>
        <v>패 확실</v>
      </c>
    </row>
    <row r="34" spans="1:18" x14ac:dyDescent="0.3">
      <c r="A34" s="8">
        <f>입력창!N33</f>
        <v>11</v>
      </c>
      <c r="B34" s="8" t="str">
        <f>입력창!O33</f>
        <v>VS</v>
      </c>
      <c r="C34" s="8">
        <f>입력창!P33</f>
        <v>20</v>
      </c>
      <c r="D34" s="8" t="str">
        <f>입력창!X33</f>
        <v>HairPin+16-20</v>
      </c>
      <c r="E34" s="8">
        <f t="shared" si="11"/>
        <v>1</v>
      </c>
      <c r="F34" s="3">
        <f>VLOOKUP($D34,'Match Setup'!$A$4:$E$63,2,FALSE)</f>
        <v>0.93902439024390238</v>
      </c>
      <c r="G34" s="3">
        <f>VLOOKUP($D34,'Match Setup'!$A$4:$E$63,3,FALSE)</f>
        <v>6.0975609756097615E-2</v>
      </c>
      <c r="H34" s="3">
        <f>VLOOKUP($D34,'Match Setup'!$A$4:$E$63,4,FALSE)</f>
        <v>6.097560975609756E-2</v>
      </c>
      <c r="I34" s="3">
        <f>VLOOKUP($D34,'Match Setup'!$A$4:$E$63,5,FALSE)</f>
        <v>0.93902439024390238</v>
      </c>
      <c r="J34" s="27">
        <f t="shared" si="9"/>
        <v>4.4680602473658552E-19</v>
      </c>
      <c r="K34" s="27">
        <f t="shared" si="10"/>
        <v>5.2113807988986389E-13</v>
      </c>
      <c r="L34" s="27">
        <f t="shared" si="5"/>
        <v>8.5736517614503674E-7</v>
      </c>
      <c r="M34" s="27">
        <f t="shared" si="6"/>
        <v>0.99999914263482381</v>
      </c>
      <c r="N34" s="3">
        <f t="shared" si="7"/>
        <v>8.5736591122071227E-7</v>
      </c>
      <c r="O34" s="3" t="str">
        <f t="shared" si="0"/>
        <v>홍길동주도</v>
      </c>
      <c r="P34" s="3" t="str">
        <f t="shared" si="8"/>
        <v>열세</v>
      </c>
      <c r="Q34" s="3" t="str">
        <f t="shared" si="1"/>
        <v>패 유력</v>
      </c>
      <c r="R34" s="3" t="str">
        <f t="shared" si="2"/>
        <v>패 확실</v>
      </c>
    </row>
    <row r="35" spans="1:18" x14ac:dyDescent="0.3">
      <c r="A35" s="8">
        <f>입력창!N34</f>
        <v>11</v>
      </c>
      <c r="B35" s="8" t="str">
        <f>입력창!O34</f>
        <v>VS</v>
      </c>
      <c r="C35" s="8">
        <f>입력창!P34</f>
        <v>21</v>
      </c>
      <c r="D35" s="8" t="str">
        <f>입력창!X34</f>
        <v>Push+21-</v>
      </c>
      <c r="E35" s="8">
        <f t="shared" si="11"/>
        <v>2</v>
      </c>
      <c r="F35" s="3">
        <f>VLOOKUP($D35,'Match Setup'!$A$4:$E$63,2,FALSE)</f>
        <v>0.96296296296296291</v>
      </c>
      <c r="G35" s="3">
        <f>VLOOKUP($D35,'Match Setup'!$A$4:$E$63,3,FALSE)</f>
        <v>3.703703703703709E-2</v>
      </c>
      <c r="H35" s="3">
        <f>VLOOKUP($D35,'Match Setup'!$A$4:$E$63,4,FALSE)</f>
        <v>3.7037037037037035E-2</v>
      </c>
      <c r="I35" s="3">
        <f>VLOOKUP($D35,'Match Setup'!$A$4:$E$63,5,FALSE)</f>
        <v>0.96296296296296302</v>
      </c>
      <c r="J35" s="27">
        <f t="shared" si="9"/>
        <v>1.6548371286540227E-20</v>
      </c>
      <c r="K35" s="27">
        <f t="shared" si="10"/>
        <v>5.0183666952357271E-13</v>
      </c>
      <c r="L35" s="27">
        <f t="shared" si="5"/>
        <v>3.2975610882636487E-8</v>
      </c>
      <c r="M35" s="27">
        <f t="shared" si="6"/>
        <v>0.9999999670243892</v>
      </c>
      <c r="N35" s="3">
        <f t="shared" si="7"/>
        <v>3.2975611970027434E-8</v>
      </c>
      <c r="O35" s="3" t="str">
        <f t="shared" si="0"/>
        <v>홍길동주도</v>
      </c>
      <c r="P35" s="3" t="str">
        <f t="shared" si="8"/>
        <v>열세</v>
      </c>
      <c r="Q35" s="3" t="str">
        <f t="shared" si="1"/>
        <v>패 유력</v>
      </c>
      <c r="R35" s="3" t="str">
        <f t="shared" si="2"/>
        <v>패 확실</v>
      </c>
    </row>
    <row r="36" spans="1:18" x14ac:dyDescent="0.3">
      <c r="A36" s="8">
        <f>입력창!N35</f>
        <v>0</v>
      </c>
      <c r="B36" s="8" t="str">
        <f>입력창!O35</f>
        <v>VS</v>
      </c>
      <c r="C36" s="8">
        <f>입력창!P35</f>
        <v>0</v>
      </c>
      <c r="D36" s="8">
        <f>입력창!X35</f>
        <v>0</v>
      </c>
      <c r="E36" s="8" t="str">
        <f>IF(입력창!M35=입력창!$N$2,1,IF(입력창!M35=입력창!$P$2,2,""))</f>
        <v/>
      </c>
      <c r="F36" s="3" t="e">
        <f>VLOOKUP($D36,'Match Setup'!$A$4:$E$63,2,FALSE)</f>
        <v>#N/A</v>
      </c>
      <c r="G36" s="3" t="e">
        <f>VLOOKUP($D36,'Match Setup'!$A$4:$E$63,3,FALSE)</f>
        <v>#N/A</v>
      </c>
      <c r="H36" s="3" t="e">
        <f>VLOOKUP($D36,'Match Setup'!$A$4:$E$63,4,FALSE)</f>
        <v>#N/A</v>
      </c>
      <c r="I36" s="3" t="e">
        <f>VLOOKUP($D36,'Match Setup'!$A$4:$E$63,5,FALSE)</f>
        <v>#N/A</v>
      </c>
      <c r="J36" s="27" t="str">
        <f t="shared" si="9"/>
        <v/>
      </c>
      <c r="K36" s="27" t="str">
        <f t="shared" si="10"/>
        <v/>
      </c>
      <c r="L36" s="27" t="e">
        <f t="shared" si="5"/>
        <v>#VALUE!</v>
      </c>
      <c r="M36" s="27" t="e">
        <f t="shared" si="6"/>
        <v>#VALUE!</v>
      </c>
      <c r="N36" s="3" t="str">
        <f t="shared" si="7"/>
        <v/>
      </c>
      <c r="O36" s="3" t="str">
        <f t="shared" si="0"/>
        <v/>
      </c>
      <c r="P36" s="3" t="str">
        <f t="shared" si="8"/>
        <v/>
      </c>
      <c r="Q36" s="3" t="str">
        <f t="shared" si="1"/>
        <v/>
      </c>
      <c r="R36" s="3" t="str">
        <f t="shared" si="2"/>
        <v/>
      </c>
    </row>
    <row r="37" spans="1:18" x14ac:dyDescent="0.3">
      <c r="A37" s="8">
        <f>입력창!N36</f>
        <v>0</v>
      </c>
      <c r="B37" s="8" t="str">
        <f>입력창!O36</f>
        <v>VS</v>
      </c>
      <c r="C37" s="8">
        <f>입력창!P36</f>
        <v>0</v>
      </c>
      <c r="D37" s="8">
        <f>입력창!X36</f>
        <v>0</v>
      </c>
      <c r="E37" s="8" t="str">
        <f>IF(입력창!M36=입력창!$N$2,1,IF(입력창!M36=입력창!$P$2,2,""))</f>
        <v/>
      </c>
      <c r="F37" s="3" t="e">
        <f>VLOOKUP($D37,'Match Setup'!$A$4:$E$63,2,FALSE)</f>
        <v>#N/A</v>
      </c>
      <c r="G37" s="3" t="e">
        <f>VLOOKUP($D37,'Match Setup'!$A$4:$E$63,3,FALSE)</f>
        <v>#N/A</v>
      </c>
      <c r="H37" s="3" t="e">
        <f>VLOOKUP($D37,'Match Setup'!$A$4:$E$63,4,FALSE)</f>
        <v>#N/A</v>
      </c>
      <c r="I37" s="3" t="e">
        <f>VLOOKUP($D37,'Match Setup'!$A$4:$E$63,5,FALSE)</f>
        <v>#N/A</v>
      </c>
      <c r="J37" s="27" t="str">
        <f t="shared" si="9"/>
        <v/>
      </c>
      <c r="K37" s="27" t="str">
        <f t="shared" si="10"/>
        <v/>
      </c>
      <c r="L37" s="27" t="e">
        <f t="shared" si="5"/>
        <v>#VALUE!</v>
      </c>
      <c r="M37" s="27" t="e">
        <f t="shared" si="6"/>
        <v>#VALUE!</v>
      </c>
      <c r="N37" s="3" t="str">
        <f t="shared" si="7"/>
        <v/>
      </c>
      <c r="O37" s="3" t="str">
        <f t="shared" si="0"/>
        <v/>
      </c>
      <c r="P37" s="3" t="str">
        <f t="shared" si="8"/>
        <v/>
      </c>
      <c r="Q37" s="3" t="str">
        <f t="shared" si="1"/>
        <v/>
      </c>
      <c r="R37" s="3" t="str">
        <f t="shared" si="2"/>
        <v/>
      </c>
    </row>
    <row r="38" spans="1:18" x14ac:dyDescent="0.3">
      <c r="A38" s="8">
        <f>입력창!N37</f>
        <v>0</v>
      </c>
      <c r="B38" s="8" t="str">
        <f>입력창!O37</f>
        <v>VS</v>
      </c>
      <c r="C38" s="8">
        <f>입력창!P37</f>
        <v>0</v>
      </c>
      <c r="D38" s="8">
        <f>입력창!X37</f>
        <v>0</v>
      </c>
      <c r="E38" s="8" t="str">
        <f>IF(입력창!M37=입력창!$N$2,1,IF(입력창!M37=입력창!$P$2,2,""))</f>
        <v/>
      </c>
      <c r="F38" s="3" t="e">
        <f>VLOOKUP($D38,'Match Setup'!$A$4:$E$63,2,FALSE)</f>
        <v>#N/A</v>
      </c>
      <c r="G38" s="3" t="e">
        <f>VLOOKUP($D38,'Match Setup'!$A$4:$E$63,3,FALSE)</f>
        <v>#N/A</v>
      </c>
      <c r="H38" s="3" t="e">
        <f>VLOOKUP($D38,'Match Setup'!$A$4:$E$63,4,FALSE)</f>
        <v>#N/A</v>
      </c>
      <c r="I38" s="3" t="e">
        <f>VLOOKUP($D38,'Match Setup'!$A$4:$E$63,5,FALSE)</f>
        <v>#N/A</v>
      </c>
      <c r="J38" s="27" t="str">
        <f t="shared" si="9"/>
        <v/>
      </c>
      <c r="K38" s="27" t="str">
        <f t="shared" si="10"/>
        <v/>
      </c>
      <c r="L38" s="27" t="e">
        <f t="shared" si="5"/>
        <v>#VALUE!</v>
      </c>
      <c r="M38" s="27" t="e">
        <f t="shared" si="6"/>
        <v>#VALUE!</v>
      </c>
      <c r="N38" s="3" t="str">
        <f t="shared" si="7"/>
        <v/>
      </c>
      <c r="O38" s="3" t="str">
        <f t="shared" si="0"/>
        <v/>
      </c>
      <c r="P38" s="3" t="str">
        <f t="shared" si="8"/>
        <v/>
      </c>
      <c r="Q38" s="3" t="str">
        <f t="shared" si="1"/>
        <v/>
      </c>
      <c r="R38" s="3" t="str">
        <f t="shared" si="2"/>
        <v/>
      </c>
    </row>
    <row r="39" spans="1:18" x14ac:dyDescent="0.3">
      <c r="A39" s="8">
        <f>입력창!N38</f>
        <v>0</v>
      </c>
      <c r="B39" s="8" t="str">
        <f>입력창!O38</f>
        <v>VS</v>
      </c>
      <c r="C39" s="8">
        <f>입력창!P38</f>
        <v>0</v>
      </c>
      <c r="D39" s="8">
        <f>입력창!X38</f>
        <v>0</v>
      </c>
      <c r="E39" s="8" t="str">
        <f>IF(입력창!M38=입력창!$N$2,1,IF(입력창!M38=입력창!$P$2,2,""))</f>
        <v/>
      </c>
      <c r="F39" s="3" t="e">
        <f>VLOOKUP($D39,'Match Setup'!$A$4:$E$63,2,FALSE)</f>
        <v>#N/A</v>
      </c>
      <c r="G39" s="3" t="e">
        <f>VLOOKUP($D39,'Match Setup'!$A$4:$E$63,3,FALSE)</f>
        <v>#N/A</v>
      </c>
      <c r="H39" s="3" t="e">
        <f>VLOOKUP($D39,'Match Setup'!$A$4:$E$63,4,FALSE)</f>
        <v>#N/A</v>
      </c>
      <c r="I39" s="3" t="e">
        <f>VLOOKUP($D39,'Match Setup'!$A$4:$E$63,5,FALSE)</f>
        <v>#N/A</v>
      </c>
      <c r="J39" s="27" t="str">
        <f t="shared" si="9"/>
        <v/>
      </c>
      <c r="K39" s="27" t="str">
        <f t="shared" si="10"/>
        <v/>
      </c>
      <c r="L39" s="27" t="e">
        <f t="shared" si="5"/>
        <v>#VALUE!</v>
      </c>
      <c r="M39" s="27" t="e">
        <f t="shared" si="6"/>
        <v>#VALUE!</v>
      </c>
      <c r="N39" s="3" t="str">
        <f t="shared" si="7"/>
        <v/>
      </c>
      <c r="O39" s="3" t="str">
        <f t="shared" si="0"/>
        <v/>
      </c>
      <c r="P39" s="3" t="str">
        <f t="shared" si="8"/>
        <v/>
      </c>
      <c r="Q39" s="3" t="str">
        <f t="shared" si="1"/>
        <v/>
      </c>
      <c r="R39" s="3" t="str">
        <f t="shared" si="2"/>
        <v/>
      </c>
    </row>
    <row r="40" spans="1:18" x14ac:dyDescent="0.3">
      <c r="A40" s="8">
        <f>입력창!N39</f>
        <v>0</v>
      </c>
      <c r="B40" s="8" t="str">
        <f>입력창!O39</f>
        <v>VS</v>
      </c>
      <c r="C40" s="8">
        <f>입력창!P39</f>
        <v>0</v>
      </c>
      <c r="D40" s="8">
        <f>입력창!X39</f>
        <v>0</v>
      </c>
      <c r="E40" s="8" t="str">
        <f>IF(입력창!M39=입력창!$N$2,1,IF(입력창!M39=입력창!$P$2,2,""))</f>
        <v/>
      </c>
      <c r="F40" s="3" t="e">
        <f>VLOOKUP($D40,'Match Setup'!$A$4:$E$63,2,FALSE)</f>
        <v>#N/A</v>
      </c>
      <c r="G40" s="3" t="e">
        <f>VLOOKUP($D40,'Match Setup'!$A$4:$E$63,3,FALSE)</f>
        <v>#N/A</v>
      </c>
      <c r="H40" s="3" t="e">
        <f>VLOOKUP($D40,'Match Setup'!$A$4:$E$63,4,FALSE)</f>
        <v>#N/A</v>
      </c>
      <c r="I40" s="3" t="e">
        <f>VLOOKUP($D40,'Match Setup'!$A$4:$E$63,5,FALSE)</f>
        <v>#N/A</v>
      </c>
      <c r="J40" s="27" t="str">
        <f t="shared" si="9"/>
        <v/>
      </c>
      <c r="K40" s="27" t="str">
        <f t="shared" si="10"/>
        <v/>
      </c>
      <c r="L40" s="27" t="e">
        <f t="shared" si="5"/>
        <v>#VALUE!</v>
      </c>
      <c r="M40" s="27" t="e">
        <f t="shared" si="6"/>
        <v>#VALUE!</v>
      </c>
      <c r="N40" s="3" t="str">
        <f t="shared" si="7"/>
        <v/>
      </c>
      <c r="O40" s="3" t="str">
        <f t="shared" si="0"/>
        <v/>
      </c>
      <c r="P40" s="3" t="str">
        <f t="shared" si="8"/>
        <v/>
      </c>
      <c r="Q40" s="3" t="str">
        <f t="shared" si="1"/>
        <v/>
      </c>
      <c r="R40" s="3" t="str">
        <f t="shared" si="2"/>
        <v/>
      </c>
    </row>
    <row r="41" spans="1:18" x14ac:dyDescent="0.3">
      <c r="A41" s="8">
        <f>입력창!N40</f>
        <v>0</v>
      </c>
      <c r="B41" s="8" t="str">
        <f>입력창!O40</f>
        <v>VS</v>
      </c>
      <c r="C41" s="8">
        <f>입력창!P40</f>
        <v>0</v>
      </c>
      <c r="D41" s="8">
        <f>입력창!X40</f>
        <v>0</v>
      </c>
      <c r="E41" s="8" t="str">
        <f>IF(입력창!M40=입력창!$N$2,1,IF(입력창!M40=입력창!$P$2,2,""))</f>
        <v/>
      </c>
      <c r="F41" s="3" t="e">
        <f>VLOOKUP($D41,'Match Setup'!$A$4:$E$63,2,FALSE)</f>
        <v>#N/A</v>
      </c>
      <c r="G41" s="3" t="e">
        <f>VLOOKUP($D41,'Match Setup'!$A$4:$E$63,3,FALSE)</f>
        <v>#N/A</v>
      </c>
      <c r="H41" s="3" t="e">
        <f>VLOOKUP($D41,'Match Setup'!$A$4:$E$63,4,FALSE)</f>
        <v>#N/A</v>
      </c>
      <c r="I41" s="3" t="e">
        <f>VLOOKUP($D41,'Match Setup'!$A$4:$E$63,5,FALSE)</f>
        <v>#N/A</v>
      </c>
      <c r="J41" s="27" t="str">
        <f t="shared" si="9"/>
        <v/>
      </c>
      <c r="K41" s="27" t="str">
        <f t="shared" si="10"/>
        <v/>
      </c>
      <c r="L41" s="27" t="e">
        <f t="shared" si="5"/>
        <v>#VALUE!</v>
      </c>
      <c r="M41" s="27" t="e">
        <f t="shared" si="6"/>
        <v>#VALUE!</v>
      </c>
      <c r="N41" s="3" t="str">
        <f t="shared" si="7"/>
        <v/>
      </c>
      <c r="O41" s="3" t="str">
        <f t="shared" si="0"/>
        <v/>
      </c>
      <c r="P41" s="3" t="str">
        <f t="shared" si="8"/>
        <v/>
      </c>
      <c r="Q41" s="3" t="str">
        <f t="shared" si="1"/>
        <v/>
      </c>
      <c r="R41" s="3" t="str">
        <f t="shared" si="2"/>
        <v/>
      </c>
    </row>
    <row r="42" spans="1:18" x14ac:dyDescent="0.3">
      <c r="A42" s="8">
        <f>입력창!N41</f>
        <v>0</v>
      </c>
      <c r="B42" s="8" t="str">
        <f>입력창!O41</f>
        <v>VS</v>
      </c>
      <c r="C42" s="8">
        <f>입력창!P41</f>
        <v>0</v>
      </c>
      <c r="D42" s="8">
        <f>입력창!X41</f>
        <v>0</v>
      </c>
      <c r="E42" s="8" t="str">
        <f>IF(입력창!M41=입력창!$N$2,1,IF(입력창!M41=입력창!$P$2,2,""))</f>
        <v/>
      </c>
      <c r="F42" s="3" t="e">
        <f>VLOOKUP($D42,'Match Setup'!$A$4:$E$63,2,FALSE)</f>
        <v>#N/A</v>
      </c>
      <c r="G42" s="3" t="e">
        <f>VLOOKUP($D42,'Match Setup'!$A$4:$E$63,3,FALSE)</f>
        <v>#N/A</v>
      </c>
      <c r="H42" s="3" t="e">
        <f>VLOOKUP($D42,'Match Setup'!$A$4:$E$63,4,FALSE)</f>
        <v>#N/A</v>
      </c>
      <c r="I42" s="3" t="e">
        <f>VLOOKUP($D42,'Match Setup'!$A$4:$E$63,5,FALSE)</f>
        <v>#N/A</v>
      </c>
      <c r="J42" s="27" t="str">
        <f t="shared" si="9"/>
        <v/>
      </c>
      <c r="K42" s="27" t="str">
        <f t="shared" si="10"/>
        <v/>
      </c>
      <c r="L42" s="27" t="e">
        <f t="shared" si="5"/>
        <v>#VALUE!</v>
      </c>
      <c r="M42" s="27" t="e">
        <f t="shared" si="6"/>
        <v>#VALUE!</v>
      </c>
      <c r="N42" s="3" t="str">
        <f t="shared" si="7"/>
        <v/>
      </c>
      <c r="O42" s="3" t="str">
        <f t="shared" si="0"/>
        <v/>
      </c>
      <c r="P42" s="3" t="str">
        <f t="shared" si="8"/>
        <v/>
      </c>
      <c r="Q42" s="3" t="str">
        <f t="shared" si="1"/>
        <v/>
      </c>
      <c r="R42" s="3" t="str">
        <f t="shared" si="2"/>
        <v/>
      </c>
    </row>
    <row r="43" spans="1:18" x14ac:dyDescent="0.3">
      <c r="A43" s="8">
        <f>입력창!N42</f>
        <v>0</v>
      </c>
      <c r="B43" s="8" t="str">
        <f>입력창!O42</f>
        <v>VS</v>
      </c>
      <c r="C43" s="8">
        <f>입력창!P42</f>
        <v>0</v>
      </c>
      <c r="D43" s="8">
        <f>입력창!X42</f>
        <v>0</v>
      </c>
      <c r="E43" s="8" t="str">
        <f>IF(입력창!M42=입력창!$N$2,1,IF(입력창!M42=입력창!$P$2,2,""))</f>
        <v/>
      </c>
      <c r="F43" s="3" t="e">
        <f>VLOOKUP($D43,'Match Setup'!$A$4:$E$63,2,FALSE)</f>
        <v>#N/A</v>
      </c>
      <c r="G43" s="3" t="e">
        <f>VLOOKUP($D43,'Match Setup'!$A$4:$E$63,3,FALSE)</f>
        <v>#N/A</v>
      </c>
      <c r="H43" s="3" t="e">
        <f>VLOOKUP($D43,'Match Setup'!$A$4:$E$63,4,FALSE)</f>
        <v>#N/A</v>
      </c>
      <c r="I43" s="3" t="e">
        <f>VLOOKUP($D43,'Match Setup'!$A$4:$E$63,5,FALSE)</f>
        <v>#N/A</v>
      </c>
      <c r="J43" s="27" t="str">
        <f t="shared" si="9"/>
        <v/>
      </c>
      <c r="K43" s="27" t="str">
        <f t="shared" si="10"/>
        <v/>
      </c>
      <c r="L43" s="27" t="e">
        <f t="shared" si="5"/>
        <v>#VALUE!</v>
      </c>
      <c r="M43" s="27" t="e">
        <f t="shared" si="6"/>
        <v>#VALUE!</v>
      </c>
      <c r="N43" s="3" t="str">
        <f t="shared" si="7"/>
        <v/>
      </c>
      <c r="O43" s="3" t="str">
        <f t="shared" si="0"/>
        <v/>
      </c>
      <c r="P43" s="3" t="str">
        <f t="shared" si="8"/>
        <v/>
      </c>
      <c r="Q43" s="3" t="str">
        <f t="shared" si="1"/>
        <v/>
      </c>
      <c r="R43" s="3" t="str">
        <f t="shared" si="2"/>
        <v/>
      </c>
    </row>
    <row r="44" spans="1:18" x14ac:dyDescent="0.3">
      <c r="A44" s="8">
        <f>입력창!N43</f>
        <v>0</v>
      </c>
      <c r="B44" s="8" t="str">
        <f>입력창!O43</f>
        <v>VS</v>
      </c>
      <c r="C44" s="8">
        <f>입력창!P43</f>
        <v>0</v>
      </c>
      <c r="D44" s="8">
        <f>입력창!X43</f>
        <v>0</v>
      </c>
      <c r="E44" s="8" t="str">
        <f>IF(입력창!M43=입력창!$N$2,1,IF(입력창!M43=입력창!$P$2,2,""))</f>
        <v/>
      </c>
      <c r="F44" s="3" t="e">
        <f>VLOOKUP($D44,'Match Setup'!$A$4:$E$63,2,FALSE)</f>
        <v>#N/A</v>
      </c>
      <c r="G44" s="3" t="e">
        <f>VLOOKUP($D44,'Match Setup'!$A$4:$E$63,3,FALSE)</f>
        <v>#N/A</v>
      </c>
      <c r="H44" s="3" t="e">
        <f>VLOOKUP($D44,'Match Setup'!$A$4:$E$63,4,FALSE)</f>
        <v>#N/A</v>
      </c>
      <c r="I44" s="3" t="e">
        <f>VLOOKUP($D44,'Match Setup'!$A$4:$E$63,5,FALSE)</f>
        <v>#N/A</v>
      </c>
      <c r="J44" s="27" t="str">
        <f t="shared" si="9"/>
        <v/>
      </c>
      <c r="K44" s="27" t="str">
        <f t="shared" si="10"/>
        <v/>
      </c>
      <c r="L44" s="27" t="e">
        <f t="shared" si="5"/>
        <v>#VALUE!</v>
      </c>
      <c r="M44" s="27" t="e">
        <f t="shared" si="6"/>
        <v>#VALUE!</v>
      </c>
      <c r="N44" s="3" t="str">
        <f t="shared" si="7"/>
        <v/>
      </c>
      <c r="O44" s="3" t="str">
        <f t="shared" si="0"/>
        <v/>
      </c>
      <c r="P44" s="3" t="str">
        <f t="shared" si="8"/>
        <v/>
      </c>
      <c r="Q44" s="3" t="str">
        <f t="shared" si="1"/>
        <v/>
      </c>
      <c r="R44" s="3" t="str">
        <f t="shared" si="2"/>
        <v/>
      </c>
    </row>
    <row r="45" spans="1:18" x14ac:dyDescent="0.3">
      <c r="A45" s="8">
        <f>입력창!N44</f>
        <v>0</v>
      </c>
      <c r="B45" s="8" t="str">
        <f>입력창!O44</f>
        <v>VS</v>
      </c>
      <c r="C45" s="8">
        <f>입력창!P44</f>
        <v>0</v>
      </c>
      <c r="D45" s="8">
        <f>입력창!X44</f>
        <v>0</v>
      </c>
      <c r="E45" s="8" t="str">
        <f>IF(입력창!M44=입력창!$N$2,1,IF(입력창!M44=입력창!$P$2,2,""))</f>
        <v/>
      </c>
      <c r="F45" s="3" t="e">
        <f>VLOOKUP($D45,'Match Setup'!$A$4:$E$63,2,FALSE)</f>
        <v>#N/A</v>
      </c>
      <c r="G45" s="3" t="e">
        <f>VLOOKUP($D45,'Match Setup'!$A$4:$E$63,3,FALSE)</f>
        <v>#N/A</v>
      </c>
      <c r="H45" s="3" t="e">
        <f>VLOOKUP($D45,'Match Setup'!$A$4:$E$63,4,FALSE)</f>
        <v>#N/A</v>
      </c>
      <c r="I45" s="3" t="e">
        <f>VLOOKUP($D45,'Match Setup'!$A$4:$E$63,5,FALSE)</f>
        <v>#N/A</v>
      </c>
      <c r="J45" s="27" t="str">
        <f t="shared" si="9"/>
        <v/>
      </c>
      <c r="K45" s="27" t="str">
        <f t="shared" si="10"/>
        <v/>
      </c>
      <c r="L45" s="27" t="e">
        <f t="shared" si="5"/>
        <v>#VALUE!</v>
      </c>
      <c r="M45" s="27" t="e">
        <f t="shared" si="6"/>
        <v>#VALUE!</v>
      </c>
      <c r="N45" s="3" t="str">
        <f t="shared" si="7"/>
        <v/>
      </c>
      <c r="O45" s="3" t="str">
        <f t="shared" si="0"/>
        <v/>
      </c>
      <c r="P45" s="3" t="str">
        <f t="shared" si="8"/>
        <v/>
      </c>
      <c r="Q45" s="3" t="str">
        <f t="shared" si="1"/>
        <v/>
      </c>
      <c r="R45" s="3" t="str">
        <f t="shared" si="2"/>
        <v/>
      </c>
    </row>
    <row r="46" spans="1:18" x14ac:dyDescent="0.3">
      <c r="A46" s="8">
        <f>입력창!N45</f>
        <v>0</v>
      </c>
      <c r="B46" s="8" t="str">
        <f>입력창!O45</f>
        <v>VS</v>
      </c>
      <c r="C46" s="8">
        <f>입력창!P45</f>
        <v>0</v>
      </c>
      <c r="D46" s="8">
        <f>입력창!X45</f>
        <v>0</v>
      </c>
      <c r="E46" s="8" t="str">
        <f>IF(입력창!M45=입력창!$N$2,1,IF(입력창!M45=입력창!$P$2,2,""))</f>
        <v/>
      </c>
      <c r="F46" s="3" t="e">
        <f>VLOOKUP($D46,'Match Setup'!$A$4:$E$63,2,FALSE)</f>
        <v>#N/A</v>
      </c>
      <c r="G46" s="3" t="e">
        <f>VLOOKUP($D46,'Match Setup'!$A$4:$E$63,3,FALSE)</f>
        <v>#N/A</v>
      </c>
      <c r="H46" s="3" t="e">
        <f>VLOOKUP($D46,'Match Setup'!$A$4:$E$63,4,FALSE)</f>
        <v>#N/A</v>
      </c>
      <c r="I46" s="3" t="e">
        <f>VLOOKUP($D46,'Match Setup'!$A$4:$E$63,5,FALSE)</f>
        <v>#N/A</v>
      </c>
      <c r="J46" s="27" t="str">
        <f t="shared" si="9"/>
        <v/>
      </c>
      <c r="K46" s="27" t="str">
        <f t="shared" si="10"/>
        <v/>
      </c>
      <c r="L46" s="27" t="e">
        <f t="shared" si="5"/>
        <v>#VALUE!</v>
      </c>
      <c r="M46" s="27" t="e">
        <f t="shared" si="6"/>
        <v>#VALUE!</v>
      </c>
      <c r="N46" s="3" t="str">
        <f t="shared" si="7"/>
        <v/>
      </c>
      <c r="O46" s="3" t="str">
        <f t="shared" si="0"/>
        <v/>
      </c>
      <c r="P46" s="3" t="str">
        <f t="shared" si="8"/>
        <v/>
      </c>
      <c r="Q46" s="3" t="str">
        <f t="shared" si="1"/>
        <v/>
      </c>
      <c r="R46" s="3" t="str">
        <f t="shared" si="2"/>
        <v/>
      </c>
    </row>
    <row r="47" spans="1:18" x14ac:dyDescent="0.3">
      <c r="A47" s="8">
        <f>입력창!N46</f>
        <v>0</v>
      </c>
      <c r="B47" s="8" t="str">
        <f>입력창!O46</f>
        <v>VS</v>
      </c>
      <c r="C47" s="8">
        <f>입력창!P46</f>
        <v>0</v>
      </c>
      <c r="D47" s="8">
        <f>입력창!X46</f>
        <v>0</v>
      </c>
      <c r="E47" s="8" t="str">
        <f>IF(입력창!M46=입력창!$N$2,1,IF(입력창!M46=입력창!$P$2,2,""))</f>
        <v/>
      </c>
      <c r="F47" s="3" t="e">
        <f>VLOOKUP($D47,'Match Setup'!$A$4:$E$63,2,FALSE)</f>
        <v>#N/A</v>
      </c>
      <c r="G47" s="3" t="e">
        <f>VLOOKUP($D47,'Match Setup'!$A$4:$E$63,3,FALSE)</f>
        <v>#N/A</v>
      </c>
      <c r="H47" s="3" t="e">
        <f>VLOOKUP($D47,'Match Setup'!$A$4:$E$63,4,FALSE)</f>
        <v>#N/A</v>
      </c>
      <c r="I47" s="3" t="e">
        <f>VLOOKUP($D47,'Match Setup'!$A$4:$E$63,5,FALSE)</f>
        <v>#N/A</v>
      </c>
      <c r="J47" s="27" t="str">
        <f t="shared" si="9"/>
        <v/>
      </c>
      <c r="K47" s="27" t="str">
        <f t="shared" si="10"/>
        <v/>
      </c>
      <c r="L47" s="27" t="e">
        <f t="shared" si="5"/>
        <v>#VALUE!</v>
      </c>
      <c r="M47" s="27" t="e">
        <f t="shared" si="6"/>
        <v>#VALUE!</v>
      </c>
      <c r="N47" s="3" t="str">
        <f t="shared" si="7"/>
        <v/>
      </c>
      <c r="O47" s="3" t="str">
        <f t="shared" si="0"/>
        <v/>
      </c>
      <c r="P47" s="3" t="str">
        <f t="shared" si="8"/>
        <v/>
      </c>
      <c r="Q47" s="3" t="str">
        <f t="shared" si="1"/>
        <v/>
      </c>
      <c r="R47" s="3" t="str">
        <f t="shared" si="2"/>
        <v/>
      </c>
    </row>
    <row r="48" spans="1:18" x14ac:dyDescent="0.3">
      <c r="A48" s="8">
        <f>입력창!N47</f>
        <v>0</v>
      </c>
      <c r="B48" s="8" t="str">
        <f>입력창!O47</f>
        <v>VS</v>
      </c>
      <c r="C48" s="8">
        <f>입력창!P47</f>
        <v>0</v>
      </c>
      <c r="D48" s="8">
        <f>입력창!X47</f>
        <v>0</v>
      </c>
      <c r="E48" s="8" t="str">
        <f>IF(입력창!M47=입력창!$N$2,1,IF(입력창!M47=입력창!$P$2,2,""))</f>
        <v/>
      </c>
      <c r="F48" s="3" t="e">
        <f>VLOOKUP($D48,'Match Setup'!$A$4:$E$63,2,FALSE)</f>
        <v>#N/A</v>
      </c>
      <c r="G48" s="3" t="e">
        <f>VLOOKUP($D48,'Match Setup'!$A$4:$E$63,3,FALSE)</f>
        <v>#N/A</v>
      </c>
      <c r="H48" s="3" t="e">
        <f>VLOOKUP($D48,'Match Setup'!$A$4:$E$63,4,FALSE)</f>
        <v>#N/A</v>
      </c>
      <c r="I48" s="3" t="e">
        <f>VLOOKUP($D48,'Match Setup'!$A$4:$E$63,5,FALSE)</f>
        <v>#N/A</v>
      </c>
      <c r="J48" s="27" t="str">
        <f t="shared" si="9"/>
        <v/>
      </c>
      <c r="K48" s="27" t="str">
        <f t="shared" si="10"/>
        <v/>
      </c>
      <c r="L48" s="27" t="e">
        <f t="shared" si="5"/>
        <v>#VALUE!</v>
      </c>
      <c r="M48" s="27" t="e">
        <f t="shared" si="6"/>
        <v>#VALUE!</v>
      </c>
      <c r="N48" s="3" t="str">
        <f t="shared" si="7"/>
        <v/>
      </c>
      <c r="O48" s="3" t="str">
        <f t="shared" si="0"/>
        <v/>
      </c>
      <c r="P48" s="3" t="str">
        <f t="shared" si="8"/>
        <v/>
      </c>
      <c r="Q48" s="3" t="str">
        <f t="shared" si="1"/>
        <v/>
      </c>
      <c r="R48" s="3" t="str">
        <f t="shared" si="2"/>
        <v/>
      </c>
    </row>
    <row r="49" spans="1:18" x14ac:dyDescent="0.3">
      <c r="A49" s="8">
        <f>입력창!N48</f>
        <v>0</v>
      </c>
      <c r="B49" s="8" t="str">
        <f>입력창!O48</f>
        <v>VS</v>
      </c>
      <c r="C49" s="8">
        <f>입력창!P48</f>
        <v>0</v>
      </c>
      <c r="D49" s="8">
        <f>입력창!X48</f>
        <v>0</v>
      </c>
      <c r="E49" s="8" t="str">
        <f>IF(입력창!M48=입력창!$N$2,1,IF(입력창!M48=입력창!$P$2,2,""))</f>
        <v/>
      </c>
      <c r="F49" s="3" t="e">
        <f>VLOOKUP($D49,'Match Setup'!$A$4:$E$63,2,FALSE)</f>
        <v>#N/A</v>
      </c>
      <c r="G49" s="3" t="e">
        <f>VLOOKUP($D49,'Match Setup'!$A$4:$E$63,3,FALSE)</f>
        <v>#N/A</v>
      </c>
      <c r="H49" s="3" t="e">
        <f>VLOOKUP($D49,'Match Setup'!$A$4:$E$63,4,FALSE)</f>
        <v>#N/A</v>
      </c>
      <c r="I49" s="3" t="e">
        <f>VLOOKUP($D49,'Match Setup'!$A$4:$E$63,5,FALSE)</f>
        <v>#N/A</v>
      </c>
      <c r="J49" s="27" t="str">
        <f t="shared" si="9"/>
        <v/>
      </c>
      <c r="K49" s="27" t="str">
        <f t="shared" si="10"/>
        <v/>
      </c>
      <c r="L49" s="27" t="e">
        <f t="shared" si="5"/>
        <v>#VALUE!</v>
      </c>
      <c r="M49" s="27" t="e">
        <f t="shared" si="6"/>
        <v>#VALUE!</v>
      </c>
      <c r="N49" s="3" t="str">
        <f t="shared" si="7"/>
        <v/>
      </c>
      <c r="O49" s="3" t="str">
        <f t="shared" si="0"/>
        <v/>
      </c>
      <c r="P49" s="3" t="str">
        <f t="shared" si="8"/>
        <v/>
      </c>
      <c r="Q49" s="3" t="str">
        <f t="shared" si="1"/>
        <v/>
      </c>
      <c r="R49" s="3" t="str">
        <f t="shared" si="2"/>
        <v/>
      </c>
    </row>
    <row r="50" spans="1:18" x14ac:dyDescent="0.3">
      <c r="A50" s="8">
        <f>입력창!N49</f>
        <v>0</v>
      </c>
      <c r="B50" s="8" t="str">
        <f>입력창!O49</f>
        <v>VS</v>
      </c>
      <c r="C50" s="8">
        <f>입력창!P49</f>
        <v>0</v>
      </c>
      <c r="D50" s="8">
        <f>입력창!X49</f>
        <v>0</v>
      </c>
      <c r="E50" s="8" t="str">
        <f>IF(입력창!M49=입력창!$N$2,1,IF(입력창!M49=입력창!$P$2,2,""))</f>
        <v/>
      </c>
      <c r="F50" s="3" t="e">
        <f>VLOOKUP($D50,'Match Setup'!$A$4:$E$63,2,FALSE)</f>
        <v>#N/A</v>
      </c>
      <c r="G50" s="3" t="e">
        <f>VLOOKUP($D50,'Match Setup'!$A$4:$E$63,3,FALSE)</f>
        <v>#N/A</v>
      </c>
      <c r="H50" s="3" t="e">
        <f>VLOOKUP($D50,'Match Setup'!$A$4:$E$63,4,FALSE)</f>
        <v>#N/A</v>
      </c>
      <c r="I50" s="3" t="e">
        <f>VLOOKUP($D50,'Match Setup'!$A$4:$E$63,5,FALSE)</f>
        <v>#N/A</v>
      </c>
      <c r="J50" s="27" t="str">
        <f t="shared" si="9"/>
        <v/>
      </c>
      <c r="K50" s="27" t="str">
        <f t="shared" si="10"/>
        <v/>
      </c>
      <c r="L50" s="27" t="e">
        <f t="shared" si="5"/>
        <v>#VALUE!</v>
      </c>
      <c r="M50" s="27" t="e">
        <f t="shared" si="6"/>
        <v>#VALUE!</v>
      </c>
      <c r="N50" s="3" t="str">
        <f t="shared" si="7"/>
        <v/>
      </c>
      <c r="O50" s="3" t="str">
        <f t="shared" si="0"/>
        <v/>
      </c>
      <c r="P50" s="3" t="str">
        <f t="shared" si="8"/>
        <v/>
      </c>
      <c r="Q50" s="3" t="str">
        <f t="shared" si="1"/>
        <v/>
      </c>
      <c r="R50" s="3" t="str">
        <f t="shared" si="2"/>
        <v/>
      </c>
    </row>
    <row r="51" spans="1:18" x14ac:dyDescent="0.3">
      <c r="A51" s="8">
        <f>입력창!N50</f>
        <v>0</v>
      </c>
      <c r="B51" s="8" t="str">
        <f>입력창!O50</f>
        <v>VS</v>
      </c>
      <c r="C51" s="8">
        <f>입력창!P50</f>
        <v>0</v>
      </c>
      <c r="D51" s="8">
        <f>입력창!X50</f>
        <v>0</v>
      </c>
      <c r="E51" s="8" t="str">
        <f>IF(입력창!M50=입력창!$N$2,1,IF(입력창!M50=입력창!$P$2,2,""))</f>
        <v/>
      </c>
      <c r="F51" s="3" t="e">
        <f>VLOOKUP($D51,'Match Setup'!$A$4:$E$63,2,FALSE)</f>
        <v>#N/A</v>
      </c>
      <c r="G51" s="3" t="e">
        <f>VLOOKUP($D51,'Match Setup'!$A$4:$E$63,3,FALSE)</f>
        <v>#N/A</v>
      </c>
      <c r="H51" s="3" t="e">
        <f>VLOOKUP($D51,'Match Setup'!$A$4:$E$63,4,FALSE)</f>
        <v>#N/A</v>
      </c>
      <c r="I51" s="3" t="e">
        <f>VLOOKUP($D51,'Match Setup'!$A$4:$E$63,5,FALSE)</f>
        <v>#N/A</v>
      </c>
      <c r="J51" s="27" t="str">
        <f t="shared" si="9"/>
        <v/>
      </c>
      <c r="K51" s="27" t="str">
        <f t="shared" si="10"/>
        <v/>
      </c>
      <c r="L51" s="27" t="e">
        <f t="shared" si="5"/>
        <v>#VALUE!</v>
      </c>
      <c r="M51" s="27" t="e">
        <f t="shared" si="6"/>
        <v>#VALUE!</v>
      </c>
      <c r="N51" s="3" t="str">
        <f t="shared" si="7"/>
        <v/>
      </c>
      <c r="P51" s="3" t="str">
        <f t="shared" si="8"/>
        <v/>
      </c>
      <c r="Q51" s="3" t="str">
        <f t="shared" si="1"/>
        <v/>
      </c>
      <c r="R51" s="3" t="str">
        <f t="shared" si="2"/>
        <v/>
      </c>
    </row>
  </sheetData>
  <mergeCells count="19">
    <mergeCell ref="S1:T1"/>
    <mergeCell ref="D1:N1"/>
    <mergeCell ref="O1:R1"/>
    <mergeCell ref="U1:W1"/>
    <mergeCell ref="D2:D3"/>
    <mergeCell ref="E2:E3"/>
    <mergeCell ref="F2:F3"/>
    <mergeCell ref="G2:G3"/>
    <mergeCell ref="H2:H3"/>
    <mergeCell ref="J2:J3"/>
    <mergeCell ref="K2:K3"/>
    <mergeCell ref="L2:L3"/>
    <mergeCell ref="M2:M3"/>
    <mergeCell ref="N2:N3"/>
    <mergeCell ref="A2:A3"/>
    <mergeCell ref="B2:B3"/>
    <mergeCell ref="C2:C3"/>
    <mergeCell ref="A1:C1"/>
    <mergeCell ref="I2:I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B3AA-807C-458B-9243-A00CD3721A92}">
  <sheetPr codeName="Sheet4"/>
  <dimension ref="B2:G17"/>
  <sheetViews>
    <sheetView zoomScale="115" zoomScaleNormal="115" workbookViewId="0">
      <selection activeCell="E24" sqref="E24"/>
    </sheetView>
  </sheetViews>
  <sheetFormatPr defaultRowHeight="16.5" x14ac:dyDescent="0.3"/>
  <cols>
    <col min="3" max="3" width="10.375" customWidth="1"/>
    <col min="4" max="4" width="6.625" customWidth="1"/>
    <col min="5" max="5" width="7.125" customWidth="1"/>
  </cols>
  <sheetData>
    <row r="2" spans="2:7" x14ac:dyDescent="0.3">
      <c r="B2" s="62"/>
      <c r="C2" s="62"/>
      <c r="F2" s="62"/>
      <c r="G2" s="62"/>
    </row>
    <row r="3" spans="2:7" x14ac:dyDescent="0.3">
      <c r="B3" s="62"/>
      <c r="C3" s="62"/>
      <c r="F3" s="62"/>
      <c r="G3" s="62"/>
    </row>
    <row r="4" spans="2:7" x14ac:dyDescent="0.3">
      <c r="B4" s="62"/>
      <c r="C4" s="62"/>
      <c r="F4" s="62"/>
      <c r="G4" s="62"/>
    </row>
    <row r="5" spans="2:7" x14ac:dyDescent="0.3">
      <c r="B5" s="62"/>
      <c r="C5" s="62"/>
      <c r="D5" s="64" t="s">
        <v>19</v>
      </c>
      <c r="E5" s="64"/>
      <c r="F5" s="62"/>
      <c r="G5" s="62"/>
    </row>
    <row r="6" spans="2:7" x14ac:dyDescent="0.3">
      <c r="B6" s="62"/>
      <c r="C6" s="62"/>
      <c r="D6" s="64"/>
      <c r="E6" s="64"/>
      <c r="F6" s="62"/>
      <c r="G6" s="62"/>
    </row>
    <row r="7" spans="2:7" x14ac:dyDescent="0.3">
      <c r="B7" s="62"/>
      <c r="C7" s="62"/>
      <c r="D7" s="64"/>
      <c r="E7" s="64"/>
      <c r="F7" s="62"/>
      <c r="G7" s="62"/>
    </row>
    <row r="8" spans="2:7" x14ac:dyDescent="0.3">
      <c r="B8" s="62"/>
      <c r="C8" s="62"/>
      <c r="F8" s="62"/>
      <c r="G8" s="62"/>
    </row>
    <row r="9" spans="2:7" x14ac:dyDescent="0.3">
      <c r="B9" s="43" t="str">
        <f>'Match Setup'!L3</f>
        <v>최짱구</v>
      </c>
      <c r="C9" s="43"/>
      <c r="D9" s="15"/>
      <c r="E9" s="15"/>
      <c r="F9" s="43" t="str">
        <f>'Match Setup'!M3</f>
        <v>홍길동</v>
      </c>
      <c r="G9" s="43"/>
    </row>
    <row r="10" spans="2:7" x14ac:dyDescent="0.3">
      <c r="B10" s="43" t="str">
        <f>'Match Setup'!L4</f>
        <v>Korea</v>
      </c>
      <c r="C10" s="43"/>
      <c r="D10" s="15"/>
      <c r="E10" s="15"/>
      <c r="F10" s="43" t="str">
        <f>'Match Setup'!M4</f>
        <v>China</v>
      </c>
      <c r="G10" s="43"/>
    </row>
    <row r="11" spans="2:7" ht="9.75" customHeight="1" x14ac:dyDescent="0.3"/>
    <row r="12" spans="2:7" x14ac:dyDescent="0.3">
      <c r="B12" s="13">
        <v>11</v>
      </c>
      <c r="C12" s="63" t="s">
        <v>26</v>
      </c>
      <c r="D12" s="63"/>
      <c r="E12" s="63"/>
      <c r="F12" s="63"/>
      <c r="G12" s="13">
        <v>10</v>
      </c>
    </row>
    <row r="13" spans="2:7" x14ac:dyDescent="0.3">
      <c r="B13" s="30">
        <f>'Match Setup'!L5</f>
        <v>0.52408854166666674</v>
      </c>
      <c r="C13" s="59" t="s">
        <v>110</v>
      </c>
      <c r="D13" s="61"/>
      <c r="E13" s="61"/>
      <c r="F13" s="60"/>
      <c r="G13" s="30">
        <f>'Match Setup'!M5</f>
        <v>0.47591145833333337</v>
      </c>
    </row>
    <row r="14" spans="2:7" x14ac:dyDescent="0.3">
      <c r="B14" s="14"/>
      <c r="C14" s="14"/>
      <c r="D14" s="59" t="s">
        <v>27</v>
      </c>
      <c r="E14" s="60"/>
      <c r="F14" s="16"/>
      <c r="G14" s="14"/>
    </row>
    <row r="15" spans="2:7" x14ac:dyDescent="0.3">
      <c r="B15" s="14"/>
      <c r="C15" s="14"/>
      <c r="D15" s="59" t="s">
        <v>28</v>
      </c>
      <c r="E15" s="60"/>
      <c r="F15" s="16"/>
      <c r="G15" s="14"/>
    </row>
    <row r="16" spans="2:7" x14ac:dyDescent="0.3">
      <c r="B16" s="14"/>
      <c r="C16" s="14"/>
      <c r="D16" s="59" t="s">
        <v>29</v>
      </c>
      <c r="E16" s="60"/>
      <c r="F16" s="16"/>
      <c r="G16" s="14"/>
    </row>
    <row r="17" spans="2:7" x14ac:dyDescent="0.3">
      <c r="B17" s="14"/>
      <c r="C17" s="14"/>
      <c r="D17" s="59" t="s">
        <v>30</v>
      </c>
      <c r="E17" s="60"/>
      <c r="F17" s="16"/>
      <c r="G17" s="14"/>
    </row>
  </sheetData>
  <mergeCells count="13">
    <mergeCell ref="B10:C10"/>
    <mergeCell ref="F10:G10"/>
    <mergeCell ref="B2:C8"/>
    <mergeCell ref="F2:G8"/>
    <mergeCell ref="C12:F12"/>
    <mergeCell ref="D5:E7"/>
    <mergeCell ref="B9:C9"/>
    <mergeCell ref="F9:G9"/>
    <mergeCell ref="D17:E17"/>
    <mergeCell ref="C13:F13"/>
    <mergeCell ref="D14:E14"/>
    <mergeCell ref="D15:E15"/>
    <mergeCell ref="D16:E1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Match Setup</vt:lpstr>
      <vt:lpstr>입력창</vt:lpstr>
      <vt:lpstr>계산창</vt:lpstr>
      <vt:lpstr>제시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조은혜</dc:creator>
  <cp:lastModifiedBy>SANGPHA KIM</cp:lastModifiedBy>
  <dcterms:created xsi:type="dcterms:W3CDTF">2020-05-28T04:10:39Z</dcterms:created>
  <dcterms:modified xsi:type="dcterms:W3CDTF">2020-06-15T05:43:08Z</dcterms:modified>
</cp:coreProperties>
</file>