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29dbfb3176b4ce2d/Desktop/"/>
    </mc:Choice>
  </mc:AlternateContent>
  <xr:revisionPtr revIDLastSave="3" documentId="13_ncr:1_{19592162-49C4-4A01-AD37-C204584F8476}" xr6:coauthVersionLast="47" xr6:coauthVersionMax="47" xr10:uidLastSave="{B4C470E5-02B4-4081-AE57-BA01E22BA5EC}"/>
  <bookViews>
    <workbookView xWindow="-108" yWindow="-108" windowWidth="23256" windowHeight="12576" firstSheet="5" activeTab="8" xr2:uid="{00000000-000D-0000-FFFF-FFFF00000000}"/>
  </bookViews>
  <sheets>
    <sheet name="DIGULI" sheetId="1" r:id="rId1"/>
    <sheet name="BENIAGRAM" sheetId="2" r:id="rId2"/>
    <sheet name="BANSKULI" sheetId="3" r:id="rId3"/>
    <sheet name="SAINTHIA" sheetId="4" r:id="rId4"/>
    <sheet name="PANJONA" sheetId="5" r:id="rId5"/>
    <sheet name="SUNDARPUR" sheetId="6" r:id="rId6"/>
    <sheet name="AJAYPUR 1" sheetId="7" r:id="rId7"/>
    <sheet name="AJAYPUR 2" sheetId="8" r:id="rId8"/>
    <sheet name="DUDHANI" sheetId="9" r:id="rId9"/>
    <sheet name="MAHARO" sheetId="10" r:id="rId10"/>
    <sheet name="ASANJOR" sheetId="12" r:id="rId11"/>
    <sheet name="AMARPUR 1" sheetId="13" r:id="rId12"/>
    <sheet name="Amarpur 2" sheetId="14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1" i="6" l="1"/>
  <c r="K41" i="6" s="1"/>
  <c r="H41" i="6"/>
  <c r="K38" i="6"/>
  <c r="K40" i="6" s="1"/>
  <c r="K35" i="6"/>
  <c r="K37" i="6" s="1"/>
  <c r="K32" i="6"/>
  <c r="K34" i="6" s="1"/>
  <c r="K29" i="6"/>
  <c r="K31" i="6" s="1"/>
  <c r="K26" i="6"/>
  <c r="K28" i="6" s="1"/>
  <c r="L31" i="3"/>
  <c r="L24" i="3"/>
  <c r="J24" i="3"/>
  <c r="H24" i="3"/>
  <c r="AA28" i="1" l="1"/>
  <c r="D13" i="14" l="1"/>
  <c r="D12" i="14"/>
  <c r="D11" i="14"/>
  <c r="D10" i="14"/>
  <c r="D9" i="14"/>
  <c r="D8" i="14"/>
  <c r="D7" i="14"/>
  <c r="D6" i="14"/>
  <c r="D5" i="14"/>
  <c r="D4" i="14"/>
  <c r="D3" i="14"/>
  <c r="D13" i="13"/>
  <c r="D12" i="13"/>
  <c r="D11" i="13"/>
  <c r="D10" i="13"/>
  <c r="D9" i="13"/>
  <c r="D8" i="13"/>
  <c r="D7" i="13"/>
  <c r="D6" i="13"/>
  <c r="D5" i="13"/>
  <c r="D4" i="13"/>
  <c r="D3" i="13"/>
  <c r="K31" i="12"/>
  <c r="H31" i="12"/>
  <c r="M31" i="12" s="1"/>
  <c r="H28" i="12"/>
  <c r="K28" i="12" s="1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16" i="12" s="1"/>
  <c r="L28" i="12" l="1"/>
  <c r="D14" i="14"/>
  <c r="M28" i="12"/>
  <c r="N28" i="12" s="1"/>
  <c r="O28" i="12" s="1"/>
  <c r="P28" i="12" s="1"/>
  <c r="D14" i="13"/>
  <c r="E3" i="14"/>
  <c r="E4" i="14" s="1"/>
  <c r="E5" i="14" s="1"/>
  <c r="E6" i="14" s="1"/>
  <c r="E7" i="14" s="1"/>
  <c r="E8" i="14" s="1"/>
  <c r="E9" i="14" s="1"/>
  <c r="E10" i="14" s="1"/>
  <c r="E11" i="14" s="1"/>
  <c r="E12" i="14" s="1"/>
  <c r="E13" i="14" s="1"/>
  <c r="E3" i="13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3" i="12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S28" i="12" l="1"/>
  <c r="Q28" i="12"/>
  <c r="M30" i="10"/>
  <c r="H39" i="10"/>
  <c r="M39" i="10" s="1"/>
  <c r="H36" i="10"/>
  <c r="M36" i="10" s="1"/>
  <c r="H33" i="10"/>
  <c r="K33" i="10" s="1"/>
  <c r="H30" i="10"/>
  <c r="K30" i="10" s="1"/>
  <c r="N50" i="9"/>
  <c r="N38" i="9"/>
  <c r="I50" i="9"/>
  <c r="L50" i="9" s="1"/>
  <c r="I47" i="9"/>
  <c r="N47" i="9" s="1"/>
  <c r="I44" i="9"/>
  <c r="N44" i="9" s="1"/>
  <c r="I41" i="9"/>
  <c r="L41" i="9" s="1"/>
  <c r="I38" i="9"/>
  <c r="L38" i="9" s="1"/>
  <c r="I35" i="9"/>
  <c r="N35" i="9" s="1"/>
  <c r="I32" i="9"/>
  <c r="N32" i="9" s="1"/>
  <c r="I29" i="9"/>
  <c r="N29" i="9" s="1"/>
  <c r="L29" i="9" l="1"/>
  <c r="M29" i="9" s="1"/>
  <c r="L32" i="9"/>
  <c r="L44" i="9"/>
  <c r="N41" i="9"/>
  <c r="O29" i="9" s="1"/>
  <c r="K36" i="10"/>
  <c r="L30" i="10" s="1"/>
  <c r="M33" i="10"/>
  <c r="N30" i="10" s="1"/>
  <c r="L35" i="9"/>
  <c r="L47" i="9"/>
  <c r="K39" i="10"/>
  <c r="R78" i="5"/>
  <c r="R75" i="5"/>
  <c r="R69" i="5"/>
  <c r="R66" i="5"/>
  <c r="R63" i="5"/>
  <c r="R60" i="5"/>
  <c r="R57" i="5"/>
  <c r="R30" i="5"/>
  <c r="R27" i="5"/>
  <c r="S30" i="10" l="1"/>
  <c r="O30" i="10"/>
  <c r="P30" i="10" s="1"/>
  <c r="Q30" i="10" s="1"/>
  <c r="T29" i="9"/>
  <c r="P29" i="9"/>
  <c r="Q29" i="9" s="1"/>
  <c r="R29" i="9" s="1"/>
  <c r="F56" i="2"/>
  <c r="F55" i="1"/>
  <c r="V28" i="1" l="1"/>
  <c r="D15" i="10" l="1"/>
  <c r="D14" i="10"/>
  <c r="D13" i="10"/>
  <c r="D12" i="10"/>
  <c r="D11" i="10"/>
  <c r="D10" i="10"/>
  <c r="D9" i="10"/>
  <c r="D8" i="10"/>
  <c r="D7" i="10"/>
  <c r="D6" i="10"/>
  <c r="D5" i="10"/>
  <c r="D4" i="10"/>
  <c r="D3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C24" i="9" l="1"/>
  <c r="D16" i="10"/>
  <c r="E3" i="10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3" i="9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K48" i="8" l="1"/>
  <c r="K45" i="8"/>
  <c r="K42" i="8"/>
  <c r="K39" i="8"/>
  <c r="K36" i="8"/>
  <c r="K33" i="8"/>
  <c r="K30" i="8"/>
  <c r="K27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J34" i="7"/>
  <c r="J31" i="7"/>
  <c r="J28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0" i="7" l="1"/>
  <c r="D28" i="8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L40" i="6"/>
  <c r="L37" i="6"/>
  <c r="L34" i="6"/>
  <c r="L31" i="6"/>
  <c r="L28" i="6"/>
  <c r="L25" i="6"/>
  <c r="I40" i="6"/>
  <c r="N40" i="6" s="1"/>
  <c r="I37" i="6"/>
  <c r="N37" i="6" s="1"/>
  <c r="I34" i="6"/>
  <c r="N34" i="6" s="1"/>
  <c r="I31" i="6"/>
  <c r="N31" i="6" s="1"/>
  <c r="I28" i="6"/>
  <c r="N28" i="6" s="1"/>
  <c r="I25" i="6"/>
  <c r="N25" i="6" s="1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O25" i="6" l="1"/>
  <c r="D21" i="6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M25" i="6"/>
  <c r="T25" i="6" s="1"/>
  <c r="P105" i="5"/>
  <c r="P102" i="5"/>
  <c r="P99" i="5"/>
  <c r="P96" i="5"/>
  <c r="P93" i="5"/>
  <c r="P90" i="5"/>
  <c r="M111" i="5"/>
  <c r="R111" i="5" s="1"/>
  <c r="M108" i="5"/>
  <c r="R108" i="5" s="1"/>
  <c r="M105" i="5"/>
  <c r="R105" i="5" s="1"/>
  <c r="M102" i="5"/>
  <c r="R102" i="5" s="1"/>
  <c r="M99" i="5"/>
  <c r="R99" i="5" s="1"/>
  <c r="M96" i="5"/>
  <c r="R96" i="5" s="1"/>
  <c r="M93" i="5"/>
  <c r="R93" i="5" s="1"/>
  <c r="M90" i="5"/>
  <c r="R90" i="5" s="1"/>
  <c r="P87" i="5"/>
  <c r="P84" i="5"/>
  <c r="P78" i="5"/>
  <c r="P75" i="5"/>
  <c r="P69" i="5"/>
  <c r="P66" i="5"/>
  <c r="P63" i="5"/>
  <c r="P60" i="5"/>
  <c r="P57" i="5"/>
  <c r="P54" i="5"/>
  <c r="P51" i="5"/>
  <c r="P48" i="5"/>
  <c r="P45" i="5"/>
  <c r="P42" i="5"/>
  <c r="P39" i="5"/>
  <c r="P36" i="5"/>
  <c r="P33" i="5"/>
  <c r="P30" i="5"/>
  <c r="P27" i="5"/>
  <c r="Q27" i="5" s="1"/>
  <c r="X27" i="5" l="1"/>
  <c r="P25" i="6"/>
  <c r="Q25" i="6" s="1"/>
  <c r="R25" i="6" s="1"/>
  <c r="M87" i="5"/>
  <c r="R87" i="5" s="1"/>
  <c r="M84" i="5"/>
  <c r="R84" i="5" s="1"/>
  <c r="M81" i="5"/>
  <c r="R81" i="5" s="1"/>
  <c r="M72" i="5"/>
  <c r="R72" i="5" s="1"/>
  <c r="M54" i="5"/>
  <c r="R54" i="5" s="1"/>
  <c r="M51" i="5"/>
  <c r="R51" i="5" s="1"/>
  <c r="M48" i="5"/>
  <c r="R48" i="5" s="1"/>
  <c r="M45" i="5"/>
  <c r="R45" i="5" s="1"/>
  <c r="M42" i="5"/>
  <c r="R42" i="5" s="1"/>
  <c r="M39" i="5"/>
  <c r="R39" i="5" s="1"/>
  <c r="M36" i="5"/>
  <c r="R36" i="5" s="1"/>
  <c r="M33" i="5"/>
  <c r="R33" i="5" s="1"/>
  <c r="S27" i="5" s="1"/>
  <c r="T27" i="5" s="1"/>
  <c r="U27" i="5" s="1"/>
  <c r="V27" i="5" s="1"/>
  <c r="N85" i="4"/>
  <c r="N82" i="4"/>
  <c r="N79" i="4"/>
  <c r="N76" i="4"/>
  <c r="N73" i="4"/>
  <c r="N70" i="4"/>
  <c r="N67" i="4"/>
  <c r="N64" i="4"/>
  <c r="N61" i="4"/>
  <c r="N58" i="4"/>
  <c r="N55" i="4"/>
  <c r="N52" i="4"/>
  <c r="N46" i="4"/>
  <c r="N43" i="4"/>
  <c r="N40" i="4"/>
  <c r="N37" i="4"/>
  <c r="N34" i="4"/>
  <c r="N31" i="4"/>
  <c r="N28" i="4"/>
  <c r="O28" i="4" s="1"/>
  <c r="K85" i="4"/>
  <c r="P85" i="4" s="1"/>
  <c r="K82" i="4"/>
  <c r="P82" i="4" s="1"/>
  <c r="K79" i="4"/>
  <c r="P79" i="4" s="1"/>
  <c r="K76" i="4"/>
  <c r="P76" i="4" s="1"/>
  <c r="K73" i="4"/>
  <c r="P73" i="4" s="1"/>
  <c r="K70" i="4"/>
  <c r="P70" i="4" s="1"/>
  <c r="K67" i="4"/>
  <c r="P67" i="4" s="1"/>
  <c r="K64" i="4"/>
  <c r="P64" i="4" s="1"/>
  <c r="K61" i="4"/>
  <c r="P61" i="4" s="1"/>
  <c r="K58" i="4"/>
  <c r="P58" i="4" s="1"/>
  <c r="K55" i="4"/>
  <c r="P55" i="4" s="1"/>
  <c r="K52" i="4"/>
  <c r="P52" i="4" s="1"/>
  <c r="K49" i="4"/>
  <c r="P49" i="4" s="1"/>
  <c r="K46" i="4"/>
  <c r="P46" i="4" s="1"/>
  <c r="K43" i="4"/>
  <c r="P43" i="4" s="1"/>
  <c r="K40" i="4"/>
  <c r="P40" i="4" s="1"/>
  <c r="K37" i="4"/>
  <c r="P37" i="4" s="1"/>
  <c r="K34" i="4"/>
  <c r="P34" i="4" s="1"/>
  <c r="K31" i="4"/>
  <c r="P31" i="4" s="1"/>
  <c r="K28" i="4"/>
  <c r="P28" i="4" s="1"/>
  <c r="Q28" i="4" s="1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V28" i="4" l="1"/>
  <c r="R28" i="4"/>
  <c r="S28" i="4" s="1"/>
  <c r="T28" i="4" s="1"/>
  <c r="D48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L28" i="3" l="1"/>
  <c r="M24" i="3" s="1"/>
  <c r="I31" i="3"/>
  <c r="N31" i="3" s="1"/>
  <c r="I28" i="3"/>
  <c r="N28" i="3" s="1"/>
  <c r="I24" i="3"/>
  <c r="N24" i="3" s="1"/>
  <c r="N73" i="2"/>
  <c r="N70" i="2"/>
  <c r="N67" i="2"/>
  <c r="N64" i="2"/>
  <c r="N61" i="2"/>
  <c r="N58" i="2"/>
  <c r="N55" i="2"/>
  <c r="N52" i="2"/>
  <c r="N49" i="2"/>
  <c r="N46" i="2"/>
  <c r="N43" i="2"/>
  <c r="N40" i="2"/>
  <c r="N37" i="2"/>
  <c r="T24" i="3" l="1"/>
  <c r="N34" i="2"/>
  <c r="N31" i="2"/>
  <c r="N28" i="2"/>
  <c r="N25" i="2"/>
  <c r="K73" i="2"/>
  <c r="P73" i="2" s="1"/>
  <c r="K70" i="2"/>
  <c r="P70" i="2" s="1"/>
  <c r="K67" i="2"/>
  <c r="P67" i="2" s="1"/>
  <c r="K64" i="2"/>
  <c r="P64" i="2" s="1"/>
  <c r="K61" i="2"/>
  <c r="P61" i="2" s="1"/>
  <c r="K58" i="2"/>
  <c r="P58" i="2" s="1"/>
  <c r="K55" i="2"/>
  <c r="P55" i="2" s="1"/>
  <c r="K52" i="2"/>
  <c r="P52" i="2" s="1"/>
  <c r="K49" i="2"/>
  <c r="P49" i="2" s="1"/>
  <c r="K46" i="2"/>
  <c r="P46" i="2" s="1"/>
  <c r="K43" i="2"/>
  <c r="P43" i="2" s="1"/>
  <c r="K40" i="2"/>
  <c r="P40" i="2" s="1"/>
  <c r="K37" i="2"/>
  <c r="P37" i="2" s="1"/>
  <c r="K34" i="2"/>
  <c r="P34" i="2" s="1"/>
  <c r="K31" i="2"/>
  <c r="P31" i="2" s="1"/>
  <c r="K28" i="2"/>
  <c r="P28" i="2" s="1"/>
  <c r="K25" i="2"/>
  <c r="P25" i="2" s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51" i="2" l="1"/>
  <c r="Q25" i="2"/>
  <c r="O25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V25" i="2" l="1"/>
  <c r="R25" i="2"/>
  <c r="S26" i="2" s="1"/>
  <c r="T26" i="2" s="1"/>
  <c r="V61" i="1"/>
  <c r="V58" i="1"/>
  <c r="V55" i="1"/>
  <c r="V52" i="1"/>
  <c r="V49" i="1"/>
  <c r="V46" i="1"/>
  <c r="V31" i="1"/>
  <c r="V34" i="1"/>
  <c r="V37" i="1"/>
  <c r="V40" i="1"/>
  <c r="R61" i="1" l="1"/>
  <c r="X61" i="1" s="1"/>
  <c r="R58" i="1"/>
  <c r="X58" i="1" s="1"/>
  <c r="R55" i="1"/>
  <c r="X55" i="1" s="1"/>
  <c r="R52" i="1"/>
  <c r="X52" i="1" s="1"/>
  <c r="R49" i="1"/>
  <c r="X49" i="1" s="1"/>
  <c r="R46" i="1"/>
  <c r="X46" i="1" s="1"/>
  <c r="R43" i="1"/>
  <c r="X43" i="1" s="1"/>
  <c r="R40" i="1"/>
  <c r="X40" i="1" s="1"/>
  <c r="R37" i="1"/>
  <c r="X37" i="1" s="1"/>
  <c r="R34" i="1"/>
  <c r="X34" i="1" s="1"/>
  <c r="R31" i="1"/>
  <c r="X31" i="1" s="1"/>
  <c r="R28" i="1"/>
  <c r="X28" i="1" s="1"/>
  <c r="Y28" i="1" l="1"/>
  <c r="Z28" i="1" s="1"/>
  <c r="V43" i="1"/>
  <c r="W28" i="1" s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AB28" i="1" l="1"/>
  <c r="AD28" i="1"/>
  <c r="D51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O24" i="3"/>
  <c r="P24" i="3" s="1"/>
  <c r="Q24" i="3" s="1"/>
  <c r="R24" i="3" s="1"/>
</calcChain>
</file>

<file path=xl/sharedStrings.xml><?xml version="1.0" encoding="utf-8"?>
<sst xmlns="http://schemas.openxmlformats.org/spreadsheetml/2006/main" count="425" uniqueCount="73">
  <si>
    <t>Point ID</t>
  </si>
  <si>
    <t>Northing</t>
  </si>
  <si>
    <t>Easting</t>
  </si>
  <si>
    <t>Distance (m)</t>
  </si>
  <si>
    <t>Cum Distance (m)</t>
  </si>
  <si>
    <t>Elevation</t>
  </si>
  <si>
    <t>TOTAL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</si>
  <si>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</si>
  <si>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</si>
  <si>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</si>
  <si>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</si>
  <si>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</si>
  <si>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</si>
  <si>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</si>
  <si>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</si>
  <si>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</si>
  <si>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</si>
  <si>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</si>
  <si>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</si>
  <si>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Depth</t>
  </si>
  <si>
    <t>Area</t>
  </si>
  <si>
    <t>Distance</t>
  </si>
  <si>
    <t>Difference</t>
  </si>
  <si>
    <t>Total Area of flow</t>
  </si>
  <si>
    <t>Wetted perimeter</t>
  </si>
  <si>
    <t>Q13</t>
  </si>
  <si>
    <t>Q14</t>
  </si>
  <si>
    <t>Q15</t>
  </si>
  <si>
    <t>Q16</t>
  </si>
  <si>
    <t>Q17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</si>
  <si>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</si>
  <si>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Cumulative Distance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</si>
  <si>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</si>
  <si>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</si>
  <si>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</si>
  <si>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</si>
  <si>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</si>
  <si>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</si>
  <si>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</si>
  <si>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</si>
  <si>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</si>
  <si>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</si>
  <si>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</si>
  <si>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</si>
  <si>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Point I°°</t>
  </si>
  <si>
    <t>Cumulative Distance (m)</t>
  </si>
  <si>
    <t>Cum Distance</t>
  </si>
  <si>
    <t>Elevation (m)</t>
  </si>
  <si>
    <t>Point Id</t>
  </si>
  <si>
    <t>216.66 m</t>
  </si>
  <si>
    <t>246.57 m</t>
  </si>
  <si>
    <t>TOTAL WETTED PERIMETER</t>
  </si>
  <si>
    <t>Wetted perimeter (m)</t>
  </si>
  <si>
    <t>Total Area of flow (m2)</t>
  </si>
  <si>
    <t>Rh (m)</t>
  </si>
  <si>
    <t>CALCULATED</t>
  </si>
  <si>
    <t>MEASURED</t>
  </si>
  <si>
    <t>Discharge</t>
  </si>
  <si>
    <t>velocity</t>
  </si>
  <si>
    <t>k= 1</t>
  </si>
  <si>
    <t>n= 0.035</t>
  </si>
  <si>
    <t>s=</t>
  </si>
  <si>
    <t>highest elev</t>
  </si>
  <si>
    <t>s=0.001</t>
  </si>
  <si>
    <t>Distance (M)</t>
  </si>
  <si>
    <t>Cumulative Distance (M)</t>
  </si>
  <si>
    <t>s= 0.002</t>
  </si>
  <si>
    <t>s= 0.001</t>
  </si>
  <si>
    <t>s= 0.003</t>
  </si>
  <si>
    <t>s= 0.02</t>
  </si>
  <si>
    <t>s= 0.03</t>
  </si>
  <si>
    <t>s= 0.012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</si>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</sst>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2" fontId="0" fillId="0" borderId="0" xfId="0" applyNumberFormat="1"/>
    <xf numFmtId="164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0" xfId="0" applyFill="1"/>
    <xf numFmtId="0" fontId="1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22442550049232E-2"/>
          <c:y val="0.16758201077352886"/>
          <c:w val="0.90280294960704954"/>
          <c:h val="0.70475463403237326"/>
        </c:manualLayout>
      </c:layout>
      <c:lineChart>
        <c:grouping val="standard"/>
        <c:varyColors val="0"/>
        <c:ser>
          <c:idx val="0"/>
          <c:order val="0"/>
          <c:tx>
            <c:strRef>
              <c:f>DIGULI!$F$1</c:f>
              <c:strCache>
                <c:ptCount val="1"/>
                <c:pt idx="0">
                  <c:v>Elevation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DIGULI!$E$2:$E$50</c:f>
              <c:numCache>
                <c:formatCode>0</c:formatCode>
                <c:ptCount val="49"/>
                <c:pt idx="0" formatCode="General">
                  <c:v>0</c:v>
                </c:pt>
                <c:pt idx="1">
                  <c:v>1.7236243790999186</c:v>
                </c:pt>
                <c:pt idx="2">
                  <c:v>3.6206792016404816</c:v>
                </c:pt>
                <c:pt idx="3">
                  <c:v>6.2685179431021725</c:v>
                </c:pt>
                <c:pt idx="4">
                  <c:v>11.986444577577736</c:v>
                </c:pt>
                <c:pt idx="5">
                  <c:v>24.073539886430602</c:v>
                </c:pt>
                <c:pt idx="6">
                  <c:v>27.236832632633064</c:v>
                </c:pt>
                <c:pt idx="7">
                  <c:v>30.200407669684154</c:v>
                </c:pt>
                <c:pt idx="8">
                  <c:v>35.049708753711244</c:v>
                </c:pt>
                <c:pt idx="9">
                  <c:v>41.507883882612042</c:v>
                </c:pt>
                <c:pt idx="10">
                  <c:v>42.895788778675005</c:v>
                </c:pt>
                <c:pt idx="11">
                  <c:v>45.393392630222706</c:v>
                </c:pt>
                <c:pt idx="12">
                  <c:v>48.757078257947128</c:v>
                </c:pt>
                <c:pt idx="13">
                  <c:v>55.864823469984231</c:v>
                </c:pt>
                <c:pt idx="14">
                  <c:v>58.686503111617853</c:v>
                </c:pt>
                <c:pt idx="15">
                  <c:v>68.833609300092249</c:v>
                </c:pt>
                <c:pt idx="16">
                  <c:v>72.476753546413875</c:v>
                </c:pt>
                <c:pt idx="17">
                  <c:v>84.270387931184942</c:v>
                </c:pt>
                <c:pt idx="18">
                  <c:v>116.60915503782491</c:v>
                </c:pt>
                <c:pt idx="19">
                  <c:v>142.68514449176507</c:v>
                </c:pt>
                <c:pt idx="20">
                  <c:v>146.4945250188095</c:v>
                </c:pt>
                <c:pt idx="21">
                  <c:v>153.75518132528413</c:v>
                </c:pt>
                <c:pt idx="22">
                  <c:v>160.1903559925197</c:v>
                </c:pt>
                <c:pt idx="23">
                  <c:v>164.80080152423139</c:v>
                </c:pt>
                <c:pt idx="24">
                  <c:v>174.85788539577385</c:v>
                </c:pt>
                <c:pt idx="25">
                  <c:v>195.22764572804638</c:v>
                </c:pt>
                <c:pt idx="26">
                  <c:v>211.01921072333772</c:v>
                </c:pt>
                <c:pt idx="27">
                  <c:v>223.32606377371627</c:v>
                </c:pt>
                <c:pt idx="28">
                  <c:v>247.72750325973141</c:v>
                </c:pt>
                <c:pt idx="29">
                  <c:v>282.69640547334507</c:v>
                </c:pt>
                <c:pt idx="30">
                  <c:v>295.808847084192</c:v>
                </c:pt>
                <c:pt idx="31">
                  <c:v>314.82037474501891</c:v>
                </c:pt>
                <c:pt idx="32">
                  <c:v>323.5534966380759</c:v>
                </c:pt>
                <c:pt idx="33">
                  <c:v>327.18441745778989</c:v>
                </c:pt>
                <c:pt idx="34">
                  <c:v>331.91453933790729</c:v>
                </c:pt>
                <c:pt idx="35">
                  <c:v>337.43841116838337</c:v>
                </c:pt>
                <c:pt idx="36">
                  <c:v>340.7792357674204</c:v>
                </c:pt>
                <c:pt idx="37">
                  <c:v>349.05794659682073</c:v>
                </c:pt>
                <c:pt idx="38">
                  <c:v>357.01678803273592</c:v>
                </c:pt>
                <c:pt idx="39">
                  <c:v>363.73952296699946</c:v>
                </c:pt>
                <c:pt idx="40">
                  <c:v>368.87348615354074</c:v>
                </c:pt>
                <c:pt idx="41">
                  <c:v>375.36746074564127</c:v>
                </c:pt>
                <c:pt idx="42">
                  <c:v>380.26317356390842</c:v>
                </c:pt>
                <c:pt idx="43">
                  <c:v>388.07196156191338</c:v>
                </c:pt>
                <c:pt idx="44">
                  <c:v>406.41493798370948</c:v>
                </c:pt>
                <c:pt idx="45">
                  <c:v>428.36970079254604</c:v>
                </c:pt>
                <c:pt idx="46">
                  <c:v>430.97929922910424</c:v>
                </c:pt>
                <c:pt idx="47">
                  <c:v>433.86562578709334</c:v>
                </c:pt>
                <c:pt idx="48">
                  <c:v>442.71726394075301</c:v>
                </c:pt>
              </c:numCache>
            </c:numRef>
          </c:cat>
          <c:val>
            <c:numRef>
              <c:f>DIGULI!$F$2:$F$50</c:f>
              <c:numCache>
                <c:formatCode>General</c:formatCode>
                <c:ptCount val="49"/>
                <c:pt idx="0">
                  <c:v>74.564999999999998</c:v>
                </c:pt>
                <c:pt idx="1">
                  <c:v>73.978999999999999</c:v>
                </c:pt>
                <c:pt idx="2">
                  <c:v>73.161000000000001</c:v>
                </c:pt>
                <c:pt idx="3">
                  <c:v>71.924000000000007</c:v>
                </c:pt>
                <c:pt idx="4">
                  <c:v>70.471999999999994</c:v>
                </c:pt>
                <c:pt idx="5">
                  <c:v>70.093999999999994</c:v>
                </c:pt>
                <c:pt idx="6">
                  <c:v>69.875</c:v>
                </c:pt>
                <c:pt idx="7">
                  <c:v>69.08</c:v>
                </c:pt>
                <c:pt idx="8">
                  <c:v>69.001999999999995</c:v>
                </c:pt>
                <c:pt idx="9">
                  <c:v>69.188000000000002</c:v>
                </c:pt>
                <c:pt idx="10">
                  <c:v>68.759</c:v>
                </c:pt>
                <c:pt idx="11">
                  <c:v>68.739999999999995</c:v>
                </c:pt>
                <c:pt idx="12">
                  <c:v>68.757999999999996</c:v>
                </c:pt>
                <c:pt idx="13">
                  <c:v>68.590999999999994</c:v>
                </c:pt>
                <c:pt idx="14">
                  <c:v>68.959000000000003</c:v>
                </c:pt>
                <c:pt idx="15">
                  <c:v>68.974000000000004</c:v>
                </c:pt>
                <c:pt idx="16">
                  <c:v>69.162000000000006</c:v>
                </c:pt>
                <c:pt idx="17">
                  <c:v>69.203999999999994</c:v>
                </c:pt>
                <c:pt idx="18">
                  <c:v>69.094999999999999</c:v>
                </c:pt>
                <c:pt idx="19">
                  <c:v>69.302999999999997</c:v>
                </c:pt>
                <c:pt idx="20">
                  <c:v>68.866</c:v>
                </c:pt>
                <c:pt idx="21">
                  <c:v>68.915000000000006</c:v>
                </c:pt>
                <c:pt idx="22">
                  <c:v>68.707999999999998</c:v>
                </c:pt>
                <c:pt idx="23">
                  <c:v>68.992999999999995</c:v>
                </c:pt>
                <c:pt idx="24">
                  <c:v>69.103999999999999</c:v>
                </c:pt>
                <c:pt idx="25">
                  <c:v>69.012</c:v>
                </c:pt>
                <c:pt idx="26">
                  <c:v>69.376999999999995</c:v>
                </c:pt>
                <c:pt idx="27">
                  <c:v>68.923000000000002</c:v>
                </c:pt>
                <c:pt idx="28">
                  <c:v>69.265000000000001</c:v>
                </c:pt>
                <c:pt idx="29">
                  <c:v>69.471000000000004</c:v>
                </c:pt>
                <c:pt idx="30">
                  <c:v>69.12</c:v>
                </c:pt>
                <c:pt idx="31">
                  <c:v>68.974000000000004</c:v>
                </c:pt>
                <c:pt idx="32">
                  <c:v>68.980999999999995</c:v>
                </c:pt>
                <c:pt idx="33">
                  <c:v>68.867999999999995</c:v>
                </c:pt>
                <c:pt idx="34">
                  <c:v>69.05</c:v>
                </c:pt>
                <c:pt idx="35">
                  <c:v>69.016999999999996</c:v>
                </c:pt>
                <c:pt idx="36">
                  <c:v>68.855999999999995</c:v>
                </c:pt>
                <c:pt idx="37">
                  <c:v>69.430000000000007</c:v>
                </c:pt>
                <c:pt idx="38">
                  <c:v>70.007999999999996</c:v>
                </c:pt>
                <c:pt idx="39">
                  <c:v>69.891000000000005</c:v>
                </c:pt>
                <c:pt idx="40">
                  <c:v>70.17</c:v>
                </c:pt>
                <c:pt idx="41">
                  <c:v>70.344999999999999</c:v>
                </c:pt>
                <c:pt idx="42">
                  <c:v>71.566000000000003</c:v>
                </c:pt>
                <c:pt idx="43">
                  <c:v>70.944000000000003</c:v>
                </c:pt>
                <c:pt idx="44">
                  <c:v>71.274000000000001</c:v>
                </c:pt>
                <c:pt idx="45">
                  <c:v>72.391000000000005</c:v>
                </c:pt>
                <c:pt idx="46">
                  <c:v>73.462000000000003</c:v>
                </c:pt>
                <c:pt idx="47">
                  <c:v>74.918999999999997</c:v>
                </c:pt>
                <c:pt idx="48">
                  <c:v>75.983000000000004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1-4DB3-A278-CDC4FDBD2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92861024"/>
        <c:axId val="-1192864832"/>
      </c:lineChart>
      <c:catAx>
        <c:axId val="-11928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64832"/>
        <c:crosses val="autoZero"/>
        <c:auto val="1"/>
        <c:lblAlgn val="ctr"/>
        <c:lblOffset val="100"/>
        <c:noMultiLvlLbl val="0"/>
      </c:catAx>
      <c:valAx>
        <c:axId val="-119286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610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[5]Maharo!$E$3:$E$15</c:f>
              <c:numCache>
                <c:formatCode>General</c:formatCode>
                <c:ptCount val="13"/>
                <c:pt idx="0">
                  <c:v>1.0440306748335492E-2</c:v>
                </c:pt>
                <c:pt idx="1">
                  <c:v>8.3144131511065744</c:v>
                </c:pt>
                <c:pt idx="2">
                  <c:v>12.272446122002719</c:v>
                </c:pt>
                <c:pt idx="3">
                  <c:v>16.293394393143327</c:v>
                </c:pt>
                <c:pt idx="4">
                  <c:v>18.337093490394299</c:v>
                </c:pt>
                <c:pt idx="5">
                  <c:v>58.033531869696816</c:v>
                </c:pt>
                <c:pt idx="6">
                  <c:v>63.111248876277585</c:v>
                </c:pt>
                <c:pt idx="7">
                  <c:v>70.469100532829486</c:v>
                </c:pt>
                <c:pt idx="8">
                  <c:v>110.65414265061258</c:v>
                </c:pt>
                <c:pt idx="9">
                  <c:v>179.27770912735758</c:v>
                </c:pt>
                <c:pt idx="10">
                  <c:v>225.29452875885693</c:v>
                </c:pt>
                <c:pt idx="11">
                  <c:v>240.79362557123596</c:v>
                </c:pt>
                <c:pt idx="12">
                  <c:v>246.5677801414075</c:v>
                </c:pt>
              </c:numCache>
            </c:numRef>
          </c:cat>
          <c:val>
            <c:numRef>
              <c:f>[5]Maharo!$F$3:$F$15</c:f>
              <c:numCache>
                <c:formatCode>General</c:formatCode>
                <c:ptCount val="13"/>
                <c:pt idx="0">
                  <c:v>132.255</c:v>
                </c:pt>
                <c:pt idx="1">
                  <c:v>132.25399999999999</c:v>
                </c:pt>
                <c:pt idx="2">
                  <c:v>130.89699999999999</c:v>
                </c:pt>
                <c:pt idx="3">
                  <c:v>130.43799999999999</c:v>
                </c:pt>
                <c:pt idx="4">
                  <c:v>129.41200000000001</c:v>
                </c:pt>
                <c:pt idx="5">
                  <c:v>128.84899999999999</c:v>
                </c:pt>
                <c:pt idx="6">
                  <c:v>128.70400000000001</c:v>
                </c:pt>
                <c:pt idx="7">
                  <c:v>128.87299999999999</c:v>
                </c:pt>
                <c:pt idx="8">
                  <c:v>129.40799999999999</c:v>
                </c:pt>
                <c:pt idx="9">
                  <c:v>129.29599999999999</c:v>
                </c:pt>
                <c:pt idx="10">
                  <c:v>129.38999999999999</c:v>
                </c:pt>
                <c:pt idx="11">
                  <c:v>129.60400000000001</c:v>
                </c:pt>
                <c:pt idx="12">
                  <c:v>130.916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E-46C4-8245-7919F12E2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85609520"/>
        <c:axId val="-1185606256"/>
      </c:lineChart>
      <c:catAx>
        <c:axId val="-11856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6256"/>
        <c:crosses val="autoZero"/>
        <c:auto val="1"/>
        <c:lblAlgn val="ctr"/>
        <c:lblOffset val="100"/>
        <c:noMultiLvlLbl val="0"/>
      </c:catAx>
      <c:valAx>
        <c:axId val="-118560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9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[6]Asanjor!$E$2:$E$15</c:f>
              <c:numCache>
                <c:formatCode>General</c:formatCode>
                <c:ptCount val="14"/>
                <c:pt idx="0">
                  <c:v>0</c:v>
                </c:pt>
                <c:pt idx="1">
                  <c:v>1.4003570973425075</c:v>
                </c:pt>
                <c:pt idx="2">
                  <c:v>4.0285385979882111</c:v>
                </c:pt>
                <c:pt idx="3">
                  <c:v>10.020416600760907</c:v>
                </c:pt>
                <c:pt idx="4">
                  <c:v>14.551714979800096</c:v>
                </c:pt>
                <c:pt idx="5">
                  <c:v>31.224808544052742</c:v>
                </c:pt>
                <c:pt idx="6">
                  <c:v>45.99421069849204</c:v>
                </c:pt>
                <c:pt idx="7">
                  <c:v>67.791217947079005</c:v>
                </c:pt>
                <c:pt idx="8">
                  <c:v>88.483794997943022</c:v>
                </c:pt>
                <c:pt idx="9">
                  <c:v>104.60937920439618</c:v>
                </c:pt>
                <c:pt idx="10">
                  <c:v>129.86633897797276</c:v>
                </c:pt>
                <c:pt idx="11">
                  <c:v>139.8335245385164</c:v>
                </c:pt>
                <c:pt idx="12">
                  <c:v>143.12906849966811</c:v>
                </c:pt>
                <c:pt idx="13">
                  <c:v>146.82812148675518</c:v>
                </c:pt>
              </c:numCache>
            </c:numRef>
          </c:cat>
          <c:val>
            <c:numRef>
              <c:f>[6]Asanjor!$F$2:$F$15</c:f>
              <c:numCache>
                <c:formatCode>General</c:formatCode>
                <c:ptCount val="14"/>
                <c:pt idx="0">
                  <c:v>139.36199999999999</c:v>
                </c:pt>
                <c:pt idx="1">
                  <c:v>139.36099999999999</c:v>
                </c:pt>
                <c:pt idx="2">
                  <c:v>138.01599999999999</c:v>
                </c:pt>
                <c:pt idx="3">
                  <c:v>136.46799999999999</c:v>
                </c:pt>
                <c:pt idx="4">
                  <c:v>135.43700000000001</c:v>
                </c:pt>
                <c:pt idx="5">
                  <c:v>135.46700000000001</c:v>
                </c:pt>
                <c:pt idx="6">
                  <c:v>134.94300000000001</c:v>
                </c:pt>
                <c:pt idx="7">
                  <c:v>135.00800000000001</c:v>
                </c:pt>
                <c:pt idx="8">
                  <c:v>134.88300000000001</c:v>
                </c:pt>
                <c:pt idx="9">
                  <c:v>134.822</c:v>
                </c:pt>
                <c:pt idx="10">
                  <c:v>134.91399999999999</c:v>
                </c:pt>
                <c:pt idx="11">
                  <c:v>135.71899999999999</c:v>
                </c:pt>
                <c:pt idx="12">
                  <c:v>136.911</c:v>
                </c:pt>
                <c:pt idx="13">
                  <c:v>137.81200000000001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4-4D0A-B540-4A054509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85601904"/>
        <c:axId val="-1185601360"/>
      </c:lineChart>
      <c:catAx>
        <c:axId val="-118560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1360"/>
        <c:crosses val="autoZero"/>
        <c:auto val="1"/>
        <c:lblAlgn val="ctr"/>
        <c:lblOffset val="100"/>
        <c:noMultiLvlLbl val="0"/>
      </c:catAx>
      <c:valAx>
        <c:axId val="-118560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19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[6]Amarpur1!$E$3:$E$13</c:f>
              <c:numCache>
                <c:formatCode>General</c:formatCode>
                <c:ptCount val="11"/>
                <c:pt idx="0">
                  <c:v>8.9805344982533203E-2</c:v>
                </c:pt>
                <c:pt idx="1">
                  <c:v>3.665325726696675</c:v>
                </c:pt>
                <c:pt idx="2">
                  <c:v>17.787770876251059</c:v>
                </c:pt>
                <c:pt idx="3">
                  <c:v>36.882864303433365</c:v>
                </c:pt>
                <c:pt idx="4">
                  <c:v>53.999191391990109</c:v>
                </c:pt>
                <c:pt idx="5">
                  <c:v>57.110872609640708</c:v>
                </c:pt>
                <c:pt idx="6">
                  <c:v>66.25303674059208</c:v>
                </c:pt>
                <c:pt idx="7">
                  <c:v>76.944297891762389</c:v>
                </c:pt>
                <c:pt idx="8">
                  <c:v>82.280762077009626</c:v>
                </c:pt>
                <c:pt idx="9">
                  <c:v>85.797339532430684</c:v>
                </c:pt>
                <c:pt idx="10">
                  <c:v>88.120652899029125</c:v>
                </c:pt>
              </c:numCache>
            </c:numRef>
          </c:cat>
          <c:val>
            <c:numRef>
              <c:f>[6]Amarpur1!$F$3:$F$13</c:f>
              <c:numCache>
                <c:formatCode>General</c:formatCode>
                <c:ptCount val="11"/>
                <c:pt idx="0">
                  <c:v>151.47900000000001</c:v>
                </c:pt>
                <c:pt idx="1">
                  <c:v>147.31399999999999</c:v>
                </c:pt>
                <c:pt idx="2">
                  <c:v>147.191</c:v>
                </c:pt>
                <c:pt idx="3">
                  <c:v>147.59200000000001</c:v>
                </c:pt>
                <c:pt idx="4">
                  <c:v>148.59299999999999</c:v>
                </c:pt>
                <c:pt idx="5">
                  <c:v>148.334</c:v>
                </c:pt>
                <c:pt idx="6">
                  <c:v>148.078</c:v>
                </c:pt>
                <c:pt idx="7">
                  <c:v>148.05500000000001</c:v>
                </c:pt>
                <c:pt idx="8">
                  <c:v>149.10300000000001</c:v>
                </c:pt>
                <c:pt idx="9">
                  <c:v>150.767</c:v>
                </c:pt>
                <c:pt idx="10">
                  <c:v>151.28399999999999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9-4686-AA84-56CCBC143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85615504"/>
        <c:axId val="-1185614960"/>
      </c:lineChart>
      <c:catAx>
        <c:axId val="-11856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4960"/>
        <c:crosses val="autoZero"/>
        <c:auto val="1"/>
        <c:lblAlgn val="ctr"/>
        <c:lblOffset val="100"/>
        <c:noMultiLvlLbl val="0"/>
      </c:catAx>
      <c:valAx>
        <c:axId val="-118561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55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[6]Amarpur2!$F$1</c:f>
              <c:strCache>
                <c:ptCount val="1"/>
                <c:pt idx="0">
                  <c:v>Elevation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[6]Amarpur2!$E$2:$E$13</c:f>
              <c:numCache>
                <c:formatCode>General</c:formatCode>
                <c:ptCount val="12"/>
                <c:pt idx="0">
                  <c:v>0</c:v>
                </c:pt>
                <c:pt idx="1">
                  <c:v>5.5674073857535964</c:v>
                </c:pt>
                <c:pt idx="2">
                  <c:v>12.841125692040263</c:v>
                </c:pt>
                <c:pt idx="3">
                  <c:v>19.860929820463497</c:v>
                </c:pt>
                <c:pt idx="4">
                  <c:v>22.368654885190526</c:v>
                </c:pt>
                <c:pt idx="5">
                  <c:v>39.385796977596883</c:v>
                </c:pt>
                <c:pt idx="6">
                  <c:v>65.623363880632922</c:v>
                </c:pt>
                <c:pt idx="7">
                  <c:v>95.367642557656296</c:v>
                </c:pt>
                <c:pt idx="8">
                  <c:v>97.618699420252128</c:v>
                </c:pt>
                <c:pt idx="9">
                  <c:v>101.4229877902789</c:v>
                </c:pt>
                <c:pt idx="10">
                  <c:v>110.05334780564498</c:v>
                </c:pt>
                <c:pt idx="11">
                  <c:v>113.42873193202624</c:v>
                </c:pt>
              </c:numCache>
            </c:numRef>
          </c:cat>
          <c:val>
            <c:numRef>
              <c:f>[6]Amarpur2!$F$2:$F$13</c:f>
              <c:numCache>
                <c:formatCode>General</c:formatCode>
                <c:ptCount val="12"/>
                <c:pt idx="0">
                  <c:v>154.79400000000001</c:v>
                </c:pt>
                <c:pt idx="1">
                  <c:v>153.30099999999999</c:v>
                </c:pt>
                <c:pt idx="2">
                  <c:v>151.38800000000001</c:v>
                </c:pt>
                <c:pt idx="3">
                  <c:v>149.358</c:v>
                </c:pt>
                <c:pt idx="4">
                  <c:v>148.25399999999999</c:v>
                </c:pt>
                <c:pt idx="5">
                  <c:v>148.26</c:v>
                </c:pt>
                <c:pt idx="6">
                  <c:v>148.59200000000001</c:v>
                </c:pt>
                <c:pt idx="7">
                  <c:v>148.815</c:v>
                </c:pt>
                <c:pt idx="8">
                  <c:v>148.38200000000001</c:v>
                </c:pt>
                <c:pt idx="9">
                  <c:v>149.19</c:v>
                </c:pt>
                <c:pt idx="10">
                  <c:v>150.637</c:v>
                </c:pt>
                <c:pt idx="11">
                  <c:v>152.75299999999999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4A61-95E2-6C4CEC7AD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85612784"/>
        <c:axId val="-1185612240"/>
      </c:lineChart>
      <c:catAx>
        <c:axId val="-11856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2240"/>
        <c:crosses val="autoZero"/>
        <c:auto val="1"/>
        <c:lblAlgn val="ctr"/>
        <c:lblOffset val="100"/>
        <c:noMultiLvlLbl val="0"/>
      </c:catAx>
      <c:valAx>
        <c:axId val="-11856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2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55935566138895E-2"/>
          <c:y val="0.17337089482500156"/>
          <c:w val="0.87642151562483206"/>
          <c:h val="0.62800173870348808"/>
        </c:manualLayout>
      </c:layout>
      <c:lineChart>
        <c:grouping val="stacked"/>
        <c:varyColors val="0"/>
        <c:ser>
          <c:idx val="1"/>
          <c:order val="0"/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[1]Sheet1!$E$52:$E$100</c:f>
              <c:numCache>
                <c:formatCode>General</c:formatCode>
                <c:ptCount val="49"/>
                <c:pt idx="0">
                  <c:v>0</c:v>
                </c:pt>
                <c:pt idx="1">
                  <c:v>15.704181354004762</c:v>
                </c:pt>
                <c:pt idx="2">
                  <c:v>38.593603474237142</c:v>
                </c:pt>
                <c:pt idx="3">
                  <c:v>62.584015267702789</c:v>
                </c:pt>
                <c:pt idx="4">
                  <c:v>67.335399908005371</c:v>
                </c:pt>
                <c:pt idx="5">
                  <c:v>73.855953948832081</c:v>
                </c:pt>
                <c:pt idx="6">
                  <c:v>91.147348137765718</c:v>
                </c:pt>
                <c:pt idx="7">
                  <c:v>98.306974454843285</c:v>
                </c:pt>
                <c:pt idx="8">
                  <c:v>121.98857237373747</c:v>
                </c:pt>
                <c:pt idx="9">
                  <c:v>131.03061307273899</c:v>
                </c:pt>
                <c:pt idx="10">
                  <c:v>153.73800944490276</c:v>
                </c:pt>
                <c:pt idx="11">
                  <c:v>180.52189613056203</c:v>
                </c:pt>
                <c:pt idx="12">
                  <c:v>208.87116195887637</c:v>
                </c:pt>
                <c:pt idx="13">
                  <c:v>211.46150131901018</c:v>
                </c:pt>
                <c:pt idx="14">
                  <c:v>217.6030041481369</c:v>
                </c:pt>
                <c:pt idx="15">
                  <c:v>228.28007570353154</c:v>
                </c:pt>
                <c:pt idx="16">
                  <c:v>245.49869728022387</c:v>
                </c:pt>
                <c:pt idx="17">
                  <c:v>253.14651036638782</c:v>
                </c:pt>
                <c:pt idx="18">
                  <c:v>256.94660365443968</c:v>
                </c:pt>
                <c:pt idx="19">
                  <c:v>265.52606103848194</c:v>
                </c:pt>
                <c:pt idx="20">
                  <c:v>268.23862919431411</c:v>
                </c:pt>
                <c:pt idx="21">
                  <c:v>275.68734049211537</c:v>
                </c:pt>
                <c:pt idx="22">
                  <c:v>278.65127200281535</c:v>
                </c:pt>
                <c:pt idx="23">
                  <c:v>289.88788167824833</c:v>
                </c:pt>
                <c:pt idx="24">
                  <c:v>299.89071027844682</c:v>
                </c:pt>
                <c:pt idx="25">
                  <c:v>335.33559573446541</c:v>
                </c:pt>
                <c:pt idx="26">
                  <c:v>343.59386601353987</c:v>
                </c:pt>
                <c:pt idx="27">
                  <c:v>354.06565349262956</c:v>
                </c:pt>
                <c:pt idx="28">
                  <c:v>357.25515784260068</c:v>
                </c:pt>
                <c:pt idx="29">
                  <c:v>370.401688335681</c:v>
                </c:pt>
                <c:pt idx="30">
                  <c:v>385.35144452094653</c:v>
                </c:pt>
                <c:pt idx="31">
                  <c:v>412.01963336081724</c:v>
                </c:pt>
                <c:pt idx="32">
                  <c:v>429.68067763899325</c:v>
                </c:pt>
                <c:pt idx="33">
                  <c:v>453.23861884801482</c:v>
                </c:pt>
                <c:pt idx="34">
                  <c:v>464.06537279342024</c:v>
                </c:pt>
                <c:pt idx="35">
                  <c:v>471.98131581998808</c:v>
                </c:pt>
                <c:pt idx="36">
                  <c:v>475.06983164494835</c:v>
                </c:pt>
                <c:pt idx="37">
                  <c:v>481.38926967385714</c:v>
                </c:pt>
                <c:pt idx="38">
                  <c:v>486.50208690124248</c:v>
                </c:pt>
                <c:pt idx="39">
                  <c:v>494.51570056789797</c:v>
                </c:pt>
                <c:pt idx="40">
                  <c:v>506.74517610848875</c:v>
                </c:pt>
                <c:pt idx="41">
                  <c:v>510.59366841075627</c:v>
                </c:pt>
                <c:pt idx="42">
                  <c:v>516.53529815362049</c:v>
                </c:pt>
                <c:pt idx="43">
                  <c:v>525.3420857631221</c:v>
                </c:pt>
                <c:pt idx="44">
                  <c:v>535.02442602774431</c:v>
                </c:pt>
                <c:pt idx="45">
                  <c:v>541.97759005572266</c:v>
                </c:pt>
                <c:pt idx="46">
                  <c:v>546.71201568093727</c:v>
                </c:pt>
                <c:pt idx="47">
                  <c:v>564.37900829418641</c:v>
                </c:pt>
                <c:pt idx="48">
                  <c:v>585.23304878996998</c:v>
                </c:pt>
              </c:numCache>
            </c:numRef>
          </c:cat>
          <c:val>
            <c:numRef>
              <c:f>[1]Sheet1!$F$52:$F$100</c:f>
              <c:numCache>
                <c:formatCode>General</c:formatCode>
                <c:ptCount val="49"/>
                <c:pt idx="0">
                  <c:v>84.001000000000005</c:v>
                </c:pt>
                <c:pt idx="1">
                  <c:v>84.391000000000005</c:v>
                </c:pt>
                <c:pt idx="2">
                  <c:v>83.131</c:v>
                </c:pt>
                <c:pt idx="3">
                  <c:v>81.784999999999997</c:v>
                </c:pt>
                <c:pt idx="4">
                  <c:v>82.106999999999999</c:v>
                </c:pt>
                <c:pt idx="5">
                  <c:v>80.754000000000005</c:v>
                </c:pt>
                <c:pt idx="6">
                  <c:v>81.647999999999996</c:v>
                </c:pt>
                <c:pt idx="7">
                  <c:v>80.948999999999998</c:v>
                </c:pt>
                <c:pt idx="8">
                  <c:v>81.709999999999994</c:v>
                </c:pt>
                <c:pt idx="9">
                  <c:v>80.822999999999993</c:v>
                </c:pt>
                <c:pt idx="10">
                  <c:v>81.227999999999994</c:v>
                </c:pt>
                <c:pt idx="11">
                  <c:v>80.897000000000006</c:v>
                </c:pt>
                <c:pt idx="12">
                  <c:v>80.691000000000003</c:v>
                </c:pt>
                <c:pt idx="13">
                  <c:v>81.591999999999999</c:v>
                </c:pt>
                <c:pt idx="14">
                  <c:v>81.760000000000005</c:v>
                </c:pt>
                <c:pt idx="15">
                  <c:v>81.120999999999995</c:v>
                </c:pt>
                <c:pt idx="16">
                  <c:v>80.222999999999999</c:v>
                </c:pt>
                <c:pt idx="17">
                  <c:v>79.927000000000007</c:v>
                </c:pt>
                <c:pt idx="18">
                  <c:v>80.221999999999994</c:v>
                </c:pt>
                <c:pt idx="19">
                  <c:v>80.152000000000001</c:v>
                </c:pt>
                <c:pt idx="20">
                  <c:v>80.891000000000005</c:v>
                </c:pt>
                <c:pt idx="21">
                  <c:v>80.78</c:v>
                </c:pt>
                <c:pt idx="22">
                  <c:v>81.926000000000002</c:v>
                </c:pt>
                <c:pt idx="23">
                  <c:v>81.644000000000005</c:v>
                </c:pt>
                <c:pt idx="24">
                  <c:v>80.903000000000006</c:v>
                </c:pt>
                <c:pt idx="25">
                  <c:v>80.557000000000002</c:v>
                </c:pt>
                <c:pt idx="26">
                  <c:v>80.594999999999999</c:v>
                </c:pt>
                <c:pt idx="27">
                  <c:v>79.930999999999997</c:v>
                </c:pt>
                <c:pt idx="28">
                  <c:v>79.947999999999993</c:v>
                </c:pt>
                <c:pt idx="29">
                  <c:v>80.367999999999995</c:v>
                </c:pt>
                <c:pt idx="30">
                  <c:v>80.278999999999996</c:v>
                </c:pt>
                <c:pt idx="31">
                  <c:v>80.468000000000004</c:v>
                </c:pt>
                <c:pt idx="32">
                  <c:v>80.275999999999996</c:v>
                </c:pt>
                <c:pt idx="33">
                  <c:v>80.921999999999997</c:v>
                </c:pt>
                <c:pt idx="34">
                  <c:v>80.203999999999994</c:v>
                </c:pt>
                <c:pt idx="35">
                  <c:v>79.837999999999994</c:v>
                </c:pt>
                <c:pt idx="36">
                  <c:v>79.795000000000002</c:v>
                </c:pt>
                <c:pt idx="37">
                  <c:v>80.388000000000005</c:v>
                </c:pt>
                <c:pt idx="38">
                  <c:v>79.887</c:v>
                </c:pt>
                <c:pt idx="39">
                  <c:v>79.510000000000005</c:v>
                </c:pt>
                <c:pt idx="40">
                  <c:v>79.790000000000006</c:v>
                </c:pt>
                <c:pt idx="41">
                  <c:v>79.427000000000007</c:v>
                </c:pt>
                <c:pt idx="42">
                  <c:v>79.548000000000002</c:v>
                </c:pt>
                <c:pt idx="43">
                  <c:v>79.713999999999999</c:v>
                </c:pt>
                <c:pt idx="44">
                  <c:v>79.935000000000002</c:v>
                </c:pt>
                <c:pt idx="45">
                  <c:v>81.445999999999998</c:v>
                </c:pt>
                <c:pt idx="46">
                  <c:v>82.027000000000001</c:v>
                </c:pt>
                <c:pt idx="47">
                  <c:v>83.108999999999995</c:v>
                </c:pt>
                <c:pt idx="48">
                  <c:v>84.257999999999996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7-4DAB-A989-ECB857574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92855040"/>
        <c:axId val="-1192854496"/>
      </c:lineChart>
      <c:catAx>
        <c:axId val="-119285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54496"/>
        <c:crosses val="autoZero"/>
        <c:auto val="1"/>
        <c:lblAlgn val="ctr"/>
        <c:lblOffset val="100"/>
        <c:noMultiLvlLbl val="0"/>
      </c:catAx>
      <c:valAx>
        <c:axId val="-119285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550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7061073602674"/>
          <c:y val="7.2592610058006213E-2"/>
          <c:w val="0.86754758785973418"/>
          <c:h val="0.78585965976501004"/>
        </c:manualLayout>
      </c:layout>
      <c:lineChart>
        <c:grouping val="stacked"/>
        <c:varyColors val="0"/>
        <c:ser>
          <c:idx val="1"/>
          <c:order val="0"/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[1]Sheet1!$E$102:$E$110</c:f>
              <c:numCache>
                <c:formatCode>General</c:formatCode>
                <c:ptCount val="9"/>
                <c:pt idx="0">
                  <c:v>0</c:v>
                </c:pt>
                <c:pt idx="1">
                  <c:v>14.917266572511934</c:v>
                </c:pt>
                <c:pt idx="2">
                  <c:v>24.833408211616248</c:v>
                </c:pt>
                <c:pt idx="3">
                  <c:v>53.913431681338892</c:v>
                </c:pt>
                <c:pt idx="4">
                  <c:v>68.809981785109017</c:v>
                </c:pt>
                <c:pt idx="5">
                  <c:v>104.38918526145397</c:v>
                </c:pt>
                <c:pt idx="6">
                  <c:v>159.2802139729709</c:v>
                </c:pt>
                <c:pt idx="7">
                  <c:v>187.94551515712774</c:v>
                </c:pt>
                <c:pt idx="8">
                  <c:v>195.86909225367361</c:v>
                </c:pt>
              </c:numCache>
            </c:numRef>
          </c:cat>
          <c:val>
            <c:numRef>
              <c:f>[1]Sheet1!$F$102:$F$110</c:f>
              <c:numCache>
                <c:formatCode>General</c:formatCode>
                <c:ptCount val="9"/>
                <c:pt idx="0">
                  <c:v>90.504999999999995</c:v>
                </c:pt>
                <c:pt idx="1">
                  <c:v>86.591999999999999</c:v>
                </c:pt>
                <c:pt idx="2">
                  <c:v>85.885000000000005</c:v>
                </c:pt>
                <c:pt idx="3">
                  <c:v>86.051000000000002</c:v>
                </c:pt>
                <c:pt idx="4">
                  <c:v>86.289000000000001</c:v>
                </c:pt>
                <c:pt idx="5">
                  <c:v>86.233000000000004</c:v>
                </c:pt>
                <c:pt idx="6">
                  <c:v>87.236999999999995</c:v>
                </c:pt>
                <c:pt idx="7">
                  <c:v>87.902000000000001</c:v>
                </c:pt>
                <c:pt idx="8">
                  <c:v>90.894999999999996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3-4EDA-9282-07B651846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92863200"/>
        <c:axId val="-1192856672"/>
      </c:lineChart>
      <c:catAx>
        <c:axId val="-11928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1" i="0" u="none" strike="noStrike" kern="1200" spc="20" baseline="0">
                <a:solidFill>
                  <a:srgbClr val="45454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56672"/>
        <c:crosses val="autoZero"/>
        <c:auto val="1"/>
        <c:lblAlgn val="ctr"/>
        <c:lblOffset val="100"/>
        <c:noMultiLvlLbl val="0"/>
      </c:catAx>
      <c:valAx>
        <c:axId val="-1192856672"/>
        <c:scaling>
          <c:orientation val="minMax"/>
          <c:max val="9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rgbClr val="45454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63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67928102579084"/>
          <c:y val="0.14393518518518519"/>
          <c:w val="0.85854221347331572"/>
          <c:h val="0.62829505686789155"/>
        </c:manualLayout>
      </c:layout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[2]Sheet1!$E$2:$E$47</c:f>
              <c:numCache>
                <c:formatCode>General</c:formatCode>
                <c:ptCount val="46"/>
                <c:pt idx="0">
                  <c:v>0</c:v>
                </c:pt>
                <c:pt idx="1">
                  <c:v>18.094732327558951</c:v>
                </c:pt>
                <c:pt idx="2">
                  <c:v>24.604926257018363</c:v>
                </c:pt>
                <c:pt idx="3">
                  <c:v>64.068300225675387</c:v>
                </c:pt>
                <c:pt idx="4">
                  <c:v>79.505728249856688</c:v>
                </c:pt>
                <c:pt idx="5">
                  <c:v>102.41603756687373</c:v>
                </c:pt>
                <c:pt idx="6">
                  <c:v>109.62625594080052</c:v>
                </c:pt>
                <c:pt idx="7">
                  <c:v>116.44123158297248</c:v>
                </c:pt>
                <c:pt idx="8">
                  <c:v>128.99012336643946</c:v>
                </c:pt>
                <c:pt idx="9">
                  <c:v>132.23961640420035</c:v>
                </c:pt>
                <c:pt idx="10">
                  <c:v>138.45434511882149</c:v>
                </c:pt>
                <c:pt idx="11">
                  <c:v>142.00526683028355</c:v>
                </c:pt>
                <c:pt idx="12">
                  <c:v>145.51691516135585</c:v>
                </c:pt>
                <c:pt idx="13">
                  <c:v>147.20475994067925</c:v>
                </c:pt>
                <c:pt idx="14">
                  <c:v>149.82610863954596</c:v>
                </c:pt>
                <c:pt idx="15">
                  <c:v>153.36106832797734</c:v>
                </c:pt>
                <c:pt idx="16">
                  <c:v>168.7707180970522</c:v>
                </c:pt>
                <c:pt idx="17">
                  <c:v>172.10423410848264</c:v>
                </c:pt>
                <c:pt idx="18">
                  <c:v>176.01575555181282</c:v>
                </c:pt>
                <c:pt idx="19">
                  <c:v>180.2344342549774</c:v>
                </c:pt>
                <c:pt idx="20">
                  <c:v>186.3749521484896</c:v>
                </c:pt>
                <c:pt idx="21">
                  <c:v>189.19211188815052</c:v>
                </c:pt>
                <c:pt idx="22">
                  <c:v>191.96227433815307</c:v>
                </c:pt>
                <c:pt idx="23">
                  <c:v>195.68047457484226</c:v>
                </c:pt>
                <c:pt idx="24">
                  <c:v>199.02934005448134</c:v>
                </c:pt>
                <c:pt idx="25">
                  <c:v>203.01911222830043</c:v>
                </c:pt>
                <c:pt idx="26">
                  <c:v>205.67074361314943</c:v>
                </c:pt>
                <c:pt idx="27">
                  <c:v>208.7711572952534</c:v>
                </c:pt>
                <c:pt idx="28">
                  <c:v>212.16189526788295</c:v>
                </c:pt>
                <c:pt idx="29">
                  <c:v>215.1624818770326</c:v>
                </c:pt>
                <c:pt idx="30">
                  <c:v>227.29683661890206</c:v>
                </c:pt>
                <c:pt idx="31">
                  <c:v>243.84572691434283</c:v>
                </c:pt>
                <c:pt idx="32">
                  <c:v>256.1807289003138</c:v>
                </c:pt>
                <c:pt idx="33">
                  <c:v>270.08414204237579</c:v>
                </c:pt>
                <c:pt idx="34">
                  <c:v>275.9569952673736</c:v>
                </c:pt>
                <c:pt idx="35">
                  <c:v>287.04464064394051</c:v>
                </c:pt>
                <c:pt idx="36">
                  <c:v>323.28710337751892</c:v>
                </c:pt>
                <c:pt idx="37">
                  <c:v>337.78736809931871</c:v>
                </c:pt>
                <c:pt idx="38">
                  <c:v>374.00879828912889</c:v>
                </c:pt>
                <c:pt idx="39">
                  <c:v>395.21635849758684</c:v>
                </c:pt>
                <c:pt idx="40">
                  <c:v>421.74547974224134</c:v>
                </c:pt>
                <c:pt idx="41">
                  <c:v>427.42074889879552</c:v>
                </c:pt>
                <c:pt idx="42">
                  <c:v>431.56790949373686</c:v>
                </c:pt>
                <c:pt idx="43">
                  <c:v>438.40473126973109</c:v>
                </c:pt>
                <c:pt idx="44">
                  <c:v>446.73767006715678</c:v>
                </c:pt>
                <c:pt idx="45">
                  <c:v>455.12712231400695</c:v>
                </c:pt>
              </c:numCache>
            </c:numRef>
          </c:cat>
          <c:val>
            <c:numRef>
              <c:f>[2]Sheet1!$F$2:$F$47</c:f>
              <c:numCache>
                <c:formatCode>General</c:formatCode>
                <c:ptCount val="46"/>
                <c:pt idx="0">
                  <c:v>37.430999999999997</c:v>
                </c:pt>
                <c:pt idx="1">
                  <c:v>36.063000000000002</c:v>
                </c:pt>
                <c:pt idx="2">
                  <c:v>35.32</c:v>
                </c:pt>
                <c:pt idx="3">
                  <c:v>34.923000000000002</c:v>
                </c:pt>
                <c:pt idx="4">
                  <c:v>34.738999999999997</c:v>
                </c:pt>
                <c:pt idx="5">
                  <c:v>35.088000000000001</c:v>
                </c:pt>
                <c:pt idx="6">
                  <c:v>34.868000000000002</c:v>
                </c:pt>
                <c:pt idx="7">
                  <c:v>35.11</c:v>
                </c:pt>
                <c:pt idx="8">
                  <c:v>34.444000000000003</c:v>
                </c:pt>
                <c:pt idx="9">
                  <c:v>33.9</c:v>
                </c:pt>
                <c:pt idx="10">
                  <c:v>33.734999999999999</c:v>
                </c:pt>
                <c:pt idx="11">
                  <c:v>33.695999999999998</c:v>
                </c:pt>
                <c:pt idx="12">
                  <c:v>33.630000000000003</c:v>
                </c:pt>
                <c:pt idx="13">
                  <c:v>33.552999999999997</c:v>
                </c:pt>
                <c:pt idx="14">
                  <c:v>33.783999999999999</c:v>
                </c:pt>
                <c:pt idx="15">
                  <c:v>34.334000000000003</c:v>
                </c:pt>
                <c:pt idx="16">
                  <c:v>34.363999999999997</c:v>
                </c:pt>
                <c:pt idx="17">
                  <c:v>33.686</c:v>
                </c:pt>
                <c:pt idx="18">
                  <c:v>33.9</c:v>
                </c:pt>
                <c:pt idx="19">
                  <c:v>33.728000000000002</c:v>
                </c:pt>
                <c:pt idx="20">
                  <c:v>33.597000000000001</c:v>
                </c:pt>
                <c:pt idx="21">
                  <c:v>33.710999999999999</c:v>
                </c:pt>
                <c:pt idx="22">
                  <c:v>33.606000000000002</c:v>
                </c:pt>
                <c:pt idx="23">
                  <c:v>33.594000000000001</c:v>
                </c:pt>
                <c:pt idx="24">
                  <c:v>34.298999999999999</c:v>
                </c:pt>
                <c:pt idx="25">
                  <c:v>33.607999999999997</c:v>
                </c:pt>
                <c:pt idx="26">
                  <c:v>33.597999999999999</c:v>
                </c:pt>
                <c:pt idx="27">
                  <c:v>33.609000000000002</c:v>
                </c:pt>
                <c:pt idx="28">
                  <c:v>33.732999999999997</c:v>
                </c:pt>
                <c:pt idx="29">
                  <c:v>34.466999999999999</c:v>
                </c:pt>
                <c:pt idx="30">
                  <c:v>34.773000000000003</c:v>
                </c:pt>
                <c:pt idx="31">
                  <c:v>34.735999999999997</c:v>
                </c:pt>
                <c:pt idx="32">
                  <c:v>35.893999999999998</c:v>
                </c:pt>
                <c:pt idx="33">
                  <c:v>35.786000000000001</c:v>
                </c:pt>
                <c:pt idx="34">
                  <c:v>36.182000000000002</c:v>
                </c:pt>
                <c:pt idx="35">
                  <c:v>35.167000000000002</c:v>
                </c:pt>
                <c:pt idx="36">
                  <c:v>35.637999999999998</c:v>
                </c:pt>
                <c:pt idx="37">
                  <c:v>35.219000000000001</c:v>
                </c:pt>
                <c:pt idx="38">
                  <c:v>35.475999999999999</c:v>
                </c:pt>
                <c:pt idx="39">
                  <c:v>35.228999999999999</c:v>
                </c:pt>
                <c:pt idx="40">
                  <c:v>35.954000000000001</c:v>
                </c:pt>
                <c:pt idx="41">
                  <c:v>35.131</c:v>
                </c:pt>
                <c:pt idx="42">
                  <c:v>35.780999999999999</c:v>
                </c:pt>
                <c:pt idx="43">
                  <c:v>36.792000000000002</c:v>
                </c:pt>
                <c:pt idx="44">
                  <c:v>38.636000000000003</c:v>
                </c:pt>
                <c:pt idx="45">
                  <c:v>40.591000000000001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B-4FA3-A784-C12CAC2BD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92865920"/>
        <c:axId val="-1340081248"/>
      </c:lineChart>
      <c:catAx>
        <c:axId val="-11928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0081248"/>
        <c:crosses val="autoZero"/>
        <c:auto val="1"/>
        <c:lblAlgn val="ctr"/>
        <c:lblOffset val="100"/>
        <c:noMultiLvlLbl val="0"/>
      </c:catAx>
      <c:valAx>
        <c:axId val="-1340081248"/>
        <c:scaling>
          <c:orientation val="minMax"/>
          <c:min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1" i="0" u="none" strike="noStrike" kern="1200" spc="2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659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17648168230468"/>
          <c:y val="5.5555555555555552E-2"/>
          <c:w val="0.838444371100319"/>
          <c:h val="0.73519320501603957"/>
        </c:manualLayout>
      </c:layout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[2]Sheet1!$E$49:$E$100</c:f>
              <c:numCache>
                <c:formatCode>General</c:formatCode>
                <c:ptCount val="52"/>
                <c:pt idx="0">
                  <c:v>0</c:v>
                </c:pt>
                <c:pt idx="1">
                  <c:v>3.6607082649548257</c:v>
                </c:pt>
                <c:pt idx="2">
                  <c:v>5.159016978003379</c:v>
                </c:pt>
                <c:pt idx="3">
                  <c:v>26.923162562015616</c:v>
                </c:pt>
                <c:pt idx="4">
                  <c:v>28.768893040698334</c:v>
                </c:pt>
                <c:pt idx="5">
                  <c:v>47.703405128526001</c:v>
                </c:pt>
                <c:pt idx="6">
                  <c:v>50.255064392652891</c:v>
                </c:pt>
                <c:pt idx="7">
                  <c:v>59.193952466442241</c:v>
                </c:pt>
                <c:pt idx="8">
                  <c:v>69.444593909900306</c:v>
                </c:pt>
                <c:pt idx="9">
                  <c:v>72.01186054953989</c:v>
                </c:pt>
                <c:pt idx="10">
                  <c:v>75.967724298592572</c:v>
                </c:pt>
                <c:pt idx="11">
                  <c:v>80.161863662160442</c:v>
                </c:pt>
                <c:pt idx="12">
                  <c:v>82.35791124811746</c:v>
                </c:pt>
                <c:pt idx="13">
                  <c:v>85.145814582348805</c:v>
                </c:pt>
                <c:pt idx="14">
                  <c:v>87.417389586530476</c:v>
                </c:pt>
                <c:pt idx="15">
                  <c:v>90.749218663562303</c:v>
                </c:pt>
                <c:pt idx="16">
                  <c:v>92.1363902462531</c:v>
                </c:pt>
                <c:pt idx="17">
                  <c:v>97.73372264691919</c:v>
                </c:pt>
                <c:pt idx="18">
                  <c:v>103.38064862456623</c:v>
                </c:pt>
                <c:pt idx="19">
                  <c:v>109.85240580514568</c:v>
                </c:pt>
                <c:pt idx="20">
                  <c:v>112.18466586747378</c:v>
                </c:pt>
                <c:pt idx="21">
                  <c:v>113.75081560503743</c:v>
                </c:pt>
                <c:pt idx="22">
                  <c:v>114.83004681288368</c:v>
                </c:pt>
                <c:pt idx="23">
                  <c:v>116.45801026471727</c:v>
                </c:pt>
                <c:pt idx="24">
                  <c:v>117.49138967221577</c:v>
                </c:pt>
                <c:pt idx="25">
                  <c:v>120.02286394602032</c:v>
                </c:pt>
                <c:pt idx="26">
                  <c:v>121.38752690799319</c:v>
                </c:pt>
                <c:pt idx="27">
                  <c:v>124.68973132321672</c:v>
                </c:pt>
                <c:pt idx="28">
                  <c:v>126.38858770342124</c:v>
                </c:pt>
                <c:pt idx="29">
                  <c:v>127.91732083904564</c:v>
                </c:pt>
                <c:pt idx="30">
                  <c:v>149.89001885251707</c:v>
                </c:pt>
                <c:pt idx="31">
                  <c:v>172.3683252169042</c:v>
                </c:pt>
                <c:pt idx="32">
                  <c:v>177.09845555321951</c:v>
                </c:pt>
                <c:pt idx="33">
                  <c:v>183.29923623015614</c:v>
                </c:pt>
                <c:pt idx="34">
                  <c:v>183.36239476078191</c:v>
                </c:pt>
                <c:pt idx="35">
                  <c:v>190.17555005044946</c:v>
                </c:pt>
                <c:pt idx="36">
                  <c:v>196.02279051038403</c:v>
                </c:pt>
                <c:pt idx="37">
                  <c:v>209.44133070663517</c:v>
                </c:pt>
                <c:pt idx="38">
                  <c:v>215.70397248158332</c:v>
                </c:pt>
                <c:pt idx="39">
                  <c:v>220.7081000778316</c:v>
                </c:pt>
                <c:pt idx="40">
                  <c:v>222.00877720922841</c:v>
                </c:pt>
                <c:pt idx="41">
                  <c:v>223.8430754401804</c:v>
                </c:pt>
                <c:pt idx="42">
                  <c:v>225.84973460406147</c:v>
                </c:pt>
                <c:pt idx="43">
                  <c:v>228.35503498526279</c:v>
                </c:pt>
                <c:pt idx="44">
                  <c:v>243.27610900817075</c:v>
                </c:pt>
                <c:pt idx="45">
                  <c:v>250.53161133397785</c:v>
                </c:pt>
                <c:pt idx="46">
                  <c:v>260.67141927109816</c:v>
                </c:pt>
                <c:pt idx="47">
                  <c:v>266.9804731621777</c:v>
                </c:pt>
                <c:pt idx="48">
                  <c:v>282.64164329733961</c:v>
                </c:pt>
                <c:pt idx="49">
                  <c:v>311.83149968629243</c:v>
                </c:pt>
                <c:pt idx="50">
                  <c:v>341.64697125704754</c:v>
                </c:pt>
                <c:pt idx="51">
                  <c:v>356.06894130297286</c:v>
                </c:pt>
              </c:numCache>
            </c:numRef>
          </c:cat>
          <c:val>
            <c:numRef>
              <c:f>[2]Sheet1!$F$49:$F$100</c:f>
              <c:numCache>
                <c:formatCode>General</c:formatCode>
                <c:ptCount val="52"/>
                <c:pt idx="0">
                  <c:v>31.609000000000002</c:v>
                </c:pt>
                <c:pt idx="1">
                  <c:v>31.597000000000001</c:v>
                </c:pt>
                <c:pt idx="2">
                  <c:v>30.471</c:v>
                </c:pt>
                <c:pt idx="3">
                  <c:v>30.518000000000001</c:v>
                </c:pt>
                <c:pt idx="4">
                  <c:v>29.92</c:v>
                </c:pt>
                <c:pt idx="5">
                  <c:v>30.225000000000001</c:v>
                </c:pt>
                <c:pt idx="6">
                  <c:v>28.734000000000002</c:v>
                </c:pt>
                <c:pt idx="7">
                  <c:v>27.207999999999998</c:v>
                </c:pt>
                <c:pt idx="8">
                  <c:v>27.445</c:v>
                </c:pt>
                <c:pt idx="9">
                  <c:v>27.97</c:v>
                </c:pt>
                <c:pt idx="10">
                  <c:v>26.920999999999999</c:v>
                </c:pt>
                <c:pt idx="11">
                  <c:v>26.943000000000001</c:v>
                </c:pt>
                <c:pt idx="12">
                  <c:v>26.052</c:v>
                </c:pt>
                <c:pt idx="13">
                  <c:v>25.971</c:v>
                </c:pt>
                <c:pt idx="14">
                  <c:v>26.131</c:v>
                </c:pt>
                <c:pt idx="15">
                  <c:v>26.11</c:v>
                </c:pt>
                <c:pt idx="16">
                  <c:v>26.664000000000001</c:v>
                </c:pt>
                <c:pt idx="17">
                  <c:v>26.347000000000001</c:v>
                </c:pt>
                <c:pt idx="18">
                  <c:v>26.812999999999999</c:v>
                </c:pt>
                <c:pt idx="19">
                  <c:v>26.446000000000002</c:v>
                </c:pt>
                <c:pt idx="20">
                  <c:v>26.166</c:v>
                </c:pt>
                <c:pt idx="21">
                  <c:v>26.05</c:v>
                </c:pt>
                <c:pt idx="22">
                  <c:v>26.007000000000001</c:v>
                </c:pt>
                <c:pt idx="23">
                  <c:v>26.137</c:v>
                </c:pt>
                <c:pt idx="24">
                  <c:v>25.888000000000002</c:v>
                </c:pt>
                <c:pt idx="25">
                  <c:v>26.251999999999999</c:v>
                </c:pt>
                <c:pt idx="26">
                  <c:v>26.558</c:v>
                </c:pt>
                <c:pt idx="27">
                  <c:v>26.553999999999998</c:v>
                </c:pt>
                <c:pt idx="28">
                  <c:v>26.11</c:v>
                </c:pt>
                <c:pt idx="29">
                  <c:v>26.577000000000002</c:v>
                </c:pt>
                <c:pt idx="30">
                  <c:v>26.576000000000001</c:v>
                </c:pt>
                <c:pt idx="31">
                  <c:v>26.001000000000001</c:v>
                </c:pt>
                <c:pt idx="32">
                  <c:v>26.738</c:v>
                </c:pt>
                <c:pt idx="33">
                  <c:v>26.428000000000001</c:v>
                </c:pt>
                <c:pt idx="34">
                  <c:v>26.407</c:v>
                </c:pt>
                <c:pt idx="35">
                  <c:v>27.337</c:v>
                </c:pt>
                <c:pt idx="36">
                  <c:v>26.483000000000001</c:v>
                </c:pt>
                <c:pt idx="37">
                  <c:v>25.878</c:v>
                </c:pt>
                <c:pt idx="38">
                  <c:v>26.620999999999999</c:v>
                </c:pt>
                <c:pt idx="39">
                  <c:v>25.922000000000001</c:v>
                </c:pt>
                <c:pt idx="40">
                  <c:v>25.718</c:v>
                </c:pt>
                <c:pt idx="41">
                  <c:v>25.597000000000001</c:v>
                </c:pt>
                <c:pt idx="42">
                  <c:v>25.675000000000001</c:v>
                </c:pt>
                <c:pt idx="43">
                  <c:v>26.053999999999998</c:v>
                </c:pt>
                <c:pt idx="44">
                  <c:v>27.113</c:v>
                </c:pt>
                <c:pt idx="45">
                  <c:v>27.846</c:v>
                </c:pt>
                <c:pt idx="46">
                  <c:v>27.306000000000001</c:v>
                </c:pt>
                <c:pt idx="47">
                  <c:v>26.873999999999999</c:v>
                </c:pt>
                <c:pt idx="48">
                  <c:v>27.143999999999998</c:v>
                </c:pt>
                <c:pt idx="49">
                  <c:v>27.988</c:v>
                </c:pt>
                <c:pt idx="50">
                  <c:v>28.65</c:v>
                </c:pt>
                <c:pt idx="51">
                  <c:v>30.991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3-40E3-AFCC-0206DDDE7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340080704"/>
        <c:axId val="-1340079616"/>
      </c:lineChart>
      <c:catAx>
        <c:axId val="-13400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1" i="0" u="none" strike="noStrike" kern="1200" spc="2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0079616"/>
        <c:crosses val="autoZero"/>
        <c:auto val="1"/>
        <c:lblAlgn val="ctr"/>
        <c:lblOffset val="100"/>
        <c:noMultiLvlLbl val="0"/>
      </c:catAx>
      <c:valAx>
        <c:axId val="-1340079616"/>
        <c:scaling>
          <c:orientation val="minMax"/>
          <c:min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1" i="0" u="none" strike="noStrike" kern="1200" spc="2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00807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404085524041769E-2"/>
          <c:y val="5.0925925925925923E-2"/>
          <c:w val="0.86982842774175662"/>
          <c:h val="0.77685987168270632"/>
        </c:manualLayout>
      </c:layout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'[3]SUNDARPUR CS'!$E$2:$E$20</c:f>
              <c:numCache>
                <c:formatCode>General</c:formatCode>
                <c:ptCount val="19"/>
                <c:pt idx="0">
                  <c:v>0</c:v>
                </c:pt>
                <c:pt idx="1">
                  <c:v>56.193112762917082</c:v>
                </c:pt>
                <c:pt idx="2">
                  <c:v>147.42950559505542</c:v>
                </c:pt>
                <c:pt idx="3">
                  <c:v>227.26443637714414</c:v>
                </c:pt>
                <c:pt idx="4">
                  <c:v>306.65986203893169</c:v>
                </c:pt>
                <c:pt idx="5">
                  <c:v>348.01510800592376</c:v>
                </c:pt>
                <c:pt idx="6">
                  <c:v>361.68398667243292</c:v>
                </c:pt>
                <c:pt idx="7">
                  <c:v>382.54935676284231</c:v>
                </c:pt>
                <c:pt idx="8">
                  <c:v>386.01215346486543</c:v>
                </c:pt>
                <c:pt idx="9">
                  <c:v>395.68824963002754</c:v>
                </c:pt>
                <c:pt idx="10">
                  <c:v>421.75500502845568</c:v>
                </c:pt>
                <c:pt idx="11">
                  <c:v>424.35661318482255</c:v>
                </c:pt>
                <c:pt idx="12">
                  <c:v>429.22596067705791</c:v>
                </c:pt>
                <c:pt idx="13">
                  <c:v>465.27250927776777</c:v>
                </c:pt>
                <c:pt idx="14">
                  <c:v>469.06437662758003</c:v>
                </c:pt>
                <c:pt idx="15">
                  <c:v>473.82945060405729</c:v>
                </c:pt>
                <c:pt idx="16">
                  <c:v>476.94255532411046</c:v>
                </c:pt>
                <c:pt idx="17">
                  <c:v>479.9387217082234</c:v>
                </c:pt>
                <c:pt idx="18">
                  <c:v>482.12532866861471</c:v>
                </c:pt>
              </c:numCache>
            </c:numRef>
          </c:cat>
          <c:val>
            <c:numRef>
              <c:f>'[3]SUNDARPUR CS'!$F$2:$F$20</c:f>
              <c:numCache>
                <c:formatCode>General</c:formatCode>
                <c:ptCount val="19"/>
                <c:pt idx="0">
                  <c:v>32.936</c:v>
                </c:pt>
                <c:pt idx="1">
                  <c:v>30.003</c:v>
                </c:pt>
                <c:pt idx="2">
                  <c:v>28.085000000000001</c:v>
                </c:pt>
                <c:pt idx="3">
                  <c:v>27.974</c:v>
                </c:pt>
                <c:pt idx="4">
                  <c:v>27.248000000000001</c:v>
                </c:pt>
                <c:pt idx="5">
                  <c:v>27.452999999999999</c:v>
                </c:pt>
                <c:pt idx="6">
                  <c:v>27.934999999999999</c:v>
                </c:pt>
                <c:pt idx="7">
                  <c:v>25.991</c:v>
                </c:pt>
                <c:pt idx="8">
                  <c:v>26.818999999999999</c:v>
                </c:pt>
                <c:pt idx="9">
                  <c:v>27.117999999999999</c:v>
                </c:pt>
                <c:pt idx="10">
                  <c:v>26.635000000000002</c:v>
                </c:pt>
                <c:pt idx="11">
                  <c:v>25.809000000000001</c:v>
                </c:pt>
                <c:pt idx="12">
                  <c:v>25.231999999999999</c:v>
                </c:pt>
                <c:pt idx="13">
                  <c:v>23.567</c:v>
                </c:pt>
                <c:pt idx="14">
                  <c:v>24.033000000000001</c:v>
                </c:pt>
                <c:pt idx="15">
                  <c:v>26.138000000000002</c:v>
                </c:pt>
                <c:pt idx="16">
                  <c:v>26.978999999999999</c:v>
                </c:pt>
                <c:pt idx="17">
                  <c:v>27.774999999999999</c:v>
                </c:pt>
                <c:pt idx="18">
                  <c:v>30.875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1-4F46-99FB-804A35A2A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265898368"/>
        <c:axId val="-1265904352"/>
      </c:lineChart>
      <c:catAx>
        <c:axId val="-12658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904352"/>
        <c:crosses val="autoZero"/>
        <c:auto val="1"/>
        <c:lblAlgn val="ctr"/>
        <c:lblOffset val="100"/>
        <c:noMultiLvlLbl val="0"/>
      </c:catAx>
      <c:valAx>
        <c:axId val="-1265904352"/>
        <c:scaling>
          <c:orientation val="minMax"/>
          <c:min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8983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8092738407699"/>
          <c:y val="0.17171296296296296"/>
          <c:w val="0.83804879945562361"/>
          <c:h val="0.6222998687664042"/>
        </c:manualLayout>
      </c:layout>
      <c:lineChart>
        <c:grouping val="standard"/>
        <c:varyColors val="0"/>
        <c:ser>
          <c:idx val="1"/>
          <c:order val="0"/>
          <c:tx>
            <c:strRef>
              <c:f>[4]GRAPH!$F$1</c:f>
              <c:strCache>
                <c:ptCount val="1"/>
                <c:pt idx="0">
                  <c:v>Elevation (m)</c:v>
                </c:pt>
              </c:strCache>
            </c:strRef>
          </c:tx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[4]GRAPH!$E$2:$E$29</c:f>
              <c:numCache>
                <c:formatCode>General</c:formatCode>
                <c:ptCount val="28"/>
                <c:pt idx="0">
                  <c:v>0</c:v>
                </c:pt>
                <c:pt idx="1">
                  <c:v>3.4368015652746418</c:v>
                </c:pt>
                <c:pt idx="2">
                  <c:v>12.659468695961994</c:v>
                </c:pt>
                <c:pt idx="3">
                  <c:v>22.393324304006235</c:v>
                </c:pt>
                <c:pt idx="4">
                  <c:v>37.074345555935764</c:v>
                </c:pt>
                <c:pt idx="5">
                  <c:v>63.672362399260862</c:v>
                </c:pt>
                <c:pt idx="6">
                  <c:v>77.051135511964404</c:v>
                </c:pt>
                <c:pt idx="7">
                  <c:v>86.983395325544961</c:v>
                </c:pt>
                <c:pt idx="8">
                  <c:v>93.180411139323098</c:v>
                </c:pt>
                <c:pt idx="9">
                  <c:v>106.09483625236855</c:v>
                </c:pt>
                <c:pt idx="10">
                  <c:v>148.32411785891432</c:v>
                </c:pt>
                <c:pt idx="11">
                  <c:v>150.86710075319272</c:v>
                </c:pt>
                <c:pt idx="12">
                  <c:v>155.13585994051741</c:v>
                </c:pt>
                <c:pt idx="13">
                  <c:v>166.26895959858606</c:v>
                </c:pt>
                <c:pt idx="14">
                  <c:v>176.07994578777507</c:v>
                </c:pt>
                <c:pt idx="15">
                  <c:v>181.76978128634084</c:v>
                </c:pt>
                <c:pt idx="16">
                  <c:v>184.9799241180483</c:v>
                </c:pt>
                <c:pt idx="17">
                  <c:v>194.78899588833681</c:v>
                </c:pt>
                <c:pt idx="18">
                  <c:v>206.35666756434864</c:v>
                </c:pt>
                <c:pt idx="19">
                  <c:v>228.76344093770533</c:v>
                </c:pt>
                <c:pt idx="20">
                  <c:v>242.87718346049635</c:v>
                </c:pt>
                <c:pt idx="21">
                  <c:v>254.97706907946107</c:v>
                </c:pt>
                <c:pt idx="22">
                  <c:v>269.88893029789949</c:v>
                </c:pt>
                <c:pt idx="23">
                  <c:v>304.66657141990726</c:v>
                </c:pt>
                <c:pt idx="24">
                  <c:v>338.14470341668488</c:v>
                </c:pt>
                <c:pt idx="25">
                  <c:v>371.59917129502242</c:v>
                </c:pt>
                <c:pt idx="26">
                  <c:v>377.49235388138692</c:v>
                </c:pt>
                <c:pt idx="27">
                  <c:v>379.65602668500298</c:v>
                </c:pt>
              </c:numCache>
            </c:numRef>
          </c:cat>
          <c:val>
            <c:numRef>
              <c:f>[4]GRAPH!$F$2:$F$29</c:f>
              <c:numCache>
                <c:formatCode>General</c:formatCode>
                <c:ptCount val="28"/>
                <c:pt idx="0">
                  <c:v>59.826000000000001</c:v>
                </c:pt>
                <c:pt idx="1">
                  <c:v>58.347999999999999</c:v>
                </c:pt>
                <c:pt idx="2">
                  <c:v>57.192999999999998</c:v>
                </c:pt>
                <c:pt idx="3">
                  <c:v>56.433</c:v>
                </c:pt>
                <c:pt idx="4">
                  <c:v>55.533000000000001</c:v>
                </c:pt>
                <c:pt idx="5">
                  <c:v>55.667000000000002</c:v>
                </c:pt>
                <c:pt idx="6">
                  <c:v>54.948</c:v>
                </c:pt>
                <c:pt idx="7">
                  <c:v>54.311</c:v>
                </c:pt>
                <c:pt idx="8">
                  <c:v>54.09</c:v>
                </c:pt>
                <c:pt idx="9">
                  <c:v>53.343000000000004</c:v>
                </c:pt>
                <c:pt idx="10">
                  <c:v>53.393999999999998</c:v>
                </c:pt>
                <c:pt idx="11">
                  <c:v>53.975000000000001</c:v>
                </c:pt>
                <c:pt idx="12">
                  <c:v>55.003</c:v>
                </c:pt>
                <c:pt idx="13">
                  <c:v>55.814</c:v>
                </c:pt>
                <c:pt idx="14">
                  <c:v>55.923999999999999</c:v>
                </c:pt>
                <c:pt idx="15">
                  <c:v>56.058</c:v>
                </c:pt>
                <c:pt idx="16">
                  <c:v>55.898000000000003</c:v>
                </c:pt>
                <c:pt idx="17">
                  <c:v>56.399000000000001</c:v>
                </c:pt>
                <c:pt idx="18">
                  <c:v>56.600999999999999</c:v>
                </c:pt>
                <c:pt idx="19">
                  <c:v>56.238999999999997</c:v>
                </c:pt>
                <c:pt idx="20">
                  <c:v>57.314999999999998</c:v>
                </c:pt>
                <c:pt idx="21">
                  <c:v>58.3</c:v>
                </c:pt>
                <c:pt idx="22">
                  <c:v>59.442</c:v>
                </c:pt>
                <c:pt idx="23">
                  <c:v>59.539000000000001</c:v>
                </c:pt>
                <c:pt idx="24">
                  <c:v>59.676000000000002</c:v>
                </c:pt>
                <c:pt idx="25">
                  <c:v>60.235999999999997</c:v>
                </c:pt>
                <c:pt idx="26">
                  <c:v>60.680999999999997</c:v>
                </c:pt>
                <c:pt idx="27">
                  <c:v>61.470999999999997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5-40FC-BD3A-D1B6986B6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F0">
                  <a:alpha val="33000"/>
                </a:srgbClr>
              </a:solidFill>
              <a:round/>
            </a:ln>
            <a:effectLst/>
          </c:spPr>
        </c:dropLines>
        <c:smooth val="0"/>
        <c:axId val="-1185610608"/>
        <c:axId val="-1185613328"/>
      </c:lineChart>
      <c:catAx>
        <c:axId val="-118561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3328"/>
        <c:crosses val="autoZero"/>
        <c:auto val="1"/>
        <c:lblAlgn val="ctr"/>
        <c:lblOffset val="100"/>
        <c:noMultiLvlLbl val="0"/>
      </c:catAx>
      <c:valAx>
        <c:axId val="-118561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06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720472440945"/>
          <c:y val="9.4444444444444442E-2"/>
          <c:w val="0.78862029746281714"/>
          <c:h val="0.70961522801832821"/>
        </c:manualLayout>
      </c:layout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[4]GRAPH!$E$31:$E$56</c:f>
              <c:numCache>
                <c:formatCode>General</c:formatCode>
                <c:ptCount val="26"/>
                <c:pt idx="0">
                  <c:v>0</c:v>
                </c:pt>
                <c:pt idx="1">
                  <c:v>36.58351445654241</c:v>
                </c:pt>
                <c:pt idx="2">
                  <c:v>55.621748408287374</c:v>
                </c:pt>
                <c:pt idx="3">
                  <c:v>68.780815320697656</c:v>
                </c:pt>
                <c:pt idx="4">
                  <c:v>84.313458238126358</c:v>
                </c:pt>
                <c:pt idx="5">
                  <c:v>91.447197860347629</c:v>
                </c:pt>
                <c:pt idx="6">
                  <c:v>102.7609305778825</c:v>
                </c:pt>
                <c:pt idx="7">
                  <c:v>106.79726356708481</c:v>
                </c:pt>
                <c:pt idx="8">
                  <c:v>140.91691938315043</c:v>
                </c:pt>
                <c:pt idx="9">
                  <c:v>162.64381444436808</c:v>
                </c:pt>
                <c:pt idx="10">
                  <c:v>164.98407190871467</c:v>
                </c:pt>
                <c:pt idx="11">
                  <c:v>173.33429591761586</c:v>
                </c:pt>
                <c:pt idx="12">
                  <c:v>181.82912452091341</c:v>
                </c:pt>
                <c:pt idx="13">
                  <c:v>184.71567575027549</c:v>
                </c:pt>
                <c:pt idx="14">
                  <c:v>186.98973929398596</c:v>
                </c:pt>
                <c:pt idx="15">
                  <c:v>191.23510288268179</c:v>
                </c:pt>
                <c:pt idx="16">
                  <c:v>197.15919074509759</c:v>
                </c:pt>
                <c:pt idx="17">
                  <c:v>241.26627744302226</c:v>
                </c:pt>
                <c:pt idx="18">
                  <c:v>250.22244140991631</c:v>
                </c:pt>
                <c:pt idx="19">
                  <c:v>267.52844814166428</c:v>
                </c:pt>
                <c:pt idx="20">
                  <c:v>306.855595876839</c:v>
                </c:pt>
                <c:pt idx="21">
                  <c:v>324.65640091511682</c:v>
                </c:pt>
                <c:pt idx="22">
                  <c:v>330.70170793796132</c:v>
                </c:pt>
                <c:pt idx="23">
                  <c:v>332.93320810579263</c:v>
                </c:pt>
                <c:pt idx="24">
                  <c:v>339.62071421814466</c:v>
                </c:pt>
                <c:pt idx="25">
                  <c:v>348.53107638806887</c:v>
                </c:pt>
              </c:numCache>
            </c:numRef>
          </c:cat>
          <c:val>
            <c:numRef>
              <c:f>[4]GRAPH!$F$31:$F$56</c:f>
              <c:numCache>
                <c:formatCode>General</c:formatCode>
                <c:ptCount val="26"/>
                <c:pt idx="0">
                  <c:v>58.963000000000001</c:v>
                </c:pt>
                <c:pt idx="1">
                  <c:v>56.198999999999998</c:v>
                </c:pt>
                <c:pt idx="2">
                  <c:v>56.076999999999998</c:v>
                </c:pt>
                <c:pt idx="3">
                  <c:v>55.198</c:v>
                </c:pt>
                <c:pt idx="4">
                  <c:v>53.2</c:v>
                </c:pt>
                <c:pt idx="5">
                  <c:v>53.847000000000001</c:v>
                </c:pt>
                <c:pt idx="6">
                  <c:v>53.826999999999998</c:v>
                </c:pt>
                <c:pt idx="7">
                  <c:v>52.779000000000003</c:v>
                </c:pt>
                <c:pt idx="8">
                  <c:v>52.143999999999998</c:v>
                </c:pt>
                <c:pt idx="9">
                  <c:v>52.137</c:v>
                </c:pt>
                <c:pt idx="10">
                  <c:v>51.247</c:v>
                </c:pt>
                <c:pt idx="11">
                  <c:v>51.039000000000001</c:v>
                </c:pt>
                <c:pt idx="12">
                  <c:v>51.09</c:v>
                </c:pt>
                <c:pt idx="13">
                  <c:v>51.112000000000002</c:v>
                </c:pt>
                <c:pt idx="14">
                  <c:v>51.454000000000001</c:v>
                </c:pt>
                <c:pt idx="15">
                  <c:v>51.226999999999997</c:v>
                </c:pt>
                <c:pt idx="16">
                  <c:v>51.462000000000003</c:v>
                </c:pt>
                <c:pt idx="17">
                  <c:v>51.631999999999998</c:v>
                </c:pt>
                <c:pt idx="18">
                  <c:v>51.284999999999997</c:v>
                </c:pt>
                <c:pt idx="19">
                  <c:v>51.454000000000001</c:v>
                </c:pt>
                <c:pt idx="20">
                  <c:v>51.734000000000002</c:v>
                </c:pt>
                <c:pt idx="21">
                  <c:v>51.610999999999997</c:v>
                </c:pt>
                <c:pt idx="22">
                  <c:v>52.051000000000002</c:v>
                </c:pt>
                <c:pt idx="23">
                  <c:v>53.232999999999997</c:v>
                </c:pt>
                <c:pt idx="24">
                  <c:v>53.557000000000002</c:v>
                </c:pt>
                <c:pt idx="25">
                  <c:v>54.345999999999997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5-4DDF-9571-C74507257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F0">
                  <a:alpha val="33000"/>
                </a:srgbClr>
              </a:solidFill>
              <a:round/>
            </a:ln>
            <a:effectLst/>
          </c:spPr>
        </c:dropLines>
        <c:smooth val="0"/>
        <c:axId val="-1185603536"/>
        <c:axId val="-1185608432"/>
      </c:lineChart>
      <c:catAx>
        <c:axId val="-11856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8432"/>
        <c:crosses val="autoZero"/>
        <c:auto val="1"/>
        <c:lblAlgn val="ctr"/>
        <c:lblOffset val="100"/>
        <c:noMultiLvlLbl val="0"/>
      </c:catAx>
      <c:valAx>
        <c:axId val="-118560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3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[5]Dudhani!$E$2:$E$23</c:f>
              <c:numCache>
                <c:formatCode>General</c:formatCode>
                <c:ptCount val="22"/>
                <c:pt idx="0">
                  <c:v>0</c:v>
                </c:pt>
                <c:pt idx="1">
                  <c:v>3.8971941188757926</c:v>
                </c:pt>
                <c:pt idx="2">
                  <c:v>9.3122593999816878</c:v>
                </c:pt>
                <c:pt idx="3">
                  <c:v>16.665999740936073</c:v>
                </c:pt>
                <c:pt idx="4">
                  <c:v>25.298509514970853</c:v>
                </c:pt>
                <c:pt idx="5">
                  <c:v>48.197883065535038</c:v>
                </c:pt>
                <c:pt idx="6">
                  <c:v>69.168612237111091</c:v>
                </c:pt>
                <c:pt idx="7">
                  <c:v>72.488541905380728</c:v>
                </c:pt>
                <c:pt idx="8">
                  <c:v>75.713554773419375</c:v>
                </c:pt>
                <c:pt idx="9">
                  <c:v>81.404344261751362</c:v>
                </c:pt>
                <c:pt idx="10">
                  <c:v>83.862004327558466</c:v>
                </c:pt>
                <c:pt idx="11">
                  <c:v>85.922841536066571</c:v>
                </c:pt>
                <c:pt idx="12">
                  <c:v>106.42242162939723</c:v>
                </c:pt>
                <c:pt idx="13">
                  <c:v>126.42654860385319</c:v>
                </c:pt>
                <c:pt idx="14">
                  <c:v>132.78015616143941</c:v>
                </c:pt>
                <c:pt idx="15">
                  <c:v>137.60428478760616</c:v>
                </c:pt>
                <c:pt idx="16">
                  <c:v>148.54257610762616</c:v>
                </c:pt>
                <c:pt idx="17">
                  <c:v>170.8207328087677</c:v>
                </c:pt>
                <c:pt idx="18">
                  <c:v>195.46214607992982</c:v>
                </c:pt>
                <c:pt idx="19">
                  <c:v>200.37174993350777</c:v>
                </c:pt>
                <c:pt idx="20">
                  <c:v>206.19868480540586</c:v>
                </c:pt>
                <c:pt idx="21">
                  <c:v>216.65625182654233</c:v>
                </c:pt>
              </c:numCache>
            </c:numRef>
          </c:cat>
          <c:val>
            <c:numRef>
              <c:f>[5]Dudhani!$F$2:$F$23</c:f>
              <c:numCache>
                <c:formatCode>General</c:formatCode>
                <c:ptCount val="22"/>
                <c:pt idx="0">
                  <c:v>125.599</c:v>
                </c:pt>
                <c:pt idx="1">
                  <c:v>124.458</c:v>
                </c:pt>
                <c:pt idx="2">
                  <c:v>123.50700000000001</c:v>
                </c:pt>
                <c:pt idx="3">
                  <c:v>122.598</c:v>
                </c:pt>
                <c:pt idx="4">
                  <c:v>121.767</c:v>
                </c:pt>
                <c:pt idx="5">
                  <c:v>121.173</c:v>
                </c:pt>
                <c:pt idx="6">
                  <c:v>121.357</c:v>
                </c:pt>
                <c:pt idx="7">
                  <c:v>121.755</c:v>
                </c:pt>
                <c:pt idx="8">
                  <c:v>121.399</c:v>
                </c:pt>
                <c:pt idx="9">
                  <c:v>121.75700000000001</c:v>
                </c:pt>
                <c:pt idx="10">
                  <c:v>121.754</c:v>
                </c:pt>
                <c:pt idx="11">
                  <c:v>121.532</c:v>
                </c:pt>
                <c:pt idx="12">
                  <c:v>121.14400000000001</c:v>
                </c:pt>
                <c:pt idx="13">
                  <c:v>121.319</c:v>
                </c:pt>
                <c:pt idx="14">
                  <c:v>120.929</c:v>
                </c:pt>
                <c:pt idx="15">
                  <c:v>120.952</c:v>
                </c:pt>
                <c:pt idx="16">
                  <c:v>121.322</c:v>
                </c:pt>
                <c:pt idx="17">
                  <c:v>121.014</c:v>
                </c:pt>
                <c:pt idx="18">
                  <c:v>121.27</c:v>
                </c:pt>
                <c:pt idx="19">
                  <c:v>122.907</c:v>
                </c:pt>
                <c:pt idx="20">
                  <c:v>124.80200000000001</c:v>
                </c:pt>
                <c:pt idx="21">
                  <c:v>126.21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F-4E67-8E8A-96FAB825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85605712"/>
        <c:axId val="-1185604080"/>
      </c:lineChart>
      <c:catAx>
        <c:axId val="-11856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4080"/>
        <c:crosses val="autoZero"/>
        <c:auto val="1"/>
        <c:lblAlgn val="ctr"/>
        <c:lblOffset val="100"/>
        <c:noMultiLvlLbl val="0"/>
      </c:catAx>
      <c:valAx>
        <c:axId val="-118560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57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302944</xdr:colOff>
      <xdr:row>9</xdr:row>
      <xdr:rowOff>747</xdr:rowOff>
    </xdr:from>
    <xdr:to>
      <xdr:col>22</xdr:col>
      <xdr:colOff>603274</xdr:colOff>
      <xdr:row>24</xdr:row>
      <xdr:rowOff>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1399308</xdr:colOff>
      <xdr:row>14</xdr:row>
      <xdr:rowOff>34636</xdr:rowOff>
    </xdr:from>
    <xdr:to>
      <xdr:col>28</xdr:col>
      <xdr:colOff>55112</xdr:colOff>
      <xdr:row>19</xdr:row>
      <xdr:rowOff>29328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98290" y="2556163"/>
          <a:ext cx="2438095" cy="895238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0.45908</cdr:x>
      <cdr:y>0.90928</cdr:y>
    </cdr:from>
    <cdr:to>
      <cdr:x>0.62728</cdr:x>
      <cdr:y>1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2336800" y="2494349"/>
          <a:ext cx="856132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Distance (m)</a:t>
          </a:r>
        </a:p>
      </cdr:txBody>
    </cdr:sp>
  </cdr:relSizeAnchor>
  <cdr:relSizeAnchor xmlns:cdr="http://schemas.openxmlformats.org/drawingml/2006/chartDrawing">
    <cdr:from>
      <cdr:x>0.01447</cdr:x>
      <cdr:y>0.19907</cdr:y>
    </cdr:from>
    <cdr:to>
      <cdr:x>0.06336</cdr:x>
      <cdr:y>0.66541</cdr:y>
    </cdr:to>
    <cdr:sp macro="" textlink="">
      <cdr:nvSpPr>
        <cdr:cNvPr id="3" name="TextBox 5"/>
        <cdr:cNvSpPr txBox="1"/>
      </cdr:nvSpPr>
      <cdr:spPr>
        <a:xfrm xmlns:a="http://schemas.openxmlformats.org/drawingml/2006/main" rot="16200000">
          <a:off x="-441545" y="1061305"/>
          <a:ext cx="127926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in MSL (m)</a:t>
          </a:r>
        </a:p>
      </cdr:txBody>
    </cdr:sp>
  </cdr:relSizeAnchor>
  <cdr:relSizeAnchor xmlns:cdr="http://schemas.openxmlformats.org/drawingml/2006/chartDrawing">
    <cdr:from>
      <cdr:x>0.06986</cdr:x>
      <cdr:y>0.74352</cdr:y>
    </cdr:from>
    <cdr:to>
      <cdr:x>0.11049</cdr:x>
      <cdr:y>0.81551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355600" y="2039620"/>
          <a:ext cx="206828" cy="1974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rgbClr val="454545"/>
              </a:solidFill>
            </a:rPr>
            <a:t>0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418454</xdr:colOff>
      <xdr:row>5</xdr:row>
      <xdr:rowOff>153208</xdr:rowOff>
    </xdr:from>
    <xdr:to>
      <xdr:col>14</xdr:col>
      <xdr:colOff>495241</xdr:colOff>
      <xdr:row>22</xdr:row>
      <xdr:rowOff>64169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5728391" y="1075629"/>
          <a:ext cx="5338597" cy="3047193"/>
          <a:chOff x="5342899" y="882696"/>
          <a:chExt cx="5288867" cy="2735385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GraphicFramePr/>
        </xdr:nvGraphicFramePr>
        <xdr:xfrm>
          <a:off x="5342899" y="882696"/>
          <a:ext cx="5288867" cy="27353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flipV="1">
            <a:off x="8401755" y="2135690"/>
            <a:ext cx="1364177" cy="406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0.00531</cdr:x>
      <cdr:y>0.25185</cdr:y>
    </cdr:from>
    <cdr:to>
      <cdr:x>0.05257</cdr:x>
      <cdr:y>0.71819</cdr:y>
    </cdr:to>
    <cdr:sp macro="" textlink="">
      <cdr:nvSpPr>
        <cdr:cNvPr id="2" name="TextBox 5"/>
        <cdr:cNvSpPr txBox="1"/>
      </cdr:nvSpPr>
      <cdr:spPr>
        <a:xfrm xmlns:a="http://schemas.openxmlformats.org/drawingml/2006/main" rot="16200000">
          <a:off x="-487265" y="1206085"/>
          <a:ext cx="127926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in MSL (m)</a:t>
          </a:r>
        </a:p>
      </cdr:txBody>
    </cdr:sp>
  </cdr:relSizeAnchor>
  <cdr:relSizeAnchor xmlns:cdr="http://schemas.openxmlformats.org/drawingml/2006/chartDrawing">
    <cdr:from>
      <cdr:x>0.45393</cdr:x>
      <cdr:y>0.90928</cdr:y>
    </cdr:from>
    <cdr:to>
      <cdr:x>0.61653</cdr:x>
      <cdr:y>1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2390140" y="2494349"/>
          <a:ext cx="856132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Distance (m)</a:t>
          </a:r>
        </a:p>
      </cdr:txBody>
    </cdr:sp>
  </cdr:relSizeAnchor>
  <cdr:relSizeAnchor xmlns:cdr="http://schemas.openxmlformats.org/drawingml/2006/chartDrawing">
    <cdr:from>
      <cdr:x>0.04438</cdr:x>
      <cdr:y>0.77685</cdr:y>
    </cdr:from>
    <cdr:to>
      <cdr:x>0.08366</cdr:x>
      <cdr:y>0.84816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233680" y="2131060"/>
          <a:ext cx="206828" cy="19561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rgbClr val="454545"/>
              </a:solidFill>
            </a:rPr>
            <a:t>0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16</xdr:col>
      <xdr:colOff>274320</xdr:colOff>
      <xdr:row>21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5513294" y="896471"/>
          <a:ext cx="6116320" cy="2899185"/>
          <a:chOff x="5657028" y="953621"/>
          <a:chExt cx="4603526" cy="268941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GraphicFramePr/>
        </xdr:nvGraphicFramePr>
        <xdr:xfrm>
          <a:off x="5657028" y="953621"/>
          <a:ext cx="4603526" cy="26894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CxnSpPr/>
        </xdr:nvCxnSpPr>
        <xdr:spPr>
          <a:xfrm flipV="1">
            <a:off x="7374045" y="2446781"/>
            <a:ext cx="418265" cy="12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0.43927</cdr:x>
      <cdr:y>0.87083</cdr:y>
    </cdr:from>
    <cdr:to>
      <cdr:x>0.63727</cdr:x>
      <cdr:y>0.9875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11680" y="2388870"/>
          <a:ext cx="90678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000" b="1"/>
            <a:t>Distance (m) </a:t>
          </a:r>
        </a:p>
      </cdr:txBody>
    </cdr:sp>
  </cdr:relSizeAnchor>
  <cdr:relSizeAnchor xmlns:cdr="http://schemas.openxmlformats.org/drawingml/2006/chartDrawing">
    <cdr:from>
      <cdr:x>0.00194</cdr:x>
      <cdr:y>0.19028</cdr:y>
    </cdr:from>
    <cdr:to>
      <cdr:x>0.07182</cdr:x>
      <cdr:y>0.75417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604520" y="1135380"/>
          <a:ext cx="154686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above MSL(m) </a:t>
          </a:r>
        </a:p>
      </cdr:txBody>
    </cdr:sp>
  </cdr:relSizeAnchor>
  <cdr:relSizeAnchor xmlns:cdr="http://schemas.openxmlformats.org/drawingml/2006/chartDrawing">
    <cdr:from>
      <cdr:x>0.10869</cdr:x>
      <cdr:y>0.75013</cdr:y>
    </cdr:from>
    <cdr:to>
      <cdr:x>0.12289</cdr:x>
      <cdr:y>0.77151</cdr:y>
    </cdr:to>
    <cdr:grpSp>
      <cdr:nvGrpSpPr>
        <cdr:cNvPr id="12" name="Group 11">
          <a:extLst xmlns:a="http://schemas.openxmlformats.org/drawingml/2006/main">
            <a:ext uri="{FF2B5EF4-FFF2-40B4-BE49-F238E27FC236}">
              <a16:creationId xmlns:a16="http://schemas.microsoft.com/office/drawing/2014/main" id="{E7E420E1-EC43-F24A-A677-9B386251250B}"/>
            </a:ext>
          </a:extLst>
        </cdr:cNvPr>
        <cdr:cNvGrpSpPr/>
      </cdr:nvGrpSpPr>
      <cdr:grpSpPr>
        <a:xfrm xmlns:a="http://schemas.openxmlformats.org/drawingml/2006/main">
          <a:off x="664783" y="2174766"/>
          <a:ext cx="86852" cy="61984"/>
          <a:chOff x="498862" y="2062086"/>
          <a:chExt cx="65206" cy="58783"/>
        </a:xfrm>
      </cdr:grpSpPr>
      <cdr:cxnSp macro="">
        <cdr:nvCxnSpPr>
          <cdr:cNvPr id="5" name="Straight Connector 4">
            <a:extLst xmlns:a="http://schemas.openxmlformats.org/drawingml/2006/main">
              <a:ext uri="{FF2B5EF4-FFF2-40B4-BE49-F238E27FC236}">
                <a16:creationId xmlns:a16="http://schemas.microsoft.com/office/drawing/2014/main" id="{17EC696F-BBFF-2128-E663-A06BA4B001D7}"/>
              </a:ext>
            </a:extLst>
          </cdr:cNvPr>
          <cdr:cNvCxnSpPr/>
        </cdr:nvCxnSpPr>
        <cdr:spPr>
          <a:xfrm xmlns:a="http://schemas.openxmlformats.org/drawingml/2006/main" flipV="1">
            <a:off x="498862" y="2062086"/>
            <a:ext cx="65206" cy="17289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rgbClr val="646464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" name="Straight Connector 6">
            <a:extLst xmlns:a="http://schemas.openxmlformats.org/drawingml/2006/main">
              <a:ext uri="{FF2B5EF4-FFF2-40B4-BE49-F238E27FC236}">
                <a16:creationId xmlns:a16="http://schemas.microsoft.com/office/drawing/2014/main" id="{6801C9A5-0D38-1411-0C00-B95EC23C9988}"/>
              </a:ext>
            </a:extLst>
          </cdr:cNvPr>
          <cdr:cNvCxnSpPr/>
        </cdr:nvCxnSpPr>
        <cdr:spPr>
          <a:xfrm xmlns:a="http://schemas.openxmlformats.org/drawingml/2006/main" flipV="1">
            <a:off x="498862" y="2103580"/>
            <a:ext cx="65206" cy="17289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rgbClr val="646464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16</xdr:col>
      <xdr:colOff>328706</xdr:colOff>
      <xdr:row>19</xdr:row>
      <xdr:rowOff>129092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6111240" y="914400"/>
          <a:ext cx="5586506" cy="2689412"/>
          <a:chOff x="5717988" y="3944246"/>
          <a:chExt cx="4595906" cy="2689412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GrpSpPr/>
        </xdr:nvGrpSpPr>
        <xdr:grpSpPr>
          <a:xfrm>
            <a:off x="5717988" y="3944246"/>
            <a:ext cx="4595906" cy="2689412"/>
            <a:chOff x="5709856" y="4027652"/>
            <a:chExt cx="4582288" cy="2748988"/>
          </a:xfrm>
        </xdr:grpSpPr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GraphicFramePr/>
          </xdr:nvGraphicFramePr>
          <xdr:xfrm>
            <a:off x="5709856" y="4027652"/>
            <a:ext cx="4582288" cy="27489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GrpSpPr/>
          </xdr:nvGrpSpPr>
          <xdr:grpSpPr>
            <a:xfrm>
              <a:off x="6310715" y="6060559"/>
              <a:ext cx="99264" cy="78829"/>
              <a:chOff x="6310715" y="6060559"/>
              <a:chExt cx="99264" cy="78829"/>
            </a:xfrm>
          </xdr:grpSpPr>
          <xdr:cxnSp macro="">
            <xdr:nvCxnSpPr>
              <xdr:cNvPr id="7" name="Straight Connector 6">
                <a:extLst>
                  <a:ext uri="{FF2B5EF4-FFF2-40B4-BE49-F238E27FC236}">
                    <a16:creationId xmlns:a16="http://schemas.microsoft.com/office/drawing/2014/main" id="{00000000-0008-0000-0700-000007000000}"/>
                  </a:ext>
                </a:extLst>
              </xdr:cNvPr>
              <xdr:cNvCxnSpPr/>
            </xdr:nvCxnSpPr>
            <xdr:spPr>
              <a:xfrm flipV="1">
                <a:off x="6310715" y="6060559"/>
                <a:ext cx="90506" cy="40874"/>
              </a:xfrm>
              <a:prstGeom prst="line">
                <a:avLst/>
              </a:prstGeom>
              <a:ln>
                <a:solidFill>
                  <a:srgbClr val="646464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Straight Connector 7">
                <a:extLst>
                  <a:ext uri="{FF2B5EF4-FFF2-40B4-BE49-F238E27FC236}">
                    <a16:creationId xmlns:a16="http://schemas.microsoft.com/office/drawing/2014/main" id="{00000000-0008-0000-0700-000008000000}"/>
                  </a:ext>
                </a:extLst>
              </xdr:cNvPr>
              <xdr:cNvCxnSpPr/>
            </xdr:nvCxnSpPr>
            <xdr:spPr>
              <a:xfrm flipV="1">
                <a:off x="6316553" y="6095594"/>
                <a:ext cx="93426" cy="43794"/>
              </a:xfrm>
              <a:prstGeom prst="line">
                <a:avLst/>
              </a:prstGeom>
              <a:ln>
                <a:solidFill>
                  <a:srgbClr val="646464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CxnSpPr/>
        </xdr:nvCxnSpPr>
        <xdr:spPr>
          <a:xfrm>
            <a:off x="7773194" y="5318491"/>
            <a:ext cx="1049854" cy="1286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0.41195</cdr:x>
      <cdr:y>0.88714</cdr:y>
    </cdr:from>
    <cdr:to>
      <cdr:x>0.61514</cdr:x>
      <cdr:y>0.96389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83438" y="2433600"/>
          <a:ext cx="928966" cy="2105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000" b="1"/>
            <a:t>Distance</a:t>
          </a:r>
          <a:r>
            <a:rPr lang="en-IN" sz="1000" b="1" baseline="0"/>
            <a:t> (m)</a:t>
          </a:r>
          <a:endParaRPr lang="en-IN" sz="1000" b="1"/>
        </a:p>
      </cdr:txBody>
    </cdr:sp>
  </cdr:relSizeAnchor>
  <cdr:relSizeAnchor xmlns:cdr="http://schemas.openxmlformats.org/drawingml/2006/chartDrawing">
    <cdr:from>
      <cdr:x>0.02</cdr:x>
      <cdr:y>0.09269</cdr:y>
    </cdr:from>
    <cdr:to>
      <cdr:x>0.07202</cdr:x>
      <cdr:y>0.71214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639282" y="985001"/>
          <a:ext cx="1699260" cy="2378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000" b="1"/>
            <a:t>Elevation above MSL (m)</a:t>
          </a:r>
        </a:p>
      </cdr:txBody>
    </cdr:sp>
  </cdr:relSizeAnchor>
  <cdr:relSizeAnchor xmlns:cdr="http://schemas.openxmlformats.org/drawingml/2006/chartDrawing">
    <cdr:from>
      <cdr:x>0.08118</cdr:x>
      <cdr:y>0.76088</cdr:y>
    </cdr:from>
    <cdr:to>
      <cdr:x>0.12312</cdr:x>
      <cdr:y>0.83813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71168" y="2076025"/>
          <a:ext cx="191728" cy="21077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900" b="1">
              <a:solidFill>
                <a:srgbClr val="545454"/>
              </a:solidFill>
            </a:rPr>
            <a:t>0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906780</xdr:colOff>
      <xdr:row>3</xdr:row>
      <xdr:rowOff>60960</xdr:rowOff>
    </xdr:from>
    <xdr:to>
      <xdr:col>17</xdr:col>
      <xdr:colOff>449580</xdr:colOff>
      <xdr:row>18</xdr:row>
      <xdr:rowOff>60960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pSpPr/>
      </xdr:nvGrpSpPr>
      <xdr:grpSpPr>
        <a:xfrm>
          <a:off x="9204960" y="609600"/>
          <a:ext cx="4572000" cy="2743200"/>
          <a:chOff x="5501640" y="914400"/>
          <a:chExt cx="4572000" cy="2743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>
            <a:graphicFrameLocks/>
          </xdr:cNvGraphicFramePr>
        </xdr:nvGraphicFramePr>
        <xdr:xfrm>
          <a:off x="5501640" y="9144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CxnSpPr/>
        </xdr:nvCxnSpPr>
        <xdr:spPr>
          <a:xfrm>
            <a:off x="6736080" y="2545080"/>
            <a:ext cx="51816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CxnSpPr/>
        </xdr:nvCxnSpPr>
        <xdr:spPr>
          <a:xfrm>
            <a:off x="8374380" y="2621280"/>
            <a:ext cx="9144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279919</xdr:colOff>
      <xdr:row>18</xdr:row>
      <xdr:rowOff>55984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5897880" y="548640"/>
          <a:ext cx="6048259" cy="2799184"/>
          <a:chOff x="6369542" y="841699"/>
          <a:chExt cx="4547119" cy="279918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GraphicFramePr/>
        </xdr:nvGraphicFramePr>
        <xdr:xfrm>
          <a:off x="6369542" y="841699"/>
          <a:ext cx="4547119" cy="27991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CxnSpPr/>
        </xdr:nvCxnSpPr>
        <xdr:spPr>
          <a:xfrm>
            <a:off x="8446345" y="2506354"/>
            <a:ext cx="63095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CxnSpPr/>
        </xdr:nvCxnSpPr>
        <xdr:spPr>
          <a:xfrm>
            <a:off x="9455191" y="2353298"/>
            <a:ext cx="63095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392546</xdr:colOff>
      <xdr:row>12</xdr:row>
      <xdr:rowOff>73892</xdr:rowOff>
    </xdr:from>
    <xdr:to>
      <xdr:col>14</xdr:col>
      <xdr:colOff>387928</xdr:colOff>
      <xdr:row>12</xdr:row>
      <xdr:rowOff>80818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9063182" y="2290619"/>
          <a:ext cx="603443" cy="69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0.18982</cdr:x>
      <cdr:y>0.60283</cdr:y>
    </cdr:from>
    <cdr:to>
      <cdr:x>0.42291</cdr:x>
      <cdr:y>0.6076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73BC3CF-8E90-F356-2BAF-984919F72303}"/>
            </a:ext>
          </a:extLst>
        </cdr:cNvPr>
        <cdr:cNvCxnSpPr/>
      </cdr:nvCxnSpPr>
      <cdr:spPr>
        <a:xfrm xmlns:a="http://schemas.openxmlformats.org/drawingml/2006/main" flipV="1">
          <a:off x="867337" y="1648774"/>
          <a:ext cx="1065008" cy="1302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1</xdr:row>
      <xdr:rowOff>60960</xdr:rowOff>
    </xdr:from>
    <xdr:to>
      <xdr:col>16</xdr:col>
      <xdr:colOff>7620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170916</xdr:colOff>
      <xdr:row>6</xdr:row>
      <xdr:rowOff>85458</xdr:rowOff>
    </xdr:from>
    <xdr:to>
      <xdr:col>15</xdr:col>
      <xdr:colOff>192298</xdr:colOff>
      <xdr:row>21</xdr:row>
      <xdr:rowOff>78984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5035401" y="1193822"/>
          <a:ext cx="4862776" cy="2764435"/>
          <a:chOff x="7162800" y="754380"/>
          <a:chExt cx="4785662" cy="2770909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GraphicFramePr>
            <a:graphicFrameLocks/>
          </xdr:cNvGraphicFramePr>
        </xdr:nvGraphicFramePr>
        <xdr:xfrm>
          <a:off x="7162800" y="754380"/>
          <a:ext cx="4785662" cy="27709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CxnSpPr/>
        </xdr:nvCxnSpPr>
        <xdr:spPr>
          <a:xfrm flipV="1">
            <a:off x="10828020" y="2171700"/>
            <a:ext cx="594360" cy="76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9860280" y="2042160"/>
            <a:ext cx="57912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>
            <a:off x="8991600" y="2087880"/>
            <a:ext cx="32766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0.44872</cdr:x>
      <cdr:y>0.90835</cdr:y>
    </cdr:from>
    <cdr:to>
      <cdr:x>0.62642</cdr:x>
      <cdr:y>0.99994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2161915" y="2467964"/>
          <a:ext cx="856132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Distance (m)</a:t>
          </a:r>
        </a:p>
      </cdr:txBody>
    </cdr:sp>
  </cdr:relSizeAnchor>
  <cdr:relSizeAnchor xmlns:cdr="http://schemas.openxmlformats.org/drawingml/2006/chartDrawing">
    <cdr:from>
      <cdr:x>0</cdr:x>
      <cdr:y>0.28307</cdr:y>
    </cdr:from>
    <cdr:to>
      <cdr:x>0.05165</cdr:x>
      <cdr:y>0.75391</cdr:y>
    </cdr:to>
    <cdr:sp macro="" textlink="">
      <cdr:nvSpPr>
        <cdr:cNvPr id="3" name="TextBox 5"/>
        <cdr:cNvSpPr txBox="1"/>
      </cdr:nvSpPr>
      <cdr:spPr>
        <a:xfrm xmlns:a="http://schemas.openxmlformats.org/drawingml/2006/main" rot="16200000">
          <a:off x="-515205" y="1284284"/>
          <a:ext cx="127926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in MSL (m)</a:t>
          </a:r>
        </a:p>
      </cdr:txBody>
    </cdr:sp>
  </cdr:relSizeAnchor>
  <cdr:relSizeAnchor xmlns:cdr="http://schemas.openxmlformats.org/drawingml/2006/chartDrawing">
    <cdr:from>
      <cdr:x>0.03129</cdr:x>
      <cdr:y>0.76812</cdr:y>
    </cdr:from>
    <cdr:to>
      <cdr:x>0.07421</cdr:x>
      <cdr:y>0.8388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150735" y="2086964"/>
          <a:ext cx="206828" cy="19201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rgbClr val="454545"/>
              </a:solidFill>
            </a:rPr>
            <a:t>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7121</xdr:colOff>
      <xdr:row>2</xdr:row>
      <xdr:rowOff>64094</xdr:rowOff>
    </xdr:from>
    <xdr:to>
      <xdr:col>15</xdr:col>
      <xdr:colOff>260107</xdr:colOff>
      <xdr:row>17</xdr:row>
      <xdr:rowOff>91802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507906" y="434412"/>
          <a:ext cx="7182201" cy="2805091"/>
          <a:chOff x="6617531" y="-302492"/>
          <a:chExt cx="5129786" cy="2770908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aphicFramePr>
            <a:graphicFrameLocks/>
          </xdr:cNvGraphicFramePr>
        </xdr:nvGraphicFramePr>
        <xdr:xfrm>
          <a:off x="6617531" y="-302492"/>
          <a:ext cx="5129786" cy="27709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CxnSpPr/>
        </xdr:nvCxnSpPr>
        <xdr:spPr>
          <a:xfrm>
            <a:off x="8073375" y="1160546"/>
            <a:ext cx="1280160" cy="2286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0.42019</cdr:x>
      <cdr:y>0.90841</cdr:y>
    </cdr:from>
    <cdr:to>
      <cdr:x>0.58594</cdr:x>
      <cdr:y>1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2150188" y="2542806"/>
          <a:ext cx="848179" cy="2563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Distance (m)</a:t>
          </a:r>
        </a:p>
      </cdr:txBody>
    </cdr:sp>
  </cdr:relSizeAnchor>
  <cdr:relSizeAnchor xmlns:cdr="http://schemas.openxmlformats.org/drawingml/2006/chartDrawing">
    <cdr:from>
      <cdr:x>0.00993</cdr:x>
      <cdr:y>0.21815</cdr:y>
    </cdr:from>
    <cdr:to>
      <cdr:x>0.0581</cdr:x>
      <cdr:y>0.68899</cdr:y>
    </cdr:to>
    <cdr:sp macro="" textlink="">
      <cdr:nvSpPr>
        <cdr:cNvPr id="3" name="TextBox 5"/>
        <cdr:cNvSpPr txBox="1"/>
      </cdr:nvSpPr>
      <cdr:spPr>
        <a:xfrm xmlns:a="http://schemas.openxmlformats.org/drawingml/2006/main" rot="16200000">
          <a:off x="-484919" y="1146355"/>
          <a:ext cx="1317968" cy="2465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in MSL (m)</a:t>
          </a:r>
        </a:p>
      </cdr:txBody>
    </cdr:sp>
  </cdr:relSizeAnchor>
  <cdr:relSizeAnchor xmlns:cdr="http://schemas.openxmlformats.org/drawingml/2006/chartDrawing">
    <cdr:from>
      <cdr:x>0.04943</cdr:x>
      <cdr:y>0.8237</cdr:y>
    </cdr:from>
    <cdr:to>
      <cdr:x>0.08947</cdr:x>
      <cdr:y>0.89438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252964" y="2305698"/>
          <a:ext cx="204861" cy="19784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rgbClr val="454545"/>
              </a:solidFill>
            </a:rPr>
            <a:t>0</a:t>
          </a:r>
        </a:p>
      </cdr:txBody>
    </cdr:sp>
  </cdr:relSizeAnchor>
  <cdr:relSizeAnchor xmlns:cdr="http://schemas.openxmlformats.org/drawingml/2006/chartDrawing">
    <cdr:from>
      <cdr:x>0.08223</cdr:x>
      <cdr:y>0.77664</cdr:y>
    </cdr:from>
    <cdr:to>
      <cdr:x>0.11414</cdr:x>
      <cdr:y>0.80164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427D1DAB-FBC2-9296-F4B5-2805D708DEED}"/>
            </a:ext>
          </a:extLst>
        </cdr:cNvPr>
        <cdr:cNvCxnSpPr/>
      </cdr:nvCxnSpPr>
      <cdr:spPr>
        <a:xfrm xmlns:a="http://schemas.openxmlformats.org/drawingml/2006/main" flipV="1">
          <a:off x="420811" y="2173954"/>
          <a:ext cx="163286" cy="699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454545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0.08223</cdr:x>
      <cdr:y>0.80719</cdr:y>
    </cdr:from>
    <cdr:to>
      <cdr:x>0.11414</cdr:x>
      <cdr:y>0.83219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52D65DF6-04BD-8A9E-0A8C-9E499AA10C23}"/>
            </a:ext>
          </a:extLst>
        </cdr:cNvPr>
        <cdr:cNvCxnSpPr/>
      </cdr:nvCxnSpPr>
      <cdr:spPr>
        <a:xfrm xmlns:a="http://schemas.openxmlformats.org/drawingml/2006/main" flipV="1">
          <a:off x="420811" y="2259484"/>
          <a:ext cx="163286" cy="699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454545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205741</xdr:colOff>
      <xdr:row>0</xdr:row>
      <xdr:rowOff>15240</xdr:rowOff>
    </xdr:from>
    <xdr:to>
      <xdr:col>16</xdr:col>
      <xdr:colOff>533401</xdr:colOff>
      <xdr:row>17</xdr:row>
      <xdr:rowOff>152400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4076701" y="15240"/>
          <a:ext cx="7368540" cy="3246120"/>
          <a:chOff x="7739433" y="155434"/>
          <a:chExt cx="4508149" cy="275896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aphicFramePr>
            <a:graphicFrameLocks/>
          </xdr:cNvGraphicFramePr>
        </xdr:nvGraphicFramePr>
        <xdr:xfrm>
          <a:off x="7739433" y="155434"/>
          <a:ext cx="4508149" cy="27589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CxnSpPr/>
        </xdr:nvCxnSpPr>
        <xdr:spPr>
          <a:xfrm>
            <a:off x="9764213" y="1690987"/>
            <a:ext cx="578069" cy="375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CxnSpPr/>
        </xdr:nvCxnSpPr>
        <xdr:spPr>
          <a:xfrm>
            <a:off x="10210847" y="1564741"/>
            <a:ext cx="669658" cy="525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CxnSpPr/>
        </xdr:nvCxnSpPr>
        <xdr:spPr>
          <a:xfrm flipV="1">
            <a:off x="10800187" y="1353550"/>
            <a:ext cx="408400" cy="450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0.21296</cdr:y>
    </cdr:from>
    <cdr:to>
      <cdr:x>0.05507</cdr:x>
      <cdr:y>0.6793</cdr:y>
    </cdr:to>
    <cdr:sp macro="" textlink="">
      <cdr:nvSpPr>
        <cdr:cNvPr id="2" name="TextBox 5"/>
        <cdr:cNvSpPr txBox="1"/>
      </cdr:nvSpPr>
      <cdr:spPr>
        <a:xfrm xmlns:a="http://schemas.openxmlformats.org/drawingml/2006/main" rot="16200000">
          <a:off x="-515205" y="1099405"/>
          <a:ext cx="127926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in MSL (m)</a:t>
          </a:r>
        </a:p>
      </cdr:txBody>
    </cdr:sp>
  </cdr:relSizeAnchor>
  <cdr:relSizeAnchor xmlns:cdr="http://schemas.openxmlformats.org/drawingml/2006/chartDrawing">
    <cdr:from>
      <cdr:x>0.42945</cdr:x>
      <cdr:y>0.88241</cdr:y>
    </cdr:from>
    <cdr:to>
      <cdr:x>0.61892</cdr:x>
      <cdr:y>0.97312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1940560" y="2420620"/>
          <a:ext cx="856132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Distance (m)</a:t>
          </a:r>
        </a:p>
      </cdr:txBody>
    </cdr:sp>
  </cdr:relSizeAnchor>
  <cdr:relSizeAnchor xmlns:cdr="http://schemas.openxmlformats.org/drawingml/2006/chartDrawing">
    <cdr:from>
      <cdr:x>0.05003</cdr:x>
      <cdr:y>0.73796</cdr:y>
    </cdr:from>
    <cdr:to>
      <cdr:x>0.0958</cdr:x>
      <cdr:y>0.80996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226060" y="2024380"/>
          <a:ext cx="206828" cy="1974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rgbClr val="454545"/>
              </a:solidFill>
            </a:rPr>
            <a:t>0</a:t>
          </a:r>
        </a:p>
      </cdr:txBody>
    </cdr:sp>
  </cdr:relSizeAnchor>
  <cdr:relSizeAnchor xmlns:cdr="http://schemas.openxmlformats.org/drawingml/2006/chartDrawing">
    <cdr:from>
      <cdr:x>0.10455</cdr:x>
      <cdr:y>0.69306</cdr:y>
    </cdr:from>
    <cdr:to>
      <cdr:x>0.1231</cdr:x>
      <cdr:y>0.7125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0848FB36-51FE-CF2F-DE74-89EAA2C41265}"/>
            </a:ext>
          </a:extLst>
        </cdr:cNvPr>
        <cdr:cNvCxnSpPr/>
      </cdr:nvCxnSpPr>
      <cdr:spPr>
        <a:xfrm xmlns:a="http://schemas.openxmlformats.org/drawingml/2006/main" flipV="1">
          <a:off x="472440" y="1901190"/>
          <a:ext cx="83820" cy="533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595959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0.10455</cdr:x>
      <cdr:y>0.72083</cdr:y>
    </cdr:from>
    <cdr:to>
      <cdr:x>0.1231</cdr:x>
      <cdr:y>0.74028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A2FF19A0-CCC7-6657-9B16-DCD5DF563C4E}"/>
            </a:ext>
          </a:extLst>
        </cdr:cNvPr>
        <cdr:cNvCxnSpPr/>
      </cdr:nvCxnSpPr>
      <cdr:spPr>
        <a:xfrm xmlns:a="http://schemas.openxmlformats.org/drawingml/2006/main" flipV="1">
          <a:off x="472440" y="1977390"/>
          <a:ext cx="83820" cy="533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595959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387803</xdr:colOff>
      <xdr:row>3</xdr:row>
      <xdr:rowOff>129269</xdr:rowOff>
    </xdr:from>
    <xdr:to>
      <xdr:col>14</xdr:col>
      <xdr:colOff>587649</xdr:colOff>
      <xdr:row>18</xdr:row>
      <xdr:rowOff>145034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4850946" y="680358"/>
          <a:ext cx="5098417" cy="2771212"/>
          <a:chOff x="6805314" y="393014"/>
          <a:chExt cx="5076646" cy="275896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aphicFramePr>
            <a:graphicFrameLocks/>
          </xdr:cNvGraphicFramePr>
        </xdr:nvGraphicFramePr>
        <xdr:xfrm>
          <a:off x="6805314" y="393014"/>
          <a:ext cx="5076646" cy="27589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CxnSpPr/>
        </xdr:nvCxnSpPr>
        <xdr:spPr>
          <a:xfrm>
            <a:off x="8416531" y="1600854"/>
            <a:ext cx="1663027" cy="403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CxnSpPr/>
        </xdr:nvCxnSpPr>
        <xdr:spPr>
          <a:xfrm>
            <a:off x="10655402" y="1705125"/>
            <a:ext cx="32254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CxnSpPr/>
        </xdr:nvCxnSpPr>
        <xdr:spPr>
          <a:xfrm>
            <a:off x="11159370" y="1436527"/>
            <a:ext cx="305719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BIRBHUM%20SURVEY\Results\Day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BIRBHUM%20SURVEY\Results\Day-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BIRBHUM%20SURVEY\Results\Day-4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BIRBHUM%20SURVEY\Results\Day-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JHARKHAND\Result\Day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JHARKHAND\Result\DAY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-2"/>
      <sheetName val="Sheet1"/>
      <sheetName val="Sheet2"/>
      <sheetName val="DIGULI CS"/>
      <sheetName val="BENIAGRAM CS"/>
      <sheetName val="BANSKULI CS"/>
    </sheetNames>
    <sheetDataSet>
      <sheetData sheetId="0"/>
      <sheetData sheetId="1">
        <row r="52">
          <cell r="E52">
            <v>0</v>
          </cell>
          <cell r="F52">
            <v>84.001000000000005</v>
          </cell>
        </row>
        <row r="53">
          <cell r="E53">
            <v>15.704181354004762</v>
          </cell>
          <cell r="F53">
            <v>84.391000000000005</v>
          </cell>
        </row>
        <row r="54">
          <cell r="E54">
            <v>38.593603474237142</v>
          </cell>
          <cell r="F54">
            <v>83.131</v>
          </cell>
        </row>
        <row r="55">
          <cell r="E55">
            <v>62.584015267702789</v>
          </cell>
          <cell r="F55">
            <v>81.784999999999997</v>
          </cell>
        </row>
        <row r="56">
          <cell r="E56">
            <v>67.335399908005371</v>
          </cell>
          <cell r="F56">
            <v>82.106999999999999</v>
          </cell>
        </row>
        <row r="57">
          <cell r="E57">
            <v>73.855953948832081</v>
          </cell>
          <cell r="F57">
            <v>80.754000000000005</v>
          </cell>
        </row>
        <row r="58">
          <cell r="E58">
            <v>91.147348137765718</v>
          </cell>
          <cell r="F58">
            <v>81.647999999999996</v>
          </cell>
        </row>
        <row r="59">
          <cell r="E59">
            <v>98.306974454843285</v>
          </cell>
          <cell r="F59">
            <v>80.948999999999998</v>
          </cell>
        </row>
        <row r="60">
          <cell r="E60">
            <v>121.98857237373747</v>
          </cell>
          <cell r="F60">
            <v>81.709999999999994</v>
          </cell>
        </row>
        <row r="61">
          <cell r="E61">
            <v>131.03061307273899</v>
          </cell>
          <cell r="F61">
            <v>80.822999999999993</v>
          </cell>
        </row>
        <row r="62">
          <cell r="E62">
            <v>153.73800944490276</v>
          </cell>
          <cell r="F62">
            <v>81.227999999999994</v>
          </cell>
        </row>
        <row r="63">
          <cell r="E63">
            <v>180.52189613056203</v>
          </cell>
          <cell r="F63">
            <v>80.897000000000006</v>
          </cell>
        </row>
        <row r="64">
          <cell r="E64">
            <v>208.87116195887637</v>
          </cell>
          <cell r="F64">
            <v>80.691000000000003</v>
          </cell>
        </row>
        <row r="65">
          <cell r="E65">
            <v>211.46150131901018</v>
          </cell>
          <cell r="F65">
            <v>81.591999999999999</v>
          </cell>
        </row>
        <row r="66">
          <cell r="E66">
            <v>217.6030041481369</v>
          </cell>
          <cell r="F66">
            <v>81.760000000000005</v>
          </cell>
        </row>
        <row r="67">
          <cell r="E67">
            <v>228.28007570353154</v>
          </cell>
          <cell r="F67">
            <v>81.120999999999995</v>
          </cell>
        </row>
        <row r="68">
          <cell r="E68">
            <v>245.49869728022387</v>
          </cell>
          <cell r="F68">
            <v>80.222999999999999</v>
          </cell>
        </row>
        <row r="69">
          <cell r="E69">
            <v>253.14651036638782</v>
          </cell>
          <cell r="F69">
            <v>79.927000000000007</v>
          </cell>
        </row>
        <row r="70">
          <cell r="E70">
            <v>256.94660365443968</v>
          </cell>
          <cell r="F70">
            <v>80.221999999999994</v>
          </cell>
        </row>
        <row r="71">
          <cell r="E71">
            <v>265.52606103848194</v>
          </cell>
          <cell r="F71">
            <v>80.152000000000001</v>
          </cell>
        </row>
        <row r="72">
          <cell r="E72">
            <v>268.23862919431411</v>
          </cell>
          <cell r="F72">
            <v>80.891000000000005</v>
          </cell>
        </row>
        <row r="73">
          <cell r="E73">
            <v>275.68734049211537</v>
          </cell>
          <cell r="F73">
            <v>80.78</v>
          </cell>
        </row>
        <row r="74">
          <cell r="E74">
            <v>278.65127200281535</v>
          </cell>
          <cell r="F74">
            <v>81.926000000000002</v>
          </cell>
        </row>
        <row r="75">
          <cell r="E75">
            <v>289.88788167824833</v>
          </cell>
          <cell r="F75">
            <v>81.644000000000005</v>
          </cell>
        </row>
        <row r="76">
          <cell r="E76">
            <v>299.89071027844682</v>
          </cell>
          <cell r="F76">
            <v>80.903000000000006</v>
          </cell>
        </row>
        <row r="77">
          <cell r="E77">
            <v>335.33559573446541</v>
          </cell>
          <cell r="F77">
            <v>80.557000000000002</v>
          </cell>
        </row>
        <row r="78">
          <cell r="E78">
            <v>343.59386601353987</v>
          </cell>
          <cell r="F78">
            <v>80.594999999999999</v>
          </cell>
        </row>
        <row r="79">
          <cell r="E79">
            <v>354.06565349262956</v>
          </cell>
          <cell r="F79">
            <v>79.930999999999997</v>
          </cell>
        </row>
        <row r="80">
          <cell r="E80">
            <v>357.25515784260068</v>
          </cell>
          <cell r="F80">
            <v>79.947999999999993</v>
          </cell>
        </row>
        <row r="81">
          <cell r="E81">
            <v>370.401688335681</v>
          </cell>
          <cell r="F81">
            <v>80.367999999999995</v>
          </cell>
        </row>
        <row r="82">
          <cell r="E82">
            <v>385.35144452094653</v>
          </cell>
          <cell r="F82">
            <v>80.278999999999996</v>
          </cell>
        </row>
        <row r="83">
          <cell r="E83">
            <v>412.01963336081724</v>
          </cell>
          <cell r="F83">
            <v>80.468000000000004</v>
          </cell>
        </row>
        <row r="84">
          <cell r="E84">
            <v>429.68067763899325</v>
          </cell>
          <cell r="F84">
            <v>80.275999999999996</v>
          </cell>
        </row>
        <row r="85">
          <cell r="E85">
            <v>453.23861884801482</v>
          </cell>
          <cell r="F85">
            <v>80.921999999999997</v>
          </cell>
        </row>
        <row r="86">
          <cell r="E86">
            <v>464.06537279342024</v>
          </cell>
          <cell r="F86">
            <v>80.203999999999994</v>
          </cell>
        </row>
        <row r="87">
          <cell r="E87">
            <v>471.98131581998808</v>
          </cell>
          <cell r="F87">
            <v>79.837999999999994</v>
          </cell>
        </row>
        <row r="88">
          <cell r="E88">
            <v>475.06983164494835</v>
          </cell>
          <cell r="F88">
            <v>79.795000000000002</v>
          </cell>
        </row>
        <row r="89">
          <cell r="E89">
            <v>481.38926967385714</v>
          </cell>
          <cell r="F89">
            <v>80.388000000000005</v>
          </cell>
        </row>
        <row r="90">
          <cell r="E90">
            <v>486.50208690124248</v>
          </cell>
          <cell r="F90">
            <v>79.887</v>
          </cell>
        </row>
        <row r="91">
          <cell r="E91">
            <v>494.51570056789797</v>
          </cell>
          <cell r="F91">
            <v>79.510000000000005</v>
          </cell>
        </row>
        <row r="92">
          <cell r="E92">
            <v>506.74517610848875</v>
          </cell>
          <cell r="F92">
            <v>79.790000000000006</v>
          </cell>
        </row>
        <row r="93">
          <cell r="E93">
            <v>510.59366841075627</v>
          </cell>
          <cell r="F93">
            <v>79.427000000000007</v>
          </cell>
        </row>
        <row r="94">
          <cell r="E94">
            <v>516.53529815362049</v>
          </cell>
          <cell r="F94">
            <v>79.548000000000002</v>
          </cell>
        </row>
        <row r="95">
          <cell r="E95">
            <v>525.3420857631221</v>
          </cell>
          <cell r="F95">
            <v>79.713999999999999</v>
          </cell>
        </row>
        <row r="96">
          <cell r="E96">
            <v>535.02442602774431</v>
          </cell>
          <cell r="F96">
            <v>79.935000000000002</v>
          </cell>
        </row>
        <row r="97">
          <cell r="E97">
            <v>541.97759005572266</v>
          </cell>
          <cell r="F97">
            <v>81.445999999999998</v>
          </cell>
        </row>
        <row r="98">
          <cell r="E98">
            <v>546.71201568093727</v>
          </cell>
          <cell r="F98">
            <v>82.027000000000001</v>
          </cell>
        </row>
        <row r="99">
          <cell r="E99">
            <v>564.37900829418641</v>
          </cell>
          <cell r="F99">
            <v>83.108999999999995</v>
          </cell>
        </row>
        <row r="100">
          <cell r="E100">
            <v>585.23304878996998</v>
          </cell>
          <cell r="F100">
            <v>84.257999999999996</v>
          </cell>
        </row>
        <row r="102">
          <cell r="E102">
            <v>0</v>
          </cell>
          <cell r="F102">
            <v>90.504999999999995</v>
          </cell>
        </row>
        <row r="103">
          <cell r="E103">
            <v>14.917266572511934</v>
          </cell>
          <cell r="F103">
            <v>86.591999999999999</v>
          </cell>
        </row>
        <row r="104">
          <cell r="E104">
            <v>24.833408211616248</v>
          </cell>
          <cell r="F104">
            <v>85.885000000000005</v>
          </cell>
        </row>
        <row r="105">
          <cell r="E105">
            <v>53.913431681338892</v>
          </cell>
          <cell r="F105">
            <v>86.051000000000002</v>
          </cell>
        </row>
        <row r="106">
          <cell r="E106">
            <v>68.809981785109017</v>
          </cell>
          <cell r="F106">
            <v>86.289000000000001</v>
          </cell>
        </row>
        <row r="107">
          <cell r="E107">
            <v>104.38918526145397</v>
          </cell>
          <cell r="F107">
            <v>86.233000000000004</v>
          </cell>
        </row>
        <row r="108">
          <cell r="E108">
            <v>159.2802139729709</v>
          </cell>
          <cell r="F108">
            <v>87.236999999999995</v>
          </cell>
        </row>
        <row r="109">
          <cell r="E109">
            <v>187.94551515712774</v>
          </cell>
          <cell r="F109">
            <v>87.902000000000001</v>
          </cell>
        </row>
        <row r="110">
          <cell r="E110">
            <v>195.86909225367361</v>
          </cell>
          <cell r="F110">
            <v>90.894999999999996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-3"/>
      <sheetName val="Sheet1"/>
      <sheetName val="SAINTHIA"/>
      <sheetName val="PANJONA"/>
    </sheetNames>
    <sheetDataSet>
      <sheetData sheetId="0"/>
      <sheetData sheetId="1">
        <row r="2">
          <cell r="E2">
            <v>0</v>
          </cell>
          <cell r="F2">
            <v>37.430999999999997</v>
          </cell>
        </row>
        <row r="3">
          <cell r="E3">
            <v>18.094732327558951</v>
          </cell>
          <cell r="F3">
            <v>36.063000000000002</v>
          </cell>
        </row>
        <row r="4">
          <cell r="E4">
            <v>24.604926257018363</v>
          </cell>
          <cell r="F4">
            <v>35.32</v>
          </cell>
        </row>
        <row r="5">
          <cell r="E5">
            <v>64.068300225675387</v>
          </cell>
          <cell r="F5">
            <v>34.923000000000002</v>
          </cell>
        </row>
        <row r="6">
          <cell r="E6">
            <v>79.505728249856688</v>
          </cell>
          <cell r="F6">
            <v>34.738999999999997</v>
          </cell>
        </row>
        <row r="7">
          <cell r="E7">
            <v>102.41603756687373</v>
          </cell>
          <cell r="F7">
            <v>35.088000000000001</v>
          </cell>
        </row>
        <row r="8">
          <cell r="E8">
            <v>109.62625594080052</v>
          </cell>
          <cell r="F8">
            <v>34.868000000000002</v>
          </cell>
        </row>
        <row r="9">
          <cell r="E9">
            <v>116.44123158297248</v>
          </cell>
          <cell r="F9">
            <v>35.11</v>
          </cell>
        </row>
        <row r="10">
          <cell r="E10">
            <v>128.99012336643946</v>
          </cell>
          <cell r="F10">
            <v>34.444000000000003</v>
          </cell>
        </row>
        <row r="11">
          <cell r="E11">
            <v>132.23961640420035</v>
          </cell>
          <cell r="F11">
            <v>33.9</v>
          </cell>
        </row>
        <row r="12">
          <cell r="E12">
            <v>138.45434511882149</v>
          </cell>
          <cell r="F12">
            <v>33.734999999999999</v>
          </cell>
        </row>
        <row r="13">
          <cell r="E13">
            <v>142.00526683028355</v>
          </cell>
          <cell r="F13">
            <v>33.695999999999998</v>
          </cell>
        </row>
        <row r="14">
          <cell r="E14">
            <v>145.51691516135585</v>
          </cell>
          <cell r="F14">
            <v>33.630000000000003</v>
          </cell>
        </row>
        <row r="15">
          <cell r="E15">
            <v>147.20475994067925</v>
          </cell>
          <cell r="F15">
            <v>33.552999999999997</v>
          </cell>
        </row>
        <row r="16">
          <cell r="E16">
            <v>149.82610863954596</v>
          </cell>
          <cell r="F16">
            <v>33.783999999999999</v>
          </cell>
        </row>
        <row r="17">
          <cell r="E17">
            <v>153.36106832797734</v>
          </cell>
          <cell r="F17">
            <v>34.334000000000003</v>
          </cell>
        </row>
        <row r="18">
          <cell r="E18">
            <v>168.7707180970522</v>
          </cell>
          <cell r="F18">
            <v>34.363999999999997</v>
          </cell>
        </row>
        <row r="19">
          <cell r="E19">
            <v>172.10423410848264</v>
          </cell>
          <cell r="F19">
            <v>33.686</v>
          </cell>
        </row>
        <row r="20">
          <cell r="E20">
            <v>176.01575555181282</v>
          </cell>
          <cell r="F20">
            <v>33.9</v>
          </cell>
        </row>
        <row r="21">
          <cell r="E21">
            <v>180.2344342549774</v>
          </cell>
          <cell r="F21">
            <v>33.728000000000002</v>
          </cell>
        </row>
        <row r="22">
          <cell r="E22">
            <v>186.3749521484896</v>
          </cell>
          <cell r="F22">
            <v>33.597000000000001</v>
          </cell>
        </row>
        <row r="23">
          <cell r="E23">
            <v>189.19211188815052</v>
          </cell>
          <cell r="F23">
            <v>33.710999999999999</v>
          </cell>
        </row>
        <row r="24">
          <cell r="E24">
            <v>191.96227433815307</v>
          </cell>
          <cell r="F24">
            <v>33.606000000000002</v>
          </cell>
        </row>
        <row r="25">
          <cell r="E25">
            <v>195.68047457484226</v>
          </cell>
          <cell r="F25">
            <v>33.594000000000001</v>
          </cell>
        </row>
        <row r="26">
          <cell r="E26">
            <v>199.02934005448134</v>
          </cell>
          <cell r="F26">
            <v>34.298999999999999</v>
          </cell>
        </row>
        <row r="27">
          <cell r="E27">
            <v>203.01911222830043</v>
          </cell>
          <cell r="F27">
            <v>33.607999999999997</v>
          </cell>
        </row>
        <row r="28">
          <cell r="E28">
            <v>205.67074361314943</v>
          </cell>
          <cell r="F28">
            <v>33.597999999999999</v>
          </cell>
        </row>
        <row r="29">
          <cell r="E29">
            <v>208.7711572952534</v>
          </cell>
          <cell r="F29">
            <v>33.609000000000002</v>
          </cell>
        </row>
        <row r="30">
          <cell r="E30">
            <v>212.16189526788295</v>
          </cell>
          <cell r="F30">
            <v>33.732999999999997</v>
          </cell>
        </row>
        <row r="31">
          <cell r="E31">
            <v>215.1624818770326</v>
          </cell>
          <cell r="F31">
            <v>34.466999999999999</v>
          </cell>
        </row>
        <row r="32">
          <cell r="E32">
            <v>227.29683661890206</v>
          </cell>
          <cell r="F32">
            <v>34.773000000000003</v>
          </cell>
        </row>
        <row r="33">
          <cell r="E33">
            <v>243.84572691434283</v>
          </cell>
          <cell r="F33">
            <v>34.735999999999997</v>
          </cell>
        </row>
        <row r="34">
          <cell r="E34">
            <v>256.1807289003138</v>
          </cell>
          <cell r="F34">
            <v>35.893999999999998</v>
          </cell>
        </row>
        <row r="35">
          <cell r="E35">
            <v>270.08414204237579</v>
          </cell>
          <cell r="F35">
            <v>35.786000000000001</v>
          </cell>
        </row>
        <row r="36">
          <cell r="E36">
            <v>275.9569952673736</v>
          </cell>
          <cell r="F36">
            <v>36.182000000000002</v>
          </cell>
        </row>
        <row r="37">
          <cell r="E37">
            <v>287.04464064394051</v>
          </cell>
          <cell r="F37">
            <v>35.167000000000002</v>
          </cell>
        </row>
        <row r="38">
          <cell r="E38">
            <v>323.28710337751892</v>
          </cell>
          <cell r="F38">
            <v>35.637999999999998</v>
          </cell>
        </row>
        <row r="39">
          <cell r="E39">
            <v>337.78736809931871</v>
          </cell>
          <cell r="F39">
            <v>35.219000000000001</v>
          </cell>
        </row>
        <row r="40">
          <cell r="E40">
            <v>374.00879828912889</v>
          </cell>
          <cell r="F40">
            <v>35.475999999999999</v>
          </cell>
        </row>
        <row r="41">
          <cell r="E41">
            <v>395.21635849758684</v>
          </cell>
          <cell r="F41">
            <v>35.228999999999999</v>
          </cell>
        </row>
        <row r="42">
          <cell r="E42">
            <v>421.74547974224134</v>
          </cell>
          <cell r="F42">
            <v>35.954000000000001</v>
          </cell>
        </row>
        <row r="43">
          <cell r="E43">
            <v>427.42074889879552</v>
          </cell>
          <cell r="F43">
            <v>35.131</v>
          </cell>
        </row>
        <row r="44">
          <cell r="E44">
            <v>431.56790949373686</v>
          </cell>
          <cell r="F44">
            <v>35.780999999999999</v>
          </cell>
        </row>
        <row r="45">
          <cell r="E45">
            <v>438.40473126973109</v>
          </cell>
          <cell r="F45">
            <v>36.792000000000002</v>
          </cell>
        </row>
        <row r="46">
          <cell r="E46">
            <v>446.73767006715678</v>
          </cell>
          <cell r="F46">
            <v>38.636000000000003</v>
          </cell>
        </row>
        <row r="47">
          <cell r="E47">
            <v>455.12712231400695</v>
          </cell>
          <cell r="F47">
            <v>40.591000000000001</v>
          </cell>
        </row>
        <row r="49">
          <cell r="E49">
            <v>0</v>
          </cell>
          <cell r="F49">
            <v>31.609000000000002</v>
          </cell>
        </row>
        <row r="50">
          <cell r="E50">
            <v>3.6607082649548257</v>
          </cell>
          <cell r="F50">
            <v>31.597000000000001</v>
          </cell>
        </row>
        <row r="51">
          <cell r="E51">
            <v>5.159016978003379</v>
          </cell>
          <cell r="F51">
            <v>30.471</v>
          </cell>
        </row>
        <row r="52">
          <cell r="E52">
            <v>26.923162562015616</v>
          </cell>
          <cell r="F52">
            <v>30.518000000000001</v>
          </cell>
        </row>
        <row r="53">
          <cell r="E53">
            <v>28.768893040698334</v>
          </cell>
          <cell r="F53">
            <v>29.92</v>
          </cell>
        </row>
        <row r="54">
          <cell r="E54">
            <v>47.703405128526001</v>
          </cell>
          <cell r="F54">
            <v>30.225000000000001</v>
          </cell>
        </row>
        <row r="55">
          <cell r="E55">
            <v>50.255064392652891</v>
          </cell>
          <cell r="F55">
            <v>28.734000000000002</v>
          </cell>
        </row>
        <row r="56">
          <cell r="E56">
            <v>59.193952466442241</v>
          </cell>
          <cell r="F56">
            <v>27.207999999999998</v>
          </cell>
        </row>
        <row r="57">
          <cell r="E57">
            <v>69.444593909900306</v>
          </cell>
          <cell r="F57">
            <v>27.445</v>
          </cell>
        </row>
        <row r="58">
          <cell r="E58">
            <v>72.01186054953989</v>
          </cell>
          <cell r="F58">
            <v>27.97</v>
          </cell>
        </row>
        <row r="59">
          <cell r="E59">
            <v>75.967724298592572</v>
          </cell>
          <cell r="F59">
            <v>26.920999999999999</v>
          </cell>
        </row>
        <row r="60">
          <cell r="E60">
            <v>80.161863662160442</v>
          </cell>
          <cell r="F60">
            <v>26.943000000000001</v>
          </cell>
        </row>
        <row r="61">
          <cell r="E61">
            <v>82.35791124811746</v>
          </cell>
          <cell r="F61">
            <v>26.052</v>
          </cell>
        </row>
        <row r="62">
          <cell r="E62">
            <v>85.145814582348805</v>
          </cell>
          <cell r="F62">
            <v>25.971</v>
          </cell>
        </row>
        <row r="63">
          <cell r="E63">
            <v>87.417389586530476</v>
          </cell>
          <cell r="F63">
            <v>26.131</v>
          </cell>
        </row>
        <row r="64">
          <cell r="E64">
            <v>90.749218663562303</v>
          </cell>
          <cell r="F64">
            <v>26.11</v>
          </cell>
        </row>
        <row r="65">
          <cell r="E65">
            <v>92.1363902462531</v>
          </cell>
          <cell r="F65">
            <v>26.664000000000001</v>
          </cell>
        </row>
        <row r="66">
          <cell r="E66">
            <v>97.73372264691919</v>
          </cell>
          <cell r="F66">
            <v>26.347000000000001</v>
          </cell>
        </row>
        <row r="67">
          <cell r="E67">
            <v>103.38064862456623</v>
          </cell>
          <cell r="F67">
            <v>26.812999999999999</v>
          </cell>
        </row>
        <row r="68">
          <cell r="E68">
            <v>109.85240580514568</v>
          </cell>
          <cell r="F68">
            <v>26.446000000000002</v>
          </cell>
        </row>
        <row r="69">
          <cell r="E69">
            <v>112.18466586747378</v>
          </cell>
          <cell r="F69">
            <v>26.166</v>
          </cell>
        </row>
        <row r="70">
          <cell r="E70">
            <v>113.75081560503743</v>
          </cell>
          <cell r="F70">
            <v>26.05</v>
          </cell>
        </row>
        <row r="71">
          <cell r="E71">
            <v>114.83004681288368</v>
          </cell>
          <cell r="F71">
            <v>26.007000000000001</v>
          </cell>
        </row>
        <row r="72">
          <cell r="E72">
            <v>116.45801026471727</v>
          </cell>
          <cell r="F72">
            <v>26.137</v>
          </cell>
        </row>
        <row r="73">
          <cell r="E73">
            <v>117.49138967221577</v>
          </cell>
          <cell r="F73">
            <v>25.888000000000002</v>
          </cell>
        </row>
        <row r="74">
          <cell r="E74">
            <v>120.02286394602032</v>
          </cell>
          <cell r="F74">
            <v>26.251999999999999</v>
          </cell>
        </row>
        <row r="75">
          <cell r="E75">
            <v>121.38752690799319</v>
          </cell>
          <cell r="F75">
            <v>26.558</v>
          </cell>
        </row>
        <row r="76">
          <cell r="E76">
            <v>124.68973132321672</v>
          </cell>
          <cell r="F76">
            <v>26.553999999999998</v>
          </cell>
        </row>
        <row r="77">
          <cell r="E77">
            <v>126.38858770342124</v>
          </cell>
          <cell r="F77">
            <v>26.11</v>
          </cell>
        </row>
        <row r="78">
          <cell r="E78">
            <v>127.91732083904564</v>
          </cell>
          <cell r="F78">
            <v>26.577000000000002</v>
          </cell>
        </row>
        <row r="79">
          <cell r="E79">
            <v>149.89001885251707</v>
          </cell>
          <cell r="F79">
            <v>26.576000000000001</v>
          </cell>
        </row>
        <row r="80">
          <cell r="E80">
            <v>172.3683252169042</v>
          </cell>
          <cell r="F80">
            <v>26.001000000000001</v>
          </cell>
        </row>
        <row r="81">
          <cell r="E81">
            <v>177.09845555321951</v>
          </cell>
          <cell r="F81">
            <v>26.738</v>
          </cell>
        </row>
        <row r="82">
          <cell r="E82">
            <v>183.29923623015614</v>
          </cell>
          <cell r="F82">
            <v>26.428000000000001</v>
          </cell>
        </row>
        <row r="83">
          <cell r="E83">
            <v>183.36239476078191</v>
          </cell>
          <cell r="F83">
            <v>26.407</v>
          </cell>
        </row>
        <row r="84">
          <cell r="E84">
            <v>190.17555005044946</v>
          </cell>
          <cell r="F84">
            <v>27.337</v>
          </cell>
        </row>
        <row r="85">
          <cell r="E85">
            <v>196.02279051038403</v>
          </cell>
          <cell r="F85">
            <v>26.483000000000001</v>
          </cell>
        </row>
        <row r="86">
          <cell r="E86">
            <v>209.44133070663517</v>
          </cell>
          <cell r="F86">
            <v>25.878</v>
          </cell>
        </row>
        <row r="87">
          <cell r="E87">
            <v>215.70397248158332</v>
          </cell>
          <cell r="F87">
            <v>26.620999999999999</v>
          </cell>
        </row>
        <row r="88">
          <cell r="E88">
            <v>220.7081000778316</v>
          </cell>
          <cell r="F88">
            <v>25.922000000000001</v>
          </cell>
        </row>
        <row r="89">
          <cell r="E89">
            <v>222.00877720922841</v>
          </cell>
          <cell r="F89">
            <v>25.718</v>
          </cell>
        </row>
        <row r="90">
          <cell r="E90">
            <v>223.8430754401804</v>
          </cell>
          <cell r="F90">
            <v>25.597000000000001</v>
          </cell>
        </row>
        <row r="91">
          <cell r="E91">
            <v>225.84973460406147</v>
          </cell>
          <cell r="F91">
            <v>25.675000000000001</v>
          </cell>
        </row>
        <row r="92">
          <cell r="E92">
            <v>228.35503498526279</v>
          </cell>
          <cell r="F92">
            <v>26.053999999999998</v>
          </cell>
        </row>
        <row r="93">
          <cell r="E93">
            <v>243.27610900817075</v>
          </cell>
          <cell r="F93">
            <v>27.113</v>
          </cell>
        </row>
        <row r="94">
          <cell r="E94">
            <v>250.53161133397785</v>
          </cell>
          <cell r="F94">
            <v>27.846</v>
          </cell>
        </row>
        <row r="95">
          <cell r="E95">
            <v>260.67141927109816</v>
          </cell>
          <cell r="F95">
            <v>27.306000000000001</v>
          </cell>
        </row>
        <row r="96">
          <cell r="E96">
            <v>266.9804731621777</v>
          </cell>
          <cell r="F96">
            <v>26.873999999999999</v>
          </cell>
        </row>
        <row r="97">
          <cell r="E97">
            <v>282.64164329733961</v>
          </cell>
          <cell r="F97">
            <v>27.143999999999998</v>
          </cell>
        </row>
        <row r="98">
          <cell r="E98">
            <v>311.83149968629243</v>
          </cell>
          <cell r="F98">
            <v>27.988</v>
          </cell>
        </row>
        <row r="99">
          <cell r="E99">
            <v>341.64697125704754</v>
          </cell>
          <cell r="F99">
            <v>28.65</v>
          </cell>
        </row>
        <row r="100">
          <cell r="E100">
            <v>356.06894130297286</v>
          </cell>
          <cell r="F100">
            <v>30.991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-4"/>
      <sheetName val="SUNDARPUR CS"/>
    </sheetNames>
    <sheetDataSet>
      <sheetData sheetId="0"/>
      <sheetData sheetId="1">
        <row r="2">
          <cell r="E2">
            <v>0</v>
          </cell>
          <cell r="F2">
            <v>32.936</v>
          </cell>
        </row>
        <row r="3">
          <cell r="E3">
            <v>56.193112762917082</v>
          </cell>
          <cell r="F3">
            <v>30.003</v>
          </cell>
        </row>
        <row r="4">
          <cell r="E4">
            <v>147.42950559505542</v>
          </cell>
          <cell r="F4">
            <v>28.085000000000001</v>
          </cell>
        </row>
        <row r="5">
          <cell r="E5">
            <v>227.26443637714414</v>
          </cell>
          <cell r="F5">
            <v>27.974</v>
          </cell>
        </row>
        <row r="6">
          <cell r="E6">
            <v>306.65986203893169</v>
          </cell>
          <cell r="F6">
            <v>27.248000000000001</v>
          </cell>
        </row>
        <row r="7">
          <cell r="E7">
            <v>348.01510800592376</v>
          </cell>
          <cell r="F7">
            <v>27.452999999999999</v>
          </cell>
        </row>
        <row r="8">
          <cell r="E8">
            <v>361.68398667243292</v>
          </cell>
          <cell r="F8">
            <v>27.934999999999999</v>
          </cell>
        </row>
        <row r="9">
          <cell r="E9">
            <v>382.54935676284231</v>
          </cell>
          <cell r="F9">
            <v>25.991</v>
          </cell>
        </row>
        <row r="10">
          <cell r="E10">
            <v>386.01215346486543</v>
          </cell>
          <cell r="F10">
            <v>26.818999999999999</v>
          </cell>
        </row>
        <row r="11">
          <cell r="E11">
            <v>395.68824963002754</v>
          </cell>
          <cell r="F11">
            <v>27.117999999999999</v>
          </cell>
        </row>
        <row r="12">
          <cell r="E12">
            <v>421.75500502845568</v>
          </cell>
          <cell r="F12">
            <v>26.635000000000002</v>
          </cell>
        </row>
        <row r="13">
          <cell r="E13">
            <v>424.35661318482255</v>
          </cell>
          <cell r="F13">
            <v>25.809000000000001</v>
          </cell>
        </row>
        <row r="14">
          <cell r="E14">
            <v>429.22596067705791</v>
          </cell>
          <cell r="F14">
            <v>25.231999999999999</v>
          </cell>
        </row>
        <row r="15">
          <cell r="E15">
            <v>465.27250927776777</v>
          </cell>
          <cell r="F15">
            <v>23.567</v>
          </cell>
        </row>
        <row r="16">
          <cell r="E16">
            <v>469.06437662758003</v>
          </cell>
          <cell r="F16">
            <v>24.033000000000001</v>
          </cell>
        </row>
        <row r="17">
          <cell r="E17">
            <v>473.82945060405729</v>
          </cell>
          <cell r="F17">
            <v>26.138000000000002</v>
          </cell>
        </row>
        <row r="18">
          <cell r="E18">
            <v>476.94255532411046</v>
          </cell>
          <cell r="F18">
            <v>26.978999999999999</v>
          </cell>
        </row>
        <row r="19">
          <cell r="E19">
            <v>479.9387217082234</v>
          </cell>
          <cell r="F19">
            <v>27.774999999999999</v>
          </cell>
        </row>
        <row r="20">
          <cell r="E20">
            <v>482.12532866861471</v>
          </cell>
          <cell r="F20">
            <v>30.875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-1"/>
      <sheetName val="GRAPH"/>
      <sheetName val="Sheet2"/>
    </sheetNames>
    <sheetDataSet>
      <sheetData sheetId="0"/>
      <sheetData sheetId="1">
        <row r="1">
          <cell r="F1" t="str">
            <v>Elevation (m)</v>
          </cell>
        </row>
        <row r="2">
          <cell r="E2">
            <v>0</v>
          </cell>
          <cell r="F2">
            <v>59.826000000000001</v>
          </cell>
        </row>
        <row r="3">
          <cell r="E3">
            <v>3.4368015652746418</v>
          </cell>
          <cell r="F3">
            <v>58.347999999999999</v>
          </cell>
        </row>
        <row r="4">
          <cell r="E4">
            <v>12.659468695961994</v>
          </cell>
          <cell r="F4">
            <v>57.192999999999998</v>
          </cell>
        </row>
        <row r="5">
          <cell r="E5">
            <v>22.393324304006235</v>
          </cell>
          <cell r="F5">
            <v>56.433</v>
          </cell>
        </row>
        <row r="6">
          <cell r="E6">
            <v>37.074345555935764</v>
          </cell>
          <cell r="F6">
            <v>55.533000000000001</v>
          </cell>
        </row>
        <row r="7">
          <cell r="E7">
            <v>63.672362399260862</v>
          </cell>
          <cell r="F7">
            <v>55.667000000000002</v>
          </cell>
        </row>
        <row r="8">
          <cell r="E8">
            <v>77.051135511964404</v>
          </cell>
          <cell r="F8">
            <v>54.948</v>
          </cell>
        </row>
        <row r="9">
          <cell r="E9">
            <v>86.983395325544961</v>
          </cell>
          <cell r="F9">
            <v>54.311</v>
          </cell>
        </row>
        <row r="10">
          <cell r="E10">
            <v>93.180411139323098</v>
          </cell>
          <cell r="F10">
            <v>54.09</v>
          </cell>
        </row>
        <row r="11">
          <cell r="E11">
            <v>106.09483625236855</v>
          </cell>
          <cell r="F11">
            <v>53.343000000000004</v>
          </cell>
        </row>
        <row r="12">
          <cell r="E12">
            <v>148.32411785891432</v>
          </cell>
          <cell r="F12">
            <v>53.393999999999998</v>
          </cell>
        </row>
        <row r="13">
          <cell r="E13">
            <v>150.86710075319272</v>
          </cell>
          <cell r="F13">
            <v>53.975000000000001</v>
          </cell>
        </row>
        <row r="14">
          <cell r="E14">
            <v>155.13585994051741</v>
          </cell>
          <cell r="F14">
            <v>55.003</v>
          </cell>
        </row>
        <row r="15">
          <cell r="E15">
            <v>166.26895959858606</v>
          </cell>
          <cell r="F15">
            <v>55.814</v>
          </cell>
        </row>
        <row r="16">
          <cell r="E16">
            <v>176.07994578777507</v>
          </cell>
          <cell r="F16">
            <v>55.923999999999999</v>
          </cell>
        </row>
        <row r="17">
          <cell r="E17">
            <v>181.76978128634084</v>
          </cell>
          <cell r="F17">
            <v>56.058</v>
          </cell>
        </row>
        <row r="18">
          <cell r="E18">
            <v>184.9799241180483</v>
          </cell>
          <cell r="F18">
            <v>55.898000000000003</v>
          </cell>
        </row>
        <row r="19">
          <cell r="E19">
            <v>194.78899588833681</v>
          </cell>
          <cell r="F19">
            <v>56.399000000000001</v>
          </cell>
        </row>
        <row r="20">
          <cell r="E20">
            <v>206.35666756434864</v>
          </cell>
          <cell r="F20">
            <v>56.600999999999999</v>
          </cell>
        </row>
        <row r="21">
          <cell r="E21">
            <v>228.76344093770533</v>
          </cell>
          <cell r="F21">
            <v>56.238999999999997</v>
          </cell>
        </row>
        <row r="22">
          <cell r="E22">
            <v>242.87718346049635</v>
          </cell>
          <cell r="F22">
            <v>57.314999999999998</v>
          </cell>
        </row>
        <row r="23">
          <cell r="E23">
            <v>254.97706907946107</v>
          </cell>
          <cell r="F23">
            <v>58.3</v>
          </cell>
        </row>
        <row r="24">
          <cell r="E24">
            <v>269.88893029789949</v>
          </cell>
          <cell r="F24">
            <v>59.442</v>
          </cell>
        </row>
        <row r="25">
          <cell r="E25">
            <v>304.66657141990726</v>
          </cell>
          <cell r="F25">
            <v>59.539000000000001</v>
          </cell>
        </row>
        <row r="26">
          <cell r="E26">
            <v>338.14470341668488</v>
          </cell>
          <cell r="F26">
            <v>59.676000000000002</v>
          </cell>
        </row>
        <row r="27">
          <cell r="E27">
            <v>371.59917129502242</v>
          </cell>
          <cell r="F27">
            <v>60.235999999999997</v>
          </cell>
        </row>
        <row r="28">
          <cell r="E28">
            <v>377.49235388138692</v>
          </cell>
          <cell r="F28">
            <v>60.680999999999997</v>
          </cell>
        </row>
        <row r="29">
          <cell r="E29">
            <v>379.65602668500298</v>
          </cell>
          <cell r="F29">
            <v>61.470999999999997</v>
          </cell>
        </row>
        <row r="31">
          <cell r="E31">
            <v>0</v>
          </cell>
          <cell r="F31">
            <v>58.963000000000001</v>
          </cell>
        </row>
        <row r="32">
          <cell r="E32">
            <v>36.58351445654241</v>
          </cell>
          <cell r="F32">
            <v>56.198999999999998</v>
          </cell>
        </row>
        <row r="33">
          <cell r="E33">
            <v>55.621748408287374</v>
          </cell>
          <cell r="F33">
            <v>56.076999999999998</v>
          </cell>
        </row>
        <row r="34">
          <cell r="E34">
            <v>68.780815320697656</v>
          </cell>
          <cell r="F34">
            <v>55.198</v>
          </cell>
        </row>
        <row r="35">
          <cell r="E35">
            <v>84.313458238126358</v>
          </cell>
          <cell r="F35">
            <v>53.2</v>
          </cell>
        </row>
        <row r="36">
          <cell r="E36">
            <v>91.447197860347629</v>
          </cell>
          <cell r="F36">
            <v>53.847000000000001</v>
          </cell>
        </row>
        <row r="37">
          <cell r="E37">
            <v>102.7609305778825</v>
          </cell>
          <cell r="F37">
            <v>53.826999999999998</v>
          </cell>
        </row>
        <row r="38">
          <cell r="E38">
            <v>106.79726356708481</v>
          </cell>
          <cell r="F38">
            <v>52.779000000000003</v>
          </cell>
        </row>
        <row r="39">
          <cell r="E39">
            <v>140.91691938315043</v>
          </cell>
          <cell r="F39">
            <v>52.143999999999998</v>
          </cell>
        </row>
        <row r="40">
          <cell r="E40">
            <v>162.64381444436808</v>
          </cell>
          <cell r="F40">
            <v>52.137</v>
          </cell>
        </row>
        <row r="41">
          <cell r="E41">
            <v>164.98407190871467</v>
          </cell>
          <cell r="F41">
            <v>51.247</v>
          </cell>
        </row>
        <row r="42">
          <cell r="E42">
            <v>173.33429591761586</v>
          </cell>
          <cell r="F42">
            <v>51.039000000000001</v>
          </cell>
        </row>
        <row r="43">
          <cell r="E43">
            <v>181.82912452091341</v>
          </cell>
          <cell r="F43">
            <v>51.09</v>
          </cell>
        </row>
        <row r="44">
          <cell r="E44">
            <v>184.71567575027549</v>
          </cell>
          <cell r="F44">
            <v>51.112000000000002</v>
          </cell>
        </row>
        <row r="45">
          <cell r="E45">
            <v>186.98973929398596</v>
          </cell>
          <cell r="F45">
            <v>51.454000000000001</v>
          </cell>
        </row>
        <row r="46">
          <cell r="E46">
            <v>191.23510288268179</v>
          </cell>
          <cell r="F46">
            <v>51.226999999999997</v>
          </cell>
        </row>
        <row r="47">
          <cell r="E47">
            <v>197.15919074509759</v>
          </cell>
          <cell r="F47">
            <v>51.462000000000003</v>
          </cell>
        </row>
        <row r="48">
          <cell r="E48">
            <v>241.26627744302226</v>
          </cell>
          <cell r="F48">
            <v>51.631999999999998</v>
          </cell>
        </row>
        <row r="49">
          <cell r="E49">
            <v>250.22244140991631</v>
          </cell>
          <cell r="F49">
            <v>51.284999999999997</v>
          </cell>
        </row>
        <row r="50">
          <cell r="E50">
            <v>267.52844814166428</v>
          </cell>
          <cell r="F50">
            <v>51.454000000000001</v>
          </cell>
        </row>
        <row r="51">
          <cell r="E51">
            <v>306.855595876839</v>
          </cell>
          <cell r="F51">
            <v>51.734000000000002</v>
          </cell>
        </row>
        <row r="52">
          <cell r="E52">
            <v>324.65640091511682</v>
          </cell>
          <cell r="F52">
            <v>51.610999999999997</v>
          </cell>
        </row>
        <row r="53">
          <cell r="E53">
            <v>330.70170793796132</v>
          </cell>
          <cell r="F53">
            <v>52.051000000000002</v>
          </cell>
        </row>
        <row r="54">
          <cell r="E54">
            <v>332.93320810579263</v>
          </cell>
          <cell r="F54">
            <v>53.232999999999997</v>
          </cell>
        </row>
        <row r="55">
          <cell r="E55">
            <v>339.62071421814466</v>
          </cell>
          <cell r="F55">
            <v>53.557000000000002</v>
          </cell>
        </row>
        <row r="56">
          <cell r="E56">
            <v>348.53107638806887</v>
          </cell>
          <cell r="F56">
            <v>54.345999999999997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ordinate Day1"/>
      <sheetName val="Dudhani"/>
      <sheetName val="Maharo"/>
      <sheetName val="Poljori"/>
    </sheetNames>
    <sheetDataSet>
      <sheetData sheetId="0"/>
      <sheetData sheetId="1">
        <row r="2">
          <cell r="E2">
            <v>0</v>
          </cell>
          <cell r="F2">
            <v>125.599</v>
          </cell>
        </row>
        <row r="3">
          <cell r="E3">
            <v>3.8971941188757926</v>
          </cell>
          <cell r="F3">
            <v>124.458</v>
          </cell>
        </row>
        <row r="4">
          <cell r="E4">
            <v>9.3122593999816878</v>
          </cell>
          <cell r="F4">
            <v>123.50700000000001</v>
          </cell>
        </row>
        <row r="5">
          <cell r="E5">
            <v>16.665999740936073</v>
          </cell>
          <cell r="F5">
            <v>122.598</v>
          </cell>
        </row>
        <row r="6">
          <cell r="E6">
            <v>25.298509514970853</v>
          </cell>
          <cell r="F6">
            <v>121.767</v>
          </cell>
        </row>
        <row r="7">
          <cell r="E7">
            <v>48.197883065535038</v>
          </cell>
          <cell r="F7">
            <v>121.173</v>
          </cell>
        </row>
        <row r="8">
          <cell r="E8">
            <v>69.168612237111091</v>
          </cell>
          <cell r="F8">
            <v>121.357</v>
          </cell>
        </row>
        <row r="9">
          <cell r="E9">
            <v>72.488541905380728</v>
          </cell>
          <cell r="F9">
            <v>121.755</v>
          </cell>
        </row>
        <row r="10">
          <cell r="E10">
            <v>75.713554773419375</v>
          </cell>
          <cell r="F10">
            <v>121.399</v>
          </cell>
        </row>
        <row r="11">
          <cell r="E11">
            <v>81.404344261751362</v>
          </cell>
          <cell r="F11">
            <v>121.75700000000001</v>
          </cell>
        </row>
        <row r="12">
          <cell r="E12">
            <v>83.862004327558466</v>
          </cell>
          <cell r="F12">
            <v>121.754</v>
          </cell>
        </row>
        <row r="13">
          <cell r="E13">
            <v>85.922841536066571</v>
          </cell>
          <cell r="F13">
            <v>121.532</v>
          </cell>
        </row>
        <row r="14">
          <cell r="E14">
            <v>106.42242162939723</v>
          </cell>
          <cell r="F14">
            <v>121.14400000000001</v>
          </cell>
        </row>
        <row r="15">
          <cell r="E15">
            <v>126.42654860385319</v>
          </cell>
          <cell r="F15">
            <v>121.319</v>
          </cell>
        </row>
        <row r="16">
          <cell r="E16">
            <v>132.78015616143941</v>
          </cell>
          <cell r="F16">
            <v>120.929</v>
          </cell>
        </row>
        <row r="17">
          <cell r="E17">
            <v>137.60428478760616</v>
          </cell>
          <cell r="F17">
            <v>120.952</v>
          </cell>
        </row>
        <row r="18">
          <cell r="E18">
            <v>148.54257610762616</v>
          </cell>
          <cell r="F18">
            <v>121.322</v>
          </cell>
        </row>
        <row r="19">
          <cell r="E19">
            <v>170.8207328087677</v>
          </cell>
          <cell r="F19">
            <v>121.014</v>
          </cell>
        </row>
        <row r="20">
          <cell r="E20">
            <v>195.46214607992982</v>
          </cell>
          <cell r="F20">
            <v>121.27</v>
          </cell>
        </row>
        <row r="21">
          <cell r="E21">
            <v>200.37174993350777</v>
          </cell>
          <cell r="F21">
            <v>122.907</v>
          </cell>
        </row>
        <row r="22">
          <cell r="E22">
            <v>206.19868480540586</v>
          </cell>
          <cell r="F22">
            <v>124.80200000000001</v>
          </cell>
        </row>
        <row r="23">
          <cell r="E23">
            <v>216.65625182654233</v>
          </cell>
          <cell r="F23">
            <v>126.21</v>
          </cell>
        </row>
      </sheetData>
      <sheetData sheetId="2">
        <row r="3">
          <cell r="E3">
            <v>1.0440306748335492E-2</v>
          </cell>
          <cell r="F3">
            <v>132.255</v>
          </cell>
        </row>
        <row r="4">
          <cell r="E4">
            <v>8.3144131511065744</v>
          </cell>
          <cell r="F4">
            <v>132.25399999999999</v>
          </cell>
        </row>
        <row r="5">
          <cell r="E5">
            <v>12.272446122002719</v>
          </cell>
          <cell r="F5">
            <v>130.89699999999999</v>
          </cell>
        </row>
        <row r="6">
          <cell r="E6">
            <v>16.293394393143327</v>
          </cell>
          <cell r="F6">
            <v>130.43799999999999</v>
          </cell>
        </row>
        <row r="7">
          <cell r="E7">
            <v>18.337093490394299</v>
          </cell>
          <cell r="F7">
            <v>129.41200000000001</v>
          </cell>
        </row>
        <row r="8">
          <cell r="E8">
            <v>58.033531869696816</v>
          </cell>
          <cell r="F8">
            <v>128.84899999999999</v>
          </cell>
        </row>
        <row r="9">
          <cell r="E9">
            <v>63.111248876277585</v>
          </cell>
          <cell r="F9">
            <v>128.70400000000001</v>
          </cell>
        </row>
        <row r="10">
          <cell r="E10">
            <v>70.469100532829486</v>
          </cell>
          <cell r="F10">
            <v>128.87299999999999</v>
          </cell>
        </row>
        <row r="11">
          <cell r="E11">
            <v>110.65414265061258</v>
          </cell>
          <cell r="F11">
            <v>129.40799999999999</v>
          </cell>
        </row>
        <row r="12">
          <cell r="E12">
            <v>179.27770912735758</v>
          </cell>
          <cell r="F12">
            <v>129.29599999999999</v>
          </cell>
        </row>
        <row r="13">
          <cell r="E13">
            <v>225.29452875885693</v>
          </cell>
          <cell r="F13">
            <v>129.38999999999999</v>
          </cell>
        </row>
        <row r="14">
          <cell r="E14">
            <v>240.79362557123596</v>
          </cell>
          <cell r="F14">
            <v>129.60400000000001</v>
          </cell>
        </row>
        <row r="15">
          <cell r="E15">
            <v>246.5677801414075</v>
          </cell>
          <cell r="F15">
            <v>130.916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ordinate Day2"/>
      <sheetName val="Asanjor"/>
      <sheetName val="Amarpur1"/>
      <sheetName val="Amarpur2"/>
    </sheetNames>
    <sheetDataSet>
      <sheetData sheetId="0"/>
      <sheetData sheetId="1">
        <row r="2">
          <cell r="E2">
            <v>0</v>
          </cell>
          <cell r="F2">
            <v>139.36199999999999</v>
          </cell>
        </row>
        <row r="3">
          <cell r="E3">
            <v>1.4003570973425075</v>
          </cell>
          <cell r="F3">
            <v>139.36099999999999</v>
          </cell>
        </row>
        <row r="4">
          <cell r="E4">
            <v>4.0285385979882111</v>
          </cell>
          <cell r="F4">
            <v>138.01599999999999</v>
          </cell>
        </row>
        <row r="5">
          <cell r="E5">
            <v>10.020416600760907</v>
          </cell>
          <cell r="F5">
            <v>136.46799999999999</v>
          </cell>
        </row>
        <row r="6">
          <cell r="E6">
            <v>14.551714979800096</v>
          </cell>
          <cell r="F6">
            <v>135.43700000000001</v>
          </cell>
        </row>
        <row r="7">
          <cell r="E7">
            <v>31.224808544052742</v>
          </cell>
          <cell r="F7">
            <v>135.46700000000001</v>
          </cell>
        </row>
        <row r="8">
          <cell r="E8">
            <v>45.99421069849204</v>
          </cell>
          <cell r="F8">
            <v>134.94300000000001</v>
          </cell>
        </row>
        <row r="9">
          <cell r="E9">
            <v>67.791217947079005</v>
          </cell>
          <cell r="F9">
            <v>135.00800000000001</v>
          </cell>
        </row>
        <row r="10">
          <cell r="E10">
            <v>88.483794997943022</v>
          </cell>
          <cell r="F10">
            <v>134.88300000000001</v>
          </cell>
        </row>
        <row r="11">
          <cell r="E11">
            <v>104.60937920439618</v>
          </cell>
          <cell r="F11">
            <v>134.822</v>
          </cell>
        </row>
        <row r="12">
          <cell r="E12">
            <v>129.86633897797276</v>
          </cell>
          <cell r="F12">
            <v>134.91399999999999</v>
          </cell>
        </row>
        <row r="13">
          <cell r="E13">
            <v>139.8335245385164</v>
          </cell>
          <cell r="F13">
            <v>135.71899999999999</v>
          </cell>
        </row>
        <row r="14">
          <cell r="E14">
            <v>143.12906849966811</v>
          </cell>
          <cell r="F14">
            <v>136.911</v>
          </cell>
        </row>
        <row r="15">
          <cell r="E15">
            <v>146.82812148675518</v>
          </cell>
          <cell r="F15">
            <v>137.81200000000001</v>
          </cell>
        </row>
      </sheetData>
      <sheetData sheetId="2">
        <row r="3">
          <cell r="E3">
            <v>8.9805344982533203E-2</v>
          </cell>
          <cell r="F3">
            <v>151.47900000000001</v>
          </cell>
        </row>
        <row r="4">
          <cell r="E4">
            <v>3.665325726696675</v>
          </cell>
          <cell r="F4">
            <v>147.31399999999999</v>
          </cell>
        </row>
        <row r="5">
          <cell r="E5">
            <v>17.787770876251059</v>
          </cell>
          <cell r="F5">
            <v>147.191</v>
          </cell>
        </row>
        <row r="6">
          <cell r="E6">
            <v>36.882864303433365</v>
          </cell>
          <cell r="F6">
            <v>147.59200000000001</v>
          </cell>
        </row>
        <row r="7">
          <cell r="E7">
            <v>53.999191391990109</v>
          </cell>
          <cell r="F7">
            <v>148.59299999999999</v>
          </cell>
        </row>
        <row r="8">
          <cell r="E8">
            <v>57.110872609640708</v>
          </cell>
          <cell r="F8">
            <v>148.334</v>
          </cell>
        </row>
        <row r="9">
          <cell r="E9">
            <v>66.25303674059208</v>
          </cell>
          <cell r="F9">
            <v>148.078</v>
          </cell>
        </row>
        <row r="10">
          <cell r="E10">
            <v>76.944297891762389</v>
          </cell>
          <cell r="F10">
            <v>148.05500000000001</v>
          </cell>
        </row>
        <row r="11">
          <cell r="E11">
            <v>82.280762077009626</v>
          </cell>
          <cell r="F11">
            <v>149.10300000000001</v>
          </cell>
        </row>
        <row r="12">
          <cell r="E12">
            <v>85.797339532430684</v>
          </cell>
          <cell r="F12">
            <v>150.767</v>
          </cell>
        </row>
        <row r="13">
          <cell r="E13">
            <v>88.120652899029125</v>
          </cell>
          <cell r="F13">
            <v>151.28399999999999</v>
          </cell>
        </row>
      </sheetData>
      <sheetData sheetId="3">
        <row r="1">
          <cell r="F1" t="str">
            <v>Elevation</v>
          </cell>
        </row>
        <row r="2">
          <cell r="E2">
            <v>0</v>
          </cell>
          <cell r="F2">
            <v>154.79400000000001</v>
          </cell>
        </row>
        <row r="3">
          <cell r="E3">
            <v>5.5674073857535964</v>
          </cell>
          <cell r="F3">
            <v>153.30099999999999</v>
          </cell>
        </row>
        <row r="4">
          <cell r="E4">
            <v>12.841125692040263</v>
          </cell>
          <cell r="F4">
            <v>151.38800000000001</v>
          </cell>
        </row>
        <row r="5">
          <cell r="E5">
            <v>19.860929820463497</v>
          </cell>
          <cell r="F5">
            <v>149.358</v>
          </cell>
        </row>
        <row r="6">
          <cell r="E6">
            <v>22.368654885190526</v>
          </cell>
          <cell r="F6">
            <v>148.25399999999999</v>
          </cell>
        </row>
        <row r="7">
          <cell r="E7">
            <v>39.385796977596883</v>
          </cell>
          <cell r="F7">
            <v>148.26</v>
          </cell>
        </row>
        <row r="8">
          <cell r="E8">
            <v>65.623363880632922</v>
          </cell>
          <cell r="F8">
            <v>148.59200000000001</v>
          </cell>
        </row>
        <row r="9">
          <cell r="E9">
            <v>95.367642557656296</v>
          </cell>
          <cell r="F9">
            <v>148.815</v>
          </cell>
        </row>
        <row r="10">
          <cell r="E10">
            <v>97.618699420252128</v>
          </cell>
          <cell r="F10">
            <v>148.38200000000001</v>
          </cell>
        </row>
        <row r="11">
          <cell r="E11">
            <v>101.4229877902789</v>
          </cell>
          <cell r="F11">
            <v>149.19</v>
          </cell>
        </row>
        <row r="12">
          <cell r="E12">
            <v>110.05334780564498</v>
          </cell>
          <cell r="F12">
            <v>150.637</v>
          </cell>
        </row>
        <row r="13">
          <cell r="E13">
            <v>113.42873193202624</v>
          </cell>
          <cell r="F13">
            <v>152.75299999999999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2"/>
  <sheetViews>
    <sheetView topLeftCell="K23" zoomScale="98" zoomScaleNormal="98" workbookViewId="0">
      <selection activeCell="T52" sqref="T52"/>
    </sheetView>
  </sheetViews>
  <sheetFormatPr defaultRowHeight="14.4" x14ac:dyDescent="0.3"/>
  <cols>
    <col min="14" max="14" width="11.109375" bestFit="1" customWidth="1"/>
    <col min="15" max="15" width="15.44140625" bestFit="1" customWidth="1"/>
    <col min="17" max="17" width="8.109375" bestFit="1" customWidth="1"/>
    <col min="18" max="18" width="9.6640625" bestFit="1" customWidth="1"/>
    <col min="21" max="21" width="16.5546875" bestFit="1" customWidth="1"/>
    <col min="23" max="23" width="20.109375" bestFit="1" customWidth="1"/>
    <col min="24" max="24" width="19.21875" bestFit="1" customWidth="1"/>
    <col min="25" max="25" width="24" bestFit="1" customWidth="1"/>
    <col min="27" max="27" width="11.77734375" bestFit="1" customWidth="1"/>
    <col min="28" max="28" width="10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56</v>
      </c>
      <c r="B2">
        <v>2652852.537</v>
      </c>
      <c r="C2">
        <v>545480.97100000002</v>
      </c>
      <c r="D2">
        <v>0</v>
      </c>
      <c r="E2">
        <v>0</v>
      </c>
      <c r="F2">
        <v>74.564999999999998</v>
      </c>
    </row>
    <row r="3" spans="1:6" x14ac:dyDescent="0.3">
      <c r="A3">
        <v>57</v>
      </c>
      <c r="B3">
        <v>2652854.1370000001</v>
      </c>
      <c r="C3">
        <v>545481.61199999996</v>
      </c>
      <c r="D3">
        <f>SQRT((C3-C2)^2+(B3-B2)^2)</f>
        <v>1.7236243790999186</v>
      </c>
      <c r="E3" s="1">
        <f>E2+D3</f>
        <v>1.7236243790999186</v>
      </c>
      <c r="F3">
        <v>73.978999999999999</v>
      </c>
    </row>
    <row r="4" spans="1:6" x14ac:dyDescent="0.3">
      <c r="A4">
        <v>58</v>
      </c>
      <c r="B4">
        <v>2652855.801</v>
      </c>
      <c r="C4">
        <v>545482.52300000004</v>
      </c>
      <c r="D4">
        <f t="shared" ref="D4:D50" si="0">SQRT((C4-C3)^2+(B4-B3)^2)</f>
        <v>1.897054822540563</v>
      </c>
      <c r="E4" s="1">
        <f>E3+D4</f>
        <v>3.6206792016404816</v>
      </c>
      <c r="F4">
        <v>73.161000000000001</v>
      </c>
    </row>
    <row r="5" spans="1:6" x14ac:dyDescent="0.3">
      <c r="A5">
        <v>59</v>
      </c>
      <c r="B5">
        <v>2652858.3560000001</v>
      </c>
      <c r="C5">
        <v>545483.21799999999</v>
      </c>
      <c r="D5">
        <f t="shared" si="0"/>
        <v>2.6478387414616908</v>
      </c>
      <c r="E5" s="1">
        <f t="shared" ref="E5:E50" si="1">E4+D5</f>
        <v>6.2685179431021725</v>
      </c>
      <c r="F5">
        <v>71.924000000000007</v>
      </c>
    </row>
    <row r="6" spans="1:6" x14ac:dyDescent="0.3">
      <c r="A6">
        <v>60</v>
      </c>
      <c r="B6">
        <v>2652863.7379999999</v>
      </c>
      <c r="C6">
        <v>545485.14899999998</v>
      </c>
      <c r="D6">
        <f t="shared" si="0"/>
        <v>5.7179266344755622</v>
      </c>
      <c r="E6" s="1">
        <f t="shared" si="1"/>
        <v>11.986444577577736</v>
      </c>
      <c r="F6">
        <v>70.471999999999994</v>
      </c>
    </row>
    <row r="7" spans="1:6" x14ac:dyDescent="0.3">
      <c r="A7">
        <v>61</v>
      </c>
      <c r="B7">
        <v>2652874.9610000001</v>
      </c>
      <c r="C7">
        <v>545489.63699999999</v>
      </c>
      <c r="D7">
        <f t="shared" si="0"/>
        <v>12.087095308852868</v>
      </c>
      <c r="E7" s="1">
        <f t="shared" si="1"/>
        <v>24.073539886430602</v>
      </c>
      <c r="F7">
        <v>70.093999999999994</v>
      </c>
    </row>
    <row r="8" spans="1:6" x14ac:dyDescent="0.3">
      <c r="A8">
        <v>62</v>
      </c>
      <c r="B8">
        <v>2652877.6719999998</v>
      </c>
      <c r="C8">
        <v>545491.26699999999</v>
      </c>
      <c r="D8">
        <f t="shared" si="0"/>
        <v>3.1632927462024623</v>
      </c>
      <c r="E8" s="1">
        <f t="shared" si="1"/>
        <v>27.236832632633064</v>
      </c>
      <c r="F8">
        <v>69.875</v>
      </c>
    </row>
    <row r="9" spans="1:6" x14ac:dyDescent="0.3">
      <c r="A9">
        <v>63</v>
      </c>
      <c r="B9">
        <v>2652880.3709999998</v>
      </c>
      <c r="C9">
        <v>545492.49100000004</v>
      </c>
      <c r="D9">
        <f t="shared" si="0"/>
        <v>2.9635750370510898</v>
      </c>
      <c r="E9" s="1">
        <f t="shared" si="1"/>
        <v>30.200407669684154</v>
      </c>
      <c r="F9">
        <v>69.08</v>
      </c>
    </row>
    <row r="10" spans="1:6" x14ac:dyDescent="0.3">
      <c r="A10">
        <v>64</v>
      </c>
      <c r="B10">
        <v>2652884.9360000002</v>
      </c>
      <c r="C10">
        <v>545494.12699999998</v>
      </c>
      <c r="D10">
        <f t="shared" si="0"/>
        <v>4.8493010840270871</v>
      </c>
      <c r="E10" s="1">
        <f t="shared" si="1"/>
        <v>35.049708753711244</v>
      </c>
      <c r="F10">
        <v>69.001999999999995</v>
      </c>
    </row>
    <row r="11" spans="1:6" x14ac:dyDescent="0.3">
      <c r="A11">
        <v>65</v>
      </c>
      <c r="B11">
        <v>2652890.9109999998</v>
      </c>
      <c r="C11">
        <v>545496.57799999998</v>
      </c>
      <c r="D11">
        <f t="shared" si="0"/>
        <v>6.4581751289007983</v>
      </c>
      <c r="E11" s="1">
        <f t="shared" si="1"/>
        <v>41.507883882612042</v>
      </c>
      <c r="F11">
        <v>69.188000000000002</v>
      </c>
    </row>
    <row r="12" spans="1:6" x14ac:dyDescent="0.3">
      <c r="A12">
        <v>66</v>
      </c>
      <c r="B12">
        <v>2652892.253</v>
      </c>
      <c r="C12">
        <v>545496.93200000003</v>
      </c>
      <c r="D12">
        <f t="shared" si="0"/>
        <v>1.3879048960629625</v>
      </c>
      <c r="E12" s="1">
        <f t="shared" si="1"/>
        <v>42.895788778675005</v>
      </c>
      <c r="F12">
        <v>68.759</v>
      </c>
    </row>
    <row r="13" spans="1:6" x14ac:dyDescent="0.3">
      <c r="A13">
        <v>67</v>
      </c>
      <c r="B13">
        <v>2652894.6639999999</v>
      </c>
      <c r="C13">
        <v>545497.58400000003</v>
      </c>
      <c r="D13">
        <f t="shared" si="0"/>
        <v>2.497603851547705</v>
      </c>
      <c r="E13" s="1">
        <f t="shared" si="1"/>
        <v>45.393392630222706</v>
      </c>
      <c r="F13">
        <v>68.739999999999995</v>
      </c>
    </row>
    <row r="14" spans="1:6" x14ac:dyDescent="0.3">
      <c r="A14">
        <v>68</v>
      </c>
      <c r="B14">
        <v>2652897.5980000002</v>
      </c>
      <c r="C14">
        <v>545499.22900000005</v>
      </c>
      <c r="D14">
        <f t="shared" si="0"/>
        <v>3.3636856277244225</v>
      </c>
      <c r="E14" s="1">
        <f t="shared" si="1"/>
        <v>48.757078257947128</v>
      </c>
      <c r="F14">
        <v>68.757999999999996</v>
      </c>
    </row>
    <row r="15" spans="1:6" x14ac:dyDescent="0.3">
      <c r="A15">
        <v>69</v>
      </c>
      <c r="B15">
        <v>2652903.6490000002</v>
      </c>
      <c r="C15">
        <v>545502.95799999998</v>
      </c>
      <c r="D15">
        <f t="shared" si="0"/>
        <v>7.1077452120371012</v>
      </c>
      <c r="E15" s="1">
        <f t="shared" si="1"/>
        <v>55.864823469984231</v>
      </c>
      <c r="F15">
        <v>68.590999999999994</v>
      </c>
    </row>
    <row r="16" spans="1:6" x14ac:dyDescent="0.3">
      <c r="A16">
        <v>70</v>
      </c>
      <c r="B16">
        <v>2652905.9190000002</v>
      </c>
      <c r="C16">
        <v>545504.63399999996</v>
      </c>
      <c r="D16">
        <f t="shared" si="0"/>
        <v>2.8216796416336214</v>
      </c>
      <c r="E16" s="1">
        <f t="shared" si="1"/>
        <v>58.686503111617853</v>
      </c>
      <c r="F16">
        <v>68.959000000000003</v>
      </c>
    </row>
    <row r="17" spans="1:30" x14ac:dyDescent="0.3">
      <c r="A17">
        <v>71</v>
      </c>
      <c r="B17">
        <v>2652914.4190000002</v>
      </c>
      <c r="C17">
        <v>545510.17599999998</v>
      </c>
      <c r="D17">
        <f t="shared" si="0"/>
        <v>10.147106188474401</v>
      </c>
      <c r="E17" s="1">
        <f t="shared" si="1"/>
        <v>68.833609300092249</v>
      </c>
      <c r="F17">
        <v>68.974000000000004</v>
      </c>
    </row>
    <row r="18" spans="1:30" x14ac:dyDescent="0.3">
      <c r="A18">
        <v>72</v>
      </c>
      <c r="B18">
        <v>2652917.0690000001</v>
      </c>
      <c r="C18">
        <v>545512.67599999998</v>
      </c>
      <c r="D18">
        <f t="shared" si="0"/>
        <v>3.6431442463216301</v>
      </c>
      <c r="E18" s="1">
        <f t="shared" si="1"/>
        <v>72.476753546413875</v>
      </c>
      <c r="F18">
        <v>69.162000000000006</v>
      </c>
    </row>
    <row r="19" spans="1:30" x14ac:dyDescent="0.3">
      <c r="A19">
        <v>73</v>
      </c>
      <c r="B19">
        <v>2652926.9530000002</v>
      </c>
      <c r="C19">
        <v>545519.11</v>
      </c>
      <c r="D19">
        <f t="shared" si="0"/>
        <v>11.793634384771062</v>
      </c>
      <c r="E19" s="1">
        <f t="shared" si="1"/>
        <v>84.270387931184942</v>
      </c>
      <c r="F19">
        <v>69.203999999999994</v>
      </c>
    </row>
    <row r="20" spans="1:30" x14ac:dyDescent="0.3">
      <c r="A20">
        <v>74</v>
      </c>
      <c r="B20">
        <v>2652956.5359999998</v>
      </c>
      <c r="C20">
        <v>545532.17299999995</v>
      </c>
      <c r="D20">
        <f t="shared" si="0"/>
        <v>32.33876710663997</v>
      </c>
      <c r="E20" s="1">
        <f t="shared" si="1"/>
        <v>116.60915503782491</v>
      </c>
      <c r="F20">
        <v>69.094999999999999</v>
      </c>
    </row>
    <row r="21" spans="1:30" x14ac:dyDescent="0.3">
      <c r="A21">
        <v>75</v>
      </c>
      <c r="B21">
        <v>2652977.3369999998</v>
      </c>
      <c r="C21">
        <v>545547.89800000004</v>
      </c>
      <c r="D21">
        <f t="shared" si="0"/>
        <v>26.075989453940171</v>
      </c>
      <c r="E21" s="1">
        <f t="shared" si="1"/>
        <v>142.68514449176507</v>
      </c>
      <c r="F21">
        <v>69.302999999999997</v>
      </c>
    </row>
    <row r="22" spans="1:30" x14ac:dyDescent="0.3">
      <c r="A22">
        <v>76</v>
      </c>
      <c r="B22">
        <v>2652978.0290000001</v>
      </c>
      <c r="C22">
        <v>545551.64399999997</v>
      </c>
      <c r="D22">
        <f t="shared" si="0"/>
        <v>3.8093805270444108</v>
      </c>
      <c r="E22" s="1">
        <f t="shared" si="1"/>
        <v>146.4945250188095</v>
      </c>
      <c r="F22">
        <v>68.866</v>
      </c>
      <c r="Z22" t="s">
        <v>59</v>
      </c>
    </row>
    <row r="23" spans="1:30" x14ac:dyDescent="0.3">
      <c r="A23">
        <v>77</v>
      </c>
      <c r="B23">
        <v>2652980.14</v>
      </c>
      <c r="C23">
        <v>545558.59100000001</v>
      </c>
      <c r="D23">
        <f t="shared" si="0"/>
        <v>7.2606563064746235</v>
      </c>
      <c r="E23" s="1">
        <f t="shared" si="1"/>
        <v>153.75518132528413</v>
      </c>
      <c r="F23">
        <v>68.915000000000006</v>
      </c>
      <c r="Z23" t="s">
        <v>60</v>
      </c>
    </row>
    <row r="24" spans="1:30" x14ac:dyDescent="0.3">
      <c r="A24">
        <v>78</v>
      </c>
      <c r="B24">
        <v>2652983.5329999998</v>
      </c>
      <c r="C24">
        <v>545564.05900000001</v>
      </c>
      <c r="D24">
        <f t="shared" si="0"/>
        <v>6.4351746672355743</v>
      </c>
      <c r="E24" s="1">
        <f t="shared" si="1"/>
        <v>160.1903559925197</v>
      </c>
      <c r="F24">
        <v>68.707999999999998</v>
      </c>
      <c r="Z24" t="s">
        <v>63</v>
      </c>
    </row>
    <row r="25" spans="1:30" x14ac:dyDescent="0.3">
      <c r="A25">
        <v>79</v>
      </c>
      <c r="B25">
        <v>2652984.4010000001</v>
      </c>
      <c r="C25">
        <v>545568.58700000006</v>
      </c>
      <c r="D25">
        <f t="shared" si="0"/>
        <v>4.610445531711691</v>
      </c>
      <c r="E25" s="1">
        <f t="shared" si="1"/>
        <v>164.80080152423139</v>
      </c>
      <c r="F25">
        <v>68.992999999999995</v>
      </c>
    </row>
    <row r="26" spans="1:30" x14ac:dyDescent="0.3">
      <c r="A26">
        <v>80</v>
      </c>
      <c r="B26">
        <v>2652988.395</v>
      </c>
      <c r="C26">
        <v>545577.81700000004</v>
      </c>
      <c r="D26">
        <f t="shared" si="0"/>
        <v>10.057083871542464</v>
      </c>
      <c r="E26" s="1">
        <f t="shared" si="1"/>
        <v>174.85788539577385</v>
      </c>
      <c r="F26">
        <v>69.103999999999999</v>
      </c>
      <c r="AA26" s="24" t="s">
        <v>55</v>
      </c>
      <c r="AB26" s="25"/>
      <c r="AC26" s="26" t="s">
        <v>56</v>
      </c>
      <c r="AD26" s="26"/>
    </row>
    <row r="27" spans="1:30" x14ac:dyDescent="0.3">
      <c r="A27">
        <v>81</v>
      </c>
      <c r="B27">
        <v>2653003.7749999999</v>
      </c>
      <c r="C27">
        <v>545591.17299999995</v>
      </c>
      <c r="D27">
        <f t="shared" si="0"/>
        <v>20.369760332272538</v>
      </c>
      <c r="E27" s="1">
        <f t="shared" si="1"/>
        <v>195.22764572804638</v>
      </c>
      <c r="F27">
        <v>69.012</v>
      </c>
      <c r="Q27" t="s">
        <v>21</v>
      </c>
      <c r="R27" t="s">
        <v>22</v>
      </c>
      <c r="S27" t="s">
        <v>5</v>
      </c>
      <c r="T27" t="s">
        <v>19</v>
      </c>
      <c r="U27" s="22"/>
      <c r="V27" t="s">
        <v>20</v>
      </c>
      <c r="W27" s="6" t="s">
        <v>53</v>
      </c>
      <c r="X27" s="3" t="s">
        <v>52</v>
      </c>
      <c r="Y27" s="3" t="s">
        <v>51</v>
      </c>
      <c r="Z27" s="11" t="s">
        <v>54</v>
      </c>
      <c r="AA27" s="9" t="s">
        <v>58</v>
      </c>
      <c r="AB27" s="9" t="s">
        <v>57</v>
      </c>
      <c r="AC27" s="10" t="s">
        <v>58</v>
      </c>
      <c r="AD27" s="10" t="s">
        <v>57</v>
      </c>
    </row>
    <row r="28" spans="1:30" x14ac:dyDescent="0.3">
      <c r="A28">
        <v>82</v>
      </c>
      <c r="B28">
        <v>2653013.8969999999</v>
      </c>
      <c r="C28">
        <v>545603.29399999999</v>
      </c>
      <c r="D28">
        <f t="shared" si="0"/>
        <v>15.791564995291337</v>
      </c>
      <c r="E28" s="1">
        <f t="shared" si="1"/>
        <v>211.01921072333772</v>
      </c>
      <c r="F28">
        <v>69.376999999999995</v>
      </c>
      <c r="J28" s="1"/>
      <c r="K28" s="1"/>
      <c r="P28" t="s">
        <v>7</v>
      </c>
      <c r="Q28">
        <v>30</v>
      </c>
      <c r="R28">
        <f>Q29-Q28</f>
        <v>5</v>
      </c>
      <c r="S28">
        <v>69.08</v>
      </c>
      <c r="T28">
        <v>0</v>
      </c>
      <c r="V28">
        <f>1/2*5*0.186</f>
        <v>0.46499999999999997</v>
      </c>
      <c r="W28">
        <f>(V28+V31+V34+V37+V40+V43+V46+V49+V52+V55+V58+V61)</f>
        <v>10.774000000000001</v>
      </c>
      <c r="X28">
        <f>SQRT((R28)^2+(S28-S29)^2)</f>
        <v>5.0006083629894471</v>
      </c>
      <c r="Y28">
        <f>X28+X31+X34+X37++X40+X43+X46+X49+X52+X55+X58+X61</f>
        <v>113.12280612551338</v>
      </c>
      <c r="Z28">
        <f>W28/Y28</f>
        <v>9.5241626061202039E-2</v>
      </c>
      <c r="AA28">
        <f>(1/0.035)*(0.095242)^(2/3)*(0.001)^(1/2)</f>
        <v>0.18843039567453973</v>
      </c>
      <c r="AB28">
        <f>W28*AA28</f>
        <v>2.0301490829974913</v>
      </c>
      <c r="AC28">
        <v>0.68</v>
      </c>
      <c r="AD28">
        <f>W28*AC28</f>
        <v>7.3263200000000008</v>
      </c>
    </row>
    <row r="29" spans="1:30" x14ac:dyDescent="0.3">
      <c r="A29">
        <v>83</v>
      </c>
      <c r="B29">
        <v>2653025.091</v>
      </c>
      <c r="C29">
        <v>545608.40800000005</v>
      </c>
      <c r="D29">
        <f t="shared" si="0"/>
        <v>12.306853050378562</v>
      </c>
      <c r="E29" s="1">
        <f t="shared" si="1"/>
        <v>223.32606377371627</v>
      </c>
      <c r="F29">
        <v>68.923000000000002</v>
      </c>
      <c r="J29" s="1"/>
      <c r="K29" s="1"/>
      <c r="Q29">
        <v>35</v>
      </c>
      <c r="S29">
        <v>69.001999999999995</v>
      </c>
      <c r="T29">
        <v>0.186</v>
      </c>
    </row>
    <row r="30" spans="1:30" x14ac:dyDescent="0.3">
      <c r="A30">
        <v>84</v>
      </c>
      <c r="B30">
        <v>2653047.9759999998</v>
      </c>
      <c r="C30">
        <v>545616.87600000005</v>
      </c>
      <c r="D30">
        <f t="shared" si="0"/>
        <v>24.401439486015146</v>
      </c>
      <c r="E30" s="1">
        <f t="shared" si="1"/>
        <v>247.72750325973141</v>
      </c>
      <c r="F30">
        <v>69.265000000000001</v>
      </c>
      <c r="J30" s="1"/>
      <c r="K30" s="1"/>
    </row>
    <row r="31" spans="1:30" x14ac:dyDescent="0.3">
      <c r="A31">
        <v>85</v>
      </c>
      <c r="B31">
        <v>2653080.4670000002</v>
      </c>
      <c r="C31">
        <v>545629.80500000005</v>
      </c>
      <c r="D31">
        <f t="shared" si="0"/>
        <v>34.968902213613632</v>
      </c>
      <c r="E31" s="1">
        <f t="shared" si="1"/>
        <v>282.69640547334507</v>
      </c>
      <c r="F31">
        <v>69.471000000000004</v>
      </c>
      <c r="J31" s="1"/>
      <c r="K31" s="1"/>
      <c r="P31" t="s">
        <v>8</v>
      </c>
      <c r="Q31">
        <v>35</v>
      </c>
      <c r="R31">
        <f>Q32-Q31</f>
        <v>7</v>
      </c>
      <c r="S31">
        <v>69.001999999999995</v>
      </c>
      <c r="T31">
        <v>0.186</v>
      </c>
      <c r="V31">
        <f>1/2*7*0.186</f>
        <v>0.65100000000000002</v>
      </c>
      <c r="X31">
        <f>SQRT((R31)^2+(S32-S31)^2)</f>
        <v>7.0024707068291256</v>
      </c>
    </row>
    <row r="32" spans="1:30" x14ac:dyDescent="0.3">
      <c r="A32">
        <v>86</v>
      </c>
      <c r="B32">
        <v>2653091.5660000001</v>
      </c>
      <c r="C32">
        <v>545636.78700000001</v>
      </c>
      <c r="D32">
        <f t="shared" si="0"/>
        <v>13.112441610846913</v>
      </c>
      <c r="E32" s="1">
        <f t="shared" si="1"/>
        <v>295.808847084192</v>
      </c>
      <c r="F32">
        <v>69.12</v>
      </c>
      <c r="J32" s="1"/>
      <c r="K32" s="1"/>
      <c r="Q32">
        <v>42</v>
      </c>
      <c r="S32">
        <v>69.188000000000002</v>
      </c>
      <c r="T32">
        <v>0</v>
      </c>
    </row>
    <row r="33" spans="1:24" x14ac:dyDescent="0.3">
      <c r="A33">
        <v>87</v>
      </c>
      <c r="B33">
        <v>2653108.7760000001</v>
      </c>
      <c r="C33">
        <v>545644.86499999999</v>
      </c>
      <c r="D33">
        <f t="shared" si="0"/>
        <v>19.011527660826911</v>
      </c>
      <c r="E33" s="1">
        <f t="shared" si="1"/>
        <v>314.82037474501891</v>
      </c>
      <c r="F33">
        <v>68.974000000000004</v>
      </c>
      <c r="J33" s="1"/>
      <c r="K33" s="1"/>
    </row>
    <row r="34" spans="1:24" x14ac:dyDescent="0.3">
      <c r="A34">
        <v>88</v>
      </c>
      <c r="B34">
        <v>2653116.713</v>
      </c>
      <c r="C34">
        <v>545648.50800000003</v>
      </c>
      <c r="D34">
        <f t="shared" si="0"/>
        <v>8.7331218930569623</v>
      </c>
      <c r="E34" s="1">
        <f t="shared" si="1"/>
        <v>323.5534966380759</v>
      </c>
      <c r="F34">
        <v>68.980999999999995</v>
      </c>
      <c r="J34" s="1"/>
      <c r="K34" s="1"/>
      <c r="P34" t="s">
        <v>9</v>
      </c>
      <c r="Q34">
        <v>42</v>
      </c>
      <c r="R34">
        <f>Q35-Q34</f>
        <v>1</v>
      </c>
      <c r="S34">
        <v>69.188000000000002</v>
      </c>
      <c r="T34">
        <v>0</v>
      </c>
      <c r="V34">
        <f>1/2*(SUM(T34:T35)*1)</f>
        <v>4.1000000000000002E-2</v>
      </c>
      <c r="X34">
        <f>SQRT((R34)^2+(S35-S34)^2)</f>
        <v>1.0881364804104317</v>
      </c>
    </row>
    <row r="35" spans="1:24" x14ac:dyDescent="0.3">
      <c r="A35">
        <v>89</v>
      </c>
      <c r="B35">
        <v>2653120.1979999999</v>
      </c>
      <c r="C35">
        <v>545649.527</v>
      </c>
      <c r="D35">
        <f t="shared" si="0"/>
        <v>3.6309208197139715</v>
      </c>
      <c r="E35" s="1">
        <f t="shared" si="1"/>
        <v>327.18441745778989</v>
      </c>
      <c r="F35">
        <v>68.867999999999995</v>
      </c>
      <c r="J35" s="1"/>
      <c r="K35" s="1"/>
      <c r="Q35">
        <v>43</v>
      </c>
      <c r="S35">
        <v>68.759</v>
      </c>
      <c r="T35">
        <v>8.2000000000000003E-2</v>
      </c>
    </row>
    <row r="36" spans="1:24" x14ac:dyDescent="0.3">
      <c r="A36">
        <v>90</v>
      </c>
      <c r="B36">
        <v>2653124.2609999999</v>
      </c>
      <c r="C36">
        <v>545651.94900000002</v>
      </c>
      <c r="D36">
        <f t="shared" si="0"/>
        <v>4.7301218801173848</v>
      </c>
      <c r="E36" s="1">
        <f t="shared" si="1"/>
        <v>331.91453933790729</v>
      </c>
      <c r="F36">
        <v>69.05</v>
      </c>
      <c r="J36" s="1"/>
      <c r="K36" s="1"/>
    </row>
    <row r="37" spans="1:24" x14ac:dyDescent="0.3">
      <c r="A37">
        <v>91</v>
      </c>
      <c r="B37">
        <v>2653129.5789999999</v>
      </c>
      <c r="C37">
        <v>545653.44299999997</v>
      </c>
      <c r="D37">
        <f t="shared" si="0"/>
        <v>5.5238718304760823</v>
      </c>
      <c r="E37" s="1">
        <f t="shared" si="1"/>
        <v>337.43841116838337</v>
      </c>
      <c r="F37">
        <v>69.016999999999996</v>
      </c>
      <c r="J37" s="1"/>
      <c r="K37" s="1"/>
      <c r="P37" t="s">
        <v>10</v>
      </c>
      <c r="Q37">
        <v>43</v>
      </c>
      <c r="R37">
        <f>Q38-Q37</f>
        <v>2</v>
      </c>
      <c r="S37">
        <v>68.759</v>
      </c>
      <c r="T37">
        <v>8.2000000000000003E-2</v>
      </c>
      <c r="V37">
        <f>1/2*(SUM(T37:T38)*2)</f>
        <v>0.183</v>
      </c>
      <c r="X37">
        <f>SQRT((R37)^2+(S37-S38)^2)</f>
        <v>2.0000902479638261</v>
      </c>
    </row>
    <row r="38" spans="1:24" x14ac:dyDescent="0.3">
      <c r="A38">
        <v>92</v>
      </c>
      <c r="B38">
        <v>2653132.6260000002</v>
      </c>
      <c r="C38">
        <v>545654.81299999997</v>
      </c>
      <c r="D38">
        <f t="shared" si="0"/>
        <v>3.340824599037036</v>
      </c>
      <c r="E38" s="1">
        <f t="shared" si="1"/>
        <v>340.7792357674204</v>
      </c>
      <c r="F38">
        <v>68.855999999999995</v>
      </c>
      <c r="J38" s="1"/>
      <c r="K38" s="1"/>
      <c r="Q38">
        <v>45</v>
      </c>
      <c r="S38">
        <v>68.739999999999995</v>
      </c>
      <c r="T38">
        <v>0.10100000000000001</v>
      </c>
    </row>
    <row r="39" spans="1:24" x14ac:dyDescent="0.3">
      <c r="A39">
        <v>93</v>
      </c>
      <c r="B39">
        <v>2653140.3489999999</v>
      </c>
      <c r="C39">
        <v>545657.79500000004</v>
      </c>
      <c r="D39">
        <f t="shared" si="0"/>
        <v>8.2787108294003353</v>
      </c>
      <c r="E39" s="1">
        <f t="shared" si="1"/>
        <v>349.05794659682073</v>
      </c>
      <c r="F39">
        <v>69.430000000000007</v>
      </c>
      <c r="J39" s="1"/>
      <c r="K39" s="1"/>
    </row>
    <row r="40" spans="1:24" x14ac:dyDescent="0.3">
      <c r="A40">
        <v>94</v>
      </c>
      <c r="B40">
        <v>2653146.9750000001</v>
      </c>
      <c r="C40">
        <v>545662.20400000003</v>
      </c>
      <c r="D40">
        <f t="shared" si="0"/>
        <v>7.9588414359152031</v>
      </c>
      <c r="E40" s="1">
        <f t="shared" si="1"/>
        <v>357.01678803273592</v>
      </c>
      <c r="F40">
        <v>70.007999999999996</v>
      </c>
      <c r="J40" s="1"/>
      <c r="K40" s="1"/>
      <c r="P40" t="s">
        <v>11</v>
      </c>
      <c r="Q40">
        <v>45</v>
      </c>
      <c r="R40">
        <f>Q41-Q40</f>
        <v>4</v>
      </c>
      <c r="S40">
        <v>68.739999999999995</v>
      </c>
      <c r="T40">
        <v>0.10100000000000001</v>
      </c>
      <c r="V40">
        <f>1/2*(SUM(T40:T41)*4)</f>
        <v>0.36799999999999999</v>
      </c>
      <c r="X40">
        <f>SQRT((R40)^2+(S41-S40)^2)</f>
        <v>4.000040499794971</v>
      </c>
    </row>
    <row r="41" spans="1:24" x14ac:dyDescent="0.3">
      <c r="A41">
        <v>95</v>
      </c>
      <c r="B41">
        <v>2653152.6179999998</v>
      </c>
      <c r="C41">
        <v>545665.85800000001</v>
      </c>
      <c r="D41">
        <f t="shared" si="0"/>
        <v>6.7227349342635438</v>
      </c>
      <c r="E41" s="1">
        <f t="shared" si="1"/>
        <v>363.73952296699946</v>
      </c>
      <c r="F41">
        <v>69.891000000000005</v>
      </c>
      <c r="N41" s="4"/>
      <c r="O41" s="4"/>
      <c r="Q41">
        <v>49</v>
      </c>
      <c r="S41">
        <v>68.757999999999996</v>
      </c>
      <c r="T41">
        <v>8.3000000000000004E-2</v>
      </c>
    </row>
    <row r="42" spans="1:24" x14ac:dyDescent="0.3">
      <c r="A42">
        <v>96</v>
      </c>
      <c r="B42">
        <v>2653157.1809999999</v>
      </c>
      <c r="C42">
        <v>545668.21100000001</v>
      </c>
      <c r="D42">
        <f t="shared" si="0"/>
        <v>5.1339631865412789</v>
      </c>
      <c r="E42" s="1">
        <f t="shared" si="1"/>
        <v>368.87348615354074</v>
      </c>
      <c r="F42">
        <v>70.17</v>
      </c>
    </row>
    <row r="43" spans="1:24" x14ac:dyDescent="0.3">
      <c r="A43">
        <v>97</v>
      </c>
      <c r="B43">
        <v>2653162.89</v>
      </c>
      <c r="C43">
        <v>545671.30599999998</v>
      </c>
      <c r="D43">
        <f t="shared" si="0"/>
        <v>6.4939745921005159</v>
      </c>
      <c r="E43" s="1">
        <f t="shared" si="1"/>
        <v>375.36746074564127</v>
      </c>
      <c r="F43">
        <v>70.344999999999999</v>
      </c>
      <c r="P43" t="s">
        <v>12</v>
      </c>
      <c r="Q43">
        <v>49</v>
      </c>
      <c r="R43">
        <f>Q44-Q43</f>
        <v>7</v>
      </c>
      <c r="S43">
        <v>68.757999999999996</v>
      </c>
      <c r="T43">
        <v>8.3000000000000004E-2</v>
      </c>
      <c r="V43">
        <f>1/2*(SUM(T43:T44)*R43)</f>
        <v>1.1655</v>
      </c>
      <c r="X43">
        <f>SQRT((R43)^2+(S43-S44)^2)</f>
        <v>7.0019917880557392</v>
      </c>
    </row>
    <row r="44" spans="1:24" x14ac:dyDescent="0.3">
      <c r="A44">
        <v>98</v>
      </c>
      <c r="B44">
        <v>2653167.5</v>
      </c>
      <c r="C44">
        <v>545672.95400000003</v>
      </c>
      <c r="D44">
        <f t="shared" si="0"/>
        <v>4.8957128182671408</v>
      </c>
      <c r="E44" s="1">
        <f t="shared" si="1"/>
        <v>380.26317356390842</v>
      </c>
      <c r="F44">
        <v>71.566000000000003</v>
      </c>
      <c r="Q44">
        <v>56</v>
      </c>
      <c r="S44">
        <v>68.590999999999994</v>
      </c>
      <c r="T44" s="3">
        <v>0.25</v>
      </c>
      <c r="U44" s="3"/>
    </row>
    <row r="45" spans="1:24" x14ac:dyDescent="0.3">
      <c r="A45">
        <v>99</v>
      </c>
      <c r="B45">
        <v>2653174.4309999999</v>
      </c>
      <c r="C45">
        <v>545676.55099999998</v>
      </c>
      <c r="D45">
        <f t="shared" si="0"/>
        <v>7.8087879980049317</v>
      </c>
      <c r="E45" s="1">
        <f t="shared" si="1"/>
        <v>388.07196156191338</v>
      </c>
      <c r="F45">
        <v>70.944000000000003</v>
      </c>
    </row>
    <row r="46" spans="1:24" x14ac:dyDescent="0.3">
      <c r="A46">
        <v>100</v>
      </c>
      <c r="B46">
        <v>2653190.8590000002</v>
      </c>
      <c r="C46">
        <v>545684.71100000001</v>
      </c>
      <c r="D46">
        <f t="shared" si="0"/>
        <v>18.342976421796124</v>
      </c>
      <c r="E46" s="1">
        <f t="shared" si="1"/>
        <v>406.41493798370948</v>
      </c>
      <c r="F46">
        <v>71.274000000000001</v>
      </c>
      <c r="P46" t="s">
        <v>13</v>
      </c>
      <c r="Q46">
        <v>56</v>
      </c>
      <c r="R46">
        <f>Q47-Q46</f>
        <v>3</v>
      </c>
      <c r="S46">
        <v>68.590999999999994</v>
      </c>
      <c r="T46">
        <v>0.25</v>
      </c>
      <c r="V46">
        <f>1/2*(SUM(T46:T47)*3)</f>
        <v>0.55200000000000005</v>
      </c>
      <c r="X46">
        <f>SQRT((R46)^2+(S47-S46)^2)</f>
        <v>3.0224863936831885</v>
      </c>
    </row>
    <row r="47" spans="1:24" x14ac:dyDescent="0.3">
      <c r="A47">
        <v>101</v>
      </c>
      <c r="B47">
        <v>2653209.298</v>
      </c>
      <c r="C47">
        <v>545696.62800000003</v>
      </c>
      <c r="D47">
        <f t="shared" si="0"/>
        <v>21.954762808836534</v>
      </c>
      <c r="E47" s="1">
        <f t="shared" si="1"/>
        <v>428.36970079254604</v>
      </c>
      <c r="F47">
        <v>72.391000000000005</v>
      </c>
      <c r="Q47">
        <v>59</v>
      </c>
      <c r="S47">
        <v>68.959000000000003</v>
      </c>
      <c r="T47">
        <v>0.11799999999999999</v>
      </c>
    </row>
    <row r="48" spans="1:24" x14ac:dyDescent="0.3">
      <c r="A48">
        <v>102</v>
      </c>
      <c r="B48">
        <v>2653211.358</v>
      </c>
      <c r="C48">
        <v>545698.23</v>
      </c>
      <c r="D48">
        <f t="shared" si="0"/>
        <v>2.6095984365581981</v>
      </c>
      <c r="E48" s="1">
        <f t="shared" si="1"/>
        <v>430.97929922910424</v>
      </c>
      <c r="F48">
        <v>73.462000000000003</v>
      </c>
    </row>
    <row r="49" spans="1:24" x14ac:dyDescent="0.3">
      <c r="A49">
        <v>103</v>
      </c>
      <c r="B49">
        <v>2653214.2379999999</v>
      </c>
      <c r="C49">
        <v>545698.42099999997</v>
      </c>
      <c r="D49">
        <f t="shared" si="0"/>
        <v>2.8863265579890758</v>
      </c>
      <c r="E49" s="1">
        <f t="shared" si="1"/>
        <v>433.86562578709334</v>
      </c>
      <c r="F49">
        <v>74.918999999999997</v>
      </c>
      <c r="P49" t="s">
        <v>14</v>
      </c>
      <c r="Q49">
        <v>59</v>
      </c>
      <c r="R49">
        <f>Q50-Q49</f>
        <v>10</v>
      </c>
      <c r="S49">
        <v>68.959000000000003</v>
      </c>
      <c r="T49">
        <v>0.11799999999999999</v>
      </c>
      <c r="V49">
        <f>1/2*(SUM(T49:T50)*10)</f>
        <v>1.105</v>
      </c>
      <c r="X49">
        <f>SQRT((R49)^2+(S50-S49)^2)</f>
        <v>10.000011249993673</v>
      </c>
    </row>
    <row r="50" spans="1:24" x14ac:dyDescent="0.3">
      <c r="A50">
        <v>104</v>
      </c>
      <c r="B50">
        <v>2653222.4010000001</v>
      </c>
      <c r="C50">
        <v>545701.84400000004</v>
      </c>
      <c r="D50">
        <f t="shared" si="0"/>
        <v>8.8516381536596906</v>
      </c>
      <c r="E50" s="1">
        <f t="shared" si="1"/>
        <v>442.71726394075301</v>
      </c>
      <c r="F50">
        <v>75.983000000000004</v>
      </c>
      <c r="Q50">
        <v>69</v>
      </c>
      <c r="S50">
        <v>68.974000000000004</v>
      </c>
      <c r="T50">
        <v>0.10299999999999999</v>
      </c>
    </row>
    <row r="51" spans="1:24" x14ac:dyDescent="0.3">
      <c r="B51" s="23" t="s">
        <v>6</v>
      </c>
      <c r="C51" s="23"/>
      <c r="D51" s="2">
        <f>SUM(D3:D50)</f>
        <v>442.71726394075301</v>
      </c>
    </row>
    <row r="52" spans="1:24" x14ac:dyDescent="0.3">
      <c r="P52" t="s">
        <v>15</v>
      </c>
      <c r="Q52">
        <v>69</v>
      </c>
      <c r="R52">
        <f>Q53-Q52</f>
        <v>3</v>
      </c>
      <c r="S52">
        <v>68.974000000000004</v>
      </c>
      <c r="T52">
        <v>0.10299999999999999</v>
      </c>
      <c r="V52">
        <f>1/2*(SUM(T52:T53)*3)</f>
        <v>0.28200000000000003</v>
      </c>
      <c r="X52">
        <f>SQRT((R52)^2+(S53-S52)^2)</f>
        <v>3.0058848946691223</v>
      </c>
    </row>
    <row r="53" spans="1:24" x14ac:dyDescent="0.3">
      <c r="Q53">
        <v>72</v>
      </c>
      <c r="S53">
        <v>69.162000000000006</v>
      </c>
      <c r="T53">
        <v>8.5000000000000006E-2</v>
      </c>
    </row>
    <row r="55" spans="1:24" x14ac:dyDescent="0.3">
      <c r="E55" t="s">
        <v>62</v>
      </c>
      <c r="F55">
        <f>MAX(F2:F50)</f>
        <v>75.983000000000004</v>
      </c>
      <c r="P55" t="s">
        <v>16</v>
      </c>
      <c r="Q55">
        <v>72</v>
      </c>
      <c r="R55">
        <f>Q56-Q55</f>
        <v>12</v>
      </c>
      <c r="S55">
        <v>69.162000000000006</v>
      </c>
      <c r="T55">
        <v>8.5000000000000006E-2</v>
      </c>
      <c r="V55">
        <f>1/2*(SUM(T55:T56)*12)</f>
        <v>0.76800000000000002</v>
      </c>
      <c r="X55">
        <f>SQRT((R55)^2+(S56-S55)^2)</f>
        <v>12.000073499774908</v>
      </c>
    </row>
    <row r="56" spans="1:24" x14ac:dyDescent="0.3">
      <c r="Q56">
        <v>84</v>
      </c>
      <c r="S56">
        <v>69.203999999999994</v>
      </c>
      <c r="T56">
        <v>4.2999999999999997E-2</v>
      </c>
    </row>
    <row r="58" spans="1:24" x14ac:dyDescent="0.3">
      <c r="P58" t="s">
        <v>17</v>
      </c>
      <c r="Q58">
        <v>84</v>
      </c>
      <c r="R58">
        <f>Q59-Q58</f>
        <v>33</v>
      </c>
      <c r="S58">
        <v>69.203999999999994</v>
      </c>
      <c r="T58">
        <v>4.2999999999999997E-2</v>
      </c>
      <c r="V58">
        <f>1/2*(SUM(T58:T59)*33)</f>
        <v>3.2175000000000002</v>
      </c>
      <c r="X58">
        <f>SQRT((R58)^2+(S58-S59)^2)</f>
        <v>33.000180014660522</v>
      </c>
    </row>
    <row r="59" spans="1:24" x14ac:dyDescent="0.3">
      <c r="Q59">
        <v>117</v>
      </c>
      <c r="S59">
        <v>69.094999999999999</v>
      </c>
      <c r="T59">
        <v>0.152</v>
      </c>
    </row>
    <row r="61" spans="1:24" x14ac:dyDescent="0.3">
      <c r="P61" t="s">
        <v>18</v>
      </c>
      <c r="Q61">
        <v>117</v>
      </c>
      <c r="R61">
        <f>Q62-Q61</f>
        <v>26</v>
      </c>
      <c r="S61">
        <v>69.094999999999999</v>
      </c>
      <c r="T61">
        <v>0.152</v>
      </c>
      <c r="V61">
        <f>1/2*26*0.152</f>
        <v>1.976</v>
      </c>
      <c r="X61">
        <f>SQRT((R61)^2+(S62-S61)^2)</f>
        <v>26.000831986688425</v>
      </c>
    </row>
    <row r="62" spans="1:24" x14ac:dyDescent="0.3">
      <c r="Q62">
        <v>143</v>
      </c>
      <c r="S62">
        <v>69.302999999999997</v>
      </c>
      <c r="T62">
        <v>0</v>
      </c>
    </row>
  </sheetData>
  <mergeCells count="3">
    <mergeCell ref="B51:C51"/>
    <mergeCell ref="AA26:AB26"/>
    <mergeCell ref="AC26:AD2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40"/>
  <sheetViews>
    <sheetView topLeftCell="A5" workbookViewId="0">
      <selection activeCell="S31" sqref="S31"/>
    </sheetView>
  </sheetViews>
  <sheetFormatPr defaultRowHeight="14.4" x14ac:dyDescent="0.3"/>
  <cols>
    <col min="5" max="5" width="12.109375" bestFit="1" customWidth="1"/>
    <col min="6" max="6" width="11.6640625" bestFit="1" customWidth="1"/>
    <col min="13" max="13" width="15.6640625" bestFit="1" customWidth="1"/>
    <col min="14" max="14" width="24" bestFit="1" customWidth="1"/>
  </cols>
  <sheetData>
    <row r="1" spans="1:6" x14ac:dyDescent="0.3">
      <c r="A1" t="s">
        <v>48</v>
      </c>
      <c r="B1" t="s">
        <v>1</v>
      </c>
      <c r="C1" t="s">
        <v>2</v>
      </c>
      <c r="D1" t="s">
        <v>3</v>
      </c>
      <c r="E1" t="s">
        <v>46</v>
      </c>
      <c r="F1" t="s">
        <v>47</v>
      </c>
    </row>
    <row r="2" spans="1:6" x14ac:dyDescent="0.3">
      <c r="A2">
        <v>302</v>
      </c>
      <c r="B2">
        <v>2690970.2050000001</v>
      </c>
      <c r="C2">
        <v>520216.11599999998</v>
      </c>
      <c r="D2">
        <v>0</v>
      </c>
      <c r="E2" s="1">
        <v>0</v>
      </c>
      <c r="F2">
        <v>132.24600000000001</v>
      </c>
    </row>
    <row r="3" spans="1:6" x14ac:dyDescent="0.3">
      <c r="A3">
        <v>303</v>
      </c>
      <c r="B3">
        <v>2690970.1949999998</v>
      </c>
      <c r="C3">
        <v>520216.11900000001</v>
      </c>
      <c r="D3">
        <f>SQRT((C3-C2)^2+(B3-B2)^2)</f>
        <v>1.0440306748335492E-2</v>
      </c>
      <c r="E3" s="1">
        <f>E2+D3</f>
        <v>1.0440306748335492E-2</v>
      </c>
      <c r="F3">
        <v>132.255</v>
      </c>
    </row>
    <row r="4" spans="1:6" x14ac:dyDescent="0.3">
      <c r="A4">
        <v>304</v>
      </c>
      <c r="B4">
        <v>2690967.9759999998</v>
      </c>
      <c r="C4">
        <v>520224.12099999998</v>
      </c>
      <c r="D4">
        <f t="shared" ref="D4:D15" si="0">SQRT((C4-C3)^2+(B4-B3)^2)</f>
        <v>8.3039728443582383</v>
      </c>
      <c r="E4" s="1">
        <f>E3+D4</f>
        <v>8.3144131511065744</v>
      </c>
      <c r="F4">
        <v>132.25399999999999</v>
      </c>
    </row>
    <row r="5" spans="1:6" x14ac:dyDescent="0.3">
      <c r="A5">
        <v>305</v>
      </c>
      <c r="B5">
        <v>2690965.8760000002</v>
      </c>
      <c r="C5">
        <v>520227.47600000002</v>
      </c>
      <c r="D5">
        <f t="shared" si="0"/>
        <v>3.9580329708961455</v>
      </c>
      <c r="E5" s="1">
        <f t="shared" ref="E5:E15" si="1">E4+D5</f>
        <v>12.272446122002719</v>
      </c>
      <c r="F5">
        <v>130.89699999999999</v>
      </c>
    </row>
    <row r="6" spans="1:6" x14ac:dyDescent="0.3">
      <c r="A6">
        <v>306</v>
      </c>
      <c r="B6">
        <v>2690967.1189999999</v>
      </c>
      <c r="C6">
        <v>520231.3</v>
      </c>
      <c r="D6">
        <f t="shared" si="0"/>
        <v>4.0209482711406066</v>
      </c>
      <c r="E6" s="1">
        <f t="shared" si="1"/>
        <v>16.293394393143327</v>
      </c>
      <c r="F6">
        <v>130.43799999999999</v>
      </c>
    </row>
    <row r="7" spans="1:6" x14ac:dyDescent="0.3">
      <c r="A7">
        <v>307</v>
      </c>
      <c r="B7">
        <v>2690967.014</v>
      </c>
      <c r="C7">
        <v>520233.34100000001</v>
      </c>
      <c r="D7">
        <f t="shared" si="0"/>
        <v>2.0436990972509714</v>
      </c>
      <c r="E7" s="1">
        <f t="shared" si="1"/>
        <v>18.337093490394299</v>
      </c>
      <c r="F7">
        <v>129.41200000000001</v>
      </c>
    </row>
    <row r="8" spans="1:6" x14ac:dyDescent="0.3">
      <c r="A8">
        <v>308</v>
      </c>
      <c r="B8">
        <v>2690957.9679999999</v>
      </c>
      <c r="C8">
        <v>520271.99300000002</v>
      </c>
      <c r="D8">
        <f t="shared" si="0"/>
        <v>39.696438379302514</v>
      </c>
      <c r="E8" s="1">
        <f t="shared" si="1"/>
        <v>58.033531869696816</v>
      </c>
      <c r="F8">
        <v>128.84899999999999</v>
      </c>
    </row>
    <row r="9" spans="1:6" x14ac:dyDescent="0.3">
      <c r="A9">
        <v>309</v>
      </c>
      <c r="B9">
        <v>2690956.1290000002</v>
      </c>
      <c r="C9">
        <v>520276.72600000002</v>
      </c>
      <c r="D9">
        <f t="shared" si="0"/>
        <v>5.0777170065807713</v>
      </c>
      <c r="E9" s="1">
        <f t="shared" si="1"/>
        <v>63.111248876277585</v>
      </c>
      <c r="F9">
        <v>128.70400000000001</v>
      </c>
    </row>
    <row r="10" spans="1:6" x14ac:dyDescent="0.3">
      <c r="A10">
        <v>310</v>
      </c>
      <c r="B10">
        <v>2690953.4840000002</v>
      </c>
      <c r="C10">
        <v>520283.592</v>
      </c>
      <c r="D10">
        <f t="shared" si="0"/>
        <v>7.3578516565519028</v>
      </c>
      <c r="E10" s="1">
        <f t="shared" si="1"/>
        <v>70.469100532829486</v>
      </c>
      <c r="F10">
        <v>128.87299999999999</v>
      </c>
    </row>
    <row r="11" spans="1:6" x14ac:dyDescent="0.3">
      <c r="A11">
        <v>311</v>
      </c>
      <c r="B11">
        <v>2690933.3149999999</v>
      </c>
      <c r="C11">
        <v>520318.34899999999</v>
      </c>
      <c r="D11">
        <f t="shared" si="0"/>
        <v>40.185042117783098</v>
      </c>
      <c r="E11" s="1">
        <f t="shared" si="1"/>
        <v>110.65414265061258</v>
      </c>
      <c r="F11">
        <v>129.40799999999999</v>
      </c>
    </row>
    <row r="12" spans="1:6" x14ac:dyDescent="0.3">
      <c r="A12">
        <v>312</v>
      </c>
      <c r="B12">
        <v>2690897.4410000001</v>
      </c>
      <c r="C12">
        <v>520376.84899999999</v>
      </c>
      <c r="D12">
        <f t="shared" si="0"/>
        <v>68.623566476744998</v>
      </c>
      <c r="E12" s="1">
        <f t="shared" si="1"/>
        <v>179.27770912735758</v>
      </c>
      <c r="F12">
        <v>129.29599999999999</v>
      </c>
    </row>
    <row r="13" spans="1:6" x14ac:dyDescent="0.3">
      <c r="A13">
        <v>313</v>
      </c>
      <c r="B13">
        <v>2690876.0010000002</v>
      </c>
      <c r="C13">
        <v>520417.56599999999</v>
      </c>
      <c r="D13">
        <f t="shared" si="0"/>
        <v>46.016819631499359</v>
      </c>
      <c r="E13" s="1">
        <f t="shared" si="1"/>
        <v>225.29452875885693</v>
      </c>
      <c r="F13">
        <v>129.38999999999999</v>
      </c>
    </row>
    <row r="14" spans="1:6" x14ac:dyDescent="0.3">
      <c r="A14">
        <v>314</v>
      </c>
      <c r="B14">
        <v>2690872.3420000002</v>
      </c>
      <c r="C14">
        <v>520432.62699999998</v>
      </c>
      <c r="D14">
        <f t="shared" si="0"/>
        <v>15.499096812379044</v>
      </c>
      <c r="E14" s="1">
        <f t="shared" si="1"/>
        <v>240.79362557123596</v>
      </c>
      <c r="F14">
        <v>129.60400000000001</v>
      </c>
    </row>
    <row r="15" spans="1:6" x14ac:dyDescent="0.3">
      <c r="A15">
        <v>315</v>
      </c>
      <c r="B15">
        <v>2690872.5610000002</v>
      </c>
      <c r="C15">
        <v>520438.397</v>
      </c>
      <c r="D15">
        <f t="shared" si="0"/>
        <v>5.7741545701715413</v>
      </c>
      <c r="E15" s="1">
        <f t="shared" si="1"/>
        <v>246.5677801414075</v>
      </c>
      <c r="F15">
        <v>130.916</v>
      </c>
    </row>
    <row r="16" spans="1:6" x14ac:dyDescent="0.3">
      <c r="D16">
        <f>SUM(D2:D15)</f>
        <v>246.5677801414075</v>
      </c>
    </row>
    <row r="17" spans="3:19" x14ac:dyDescent="0.3">
      <c r="C17" s="2" t="s">
        <v>6</v>
      </c>
      <c r="D17" s="2" t="s">
        <v>50</v>
      </c>
    </row>
    <row r="24" spans="3:19" x14ac:dyDescent="0.3">
      <c r="O24" t="s">
        <v>59</v>
      </c>
    </row>
    <row r="25" spans="3:19" x14ac:dyDescent="0.3">
      <c r="O25" t="s">
        <v>60</v>
      </c>
    </row>
    <row r="26" spans="3:19" x14ac:dyDescent="0.3">
      <c r="O26" t="s">
        <v>70</v>
      </c>
    </row>
    <row r="28" spans="3:19" x14ac:dyDescent="0.3">
      <c r="P28" s="24" t="s">
        <v>55</v>
      </c>
      <c r="Q28" s="25"/>
      <c r="R28" s="26" t="s">
        <v>56</v>
      </c>
      <c r="S28" s="26"/>
    </row>
    <row r="29" spans="3:19" x14ac:dyDescent="0.3">
      <c r="G29" t="s">
        <v>21</v>
      </c>
      <c r="H29" t="s">
        <v>22</v>
      </c>
      <c r="I29" t="s">
        <v>5</v>
      </c>
      <c r="J29" t="s">
        <v>19</v>
      </c>
      <c r="K29" t="s">
        <v>20</v>
      </c>
      <c r="L29" s="6" t="s">
        <v>23</v>
      </c>
      <c r="M29" s="3" t="s">
        <v>24</v>
      </c>
      <c r="N29" s="3" t="s">
        <v>51</v>
      </c>
      <c r="O29" s="11" t="s">
        <v>54</v>
      </c>
      <c r="P29" s="9" t="s">
        <v>58</v>
      </c>
      <c r="Q29" s="9" t="s">
        <v>57</v>
      </c>
      <c r="R29" s="10" t="s">
        <v>58</v>
      </c>
      <c r="S29" s="10" t="s">
        <v>57</v>
      </c>
    </row>
    <row r="30" spans="3:19" x14ac:dyDescent="0.3">
      <c r="F30" t="s">
        <v>7</v>
      </c>
      <c r="G30">
        <v>58</v>
      </c>
      <c r="H30">
        <f>G31-G30</f>
        <v>5</v>
      </c>
      <c r="I30">
        <v>128.84899999999999</v>
      </c>
      <c r="J30">
        <v>0</v>
      </c>
      <c r="K30">
        <f>1/2*H30*J31</f>
        <v>0.47499999999999998</v>
      </c>
      <c r="L30">
        <f>K30+K33+K36+K39</f>
        <v>7.41</v>
      </c>
      <c r="M30">
        <f>SQRT((H30)^2+(I30-I31)^2)</f>
        <v>5.0021020581351587</v>
      </c>
      <c r="N30">
        <f>M30+M33+M36+M39</f>
        <v>126.00433011098193</v>
      </c>
      <c r="O30">
        <f>L30/N30</f>
        <v>5.8807502833223509E-2</v>
      </c>
      <c r="P30">
        <f>(1/0.035)*(O30)^(2/3)*(0.03)^(1/2)</f>
        <v>0.74836662066210158</v>
      </c>
      <c r="Q30">
        <f>L30*P30</f>
        <v>5.5453966591061725</v>
      </c>
      <c r="R30">
        <v>0.42</v>
      </c>
      <c r="S30">
        <f>L30*R30</f>
        <v>3.1122000000000001</v>
      </c>
    </row>
    <row r="31" spans="3:19" x14ac:dyDescent="0.3">
      <c r="G31">
        <v>63</v>
      </c>
      <c r="I31">
        <v>128.70400000000001</v>
      </c>
      <c r="J31">
        <v>0.19</v>
      </c>
    </row>
    <row r="33" spans="6:13" x14ac:dyDescent="0.3">
      <c r="F33" t="s">
        <v>8</v>
      </c>
      <c r="G33">
        <v>63</v>
      </c>
      <c r="H33">
        <f>G34-G33</f>
        <v>7</v>
      </c>
      <c r="I33">
        <v>128.70400000000001</v>
      </c>
      <c r="J33">
        <v>0.19</v>
      </c>
      <c r="K33">
        <f>1/2*H33*J33</f>
        <v>0.66500000000000004</v>
      </c>
      <c r="M33">
        <f>SQRT((H33)^2+(I34-I33)^2)</f>
        <v>7.0020397742372182</v>
      </c>
    </row>
    <row r="34" spans="6:13" x14ac:dyDescent="0.3">
      <c r="G34">
        <v>70</v>
      </c>
      <c r="I34">
        <v>128.87299999999999</v>
      </c>
      <c r="J34">
        <v>0</v>
      </c>
    </row>
    <row r="36" spans="6:13" x14ac:dyDescent="0.3">
      <c r="F36" t="s">
        <v>9</v>
      </c>
      <c r="G36">
        <v>111</v>
      </c>
      <c r="H36">
        <f>G37-G36</f>
        <v>68</v>
      </c>
      <c r="I36">
        <v>129.40799999999999</v>
      </c>
      <c r="J36">
        <v>0</v>
      </c>
      <c r="K36">
        <f>1/2*H36*J37</f>
        <v>3.74</v>
      </c>
      <c r="M36">
        <f>SQRT((H36)^2+(I36-I37)^2)</f>
        <v>68.000092235231563</v>
      </c>
    </row>
    <row r="37" spans="6:13" x14ac:dyDescent="0.3">
      <c r="G37">
        <v>179</v>
      </c>
      <c r="I37">
        <v>129.29599999999999</v>
      </c>
      <c r="J37">
        <v>0.11</v>
      </c>
    </row>
    <row r="39" spans="6:13" x14ac:dyDescent="0.3">
      <c r="F39" t="s">
        <v>10</v>
      </c>
      <c r="G39">
        <v>179</v>
      </c>
      <c r="H39">
        <f>G40-G39</f>
        <v>46</v>
      </c>
      <c r="I39">
        <v>129.29599999999999</v>
      </c>
      <c r="J39">
        <v>0.11</v>
      </c>
      <c r="K39">
        <f>1/2*H39*J39</f>
        <v>2.5299999999999998</v>
      </c>
      <c r="M39">
        <f>SQRT((H39)^2+(I40-I39)^2)</f>
        <v>46.000096043377994</v>
      </c>
    </row>
    <row r="40" spans="6:13" x14ac:dyDescent="0.3">
      <c r="G40">
        <v>225</v>
      </c>
      <c r="I40">
        <v>129.38999999999999</v>
      </c>
      <c r="J40">
        <v>0</v>
      </c>
    </row>
  </sheetData>
  <mergeCells count="2">
    <mergeCell ref="P28:Q28"/>
    <mergeCell ref="R28:S2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2"/>
  <sheetViews>
    <sheetView zoomScale="102" zoomScaleNormal="102" workbookViewId="0">
      <selection activeCell="S32" sqref="S32"/>
    </sheetView>
  </sheetViews>
  <sheetFormatPr defaultRowHeight="14.4" x14ac:dyDescent="0.3"/>
  <cols>
    <col min="1" max="1" width="7.21875" bestFit="1" customWidth="1"/>
    <col min="2" max="2" width="12" bestFit="1" customWidth="1"/>
    <col min="3" max="3" width="11" bestFit="1" customWidth="1"/>
    <col min="4" max="4" width="12" bestFit="1" customWidth="1"/>
    <col min="5" max="5" width="13.5546875" customWidth="1"/>
    <col min="6" max="6" width="8.5546875" bestFit="1" customWidth="1"/>
  </cols>
  <sheetData>
    <row r="1" spans="1:6" x14ac:dyDescent="0.3">
      <c r="A1" t="s">
        <v>48</v>
      </c>
      <c r="B1" t="s">
        <v>1</v>
      </c>
      <c r="C1" t="s">
        <v>2</v>
      </c>
      <c r="D1" t="s">
        <v>64</v>
      </c>
      <c r="E1" t="s">
        <v>65</v>
      </c>
      <c r="F1" t="s">
        <v>5</v>
      </c>
    </row>
    <row r="2" spans="1:6" x14ac:dyDescent="0.3">
      <c r="A2">
        <v>347</v>
      </c>
      <c r="B2">
        <v>2694535.4079999998</v>
      </c>
      <c r="C2">
        <v>517983.777</v>
      </c>
      <c r="D2">
        <v>0</v>
      </c>
      <c r="E2" s="1">
        <v>0</v>
      </c>
      <c r="F2">
        <v>139.36199999999999</v>
      </c>
    </row>
    <row r="3" spans="1:6" x14ac:dyDescent="0.3">
      <c r="A3">
        <v>348</v>
      </c>
      <c r="B3">
        <v>2694536.6779999998</v>
      </c>
      <c r="C3">
        <v>517984.36700000003</v>
      </c>
      <c r="D3">
        <f>SQRT((C3-C2)^2+(B3-B2)^2)</f>
        <v>1.4003570973425075</v>
      </c>
      <c r="E3" s="1">
        <f>E2+D3</f>
        <v>1.4003570973425075</v>
      </c>
      <c r="F3">
        <v>139.36099999999999</v>
      </c>
    </row>
    <row r="4" spans="1:6" x14ac:dyDescent="0.3">
      <c r="A4">
        <v>349</v>
      </c>
      <c r="B4">
        <v>2694537.611</v>
      </c>
      <c r="C4">
        <v>517986.82400000002</v>
      </c>
      <c r="D4">
        <f t="shared" ref="D4:D15" si="0">SQRT((C4-C3)^2+(B4-B3)^2)</f>
        <v>2.6281815006457037</v>
      </c>
      <c r="E4" s="1">
        <f>E3+D4</f>
        <v>4.0285385979882111</v>
      </c>
      <c r="F4">
        <v>138.01599999999999</v>
      </c>
    </row>
    <row r="5" spans="1:6" x14ac:dyDescent="0.3">
      <c r="A5">
        <v>350</v>
      </c>
      <c r="B5">
        <v>2694535.19</v>
      </c>
      <c r="C5">
        <v>517992.30499999999</v>
      </c>
      <c r="D5">
        <f t="shared" si="0"/>
        <v>5.9918780027726966</v>
      </c>
      <c r="E5" s="1">
        <f t="shared" ref="E5:E15" si="1">E4+D5</f>
        <v>10.020416600760907</v>
      </c>
      <c r="F5">
        <v>136.46799999999999</v>
      </c>
    </row>
    <row r="6" spans="1:6" x14ac:dyDescent="0.3">
      <c r="A6">
        <v>351</v>
      </c>
      <c r="B6">
        <v>2694535.8429999999</v>
      </c>
      <c r="C6">
        <v>517996.78899999999</v>
      </c>
      <c r="D6">
        <f t="shared" si="0"/>
        <v>4.5312983790391899</v>
      </c>
      <c r="E6" s="1">
        <f t="shared" si="1"/>
        <v>14.551714979800096</v>
      </c>
      <c r="F6">
        <v>135.43700000000001</v>
      </c>
    </row>
    <row r="7" spans="1:6" x14ac:dyDescent="0.3">
      <c r="A7">
        <v>352</v>
      </c>
      <c r="B7">
        <v>2694539.0180000002</v>
      </c>
      <c r="C7">
        <v>518013.15700000001</v>
      </c>
      <c r="D7">
        <f t="shared" si="0"/>
        <v>16.673093564252646</v>
      </c>
      <c r="E7" s="1">
        <f t="shared" si="1"/>
        <v>31.224808544052742</v>
      </c>
      <c r="F7">
        <v>135.46700000000001</v>
      </c>
    </row>
    <row r="8" spans="1:6" x14ac:dyDescent="0.3">
      <c r="A8">
        <v>353</v>
      </c>
      <c r="B8">
        <v>2694543.4840000002</v>
      </c>
      <c r="C8">
        <v>518027.23499999999</v>
      </c>
      <c r="D8">
        <f t="shared" si="0"/>
        <v>14.769402154439298</v>
      </c>
      <c r="E8" s="1">
        <f t="shared" si="1"/>
        <v>45.99421069849204</v>
      </c>
      <c r="F8">
        <v>134.94300000000001</v>
      </c>
    </row>
    <row r="9" spans="1:6" x14ac:dyDescent="0.3">
      <c r="A9">
        <v>354</v>
      </c>
      <c r="B9">
        <v>2694552.0529999998</v>
      </c>
      <c r="C9">
        <v>518047.277</v>
      </c>
      <c r="D9">
        <f t="shared" si="0"/>
        <v>21.797007248586961</v>
      </c>
      <c r="E9" s="1">
        <f t="shared" si="1"/>
        <v>67.791217947079005</v>
      </c>
      <c r="F9">
        <v>135.00800000000001</v>
      </c>
    </row>
    <row r="10" spans="1:6" x14ac:dyDescent="0.3">
      <c r="A10">
        <v>355</v>
      </c>
      <c r="B10">
        <v>2694566.0970000001</v>
      </c>
      <c r="C10">
        <v>518062.47399999999</v>
      </c>
      <c r="D10">
        <f t="shared" si="0"/>
        <v>20.692577050864013</v>
      </c>
      <c r="E10" s="1">
        <f t="shared" si="1"/>
        <v>88.483794997943022</v>
      </c>
      <c r="F10">
        <v>134.88300000000001</v>
      </c>
    </row>
    <row r="11" spans="1:6" x14ac:dyDescent="0.3">
      <c r="A11">
        <v>356</v>
      </c>
      <c r="B11">
        <v>2694574.872</v>
      </c>
      <c r="C11">
        <v>518076.00300000003</v>
      </c>
      <c r="D11">
        <f t="shared" si="0"/>
        <v>16.125584206453151</v>
      </c>
      <c r="E11" s="1">
        <f t="shared" si="1"/>
        <v>104.60937920439618</v>
      </c>
      <c r="F11">
        <v>134.822</v>
      </c>
    </row>
    <row r="12" spans="1:6" x14ac:dyDescent="0.3">
      <c r="A12">
        <v>357</v>
      </c>
      <c r="B12">
        <v>2694585.3280000002</v>
      </c>
      <c r="C12">
        <v>518098.99400000001</v>
      </c>
      <c r="D12">
        <f t="shared" si="0"/>
        <v>25.256959773576572</v>
      </c>
      <c r="E12" s="1">
        <f t="shared" si="1"/>
        <v>129.86633897797276</v>
      </c>
      <c r="F12">
        <v>134.91399999999999</v>
      </c>
    </row>
    <row r="13" spans="1:6" x14ac:dyDescent="0.3">
      <c r="A13">
        <v>358</v>
      </c>
      <c r="B13">
        <v>2694587.34</v>
      </c>
      <c r="C13">
        <v>518108.75599999999</v>
      </c>
      <c r="D13">
        <f t="shared" si="0"/>
        <v>9.9671855605436352</v>
      </c>
      <c r="E13" s="1">
        <f t="shared" si="1"/>
        <v>139.8335245385164</v>
      </c>
      <c r="F13">
        <v>135.71899999999999</v>
      </c>
    </row>
    <row r="14" spans="1:6" x14ac:dyDescent="0.3">
      <c r="A14">
        <v>359</v>
      </c>
      <c r="B14">
        <v>2694589.0469999998</v>
      </c>
      <c r="C14">
        <v>518111.57500000001</v>
      </c>
      <c r="D14">
        <f t="shared" si="0"/>
        <v>3.2955439611517181</v>
      </c>
      <c r="E14" s="1">
        <f t="shared" si="1"/>
        <v>143.12906849966811</v>
      </c>
      <c r="F14">
        <v>136.911</v>
      </c>
    </row>
    <row r="15" spans="1:6" x14ac:dyDescent="0.3">
      <c r="A15">
        <v>360</v>
      </c>
      <c r="B15">
        <v>2694590.95</v>
      </c>
      <c r="C15">
        <v>518114.74699999997</v>
      </c>
      <c r="D15">
        <f t="shared" si="0"/>
        <v>3.6990529870870743</v>
      </c>
      <c r="E15" s="1">
        <f t="shared" si="1"/>
        <v>146.82812148675518</v>
      </c>
      <c r="F15">
        <v>137.81200000000001</v>
      </c>
    </row>
    <row r="16" spans="1:6" x14ac:dyDescent="0.3">
      <c r="D16">
        <f>SUM(D2:D15)</f>
        <v>146.82812148675518</v>
      </c>
    </row>
    <row r="17" spans="3:19" x14ac:dyDescent="0.3">
      <c r="C17" s="2" t="s">
        <v>6</v>
      </c>
      <c r="D17" s="2">
        <v>146.83000000000001</v>
      </c>
    </row>
    <row r="22" spans="3:19" x14ac:dyDescent="0.3">
      <c r="O22" t="s">
        <v>59</v>
      </c>
    </row>
    <row r="23" spans="3:19" x14ac:dyDescent="0.3">
      <c r="O23" t="s">
        <v>60</v>
      </c>
    </row>
    <row r="24" spans="3:19" x14ac:dyDescent="0.3">
      <c r="O24" t="s">
        <v>71</v>
      </c>
    </row>
    <row r="26" spans="3:19" x14ac:dyDescent="0.3">
      <c r="P26" s="24" t="s">
        <v>55</v>
      </c>
      <c r="Q26" s="25"/>
      <c r="R26" s="26" t="s">
        <v>56</v>
      </c>
      <c r="S26" s="26"/>
    </row>
    <row r="27" spans="3:19" x14ac:dyDescent="0.3">
      <c r="G27" t="s">
        <v>21</v>
      </c>
      <c r="H27" t="s">
        <v>22</v>
      </c>
      <c r="I27" t="s">
        <v>5</v>
      </c>
      <c r="J27" t="s">
        <v>19</v>
      </c>
      <c r="K27" t="s">
        <v>20</v>
      </c>
      <c r="L27" s="6" t="s">
        <v>23</v>
      </c>
      <c r="M27" s="3" t="s">
        <v>24</v>
      </c>
      <c r="N27" s="3" t="s">
        <v>51</v>
      </c>
      <c r="O27" s="11" t="s">
        <v>54</v>
      </c>
      <c r="P27" s="9" t="s">
        <v>58</v>
      </c>
      <c r="Q27" s="9" t="s">
        <v>57</v>
      </c>
      <c r="R27" s="10" t="s">
        <v>58</v>
      </c>
      <c r="S27" s="10" t="s">
        <v>57</v>
      </c>
    </row>
    <row r="28" spans="3:19" x14ac:dyDescent="0.3">
      <c r="F28" t="s">
        <v>7</v>
      </c>
      <c r="G28">
        <v>88</v>
      </c>
      <c r="H28">
        <f>G29-G28</f>
        <v>17</v>
      </c>
      <c r="I28">
        <v>134.88300000000001</v>
      </c>
      <c r="J28">
        <v>0</v>
      </c>
      <c r="K28">
        <f>1/2*H28*J29</f>
        <v>8.5000000000000006E-2</v>
      </c>
      <c r="L28">
        <f>K28+K31</f>
        <v>0.21000000000000002</v>
      </c>
      <c r="M28">
        <f>SQRT((H28)^2+(I28-I29)^2)</f>
        <v>17.000109440824197</v>
      </c>
      <c r="N28">
        <f>M31+M28</f>
        <v>42.000278720251089</v>
      </c>
      <c r="O28">
        <f>K28/N28</f>
        <v>2.0237960935010637E-3</v>
      </c>
      <c r="P28">
        <f>(1/0.035)*(O28)^(2/3)*(0.012)^(1/2)</f>
        <v>5.0076474681698888E-2</v>
      </c>
      <c r="Q28">
        <f>L28*P28</f>
        <v>1.0516059683156767E-2</v>
      </c>
      <c r="R28">
        <v>0.2</v>
      </c>
      <c r="S28">
        <f>L28*R28</f>
        <v>4.200000000000001E-2</v>
      </c>
    </row>
    <row r="29" spans="3:19" x14ac:dyDescent="0.3">
      <c r="G29">
        <v>105</v>
      </c>
      <c r="I29">
        <v>134.822</v>
      </c>
      <c r="J29">
        <v>0.01</v>
      </c>
    </row>
    <row r="31" spans="3:19" x14ac:dyDescent="0.3">
      <c r="F31" t="s">
        <v>8</v>
      </c>
      <c r="G31">
        <v>105</v>
      </c>
      <c r="H31">
        <f>G32-G31</f>
        <v>25</v>
      </c>
      <c r="I31">
        <v>134.822</v>
      </c>
      <c r="J31">
        <v>0.01</v>
      </c>
      <c r="K31">
        <f>1/2*H31*0.01</f>
        <v>0.125</v>
      </c>
      <c r="M31">
        <f>SQRT((H31)^2+(I32-I31)^2)</f>
        <v>25.000169279426888</v>
      </c>
    </row>
    <row r="32" spans="3:19" x14ac:dyDescent="0.3">
      <c r="G32">
        <v>130</v>
      </c>
      <c r="I32">
        <v>134.91399999999999</v>
      </c>
      <c r="J32">
        <v>0</v>
      </c>
    </row>
  </sheetData>
  <mergeCells count="2">
    <mergeCell ref="P26:Q26"/>
    <mergeCell ref="R26:S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44"/>
  <sheetViews>
    <sheetView topLeftCell="A21" workbookViewId="0">
      <selection activeCell="L45" sqref="L45"/>
    </sheetView>
  </sheetViews>
  <sheetFormatPr defaultRowHeight="14.4" x14ac:dyDescent="0.3"/>
  <cols>
    <col min="4" max="4" width="12" bestFit="1" customWidth="1"/>
    <col min="5" max="5" width="21" bestFit="1" customWidth="1"/>
    <col min="11" max="11" width="15.88671875" bestFit="1" customWidth="1"/>
    <col min="12" max="12" width="15.6640625" bestFit="1" customWidth="1"/>
    <col min="13" max="13" width="18" customWidth="1"/>
  </cols>
  <sheetData>
    <row r="1" spans="1:6" x14ac:dyDescent="0.3">
      <c r="A1" t="s">
        <v>48</v>
      </c>
      <c r="B1" t="s">
        <v>1</v>
      </c>
      <c r="C1" t="s">
        <v>2</v>
      </c>
      <c r="D1" t="s">
        <v>64</v>
      </c>
      <c r="E1" t="s">
        <v>65</v>
      </c>
      <c r="F1" t="s">
        <v>5</v>
      </c>
    </row>
    <row r="2" spans="1:6" x14ac:dyDescent="0.3">
      <c r="A2">
        <v>361</v>
      </c>
      <c r="B2">
        <v>2702534.6579999998</v>
      </c>
      <c r="C2">
        <v>514428.26500000001</v>
      </c>
      <c r="D2">
        <v>0</v>
      </c>
      <c r="E2" s="1">
        <v>0</v>
      </c>
      <c r="F2">
        <v>151.40799999999999</v>
      </c>
    </row>
    <row r="3" spans="1:6" x14ac:dyDescent="0.3">
      <c r="A3">
        <v>362</v>
      </c>
      <c r="B3">
        <v>2702534.6460000002</v>
      </c>
      <c r="C3">
        <v>514428.35399999999</v>
      </c>
      <c r="D3">
        <f>SQRT((C3-C2)^2+(B3-B2)^2)</f>
        <v>8.9805344982533203E-2</v>
      </c>
      <c r="E3" s="1">
        <f>E2+D3</f>
        <v>8.9805344982533203E-2</v>
      </c>
      <c r="F3">
        <v>151.47900000000001</v>
      </c>
    </row>
    <row r="4" spans="1:6" x14ac:dyDescent="0.3">
      <c r="A4">
        <v>363</v>
      </c>
      <c r="B4">
        <v>2702534.7069999999</v>
      </c>
      <c r="C4">
        <v>514431.929</v>
      </c>
      <c r="D4">
        <f t="shared" ref="D4:D13" si="0">SQRT((C4-C3)^2+(B4-B3)^2)</f>
        <v>3.5755203817141417</v>
      </c>
      <c r="E4" s="1">
        <f>E3+D4</f>
        <v>3.665325726696675</v>
      </c>
      <c r="F4">
        <v>147.31399999999999</v>
      </c>
    </row>
    <row r="5" spans="1:6" x14ac:dyDescent="0.3">
      <c r="A5">
        <v>364</v>
      </c>
      <c r="B5">
        <v>2702542.6910000001</v>
      </c>
      <c r="C5">
        <v>514443.57799999998</v>
      </c>
      <c r="D5">
        <f t="shared" si="0"/>
        <v>14.122445149554386</v>
      </c>
      <c r="E5" s="1">
        <f t="shared" ref="E5:E13" si="1">E4+D5</f>
        <v>17.787770876251059</v>
      </c>
      <c r="F5">
        <v>147.191</v>
      </c>
    </row>
    <row r="6" spans="1:6" x14ac:dyDescent="0.3">
      <c r="A6">
        <v>365</v>
      </c>
      <c r="B6">
        <v>2702553.4389999998</v>
      </c>
      <c r="C6">
        <v>514459.36099999998</v>
      </c>
      <c r="D6">
        <f t="shared" si="0"/>
        <v>19.095093427182302</v>
      </c>
      <c r="E6" s="1">
        <f t="shared" si="1"/>
        <v>36.882864303433365</v>
      </c>
      <c r="F6">
        <v>147.59200000000001</v>
      </c>
    </row>
    <row r="7" spans="1:6" x14ac:dyDescent="0.3">
      <c r="A7">
        <v>366</v>
      </c>
      <c r="B7">
        <v>2702561.0359999998</v>
      </c>
      <c r="C7">
        <v>514474.69900000002</v>
      </c>
      <c r="D7">
        <f t="shared" si="0"/>
        <v>17.116327088556748</v>
      </c>
      <c r="E7" s="1">
        <f t="shared" si="1"/>
        <v>53.999191391990109</v>
      </c>
      <c r="F7">
        <v>148.59299999999999</v>
      </c>
    </row>
    <row r="8" spans="1:6" x14ac:dyDescent="0.3">
      <c r="A8">
        <v>367</v>
      </c>
      <c r="B8">
        <v>2702562.02</v>
      </c>
      <c r="C8">
        <v>514477.65100000001</v>
      </c>
      <c r="D8">
        <f t="shared" si="0"/>
        <v>3.1116812176505979</v>
      </c>
      <c r="E8" s="1">
        <f t="shared" si="1"/>
        <v>57.110872609640708</v>
      </c>
      <c r="F8">
        <v>148.334</v>
      </c>
    </row>
    <row r="9" spans="1:6" x14ac:dyDescent="0.3">
      <c r="A9">
        <v>368</v>
      </c>
      <c r="B9">
        <v>2702566.5269999998</v>
      </c>
      <c r="C9">
        <v>514485.60499999998</v>
      </c>
      <c r="D9">
        <f t="shared" si="0"/>
        <v>9.1421641309513717</v>
      </c>
      <c r="E9" s="1">
        <f t="shared" si="1"/>
        <v>66.25303674059208</v>
      </c>
      <c r="F9">
        <v>148.078</v>
      </c>
    </row>
    <row r="10" spans="1:6" x14ac:dyDescent="0.3">
      <c r="A10">
        <v>369</v>
      </c>
      <c r="B10">
        <v>2702568.5350000001</v>
      </c>
      <c r="C10">
        <v>514496.10600000003</v>
      </c>
      <c r="D10">
        <f t="shared" si="0"/>
        <v>10.691261151170311</v>
      </c>
      <c r="E10" s="1">
        <f t="shared" si="1"/>
        <v>76.944297891762389</v>
      </c>
      <c r="F10">
        <v>148.05500000000001</v>
      </c>
    </row>
    <row r="11" spans="1:6" x14ac:dyDescent="0.3">
      <c r="A11">
        <v>370</v>
      </c>
      <c r="B11">
        <v>2702565.0060000001</v>
      </c>
      <c r="C11">
        <v>514500.109</v>
      </c>
      <c r="D11">
        <f t="shared" si="0"/>
        <v>5.3364641852472303</v>
      </c>
      <c r="E11" s="1">
        <f t="shared" si="1"/>
        <v>82.280762077009626</v>
      </c>
      <c r="F11">
        <v>149.10300000000001</v>
      </c>
    </row>
    <row r="12" spans="1:6" x14ac:dyDescent="0.3">
      <c r="A12">
        <v>371</v>
      </c>
      <c r="B12">
        <v>2702568.452</v>
      </c>
      <c r="C12">
        <v>514500.81</v>
      </c>
      <c r="D12">
        <f t="shared" si="0"/>
        <v>3.5165774554210563</v>
      </c>
      <c r="E12" s="1">
        <f t="shared" si="1"/>
        <v>85.797339532430684</v>
      </c>
      <c r="F12">
        <v>150.767</v>
      </c>
    </row>
    <row r="13" spans="1:6" x14ac:dyDescent="0.3">
      <c r="A13">
        <v>372</v>
      </c>
      <c r="B13">
        <v>2702569.4789999998</v>
      </c>
      <c r="C13">
        <v>514502.89399999997</v>
      </c>
      <c r="D13">
        <f t="shared" si="0"/>
        <v>2.3233133665984367</v>
      </c>
      <c r="E13" s="1">
        <f t="shared" si="1"/>
        <v>88.120652899029125</v>
      </c>
      <c r="F13">
        <v>151.28399999999999</v>
      </c>
    </row>
    <row r="14" spans="1:6" x14ac:dyDescent="0.3">
      <c r="D14">
        <f>SUM(D2:D13)</f>
        <v>88.120652899029125</v>
      </c>
    </row>
    <row r="23" spans="5:18" x14ac:dyDescent="0.3">
      <c r="N23" t="s">
        <v>59</v>
      </c>
    </row>
    <row r="24" spans="5:18" x14ac:dyDescent="0.3">
      <c r="N24" t="s">
        <v>60</v>
      </c>
    </row>
    <row r="25" spans="5:18" x14ac:dyDescent="0.3">
      <c r="N25" t="s">
        <v>61</v>
      </c>
    </row>
    <row r="27" spans="5:18" x14ac:dyDescent="0.3">
      <c r="O27" s="24" t="s">
        <v>55</v>
      </c>
      <c r="P27" s="25"/>
      <c r="Q27" s="26" t="s">
        <v>56</v>
      </c>
      <c r="R27" s="26"/>
    </row>
    <row r="28" spans="5:18" x14ac:dyDescent="0.3">
      <c r="F28" t="s">
        <v>21</v>
      </c>
      <c r="G28" t="s">
        <v>22</v>
      </c>
      <c r="H28" t="s">
        <v>5</v>
      </c>
      <c r="I28" t="s">
        <v>19</v>
      </c>
      <c r="J28" t="s">
        <v>20</v>
      </c>
      <c r="K28" s="6" t="s">
        <v>23</v>
      </c>
      <c r="L28" s="3" t="s">
        <v>24</v>
      </c>
      <c r="M28" s="3" t="s">
        <v>51</v>
      </c>
      <c r="N28" s="11" t="s">
        <v>54</v>
      </c>
      <c r="O28" s="9" t="s">
        <v>58</v>
      </c>
      <c r="P28" s="9" t="s">
        <v>57</v>
      </c>
      <c r="Q28" s="10" t="s">
        <v>58</v>
      </c>
      <c r="R28" s="10" t="s">
        <v>57</v>
      </c>
    </row>
    <row r="29" spans="5:18" x14ac:dyDescent="0.3">
      <c r="E29" t="s">
        <v>7</v>
      </c>
    </row>
    <row r="32" spans="5:18" x14ac:dyDescent="0.3">
      <c r="E32" t="s">
        <v>8</v>
      </c>
    </row>
    <row r="35" spans="5:5" x14ac:dyDescent="0.3">
      <c r="E35" t="s">
        <v>9</v>
      </c>
    </row>
    <row r="38" spans="5:5" x14ac:dyDescent="0.3">
      <c r="E38" t="s">
        <v>10</v>
      </c>
    </row>
    <row r="41" spans="5:5" x14ac:dyDescent="0.3">
      <c r="E41" t="s">
        <v>11</v>
      </c>
    </row>
    <row r="44" spans="5:5" x14ac:dyDescent="0.3">
      <c r="E44" t="s">
        <v>12</v>
      </c>
    </row>
  </sheetData>
  <mergeCells count="2">
    <mergeCell ref="O27:P27"/>
    <mergeCell ref="Q27:R2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46"/>
  <sheetViews>
    <sheetView topLeftCell="A7" workbookViewId="0">
      <selection activeCell="G24" sqref="G24"/>
    </sheetView>
  </sheetViews>
  <sheetFormatPr defaultRowHeight="14.4" x14ac:dyDescent="0.3"/>
  <sheetData>
    <row r="1" spans="1:6" x14ac:dyDescent="0.3">
      <c r="A1" t="s">
        <v>48</v>
      </c>
      <c r="B1" t="s">
        <v>1</v>
      </c>
      <c r="C1" t="s">
        <v>2</v>
      </c>
      <c r="D1" t="s">
        <v>64</v>
      </c>
      <c r="E1" t="s">
        <v>65</v>
      </c>
      <c r="F1" t="s">
        <v>5</v>
      </c>
    </row>
    <row r="2" spans="1:6" x14ac:dyDescent="0.3">
      <c r="A2">
        <v>373</v>
      </c>
      <c r="B2">
        <v>2702543.78</v>
      </c>
      <c r="C2">
        <v>513658.58299999998</v>
      </c>
      <c r="D2">
        <v>0</v>
      </c>
      <c r="E2" s="1">
        <v>0</v>
      </c>
      <c r="F2">
        <v>154.79400000000001</v>
      </c>
    </row>
    <row r="3" spans="1:6" x14ac:dyDescent="0.3">
      <c r="A3">
        <v>374</v>
      </c>
      <c r="B3">
        <v>2702538.6469999999</v>
      </c>
      <c r="C3">
        <v>513656.42700000003</v>
      </c>
      <c r="D3">
        <f>SQRT((C3-C2)^2+(B3-B2)^2)</f>
        <v>5.5674073857535964</v>
      </c>
      <c r="E3" s="1">
        <f>E2+D3</f>
        <v>5.5674073857535964</v>
      </c>
      <c r="F3">
        <v>153.30099999999999</v>
      </c>
    </row>
    <row r="4" spans="1:6" x14ac:dyDescent="0.3">
      <c r="A4">
        <v>375</v>
      </c>
      <c r="B4">
        <v>2702531.69</v>
      </c>
      <c r="C4">
        <v>513654.304</v>
      </c>
      <c r="D4">
        <f t="shared" ref="D4:D13" si="0">SQRT((C4-C3)^2+(B4-B3)^2)</f>
        <v>7.2737183062866668</v>
      </c>
      <c r="E4" s="1">
        <f>E3+D4</f>
        <v>12.841125692040263</v>
      </c>
      <c r="F4">
        <v>151.38800000000001</v>
      </c>
    </row>
    <row r="5" spans="1:6" x14ac:dyDescent="0.3">
      <c r="A5">
        <v>376</v>
      </c>
      <c r="B5">
        <v>2702524.8029999998</v>
      </c>
      <c r="C5">
        <v>513652.94500000001</v>
      </c>
      <c r="D5">
        <f t="shared" si="0"/>
        <v>7.0198041284232335</v>
      </c>
      <c r="E5" s="1">
        <f t="shared" ref="E5:E13" si="1">E4+D5</f>
        <v>19.860929820463497</v>
      </c>
      <c r="F5">
        <v>149.358</v>
      </c>
    </row>
    <row r="6" spans="1:6" x14ac:dyDescent="0.3">
      <c r="A6">
        <v>377</v>
      </c>
      <c r="B6">
        <v>2702522.2969999998</v>
      </c>
      <c r="C6">
        <v>513652.85200000001</v>
      </c>
      <c r="D6">
        <f t="shared" si="0"/>
        <v>2.5077250647270293</v>
      </c>
      <c r="E6" s="1">
        <f t="shared" si="1"/>
        <v>22.368654885190526</v>
      </c>
      <c r="F6">
        <v>148.25399999999999</v>
      </c>
    </row>
    <row r="7" spans="1:6" x14ac:dyDescent="0.3">
      <c r="A7">
        <v>378</v>
      </c>
      <c r="B7">
        <v>2702506.466</v>
      </c>
      <c r="C7">
        <v>513646.61</v>
      </c>
      <c r="D7">
        <f t="shared" si="0"/>
        <v>17.017142092406353</v>
      </c>
      <c r="E7" s="1">
        <f t="shared" si="1"/>
        <v>39.385796977596883</v>
      </c>
      <c r="F7">
        <v>148.26</v>
      </c>
    </row>
    <row r="8" spans="1:6" x14ac:dyDescent="0.3">
      <c r="A8">
        <v>379</v>
      </c>
      <c r="B8">
        <v>2702481.3250000002</v>
      </c>
      <c r="C8">
        <v>513639.10399999999</v>
      </c>
      <c r="D8">
        <f t="shared" si="0"/>
        <v>26.237566903036047</v>
      </c>
      <c r="E8" s="1">
        <f t="shared" si="1"/>
        <v>65.623363880632922</v>
      </c>
      <c r="F8">
        <v>148.59200000000001</v>
      </c>
    </row>
    <row r="9" spans="1:6" x14ac:dyDescent="0.3">
      <c r="A9">
        <v>380</v>
      </c>
      <c r="B9">
        <v>2702452.4</v>
      </c>
      <c r="C9">
        <v>513632.17099999997</v>
      </c>
      <c r="D9">
        <f t="shared" si="0"/>
        <v>29.744278677023381</v>
      </c>
      <c r="E9" s="1">
        <f t="shared" si="1"/>
        <v>95.367642557656296</v>
      </c>
      <c r="F9">
        <v>148.815</v>
      </c>
    </row>
    <row r="10" spans="1:6" x14ac:dyDescent="0.3">
      <c r="A10">
        <v>381</v>
      </c>
      <c r="B10">
        <v>2702450.1490000002</v>
      </c>
      <c r="C10">
        <v>513632.15500000003</v>
      </c>
      <c r="D10">
        <f t="shared" si="0"/>
        <v>2.2510568625958274</v>
      </c>
      <c r="E10" s="1">
        <f t="shared" si="1"/>
        <v>97.618699420252128</v>
      </c>
      <c r="F10">
        <v>148.38200000000001</v>
      </c>
    </row>
    <row r="11" spans="1:6" x14ac:dyDescent="0.3">
      <c r="A11">
        <v>382</v>
      </c>
      <c r="B11">
        <v>2702446.3459999999</v>
      </c>
      <c r="C11">
        <v>513632.25400000002</v>
      </c>
      <c r="D11">
        <f t="shared" si="0"/>
        <v>3.8042883700267707</v>
      </c>
      <c r="E11" s="1">
        <f t="shared" si="1"/>
        <v>101.4229877902789</v>
      </c>
      <c r="F11">
        <v>149.19</v>
      </c>
    </row>
    <row r="12" spans="1:6" x14ac:dyDescent="0.3">
      <c r="A12">
        <v>383</v>
      </c>
      <c r="B12">
        <v>2702438.0610000002</v>
      </c>
      <c r="C12">
        <v>513629.837</v>
      </c>
      <c r="D12">
        <f t="shared" si="0"/>
        <v>8.6303600153660831</v>
      </c>
      <c r="E12" s="1">
        <f t="shared" si="1"/>
        <v>110.05334780564498</v>
      </c>
      <c r="F12">
        <v>150.637</v>
      </c>
    </row>
    <row r="13" spans="1:6" x14ac:dyDescent="0.3">
      <c r="A13">
        <v>384</v>
      </c>
      <c r="B13">
        <v>2702435.4240000001</v>
      </c>
      <c r="C13">
        <v>513627.73</v>
      </c>
      <c r="D13">
        <f t="shared" si="0"/>
        <v>3.3753841263812703</v>
      </c>
      <c r="E13" s="1">
        <f t="shared" si="1"/>
        <v>113.42873193202624</v>
      </c>
      <c r="F13">
        <v>152.75299999999999</v>
      </c>
    </row>
    <row r="14" spans="1:6" x14ac:dyDescent="0.3">
      <c r="D14">
        <f>SUM(D2:D13)</f>
        <v>113.42873193202624</v>
      </c>
    </row>
    <row r="25" spans="6:19" x14ac:dyDescent="0.3">
      <c r="O25" t="s">
        <v>59</v>
      </c>
    </row>
    <row r="26" spans="6:19" x14ac:dyDescent="0.3">
      <c r="O26" t="s">
        <v>60</v>
      </c>
    </row>
    <row r="27" spans="6:19" x14ac:dyDescent="0.3">
      <c r="O27" t="s">
        <v>61</v>
      </c>
    </row>
    <row r="29" spans="6:19" x14ac:dyDescent="0.3">
      <c r="P29" s="24" t="s">
        <v>55</v>
      </c>
      <c r="Q29" s="25"/>
      <c r="R29" s="26" t="s">
        <v>56</v>
      </c>
      <c r="S29" s="26"/>
    </row>
    <row r="30" spans="6:19" x14ac:dyDescent="0.3">
      <c r="G30" t="s">
        <v>21</v>
      </c>
      <c r="H30" t="s">
        <v>22</v>
      </c>
      <c r="I30" t="s">
        <v>5</v>
      </c>
      <c r="J30" t="s">
        <v>19</v>
      </c>
      <c r="K30" t="s">
        <v>20</v>
      </c>
      <c r="L30" s="6" t="s">
        <v>23</v>
      </c>
      <c r="M30" s="3" t="s">
        <v>24</v>
      </c>
      <c r="N30" s="3" t="s">
        <v>51</v>
      </c>
      <c r="O30" s="11" t="s">
        <v>54</v>
      </c>
      <c r="P30" s="9" t="s">
        <v>58</v>
      </c>
      <c r="Q30" s="9" t="s">
        <v>57</v>
      </c>
      <c r="R30" s="10" t="s">
        <v>58</v>
      </c>
      <c r="S30" s="10" t="s">
        <v>57</v>
      </c>
    </row>
    <row r="31" spans="6:19" x14ac:dyDescent="0.3">
      <c r="F31" t="s">
        <v>7</v>
      </c>
    </row>
    <row r="34" spans="6:6" x14ac:dyDescent="0.3">
      <c r="F34" t="s">
        <v>8</v>
      </c>
    </row>
    <row r="37" spans="6:6" x14ac:dyDescent="0.3">
      <c r="F37" t="s">
        <v>9</v>
      </c>
    </row>
    <row r="40" spans="6:6" x14ac:dyDescent="0.3">
      <c r="F40" t="s">
        <v>10</v>
      </c>
    </row>
    <row r="43" spans="6:6" x14ac:dyDescent="0.3">
      <c r="F43" t="s">
        <v>11</v>
      </c>
    </row>
    <row r="46" spans="6:6" x14ac:dyDescent="0.3">
      <c r="F46" t="s">
        <v>12</v>
      </c>
    </row>
  </sheetData>
  <mergeCells count="2">
    <mergeCell ref="P29:Q29"/>
    <mergeCell ref="R29:S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4"/>
  <sheetViews>
    <sheetView zoomScale="99" zoomScaleNormal="99" workbookViewId="0">
      <selection activeCell="M34" sqref="M34"/>
    </sheetView>
  </sheetViews>
  <sheetFormatPr defaultRowHeight="14.4" x14ac:dyDescent="0.3"/>
  <cols>
    <col min="15" max="15" width="17.44140625" customWidth="1"/>
    <col min="16" max="16" width="15.88671875" bestFit="1" customWidth="1"/>
    <col min="17" max="17" width="24.77734375" bestFit="1" customWidth="1"/>
    <col min="18" max="18" width="11.88671875" customWidth="1"/>
    <col min="19" max="19" width="15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153</v>
      </c>
      <c r="B2">
        <v>2658901.9479999999</v>
      </c>
      <c r="C2">
        <v>539418.55599999998</v>
      </c>
      <c r="D2">
        <v>0</v>
      </c>
      <c r="E2">
        <v>0</v>
      </c>
      <c r="F2">
        <v>84.001000000000005</v>
      </c>
    </row>
    <row r="3" spans="1:6" x14ac:dyDescent="0.3">
      <c r="A3">
        <v>152</v>
      </c>
      <c r="B3">
        <v>2658909.1719999998</v>
      </c>
      <c r="C3">
        <v>539432.5</v>
      </c>
      <c r="D3">
        <f>SQRT((C3-C2)^2+(B3-B2)^2)</f>
        <v>15.704181354004762</v>
      </c>
      <c r="E3" s="1">
        <f>E2+D3</f>
        <v>15.704181354004762</v>
      </c>
      <c r="F3">
        <v>84.391000000000005</v>
      </c>
    </row>
    <row r="4" spans="1:6" x14ac:dyDescent="0.3">
      <c r="A4">
        <v>151</v>
      </c>
      <c r="B4">
        <v>2658923.7059999998</v>
      </c>
      <c r="C4">
        <v>539450.18299999996</v>
      </c>
      <c r="D4">
        <f>SQRT((C4-C3)^2+(B4-B3)^2)</f>
        <v>22.889422120232382</v>
      </c>
      <c r="E4" s="1">
        <f>E3+D4</f>
        <v>38.593603474237142</v>
      </c>
      <c r="F4">
        <v>83.131</v>
      </c>
    </row>
    <row r="5" spans="1:6" x14ac:dyDescent="0.3">
      <c r="A5">
        <v>150</v>
      </c>
      <c r="B5">
        <v>2658943.9730000002</v>
      </c>
      <c r="C5">
        <v>539463.02</v>
      </c>
      <c r="D5">
        <f t="shared" ref="D5:D50" si="0">SQRT((C5-C4)^2+(B5-B4)^2)</f>
        <v>23.990411793465647</v>
      </c>
      <c r="E5" s="1">
        <f t="shared" ref="E5:E50" si="1">E4+D5</f>
        <v>62.584015267702789</v>
      </c>
      <c r="F5">
        <v>81.784999999999997</v>
      </c>
    </row>
    <row r="6" spans="1:6" x14ac:dyDescent="0.3">
      <c r="A6">
        <v>149</v>
      </c>
      <c r="B6">
        <v>2658947.2230000002</v>
      </c>
      <c r="C6">
        <v>539466.48600000003</v>
      </c>
      <c r="D6">
        <f t="shared" si="0"/>
        <v>4.7513846403025815</v>
      </c>
      <c r="E6" s="1">
        <f t="shared" si="1"/>
        <v>67.335399908005371</v>
      </c>
      <c r="F6">
        <v>82.106999999999999</v>
      </c>
    </row>
    <row r="7" spans="1:6" x14ac:dyDescent="0.3">
      <c r="A7">
        <v>148</v>
      </c>
      <c r="B7">
        <v>2658952.4900000002</v>
      </c>
      <c r="C7">
        <v>539470.32999999996</v>
      </c>
      <c r="D7">
        <f t="shared" si="0"/>
        <v>6.5205540408267115</v>
      </c>
      <c r="E7" s="1">
        <f t="shared" si="1"/>
        <v>73.855953948832081</v>
      </c>
      <c r="F7">
        <v>80.754000000000005</v>
      </c>
    </row>
    <row r="8" spans="1:6" x14ac:dyDescent="0.3">
      <c r="A8">
        <v>147</v>
      </c>
      <c r="B8">
        <v>2658964.898</v>
      </c>
      <c r="C8">
        <v>539482.37300000002</v>
      </c>
      <c r="D8">
        <f t="shared" si="0"/>
        <v>17.291394188933637</v>
      </c>
      <c r="E8" s="1">
        <f t="shared" si="1"/>
        <v>91.147348137765718</v>
      </c>
      <c r="F8">
        <v>81.647999999999996</v>
      </c>
    </row>
    <row r="9" spans="1:6" x14ac:dyDescent="0.3">
      <c r="A9">
        <v>146</v>
      </c>
      <c r="B9">
        <v>2658969.8530000001</v>
      </c>
      <c r="C9">
        <v>539487.54099999997</v>
      </c>
      <c r="D9">
        <f t="shared" si="0"/>
        <v>7.1596263170775654</v>
      </c>
      <c r="E9" s="1">
        <f t="shared" si="1"/>
        <v>98.306974454843285</v>
      </c>
      <c r="F9">
        <v>80.948999999999998</v>
      </c>
    </row>
    <row r="10" spans="1:6" x14ac:dyDescent="0.3">
      <c r="A10">
        <v>145</v>
      </c>
      <c r="B10">
        <v>2658988.6809999999</v>
      </c>
      <c r="C10">
        <v>539501.90500000003</v>
      </c>
      <c r="D10">
        <f t="shared" si="0"/>
        <v>23.681597918894184</v>
      </c>
      <c r="E10" s="1">
        <f t="shared" si="1"/>
        <v>121.98857237373747</v>
      </c>
      <c r="F10">
        <v>81.709999999999994</v>
      </c>
    </row>
    <row r="11" spans="1:6" x14ac:dyDescent="0.3">
      <c r="A11">
        <v>144</v>
      </c>
      <c r="B11">
        <v>2658994.4410000001</v>
      </c>
      <c r="C11">
        <v>539508.875</v>
      </c>
      <c r="D11">
        <f t="shared" si="0"/>
        <v>9.042040699001527</v>
      </c>
      <c r="E11" s="1">
        <f t="shared" si="1"/>
        <v>131.03061307273899</v>
      </c>
      <c r="F11">
        <v>80.822999999999993</v>
      </c>
    </row>
    <row r="12" spans="1:6" x14ac:dyDescent="0.3">
      <c r="A12">
        <v>143</v>
      </c>
      <c r="B12">
        <v>2659005.1660000002</v>
      </c>
      <c r="C12">
        <v>539528.89</v>
      </c>
      <c r="D12">
        <f t="shared" si="0"/>
        <v>22.707396372163782</v>
      </c>
      <c r="E12" s="1">
        <f t="shared" si="1"/>
        <v>153.73800944490276</v>
      </c>
      <c r="F12">
        <v>81.227999999999994</v>
      </c>
    </row>
    <row r="13" spans="1:6" x14ac:dyDescent="0.3">
      <c r="A13">
        <v>142</v>
      </c>
      <c r="B13">
        <v>2659013.8849999998</v>
      </c>
      <c r="C13">
        <v>539554.21499999997</v>
      </c>
      <c r="D13">
        <f t="shared" si="0"/>
        <v>26.783886685659265</v>
      </c>
      <c r="E13" s="1">
        <f t="shared" si="1"/>
        <v>180.52189613056203</v>
      </c>
      <c r="F13">
        <v>80.897000000000006</v>
      </c>
    </row>
    <row r="14" spans="1:6" x14ac:dyDescent="0.3">
      <c r="A14">
        <v>141</v>
      </c>
      <c r="B14">
        <v>2659026.8769999999</v>
      </c>
      <c r="C14">
        <v>539579.41200000001</v>
      </c>
      <c r="D14">
        <f t="shared" si="0"/>
        <v>28.349265828314358</v>
      </c>
      <c r="E14" s="1">
        <f t="shared" si="1"/>
        <v>208.87116195887637</v>
      </c>
      <c r="F14">
        <v>80.691000000000003</v>
      </c>
    </row>
    <row r="15" spans="1:6" x14ac:dyDescent="0.3">
      <c r="A15">
        <v>140</v>
      </c>
      <c r="B15">
        <v>2659028.2000000002</v>
      </c>
      <c r="C15">
        <v>539581.63899999997</v>
      </c>
      <c r="D15">
        <f t="shared" si="0"/>
        <v>2.5903393601338145</v>
      </c>
      <c r="E15" s="1">
        <f t="shared" si="1"/>
        <v>211.46150131901018</v>
      </c>
      <c r="F15">
        <v>81.591999999999999</v>
      </c>
    </row>
    <row r="16" spans="1:6" x14ac:dyDescent="0.3">
      <c r="A16">
        <v>139</v>
      </c>
      <c r="B16">
        <v>2659032.2510000002</v>
      </c>
      <c r="C16">
        <v>539586.255</v>
      </c>
      <c r="D16">
        <f t="shared" si="0"/>
        <v>6.141502829126714</v>
      </c>
      <c r="E16" s="1">
        <f t="shared" si="1"/>
        <v>217.6030041481369</v>
      </c>
      <c r="F16">
        <v>81.760000000000005</v>
      </c>
    </row>
    <row r="17" spans="1:22" x14ac:dyDescent="0.3">
      <c r="A17">
        <v>138</v>
      </c>
      <c r="B17">
        <v>2659037.3220000002</v>
      </c>
      <c r="C17">
        <v>539595.65099999995</v>
      </c>
      <c r="D17">
        <f t="shared" si="0"/>
        <v>10.677071555394631</v>
      </c>
      <c r="E17" s="1">
        <f t="shared" si="1"/>
        <v>228.28007570353154</v>
      </c>
      <c r="F17">
        <v>81.120999999999995</v>
      </c>
    </row>
    <row r="18" spans="1:22" x14ac:dyDescent="0.3">
      <c r="A18">
        <v>137</v>
      </c>
      <c r="B18">
        <v>2659043.7420000001</v>
      </c>
      <c r="C18">
        <v>539611.62800000003</v>
      </c>
      <c r="D18">
        <f t="shared" si="0"/>
        <v>17.218621576692335</v>
      </c>
      <c r="E18" s="1">
        <f t="shared" si="1"/>
        <v>245.49869728022387</v>
      </c>
      <c r="F18">
        <v>80.222999999999999</v>
      </c>
    </row>
    <row r="19" spans="1:22" x14ac:dyDescent="0.3">
      <c r="A19">
        <v>136</v>
      </c>
      <c r="B19">
        <v>2659049.2680000002</v>
      </c>
      <c r="C19">
        <v>539616.91500000004</v>
      </c>
      <c r="D19">
        <f t="shared" si="0"/>
        <v>7.647813086163942</v>
      </c>
      <c r="E19" s="1">
        <f t="shared" si="1"/>
        <v>253.14651036638782</v>
      </c>
      <c r="F19">
        <v>79.927000000000007</v>
      </c>
      <c r="R19" t="s">
        <v>59</v>
      </c>
    </row>
    <row r="20" spans="1:22" x14ac:dyDescent="0.3">
      <c r="A20">
        <v>135</v>
      </c>
      <c r="B20">
        <v>2659052.09</v>
      </c>
      <c r="C20">
        <v>539619.46</v>
      </c>
      <c r="D20">
        <f t="shared" si="0"/>
        <v>3.8000932880518437</v>
      </c>
      <c r="E20" s="1">
        <f t="shared" si="1"/>
        <v>256.94660365443968</v>
      </c>
      <c r="F20">
        <v>80.221999999999994</v>
      </c>
      <c r="R20" t="s">
        <v>60</v>
      </c>
    </row>
    <row r="21" spans="1:22" x14ac:dyDescent="0.3">
      <c r="A21">
        <v>134</v>
      </c>
      <c r="B21">
        <v>2659058.1230000001</v>
      </c>
      <c r="C21">
        <v>539625.56000000006</v>
      </c>
      <c r="D21">
        <f t="shared" si="0"/>
        <v>8.5794573840422625</v>
      </c>
      <c r="E21" s="1">
        <f t="shared" si="1"/>
        <v>265.52606103848194</v>
      </c>
      <c r="F21">
        <v>80.152000000000001</v>
      </c>
      <c r="R21" t="s">
        <v>66</v>
      </c>
    </row>
    <row r="22" spans="1:22" x14ac:dyDescent="0.3">
      <c r="A22">
        <v>133</v>
      </c>
      <c r="B22">
        <v>2659060.0240000002</v>
      </c>
      <c r="C22">
        <v>539627.495</v>
      </c>
      <c r="D22">
        <f t="shared" si="0"/>
        <v>2.7125681558321872</v>
      </c>
      <c r="E22" s="1">
        <f t="shared" si="1"/>
        <v>268.23862919431411</v>
      </c>
      <c r="F22">
        <v>80.891000000000005</v>
      </c>
    </row>
    <row r="23" spans="1:22" x14ac:dyDescent="0.3">
      <c r="A23">
        <v>132</v>
      </c>
      <c r="B23">
        <v>2659063.5819999999</v>
      </c>
      <c r="C23">
        <v>539634.03899999999</v>
      </c>
      <c r="D23">
        <f t="shared" si="0"/>
        <v>7.4487112978012311</v>
      </c>
      <c r="E23" s="1">
        <f t="shared" si="1"/>
        <v>275.68734049211537</v>
      </c>
      <c r="F23">
        <v>80.78</v>
      </c>
      <c r="S23" s="24" t="s">
        <v>55</v>
      </c>
      <c r="T23" s="25"/>
      <c r="U23" s="26" t="s">
        <v>56</v>
      </c>
      <c r="V23" s="26"/>
    </row>
    <row r="24" spans="1:22" x14ac:dyDescent="0.3">
      <c r="A24">
        <v>131</v>
      </c>
      <c r="B24">
        <v>2659065.531</v>
      </c>
      <c r="C24">
        <v>539636.272</v>
      </c>
      <c r="D24">
        <f t="shared" si="0"/>
        <v>2.9639315107000028</v>
      </c>
      <c r="E24" s="1">
        <f t="shared" si="1"/>
        <v>278.65127200281535</v>
      </c>
      <c r="F24">
        <v>81.926000000000002</v>
      </c>
      <c r="J24" t="s">
        <v>21</v>
      </c>
      <c r="K24" t="s">
        <v>22</v>
      </c>
      <c r="L24" t="s">
        <v>5</v>
      </c>
      <c r="M24" t="s">
        <v>19</v>
      </c>
      <c r="N24" t="s">
        <v>20</v>
      </c>
      <c r="O24" s="6" t="s">
        <v>23</v>
      </c>
      <c r="P24" s="3" t="s">
        <v>24</v>
      </c>
      <c r="Q24" s="3" t="s">
        <v>51</v>
      </c>
      <c r="R24" s="11" t="s">
        <v>54</v>
      </c>
      <c r="S24" s="9" t="s">
        <v>58</v>
      </c>
      <c r="T24" s="9" t="s">
        <v>57</v>
      </c>
      <c r="U24" s="10" t="s">
        <v>58</v>
      </c>
      <c r="V24" s="10" t="s">
        <v>57</v>
      </c>
    </row>
    <row r="25" spans="1:22" x14ac:dyDescent="0.3">
      <c r="A25">
        <v>130</v>
      </c>
      <c r="B25">
        <v>2659073.2969999998</v>
      </c>
      <c r="C25">
        <v>539644.39300000004</v>
      </c>
      <c r="D25">
        <f t="shared" si="0"/>
        <v>11.236609675432986</v>
      </c>
      <c r="E25" s="1">
        <f t="shared" si="1"/>
        <v>289.88788167824833</v>
      </c>
      <c r="F25">
        <v>81.644000000000005</v>
      </c>
      <c r="I25" s="14" t="s">
        <v>7</v>
      </c>
      <c r="J25" s="15">
        <v>245</v>
      </c>
      <c r="K25" s="15">
        <f>J26-J25</f>
        <v>8</v>
      </c>
      <c r="L25" s="15">
        <v>80.222999999999999</v>
      </c>
      <c r="M25" s="15">
        <v>0</v>
      </c>
      <c r="N25" s="16">
        <f>1/2*8*0.32</f>
        <v>1.28</v>
      </c>
      <c r="O25" s="7">
        <f>(N25+N28+N31+N34+N37+N40+N43+N46+N49+N52+N55+N58+N61+N64+N67+N70+N73)</f>
        <v>47.498000000000005</v>
      </c>
      <c r="P25">
        <f>SQRT((K25)^2+(L25-L26)^2)</f>
        <v>8.0054741271207668</v>
      </c>
      <c r="Q25">
        <f>P25+P28+P31+P34+P37+P40+P43+P46+P49+P52+P55+P58+P61+P64+P67+P70+P73</f>
        <v>180.24286054222594</v>
      </c>
      <c r="R25">
        <f>O25/Q25</f>
        <v>0.26352222693931632</v>
      </c>
      <c r="U25">
        <v>0.17</v>
      </c>
      <c r="V25">
        <f>O25*U25</f>
        <v>8.0746600000000015</v>
      </c>
    </row>
    <row r="26" spans="1:22" x14ac:dyDescent="0.3">
      <c r="A26">
        <v>129</v>
      </c>
      <c r="B26">
        <v>2659080.7710000002</v>
      </c>
      <c r="C26">
        <v>539651.04099999997</v>
      </c>
      <c r="D26">
        <f t="shared" si="0"/>
        <v>10.002828600198505</v>
      </c>
      <c r="E26" s="1">
        <f t="shared" si="1"/>
        <v>299.89071027844682</v>
      </c>
      <c r="F26">
        <v>80.903000000000006</v>
      </c>
      <c r="I26" s="17"/>
      <c r="J26" s="12">
        <v>253</v>
      </c>
      <c r="K26" s="12"/>
      <c r="L26" s="12">
        <v>79.927000000000007</v>
      </c>
      <c r="M26" s="13">
        <v>0.32</v>
      </c>
      <c r="N26" s="18"/>
      <c r="S26">
        <f>(1/0.035)*(R25)^(2/3)*(0.002)^(1/2)</f>
        <v>0.52520048857815482</v>
      </c>
      <c r="T26">
        <f>O25*S26</f>
        <v>24.945972806485202</v>
      </c>
    </row>
    <row r="27" spans="1:22" x14ac:dyDescent="0.3">
      <c r="A27">
        <v>128</v>
      </c>
      <c r="B27">
        <v>2659108.287</v>
      </c>
      <c r="C27">
        <v>539673.38399999996</v>
      </c>
      <c r="D27">
        <f t="shared" si="0"/>
        <v>35.444885456018589</v>
      </c>
      <c r="E27" s="1">
        <f t="shared" si="1"/>
        <v>335.33559573446541</v>
      </c>
      <c r="F27">
        <v>80.557000000000002</v>
      </c>
      <c r="I27" s="17"/>
      <c r="J27" s="12"/>
      <c r="K27" s="12"/>
      <c r="L27" s="12"/>
      <c r="M27" s="12"/>
      <c r="N27" s="18"/>
    </row>
    <row r="28" spans="1:22" x14ac:dyDescent="0.3">
      <c r="A28">
        <v>127</v>
      </c>
      <c r="B28">
        <v>2659102.7289999998</v>
      </c>
      <c r="C28">
        <v>539667.27599999995</v>
      </c>
      <c r="D28">
        <f t="shared" si="0"/>
        <v>8.2582702790744467</v>
      </c>
      <c r="E28" s="1">
        <f t="shared" si="1"/>
        <v>343.59386601353987</v>
      </c>
      <c r="F28">
        <v>80.594999999999999</v>
      </c>
      <c r="I28" s="17" t="s">
        <v>8</v>
      </c>
      <c r="J28" s="12">
        <v>253</v>
      </c>
      <c r="K28" s="12">
        <f>J29-J28</f>
        <v>4</v>
      </c>
      <c r="L28" s="12">
        <v>79.927000000000007</v>
      </c>
      <c r="M28" s="12">
        <v>0.32</v>
      </c>
      <c r="N28" s="18">
        <f>1/2*(SUM(M28:M29)*4)</f>
        <v>0.69000000000000006</v>
      </c>
      <c r="P28">
        <f>SQRT((K28)^2+(L29-L28)^2)</f>
        <v>4.0108633733898236</v>
      </c>
    </row>
    <row r="29" spans="1:22" x14ac:dyDescent="0.3">
      <c r="A29">
        <v>126</v>
      </c>
      <c r="B29">
        <v>2659110.7910000002</v>
      </c>
      <c r="C29">
        <v>539673.95900000003</v>
      </c>
      <c r="D29">
        <f t="shared" si="0"/>
        <v>10.471787479089711</v>
      </c>
      <c r="E29" s="1">
        <f t="shared" si="1"/>
        <v>354.06565349262956</v>
      </c>
      <c r="F29">
        <v>79.930999999999997</v>
      </c>
      <c r="I29" s="17"/>
      <c r="J29" s="12">
        <v>257</v>
      </c>
      <c r="K29" s="12"/>
      <c r="L29" s="12">
        <v>80.221999999999994</v>
      </c>
      <c r="M29" s="12">
        <v>2.5000000000000001E-2</v>
      </c>
      <c r="N29" s="18"/>
    </row>
    <row r="30" spans="1:22" x14ac:dyDescent="0.3">
      <c r="A30">
        <v>125</v>
      </c>
      <c r="B30">
        <v>2659113.0079999999</v>
      </c>
      <c r="C30">
        <v>539676.25199999998</v>
      </c>
      <c r="D30">
        <f t="shared" si="0"/>
        <v>3.189504349971116</v>
      </c>
      <c r="E30" s="1">
        <f t="shared" si="1"/>
        <v>357.25515784260068</v>
      </c>
      <c r="F30">
        <v>79.947999999999993</v>
      </c>
      <c r="I30" s="17"/>
      <c r="J30" s="12"/>
      <c r="K30" s="12"/>
      <c r="L30" s="12"/>
      <c r="M30" s="12"/>
      <c r="N30" s="18"/>
    </row>
    <row r="31" spans="1:22" x14ac:dyDescent="0.3">
      <c r="A31">
        <v>124</v>
      </c>
      <c r="B31">
        <v>2659122.3080000002</v>
      </c>
      <c r="C31">
        <v>539685.54399999999</v>
      </c>
      <c r="D31">
        <f t="shared" si="0"/>
        <v>13.146530493080332</v>
      </c>
      <c r="E31" s="1">
        <f t="shared" si="1"/>
        <v>370.401688335681</v>
      </c>
      <c r="F31">
        <v>80.367999999999995</v>
      </c>
      <c r="I31" s="17" t="s">
        <v>9</v>
      </c>
      <c r="J31" s="12">
        <v>257</v>
      </c>
      <c r="K31" s="12">
        <f>J32-J31</f>
        <v>9</v>
      </c>
      <c r="L31" s="12">
        <v>80.221999999999994</v>
      </c>
      <c r="M31" s="12">
        <v>2.5000000000000001E-2</v>
      </c>
      <c r="N31" s="18">
        <f>1/2*(SUM(M31:M32)*9)</f>
        <v>0.54</v>
      </c>
      <c r="P31">
        <f>SQRT((K31)^2+(L31-L32)^2)</f>
        <v>9.0002722181054047</v>
      </c>
    </row>
    <row r="32" spans="1:22" x14ac:dyDescent="0.3">
      <c r="A32">
        <v>123</v>
      </c>
      <c r="B32">
        <v>2659131.7250000001</v>
      </c>
      <c r="C32">
        <v>539697.15500000003</v>
      </c>
      <c r="D32">
        <f t="shared" si="0"/>
        <v>14.949756185265505</v>
      </c>
      <c r="E32" s="1">
        <f t="shared" si="1"/>
        <v>385.35144452094653</v>
      </c>
      <c r="F32">
        <v>80.278999999999996</v>
      </c>
      <c r="I32" s="17"/>
      <c r="J32" s="12">
        <v>266</v>
      </c>
      <c r="K32" s="12"/>
      <c r="L32" s="12">
        <v>80.152000000000001</v>
      </c>
      <c r="M32" s="12">
        <v>9.5000000000000001E-2</v>
      </c>
      <c r="N32" s="18"/>
    </row>
    <row r="33" spans="1:16" x14ac:dyDescent="0.3">
      <c r="A33">
        <v>122</v>
      </c>
      <c r="B33">
        <v>2659149.7110000001</v>
      </c>
      <c r="C33">
        <v>539716.84499999997</v>
      </c>
      <c r="D33">
        <f t="shared" si="0"/>
        <v>26.668188839870727</v>
      </c>
      <c r="E33" s="1">
        <f t="shared" si="1"/>
        <v>412.01963336081724</v>
      </c>
      <c r="F33">
        <v>80.468000000000004</v>
      </c>
      <c r="I33" s="17"/>
      <c r="J33" s="12"/>
      <c r="K33" s="12"/>
      <c r="L33" s="12"/>
      <c r="M33" s="12"/>
      <c r="N33" s="18"/>
    </row>
    <row r="34" spans="1:16" x14ac:dyDescent="0.3">
      <c r="A34">
        <v>121</v>
      </c>
      <c r="B34">
        <v>2659161.0729999999</v>
      </c>
      <c r="C34">
        <v>539730.36600000004</v>
      </c>
      <c r="D34">
        <f t="shared" si="0"/>
        <v>17.661044278175993</v>
      </c>
      <c r="E34" s="1">
        <f t="shared" si="1"/>
        <v>429.68067763899325</v>
      </c>
      <c r="F34">
        <v>80.275999999999996</v>
      </c>
      <c r="I34" s="17" t="s">
        <v>10</v>
      </c>
      <c r="J34" s="12">
        <v>266</v>
      </c>
      <c r="K34" s="12">
        <f>J35-J34</f>
        <v>2</v>
      </c>
      <c r="L34" s="12">
        <v>80.152000000000001</v>
      </c>
      <c r="M34" s="12">
        <v>9.5000000000000001E-2</v>
      </c>
      <c r="N34" s="18">
        <f>1/2*2*0.095</f>
        <v>9.5000000000000001E-2</v>
      </c>
      <c r="P34">
        <f>SQRT((K34)^2+(L35-L34)^2)</f>
        <v>2.1321634552726034</v>
      </c>
    </row>
    <row r="35" spans="1:16" x14ac:dyDescent="0.3">
      <c r="A35">
        <v>120</v>
      </c>
      <c r="B35">
        <v>2659174.66</v>
      </c>
      <c r="C35">
        <v>539749.61100000003</v>
      </c>
      <c r="D35">
        <f t="shared" si="0"/>
        <v>23.557941209021575</v>
      </c>
      <c r="E35" s="1">
        <f t="shared" si="1"/>
        <v>453.23861884801482</v>
      </c>
      <c r="F35">
        <v>80.921999999999997</v>
      </c>
      <c r="I35" s="19"/>
      <c r="J35" s="20">
        <v>268</v>
      </c>
      <c r="K35" s="20"/>
      <c r="L35" s="20">
        <v>80.891000000000005</v>
      </c>
      <c r="M35" s="20">
        <v>0</v>
      </c>
      <c r="N35" s="21"/>
    </row>
    <row r="36" spans="1:16" x14ac:dyDescent="0.3">
      <c r="A36">
        <v>119</v>
      </c>
      <c r="B36">
        <v>2659181.9109999998</v>
      </c>
      <c r="C36">
        <v>539757.65099999995</v>
      </c>
      <c r="D36">
        <f t="shared" si="0"/>
        <v>10.826753945405386</v>
      </c>
      <c r="E36" s="1">
        <f t="shared" si="1"/>
        <v>464.06537279342024</v>
      </c>
      <c r="F36">
        <v>80.203999999999994</v>
      </c>
    </row>
    <row r="37" spans="1:16" x14ac:dyDescent="0.3">
      <c r="A37">
        <v>118</v>
      </c>
      <c r="B37">
        <v>2659188.4759999998</v>
      </c>
      <c r="C37">
        <v>539762.07400000002</v>
      </c>
      <c r="D37">
        <f t="shared" si="0"/>
        <v>7.9159430265678212</v>
      </c>
      <c r="E37" s="1">
        <f t="shared" si="1"/>
        <v>471.98131581998808</v>
      </c>
      <c r="F37">
        <v>79.837999999999994</v>
      </c>
      <c r="I37" t="s">
        <v>11</v>
      </c>
      <c r="J37">
        <v>344</v>
      </c>
      <c r="K37">
        <f>J38-J37</f>
        <v>10</v>
      </c>
      <c r="L37">
        <v>80.594999999999999</v>
      </c>
      <c r="M37">
        <v>0</v>
      </c>
      <c r="N37">
        <f>1/2*10*0.29</f>
        <v>1.45</v>
      </c>
      <c r="P37">
        <f>SQRT((K37)^2+(L37-L38)^2)</f>
        <v>10.022020554758406</v>
      </c>
    </row>
    <row r="38" spans="1:16" x14ac:dyDescent="0.3">
      <c r="A38">
        <v>117</v>
      </c>
      <c r="B38">
        <v>2659191.213</v>
      </c>
      <c r="C38">
        <v>539763.505</v>
      </c>
      <c r="D38">
        <f t="shared" si="0"/>
        <v>3.0885158249602909</v>
      </c>
      <c r="E38" s="1">
        <f t="shared" si="1"/>
        <v>475.06983164494835</v>
      </c>
      <c r="F38">
        <v>79.795000000000002</v>
      </c>
      <c r="J38">
        <v>354</v>
      </c>
      <c r="L38">
        <v>79.930999999999997</v>
      </c>
      <c r="M38">
        <v>0.28999999999999998</v>
      </c>
    </row>
    <row r="39" spans="1:16" x14ac:dyDescent="0.3">
      <c r="A39">
        <v>116</v>
      </c>
      <c r="B39">
        <v>2659196.1370000001</v>
      </c>
      <c r="C39">
        <v>539767.46600000001</v>
      </c>
      <c r="D39">
        <f t="shared" si="0"/>
        <v>6.3194380289087766</v>
      </c>
      <c r="E39" s="1">
        <f t="shared" si="1"/>
        <v>481.38926967385714</v>
      </c>
      <c r="F39">
        <v>80.388000000000005</v>
      </c>
    </row>
    <row r="40" spans="1:16" x14ac:dyDescent="0.3">
      <c r="A40">
        <v>115</v>
      </c>
      <c r="B40">
        <v>2659199.3930000002</v>
      </c>
      <c r="C40">
        <v>539771.40800000005</v>
      </c>
      <c r="D40">
        <f t="shared" si="0"/>
        <v>5.1128172273853103</v>
      </c>
      <c r="E40" s="1">
        <f t="shared" si="1"/>
        <v>486.50208690124248</v>
      </c>
      <c r="F40">
        <v>79.887</v>
      </c>
      <c r="I40" t="s">
        <v>12</v>
      </c>
      <c r="J40">
        <v>354</v>
      </c>
      <c r="K40">
        <f>J41-J40</f>
        <v>3</v>
      </c>
      <c r="L40">
        <v>79.930999999999997</v>
      </c>
      <c r="M40">
        <v>0.28999999999999998</v>
      </c>
      <c r="N40">
        <f>1/2*(SUM(M40:M41)*3)</f>
        <v>0.84449999999999992</v>
      </c>
      <c r="P40">
        <f>SQRT((K40)^2+(L41-L40)^2)</f>
        <v>3.0000481662800018</v>
      </c>
    </row>
    <row r="41" spans="1:16" x14ac:dyDescent="0.3">
      <c r="A41">
        <v>114</v>
      </c>
      <c r="B41">
        <v>2659204.213</v>
      </c>
      <c r="C41">
        <v>539777.81000000006</v>
      </c>
      <c r="D41">
        <f t="shared" si="0"/>
        <v>8.0136136666555018</v>
      </c>
      <c r="E41" s="1">
        <f t="shared" si="1"/>
        <v>494.51570056789797</v>
      </c>
      <c r="F41">
        <v>79.510000000000005</v>
      </c>
      <c r="J41">
        <v>357</v>
      </c>
      <c r="L41">
        <v>79.947999999999993</v>
      </c>
      <c r="M41">
        <v>0.27300000000000002</v>
      </c>
    </row>
    <row r="42" spans="1:16" x14ac:dyDescent="0.3">
      <c r="A42">
        <v>113</v>
      </c>
      <c r="B42">
        <v>2659210.9989999998</v>
      </c>
      <c r="C42">
        <v>539787.98400000005</v>
      </c>
      <c r="D42">
        <f t="shared" si="0"/>
        <v>12.229475540590778</v>
      </c>
      <c r="E42" s="1">
        <f t="shared" si="1"/>
        <v>506.74517610848875</v>
      </c>
      <c r="F42">
        <v>79.790000000000006</v>
      </c>
    </row>
    <row r="43" spans="1:16" x14ac:dyDescent="0.3">
      <c r="A43">
        <v>112</v>
      </c>
      <c r="B43">
        <v>2659213.892</v>
      </c>
      <c r="C43">
        <v>539790.522</v>
      </c>
      <c r="D43">
        <f t="shared" si="0"/>
        <v>3.8484923022674984</v>
      </c>
      <c r="E43" s="1">
        <f t="shared" si="1"/>
        <v>510.59366841075627</v>
      </c>
      <c r="F43">
        <v>79.427000000000007</v>
      </c>
      <c r="I43" t="s">
        <v>13</v>
      </c>
      <c r="J43">
        <v>357</v>
      </c>
      <c r="K43">
        <f>J44-J43</f>
        <v>13</v>
      </c>
      <c r="L43">
        <v>79.947999999999993</v>
      </c>
      <c r="M43">
        <v>0.27300000000000002</v>
      </c>
      <c r="N43">
        <f>1/2*(SUM(M43:M44)*13)</f>
        <v>2.7300000000000004</v>
      </c>
      <c r="P43">
        <f>SQRT((K43)^2+(L44-L43)^2)</f>
        <v>13.006782845884681</v>
      </c>
    </row>
    <row r="44" spans="1:16" x14ac:dyDescent="0.3">
      <c r="A44">
        <v>111</v>
      </c>
      <c r="B44">
        <v>2659217.9500000002</v>
      </c>
      <c r="C44">
        <v>539794.86199999996</v>
      </c>
      <c r="D44">
        <f t="shared" si="0"/>
        <v>5.9416297428642633</v>
      </c>
      <c r="E44" s="1">
        <f t="shared" si="1"/>
        <v>516.53529815362049</v>
      </c>
      <c r="F44">
        <v>79.548000000000002</v>
      </c>
      <c r="J44">
        <v>370</v>
      </c>
      <c r="L44">
        <v>80.367999999999995</v>
      </c>
      <c r="M44">
        <v>0.14699999999999999</v>
      </c>
    </row>
    <row r="45" spans="1:16" x14ac:dyDescent="0.3">
      <c r="A45">
        <v>110</v>
      </c>
      <c r="B45">
        <v>2659224.2420000001</v>
      </c>
      <c r="C45">
        <v>539801.02399999998</v>
      </c>
      <c r="D45">
        <f t="shared" si="0"/>
        <v>8.8067876095016615</v>
      </c>
      <c r="E45" s="1">
        <f t="shared" si="1"/>
        <v>525.3420857631221</v>
      </c>
      <c r="F45">
        <v>79.713999999999999</v>
      </c>
    </row>
    <row r="46" spans="1:16" x14ac:dyDescent="0.3">
      <c r="A46">
        <v>109</v>
      </c>
      <c r="B46">
        <v>2659230.27</v>
      </c>
      <c r="C46">
        <v>539808.60100000002</v>
      </c>
      <c r="D46">
        <f t="shared" si="0"/>
        <v>9.6823402646222601</v>
      </c>
      <c r="E46" s="1">
        <f t="shared" si="1"/>
        <v>535.02442602774431</v>
      </c>
      <c r="F46">
        <v>79.935000000000002</v>
      </c>
      <c r="I46" t="s">
        <v>14</v>
      </c>
      <c r="J46">
        <v>370</v>
      </c>
      <c r="K46">
        <f>J47-J46</f>
        <v>15</v>
      </c>
      <c r="L46">
        <v>80.367999999999995</v>
      </c>
      <c r="M46">
        <v>0.14699999999999999</v>
      </c>
      <c r="N46">
        <f>1/2*(SUM(M46:M47)*15)</f>
        <v>2.8725000000000001</v>
      </c>
      <c r="P46">
        <f>SQRT((K46)^2+(L46-L47)^2)</f>
        <v>15.000264031009587</v>
      </c>
    </row>
    <row r="47" spans="1:16" x14ac:dyDescent="0.3">
      <c r="A47">
        <v>108</v>
      </c>
      <c r="B47">
        <v>2659234.7930000001</v>
      </c>
      <c r="C47">
        <v>539813.88199999998</v>
      </c>
      <c r="D47">
        <f t="shared" si="0"/>
        <v>6.9531640279783113</v>
      </c>
      <c r="E47" s="1">
        <f t="shared" si="1"/>
        <v>541.97759005572266</v>
      </c>
      <c r="F47">
        <v>81.445999999999998</v>
      </c>
      <c r="J47">
        <v>385</v>
      </c>
      <c r="L47">
        <v>80.278999999999996</v>
      </c>
      <c r="M47">
        <v>0.23599999999999999</v>
      </c>
    </row>
    <row r="48" spans="1:16" x14ac:dyDescent="0.3">
      <c r="A48">
        <v>107</v>
      </c>
      <c r="B48">
        <v>2659237.8620000002</v>
      </c>
      <c r="C48">
        <v>539817.48699999996</v>
      </c>
      <c r="D48">
        <f t="shared" si="0"/>
        <v>4.7344256252146231</v>
      </c>
      <c r="E48" s="1">
        <f t="shared" si="1"/>
        <v>546.71201568093727</v>
      </c>
      <c r="F48">
        <v>82.027000000000001</v>
      </c>
    </row>
    <row r="49" spans="1:16" x14ac:dyDescent="0.3">
      <c r="A49">
        <v>106</v>
      </c>
      <c r="B49">
        <v>2659246.2439999999</v>
      </c>
      <c r="C49">
        <v>539833.03899999999</v>
      </c>
      <c r="D49">
        <f t="shared" si="0"/>
        <v>17.666992613249089</v>
      </c>
      <c r="E49" s="1">
        <f t="shared" si="1"/>
        <v>564.37900829418641</v>
      </c>
      <c r="F49">
        <v>83.108999999999995</v>
      </c>
      <c r="I49" t="s">
        <v>15</v>
      </c>
      <c r="J49">
        <v>385</v>
      </c>
      <c r="K49">
        <f>J50-J49</f>
        <v>27</v>
      </c>
      <c r="L49">
        <v>80.278999999999996</v>
      </c>
      <c r="M49">
        <v>0.23599999999999999</v>
      </c>
      <c r="N49">
        <f>1/2*(SUM(M49:M50)*27)</f>
        <v>3.8204999999999996</v>
      </c>
      <c r="P49">
        <f>SQRT((K49)^2+(L50-L49)^2)</f>
        <v>27.000661491896825</v>
      </c>
    </row>
    <row r="50" spans="1:16" x14ac:dyDescent="0.3">
      <c r="A50">
        <v>105</v>
      </c>
      <c r="B50">
        <v>2659257.4709999999</v>
      </c>
      <c r="C50">
        <v>539850.61300000001</v>
      </c>
      <c r="D50">
        <f t="shared" si="0"/>
        <v>20.85404049578359</v>
      </c>
      <c r="E50" s="1">
        <f t="shared" si="1"/>
        <v>585.23304878996998</v>
      </c>
      <c r="F50">
        <v>84.257999999999996</v>
      </c>
      <c r="J50">
        <v>412</v>
      </c>
      <c r="L50">
        <v>80.468000000000004</v>
      </c>
      <c r="M50">
        <v>4.7E-2</v>
      </c>
    </row>
    <row r="51" spans="1:16" x14ac:dyDescent="0.3">
      <c r="B51" s="5" t="s">
        <v>6</v>
      </c>
      <c r="C51" s="5"/>
      <c r="D51" s="2">
        <f>SUM(D3:D50)</f>
        <v>585.23304878996998</v>
      </c>
    </row>
    <row r="52" spans="1:16" x14ac:dyDescent="0.3">
      <c r="I52" t="s">
        <v>16</v>
      </c>
      <c r="J52">
        <v>412</v>
      </c>
      <c r="K52">
        <f>J53-J52</f>
        <v>18</v>
      </c>
      <c r="L52">
        <v>80.468000000000004</v>
      </c>
      <c r="M52">
        <v>4.7E-2</v>
      </c>
      <c r="N52">
        <f>1/2*(SUM(M52:M53)*18)</f>
        <v>2.5739999999999998</v>
      </c>
      <c r="P52">
        <f>SQRT((K52)^2+(L52-L53)^2)</f>
        <v>18.001023970874545</v>
      </c>
    </row>
    <row r="53" spans="1:16" x14ac:dyDescent="0.3">
      <c r="J53">
        <v>430</v>
      </c>
      <c r="L53">
        <v>80.275999999999996</v>
      </c>
      <c r="M53">
        <v>0.23899999999999999</v>
      </c>
    </row>
    <row r="55" spans="1:16" x14ac:dyDescent="0.3">
      <c r="I55" t="s">
        <v>17</v>
      </c>
      <c r="J55">
        <v>430</v>
      </c>
      <c r="K55">
        <f>J56-J55</f>
        <v>23</v>
      </c>
      <c r="L55">
        <v>80.275999999999996</v>
      </c>
      <c r="M55">
        <v>0.23899999999999999</v>
      </c>
      <c r="N55">
        <f>1/2*23*0.239</f>
        <v>2.7484999999999999</v>
      </c>
      <c r="P55">
        <f>SQRT((K55)^2+(L56-L55)^2)</f>
        <v>23.009070298471428</v>
      </c>
    </row>
    <row r="56" spans="1:16" x14ac:dyDescent="0.3">
      <c r="E56" t="s">
        <v>62</v>
      </c>
      <c r="F56">
        <f>MAX(F2:F50)</f>
        <v>84.391000000000005</v>
      </c>
      <c r="J56">
        <v>453</v>
      </c>
      <c r="L56">
        <v>80.921999999999997</v>
      </c>
      <c r="M56">
        <v>0</v>
      </c>
    </row>
    <row r="57" spans="1:16" x14ac:dyDescent="0.3">
      <c r="M57" s="1"/>
    </row>
    <row r="58" spans="1:16" x14ac:dyDescent="0.3">
      <c r="I58" t="s">
        <v>18</v>
      </c>
      <c r="J58">
        <v>487</v>
      </c>
      <c r="K58">
        <f>J59-J58</f>
        <v>8</v>
      </c>
      <c r="L58">
        <v>79.887</v>
      </c>
      <c r="M58" s="1">
        <v>0</v>
      </c>
      <c r="N58">
        <f>1/2*8*0.72</f>
        <v>2.88</v>
      </c>
      <c r="P58">
        <f>SQRT((K58)^2+(L58-L59)^2)</f>
        <v>8.0088781361686348</v>
      </c>
    </row>
    <row r="59" spans="1:16" x14ac:dyDescent="0.3">
      <c r="J59">
        <v>495</v>
      </c>
      <c r="L59">
        <v>79.510000000000005</v>
      </c>
      <c r="M59" s="7">
        <v>0.72</v>
      </c>
    </row>
    <row r="60" spans="1:16" x14ac:dyDescent="0.3">
      <c r="M60" s="1"/>
    </row>
    <row r="61" spans="1:16" x14ac:dyDescent="0.3">
      <c r="I61" t="s">
        <v>25</v>
      </c>
      <c r="J61">
        <v>495</v>
      </c>
      <c r="K61">
        <f>J62-J61</f>
        <v>12</v>
      </c>
      <c r="L61">
        <v>79.510000000000005</v>
      </c>
      <c r="M61" s="7">
        <v>0.72</v>
      </c>
      <c r="N61" s="7">
        <f>1/2*(SUM(M61:M62)*12)</f>
        <v>6.9599999999999991</v>
      </c>
      <c r="P61">
        <f>SQRT((K61)^2+(L62-L61)^2)</f>
        <v>12.003266222158034</v>
      </c>
    </row>
    <row r="62" spans="1:16" x14ac:dyDescent="0.3">
      <c r="J62">
        <v>507</v>
      </c>
      <c r="L62">
        <v>79.790000000000006</v>
      </c>
      <c r="M62" s="7">
        <v>0.44</v>
      </c>
      <c r="N62" s="7"/>
    </row>
    <row r="63" spans="1:16" x14ac:dyDescent="0.3">
      <c r="M63" s="7"/>
      <c r="N63" s="7"/>
    </row>
    <row r="64" spans="1:16" x14ac:dyDescent="0.3">
      <c r="I64" t="s">
        <v>26</v>
      </c>
      <c r="J64">
        <v>507</v>
      </c>
      <c r="K64">
        <f>J65-J64</f>
        <v>4</v>
      </c>
      <c r="L64">
        <v>79.97</v>
      </c>
      <c r="M64" s="7">
        <v>0.44</v>
      </c>
      <c r="N64" s="7">
        <f>1/2*(SUM(M64:M65)*4)</f>
        <v>2.8460000000000001</v>
      </c>
      <c r="P64">
        <f>SQRT((K64)^2+(L64-L65)^2)</f>
        <v>4.0366878749786927</v>
      </c>
    </row>
    <row r="65" spans="9:16" x14ac:dyDescent="0.3">
      <c r="J65">
        <v>511</v>
      </c>
      <c r="L65">
        <v>79.427000000000007</v>
      </c>
      <c r="M65" s="7">
        <v>0.98299999999999998</v>
      </c>
      <c r="N65" s="7"/>
    </row>
    <row r="66" spans="9:16" x14ac:dyDescent="0.3">
      <c r="M66" s="7"/>
      <c r="N66" s="7"/>
    </row>
    <row r="67" spans="9:16" x14ac:dyDescent="0.3">
      <c r="I67" t="s">
        <v>27</v>
      </c>
      <c r="J67">
        <v>511</v>
      </c>
      <c r="K67">
        <f>J68-J67</f>
        <v>6</v>
      </c>
      <c r="L67">
        <v>79.427000000000007</v>
      </c>
      <c r="M67" s="7">
        <v>0.98</v>
      </c>
      <c r="N67" s="7">
        <f>1/2*(SUM(M67:M68)*6)</f>
        <v>5.5169999999999995</v>
      </c>
      <c r="P67">
        <f>SQRT((K67)^2+(L68-L67)^2)</f>
        <v>6.0012199593082736</v>
      </c>
    </row>
    <row r="68" spans="9:16" x14ac:dyDescent="0.3">
      <c r="J68">
        <v>517</v>
      </c>
      <c r="L68">
        <v>79.548000000000002</v>
      </c>
      <c r="M68" s="7">
        <v>0.85899999999999999</v>
      </c>
      <c r="N68" s="7"/>
    </row>
    <row r="69" spans="9:16" x14ac:dyDescent="0.3">
      <c r="M69" s="7"/>
      <c r="N69" s="7"/>
    </row>
    <row r="70" spans="9:16" x14ac:dyDescent="0.3">
      <c r="I70" t="s">
        <v>28</v>
      </c>
      <c r="J70">
        <v>517</v>
      </c>
      <c r="K70">
        <f>J71-J70</f>
        <v>8</v>
      </c>
      <c r="L70">
        <v>79.548000000000002</v>
      </c>
      <c r="M70" s="7">
        <v>0.86</v>
      </c>
      <c r="N70" s="7">
        <f>1/2*(SUM(M70:M71)*8)</f>
        <v>6.1999999999999993</v>
      </c>
      <c r="P70">
        <f>SQRT((K70)^2+(L71-L70)^2)</f>
        <v>8.0017220646558336</v>
      </c>
    </row>
    <row r="71" spans="9:16" x14ac:dyDescent="0.3">
      <c r="J71">
        <v>525</v>
      </c>
      <c r="L71">
        <v>79.713999999999999</v>
      </c>
      <c r="M71" s="7">
        <v>0.69</v>
      </c>
      <c r="N71" s="7"/>
    </row>
    <row r="72" spans="9:16" x14ac:dyDescent="0.3">
      <c r="M72" s="7"/>
      <c r="N72" s="7"/>
    </row>
    <row r="73" spans="9:16" x14ac:dyDescent="0.3">
      <c r="I73" t="s">
        <v>29</v>
      </c>
      <c r="J73">
        <v>525</v>
      </c>
      <c r="K73">
        <f>J74-J73</f>
        <v>10</v>
      </c>
      <c r="L73">
        <v>79.713999999999999</v>
      </c>
      <c r="M73" s="7">
        <v>0.69</v>
      </c>
      <c r="N73" s="7">
        <f>1/2*10*0.69</f>
        <v>3.4499999999999997</v>
      </c>
      <c r="O73" t="s">
        <v>30</v>
      </c>
      <c r="P73">
        <f>SQRT((K73)^2+(L74-L73)^2)</f>
        <v>10.002441751892384</v>
      </c>
    </row>
    <row r="74" spans="9:16" x14ac:dyDescent="0.3">
      <c r="J74">
        <v>535</v>
      </c>
      <c r="L74">
        <v>79.935000000000002</v>
      </c>
      <c r="M74" s="7">
        <v>0</v>
      </c>
      <c r="N74" s="7"/>
    </row>
  </sheetData>
  <mergeCells count="2">
    <mergeCell ref="S23:T23"/>
    <mergeCell ref="U23:V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2"/>
  <sheetViews>
    <sheetView topLeftCell="D10" zoomScale="107" zoomScaleNormal="107" workbookViewId="0">
      <selection activeCell="Q24" sqref="Q24"/>
    </sheetView>
  </sheetViews>
  <sheetFormatPr defaultRowHeight="14.4" x14ac:dyDescent="0.3"/>
  <cols>
    <col min="4" max="4" width="12" bestFit="1" customWidth="1"/>
    <col min="13" max="13" width="15.88671875" bestFit="1" customWidth="1"/>
    <col min="14" max="14" width="15.6640625" bestFit="1" customWidth="1"/>
    <col min="15" max="15" width="24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162</v>
      </c>
      <c r="B2">
        <v>2659894.7949999999</v>
      </c>
      <c r="C2">
        <v>534022.80299999996</v>
      </c>
      <c r="D2">
        <v>0</v>
      </c>
      <c r="E2">
        <v>0</v>
      </c>
      <c r="F2">
        <v>90.504999999999995</v>
      </c>
    </row>
    <row r="3" spans="1:6" x14ac:dyDescent="0.3">
      <c r="A3">
        <v>161</v>
      </c>
      <c r="B3">
        <v>2659908.2259999998</v>
      </c>
      <c r="C3">
        <v>534016.31200000003</v>
      </c>
      <c r="D3">
        <v>14.917266572511934</v>
      </c>
      <c r="E3">
        <v>14.917266572511934</v>
      </c>
      <c r="F3">
        <v>86.591999999999999</v>
      </c>
    </row>
    <row r="4" spans="1:6" x14ac:dyDescent="0.3">
      <c r="A4">
        <v>160</v>
      </c>
      <c r="B4">
        <v>2659917.0780000002</v>
      </c>
      <c r="C4">
        <v>534020.78099999996</v>
      </c>
      <c r="D4">
        <v>9.916141639104314</v>
      </c>
      <c r="E4">
        <v>24.833408211616248</v>
      </c>
      <c r="F4">
        <v>85.885000000000005</v>
      </c>
    </row>
    <row r="5" spans="1:6" x14ac:dyDescent="0.3">
      <c r="A5">
        <v>159</v>
      </c>
      <c r="B5">
        <v>2659934.2370000002</v>
      </c>
      <c r="C5">
        <v>534044.25899999996</v>
      </c>
      <c r="D5">
        <v>29.080023469722644</v>
      </c>
      <c r="E5">
        <v>53.913431681338892</v>
      </c>
      <c r="F5">
        <v>86.051000000000002</v>
      </c>
    </row>
    <row r="6" spans="1:6" x14ac:dyDescent="0.3">
      <c r="A6">
        <v>158</v>
      </c>
      <c r="B6">
        <v>2659946.4939999999</v>
      </c>
      <c r="C6">
        <v>534052.72499999998</v>
      </c>
      <c r="D6">
        <v>14.896550103770126</v>
      </c>
      <c r="E6">
        <v>68.809981785109017</v>
      </c>
      <c r="F6">
        <v>86.289000000000001</v>
      </c>
    </row>
    <row r="7" spans="1:6" x14ac:dyDescent="0.3">
      <c r="A7">
        <v>157</v>
      </c>
      <c r="B7">
        <v>2659982.0120000001</v>
      </c>
      <c r="C7">
        <v>534054.81099999999</v>
      </c>
      <c r="D7">
        <v>35.579203476344958</v>
      </c>
      <c r="E7">
        <v>104.38918526145397</v>
      </c>
      <c r="F7">
        <v>86.233000000000004</v>
      </c>
    </row>
    <row r="8" spans="1:6" x14ac:dyDescent="0.3">
      <c r="A8">
        <v>156</v>
      </c>
      <c r="B8">
        <v>2660036.5750000002</v>
      </c>
      <c r="C8">
        <v>534060.80299999996</v>
      </c>
      <c r="D8">
        <v>54.891028711516924</v>
      </c>
      <c r="E8">
        <v>159.2802139729709</v>
      </c>
      <c r="F8">
        <v>87.236999999999995</v>
      </c>
    </row>
    <row r="9" spans="1:6" x14ac:dyDescent="0.3">
      <c r="A9">
        <v>155</v>
      </c>
      <c r="B9">
        <v>2660064.9589999998</v>
      </c>
      <c r="C9">
        <v>534064.80900000001</v>
      </c>
      <c r="D9">
        <v>28.665301184156849</v>
      </c>
      <c r="E9">
        <v>187.94551515712774</v>
      </c>
      <c r="F9">
        <v>87.902000000000001</v>
      </c>
    </row>
    <row r="10" spans="1:6" x14ac:dyDescent="0.3">
      <c r="A10">
        <v>154</v>
      </c>
      <c r="B10">
        <v>2660072.8160000001</v>
      </c>
      <c r="C10">
        <v>534063.78399999999</v>
      </c>
      <c r="D10">
        <v>7.9235770965458832</v>
      </c>
      <c r="E10">
        <v>195.86909225367361</v>
      </c>
      <c r="F10">
        <v>90.894999999999996</v>
      </c>
    </row>
    <row r="11" spans="1:6" x14ac:dyDescent="0.3">
      <c r="B11" t="s">
        <v>6</v>
      </c>
      <c r="D11">
        <v>195.86909225367361</v>
      </c>
    </row>
    <row r="18" spans="3:20" x14ac:dyDescent="0.3">
      <c r="P18" t="s">
        <v>59</v>
      </c>
    </row>
    <row r="19" spans="3:20" x14ac:dyDescent="0.3">
      <c r="P19" t="s">
        <v>60</v>
      </c>
    </row>
    <row r="20" spans="3:20" x14ac:dyDescent="0.3">
      <c r="P20" t="s">
        <v>67</v>
      </c>
    </row>
    <row r="22" spans="3:20" x14ac:dyDescent="0.3">
      <c r="Q22" s="24" t="s">
        <v>55</v>
      </c>
      <c r="R22" s="25"/>
      <c r="S22" s="26" t="s">
        <v>56</v>
      </c>
      <c r="T22" s="26"/>
    </row>
    <row r="23" spans="3:20" x14ac:dyDescent="0.3">
      <c r="H23" t="s">
        <v>21</v>
      </c>
      <c r="I23" t="s">
        <v>22</v>
      </c>
      <c r="J23" t="s">
        <v>5</v>
      </c>
      <c r="K23" t="s">
        <v>19</v>
      </c>
      <c r="L23" t="s">
        <v>20</v>
      </c>
      <c r="M23" s="6" t="s">
        <v>23</v>
      </c>
      <c r="N23" s="3" t="s">
        <v>24</v>
      </c>
      <c r="O23" s="3" t="s">
        <v>51</v>
      </c>
      <c r="P23" s="11" t="s">
        <v>54</v>
      </c>
      <c r="Q23" s="9" t="s">
        <v>58</v>
      </c>
      <c r="R23" s="9" t="s">
        <v>57</v>
      </c>
      <c r="S23" s="10" t="s">
        <v>58</v>
      </c>
      <c r="T23" s="10" t="s">
        <v>57</v>
      </c>
    </row>
    <row r="24" spans="3:20" x14ac:dyDescent="0.3">
      <c r="C24">
        <v>15</v>
      </c>
      <c r="D24">
        <v>86.591999999999999</v>
      </c>
      <c r="E24">
        <v>-0.30299999999999999</v>
      </c>
      <c r="G24" t="s">
        <v>7</v>
      </c>
      <c r="H24" s="1">
        <f>TREND(C24:C25,E24:E25,E26)</f>
        <v>19.285714285714285</v>
      </c>
      <c r="I24" s="1">
        <f>H26-H24</f>
        <v>5.7142857142857153</v>
      </c>
      <c r="J24">
        <f>TREND(D24:D25,E24:E25,0)</f>
        <v>86.289000000000001</v>
      </c>
      <c r="K24">
        <v>0</v>
      </c>
      <c r="L24">
        <f>1/2*6*0.404</f>
        <v>1.2120000000000002</v>
      </c>
      <c r="M24">
        <f>(L24+L28+L31)</f>
        <v>12.306000000000001</v>
      </c>
      <c r="N24">
        <f>SQRT((I24)^2+(J26-J24)^2)</f>
        <v>5.7285493123905118</v>
      </c>
      <c r="O24">
        <f>N24+N28+N31</f>
        <v>49.730912426460449</v>
      </c>
      <c r="P24">
        <f>M24/O24</f>
        <v>0.24745172367785306</v>
      </c>
      <c r="Q24">
        <f>(1/0.035)*(P24)^(2/3)*(0.001)^(1/2)</f>
        <v>0.35611664882475691</v>
      </c>
      <c r="R24">
        <f>M24*Q24</f>
        <v>4.3823714804374587</v>
      </c>
      <c r="S24">
        <v>0.28000000000000003</v>
      </c>
      <c r="T24">
        <f>M24*S24</f>
        <v>3.4456800000000007</v>
      </c>
    </row>
    <row r="25" spans="3:20" x14ac:dyDescent="0.3">
      <c r="C25">
        <v>25</v>
      </c>
      <c r="D25">
        <v>85.885000000000005</v>
      </c>
      <c r="E25">
        <v>0.40400000000000003</v>
      </c>
    </row>
    <row r="26" spans="3:20" x14ac:dyDescent="0.3">
      <c r="C26" t="s">
        <v>72</v>
      </c>
      <c r="D26" t="s">
        <v>72</v>
      </c>
      <c r="E26">
        <v>0</v>
      </c>
      <c r="H26">
        <v>25</v>
      </c>
      <c r="J26">
        <v>85.885000000000005</v>
      </c>
      <c r="K26">
        <v>0.40400000000000003</v>
      </c>
    </row>
    <row r="28" spans="3:20" x14ac:dyDescent="0.3">
      <c r="G28" t="s">
        <v>8</v>
      </c>
      <c r="H28">
        <v>25</v>
      </c>
      <c r="I28">
        <f>H29-H28</f>
        <v>29</v>
      </c>
      <c r="J28">
        <v>85.885000000000005</v>
      </c>
      <c r="K28">
        <v>0.40400000000000003</v>
      </c>
      <c r="L28">
        <f>1/2*(SUM(K28:K29)*29)</f>
        <v>9.3090000000000011</v>
      </c>
      <c r="N28">
        <f>SQRT((I28)^2+(J29-J28)^2)</f>
        <v>29.00047509955656</v>
      </c>
    </row>
    <row r="29" spans="3:20" x14ac:dyDescent="0.3">
      <c r="H29">
        <v>54</v>
      </c>
      <c r="J29">
        <v>86.051000000000002</v>
      </c>
      <c r="K29">
        <v>0.23799999999999999</v>
      </c>
    </row>
    <row r="31" spans="3:20" x14ac:dyDescent="0.3">
      <c r="G31" t="s">
        <v>9</v>
      </c>
      <c r="H31">
        <v>54</v>
      </c>
      <c r="I31">
        <f>H32-H31</f>
        <v>15</v>
      </c>
      <c r="J31">
        <v>86.051000000000002</v>
      </c>
      <c r="K31">
        <v>0.23799999999999999</v>
      </c>
      <c r="L31">
        <f>1/2*15*0.238</f>
        <v>1.7849999999999999</v>
      </c>
      <c r="N31">
        <f>SQRT((I31)^2+(J32-J31)^2)</f>
        <v>15.001888014513373</v>
      </c>
    </row>
    <row r="32" spans="3:20" x14ac:dyDescent="0.3">
      <c r="H32">
        <v>69</v>
      </c>
      <c r="J32">
        <v>86.289000000000001</v>
      </c>
      <c r="K32">
        <v>0</v>
      </c>
    </row>
  </sheetData>
  <mergeCells count="2">
    <mergeCell ref="Q22:R22"/>
    <mergeCell ref="S22:T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86"/>
  <sheetViews>
    <sheetView topLeftCell="D8" workbookViewId="0">
      <selection activeCell="M37" sqref="M37"/>
    </sheetView>
  </sheetViews>
  <sheetFormatPr defaultRowHeight="14.4" x14ac:dyDescent="0.3"/>
  <cols>
    <col min="4" max="4" width="12" bestFit="1" customWidth="1"/>
    <col min="15" max="15" width="15.88671875" bestFit="1" customWidth="1"/>
    <col min="16" max="16" width="15.6640625" bestFit="1" customWidth="1"/>
    <col min="17" max="17" width="24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31</v>
      </c>
      <c r="F1" s="3" t="s">
        <v>5</v>
      </c>
    </row>
    <row r="2" spans="1:6" x14ac:dyDescent="0.3">
      <c r="A2">
        <v>163</v>
      </c>
      <c r="B2">
        <v>2649210.8909999998</v>
      </c>
      <c r="C2">
        <v>570240.98699999996</v>
      </c>
      <c r="D2">
        <v>0</v>
      </c>
      <c r="E2">
        <v>0</v>
      </c>
      <c r="F2">
        <v>37.430999999999997</v>
      </c>
    </row>
    <row r="3" spans="1:6" x14ac:dyDescent="0.3">
      <c r="A3">
        <v>164</v>
      </c>
      <c r="B3">
        <v>2649228.588</v>
      </c>
      <c r="C3">
        <v>570244.76</v>
      </c>
      <c r="D3">
        <f>SQRT((C3-C2)^2+(B3-B2)^2)</f>
        <v>18.094732327558951</v>
      </c>
      <c r="E3" s="1">
        <f>E2+D3</f>
        <v>18.094732327558951</v>
      </c>
      <c r="F3">
        <v>36.063000000000002</v>
      </c>
    </row>
    <row r="4" spans="1:6" x14ac:dyDescent="0.3">
      <c r="A4">
        <v>165</v>
      </c>
      <c r="B4">
        <v>2649234.8829999999</v>
      </c>
      <c r="C4">
        <v>570246.42000000004</v>
      </c>
      <c r="D4">
        <f t="shared" ref="D4:D47" si="0">SQRT((C4-C3)^2+(B4-B3)^2)</f>
        <v>6.5101939294594127</v>
      </c>
      <c r="E4" s="1">
        <f>E3+D4</f>
        <v>24.604926257018363</v>
      </c>
      <c r="F4">
        <v>35.32</v>
      </c>
    </row>
    <row r="5" spans="1:6" x14ac:dyDescent="0.3">
      <c r="A5">
        <v>166</v>
      </c>
      <c r="B5">
        <v>2649273.9759999998</v>
      </c>
      <c r="C5">
        <v>570251.81400000001</v>
      </c>
      <c r="D5">
        <f t="shared" si="0"/>
        <v>39.463373968657024</v>
      </c>
      <c r="E5" s="1">
        <f t="shared" ref="E5:E47" si="1">E4+D5</f>
        <v>64.068300225675387</v>
      </c>
      <c r="F5">
        <v>34.923000000000002</v>
      </c>
    </row>
    <row r="6" spans="1:6" x14ac:dyDescent="0.3">
      <c r="A6">
        <v>167</v>
      </c>
      <c r="B6">
        <v>2649289.1979999999</v>
      </c>
      <c r="C6">
        <v>570254.38399999996</v>
      </c>
      <c r="D6">
        <f t="shared" si="0"/>
        <v>15.437428024181299</v>
      </c>
      <c r="E6" s="1">
        <f t="shared" si="1"/>
        <v>79.505728249856688</v>
      </c>
      <c r="F6">
        <v>34.738999999999997</v>
      </c>
    </row>
    <row r="7" spans="1:6" x14ac:dyDescent="0.3">
      <c r="A7">
        <v>168</v>
      </c>
      <c r="B7">
        <v>2649311.63</v>
      </c>
      <c r="C7">
        <v>570259.04099999997</v>
      </c>
      <c r="D7">
        <f t="shared" si="0"/>
        <v>22.910309317017038</v>
      </c>
      <c r="E7" s="1">
        <f t="shared" si="1"/>
        <v>102.41603756687373</v>
      </c>
      <c r="F7">
        <v>35.088000000000001</v>
      </c>
    </row>
    <row r="8" spans="1:6" x14ac:dyDescent="0.3">
      <c r="A8">
        <v>169</v>
      </c>
      <c r="B8">
        <v>2649318.6979999999</v>
      </c>
      <c r="C8">
        <v>570260.46600000001</v>
      </c>
      <c r="D8">
        <f t="shared" si="0"/>
        <v>7.2102183739267867</v>
      </c>
      <c r="E8" s="1">
        <f t="shared" si="1"/>
        <v>109.62625594080052</v>
      </c>
      <c r="F8">
        <v>34.868000000000002</v>
      </c>
    </row>
    <row r="9" spans="1:6" x14ac:dyDescent="0.3">
      <c r="A9">
        <v>170</v>
      </c>
      <c r="B9">
        <v>2649325.3360000001</v>
      </c>
      <c r="C9">
        <v>570262.00899999996</v>
      </c>
      <c r="D9">
        <f t="shared" si="0"/>
        <v>6.8149756421719569</v>
      </c>
      <c r="E9" s="1">
        <f t="shared" si="1"/>
        <v>116.44123158297248</v>
      </c>
      <c r="F9">
        <v>35.11</v>
      </c>
    </row>
    <row r="10" spans="1:6" x14ac:dyDescent="0.3">
      <c r="A10">
        <v>171</v>
      </c>
      <c r="B10">
        <v>2649336.8539999998</v>
      </c>
      <c r="C10">
        <v>570266.99</v>
      </c>
      <c r="D10">
        <f t="shared" si="0"/>
        <v>12.548891783466972</v>
      </c>
      <c r="E10" s="1">
        <f t="shared" si="1"/>
        <v>128.99012336643946</v>
      </c>
      <c r="F10">
        <v>34.444000000000003</v>
      </c>
    </row>
    <row r="11" spans="1:6" x14ac:dyDescent="0.3">
      <c r="A11">
        <v>172</v>
      </c>
      <c r="B11">
        <v>2649340.0070000002</v>
      </c>
      <c r="C11">
        <v>570267.77599999995</v>
      </c>
      <c r="D11">
        <f t="shared" si="0"/>
        <v>3.2494930377608924</v>
      </c>
      <c r="E11" s="1">
        <f t="shared" si="1"/>
        <v>132.23961640420035</v>
      </c>
      <c r="F11">
        <v>33.9</v>
      </c>
    </row>
    <row r="12" spans="1:6" x14ac:dyDescent="0.3">
      <c r="A12">
        <v>173</v>
      </c>
      <c r="B12">
        <v>2649344.7489999998</v>
      </c>
      <c r="C12">
        <v>570271.79299999995</v>
      </c>
      <c r="D12">
        <f t="shared" si="0"/>
        <v>6.2147287146211312</v>
      </c>
      <c r="E12" s="1">
        <f t="shared" si="1"/>
        <v>138.45434511882149</v>
      </c>
      <c r="F12">
        <v>33.734999999999999</v>
      </c>
    </row>
    <row r="13" spans="1:6" x14ac:dyDescent="0.3">
      <c r="A13">
        <v>174</v>
      </c>
      <c r="B13">
        <v>2649346.9029999999</v>
      </c>
      <c r="C13">
        <v>570274.61600000004</v>
      </c>
      <c r="D13">
        <f t="shared" si="0"/>
        <v>3.5509217114620495</v>
      </c>
      <c r="E13" s="1">
        <f t="shared" si="1"/>
        <v>142.00526683028355</v>
      </c>
      <c r="F13">
        <v>33.695999999999998</v>
      </c>
    </row>
    <row r="14" spans="1:6" x14ac:dyDescent="0.3">
      <c r="A14">
        <v>175</v>
      </c>
      <c r="B14">
        <v>2649349.0780000002</v>
      </c>
      <c r="C14">
        <v>570277.37300000002</v>
      </c>
      <c r="D14">
        <f t="shared" si="0"/>
        <v>3.5116483310723101</v>
      </c>
      <c r="E14" s="1">
        <f t="shared" si="1"/>
        <v>145.51691516135585</v>
      </c>
      <c r="F14">
        <v>33.630000000000003</v>
      </c>
    </row>
    <row r="15" spans="1:6" x14ac:dyDescent="0.3">
      <c r="A15">
        <v>176</v>
      </c>
      <c r="B15">
        <v>2649350.3459999999</v>
      </c>
      <c r="C15">
        <v>570278.48699999996</v>
      </c>
      <c r="D15">
        <f t="shared" si="0"/>
        <v>1.6878447793234119</v>
      </c>
      <c r="E15" s="1">
        <f t="shared" si="1"/>
        <v>147.20475994067925</v>
      </c>
      <c r="F15">
        <v>33.552999999999997</v>
      </c>
    </row>
    <row r="16" spans="1:6" x14ac:dyDescent="0.3">
      <c r="A16">
        <v>177</v>
      </c>
      <c r="B16">
        <v>2649352.1830000002</v>
      </c>
      <c r="C16">
        <v>570280.35699999996</v>
      </c>
      <c r="D16">
        <f t="shared" si="0"/>
        <v>2.6213486988667012</v>
      </c>
      <c r="E16" s="1">
        <f t="shared" si="1"/>
        <v>149.82610863954596</v>
      </c>
      <c r="F16">
        <v>33.783999999999999</v>
      </c>
    </row>
    <row r="17" spans="1:22" x14ac:dyDescent="0.3">
      <c r="A17">
        <v>178</v>
      </c>
      <c r="B17">
        <v>2649355.031</v>
      </c>
      <c r="C17">
        <v>570282.451</v>
      </c>
      <c r="D17">
        <f t="shared" si="0"/>
        <v>3.5349596884313694</v>
      </c>
      <c r="E17" s="1">
        <f t="shared" si="1"/>
        <v>153.36106832797734</v>
      </c>
      <c r="F17">
        <v>34.334000000000003</v>
      </c>
    </row>
    <row r="18" spans="1:22" x14ac:dyDescent="0.3">
      <c r="A18">
        <v>179</v>
      </c>
      <c r="B18">
        <v>2649368.8220000002</v>
      </c>
      <c r="C18">
        <v>570289.326</v>
      </c>
      <c r="D18">
        <f t="shared" si="0"/>
        <v>15.40964976907485</v>
      </c>
      <c r="E18" s="1">
        <f t="shared" si="1"/>
        <v>168.7707180970522</v>
      </c>
      <c r="F18">
        <v>34.363999999999997</v>
      </c>
    </row>
    <row r="19" spans="1:22" x14ac:dyDescent="0.3">
      <c r="A19">
        <v>180</v>
      </c>
      <c r="B19">
        <v>2649371.9739999999</v>
      </c>
      <c r="C19">
        <v>570290.41099999996</v>
      </c>
      <c r="D19">
        <f t="shared" si="0"/>
        <v>3.3335160114304445</v>
      </c>
      <c r="E19" s="1">
        <f t="shared" si="1"/>
        <v>172.10423410848264</v>
      </c>
      <c r="F19">
        <v>33.686</v>
      </c>
    </row>
    <row r="20" spans="1:22" x14ac:dyDescent="0.3">
      <c r="A20">
        <v>181</v>
      </c>
      <c r="B20">
        <v>2649375.8020000001</v>
      </c>
      <c r="C20">
        <v>570291.21499999997</v>
      </c>
      <c r="D20">
        <f t="shared" si="0"/>
        <v>3.9115214433301624</v>
      </c>
      <c r="E20" s="1">
        <f t="shared" si="1"/>
        <v>176.01575555181282</v>
      </c>
      <c r="F20">
        <v>33.9</v>
      </c>
    </row>
    <row r="21" spans="1:22" x14ac:dyDescent="0.3">
      <c r="A21">
        <v>182</v>
      </c>
      <c r="B21">
        <v>2649379.7910000002</v>
      </c>
      <c r="C21">
        <v>570292.58799999999</v>
      </c>
      <c r="D21">
        <f t="shared" si="0"/>
        <v>4.218678703164576</v>
      </c>
      <c r="E21" s="1">
        <f t="shared" si="1"/>
        <v>180.2344342549774</v>
      </c>
      <c r="F21">
        <v>33.728000000000002</v>
      </c>
    </row>
    <row r="22" spans="1:22" x14ac:dyDescent="0.3">
      <c r="A22">
        <v>183</v>
      </c>
      <c r="B22">
        <v>2649385.2570000002</v>
      </c>
      <c r="C22">
        <v>570295.38600000006</v>
      </c>
      <c r="D22">
        <f t="shared" si="0"/>
        <v>6.1405178935121869</v>
      </c>
      <c r="E22" s="1">
        <f t="shared" si="1"/>
        <v>186.3749521484896</v>
      </c>
      <c r="F22">
        <v>33.597000000000001</v>
      </c>
      <c r="R22" t="s">
        <v>59</v>
      </c>
    </row>
    <row r="23" spans="1:22" x14ac:dyDescent="0.3">
      <c r="A23">
        <v>184</v>
      </c>
      <c r="B23">
        <v>2649387.912</v>
      </c>
      <c r="C23">
        <v>570296.32799999998</v>
      </c>
      <c r="D23">
        <f t="shared" si="0"/>
        <v>2.8171597396609225</v>
      </c>
      <c r="E23" s="1">
        <f t="shared" si="1"/>
        <v>189.19211188815052</v>
      </c>
      <c r="F23">
        <v>33.710999999999999</v>
      </c>
      <c r="R23" t="s">
        <v>60</v>
      </c>
    </row>
    <row r="24" spans="1:22" x14ac:dyDescent="0.3">
      <c r="A24">
        <v>185</v>
      </c>
      <c r="B24">
        <v>2649390.5419999999</v>
      </c>
      <c r="C24">
        <v>570297.19799999997</v>
      </c>
      <c r="D24">
        <f t="shared" si="0"/>
        <v>2.7701624500025348</v>
      </c>
      <c r="E24" s="1">
        <f t="shared" si="1"/>
        <v>191.96227433815307</v>
      </c>
      <c r="F24">
        <v>33.606000000000002</v>
      </c>
      <c r="R24" t="s">
        <v>67</v>
      </c>
    </row>
    <row r="25" spans="1:22" x14ac:dyDescent="0.3">
      <c r="A25">
        <v>186</v>
      </c>
      <c r="B25">
        <v>2649393.8289999999</v>
      </c>
      <c r="C25">
        <v>570298.93599999999</v>
      </c>
      <c r="D25">
        <f t="shared" si="0"/>
        <v>3.7182002366891909</v>
      </c>
      <c r="E25" s="1">
        <f t="shared" si="1"/>
        <v>195.68047457484226</v>
      </c>
      <c r="F25">
        <v>33.594000000000001</v>
      </c>
    </row>
    <row r="26" spans="1:22" x14ac:dyDescent="0.3">
      <c r="A26">
        <v>187</v>
      </c>
      <c r="B26">
        <v>2649396.577</v>
      </c>
      <c r="C26">
        <v>570300.85</v>
      </c>
      <c r="D26">
        <f t="shared" si="0"/>
        <v>3.3488654796390867</v>
      </c>
      <c r="E26" s="1">
        <f t="shared" si="1"/>
        <v>199.02934005448134</v>
      </c>
      <c r="F26">
        <v>34.298999999999999</v>
      </c>
      <c r="S26" s="24" t="s">
        <v>55</v>
      </c>
      <c r="T26" s="25"/>
      <c r="U26" s="26" t="s">
        <v>56</v>
      </c>
      <c r="V26" s="26"/>
    </row>
    <row r="27" spans="1:22" x14ac:dyDescent="0.3">
      <c r="A27">
        <v>188</v>
      </c>
      <c r="B27">
        <v>2649400.2579999999</v>
      </c>
      <c r="C27">
        <v>570302.38899999997</v>
      </c>
      <c r="D27">
        <f t="shared" si="0"/>
        <v>3.989772173819095</v>
      </c>
      <c r="E27" s="1">
        <f t="shared" si="1"/>
        <v>203.01911222830043</v>
      </c>
      <c r="F27">
        <v>33.607999999999997</v>
      </c>
      <c r="J27" t="s">
        <v>21</v>
      </c>
      <c r="K27" t="s">
        <v>22</v>
      </c>
      <c r="L27" t="s">
        <v>5</v>
      </c>
      <c r="M27" t="s">
        <v>19</v>
      </c>
      <c r="N27" t="s">
        <v>20</v>
      </c>
      <c r="O27" s="6" t="s">
        <v>23</v>
      </c>
      <c r="P27" s="3" t="s">
        <v>24</v>
      </c>
      <c r="Q27" s="3" t="s">
        <v>51</v>
      </c>
      <c r="R27" s="11" t="s">
        <v>54</v>
      </c>
      <c r="S27" s="9" t="s">
        <v>58</v>
      </c>
      <c r="T27" s="9" t="s">
        <v>57</v>
      </c>
      <c r="U27" s="10" t="s">
        <v>58</v>
      </c>
      <c r="V27" s="10" t="s">
        <v>57</v>
      </c>
    </row>
    <row r="28" spans="1:22" x14ac:dyDescent="0.3">
      <c r="A28">
        <v>189</v>
      </c>
      <c r="B28">
        <v>2649402.64</v>
      </c>
      <c r="C28">
        <v>570303.554</v>
      </c>
      <c r="D28">
        <f t="shared" si="0"/>
        <v>2.6516313848489843</v>
      </c>
      <c r="E28" s="1">
        <f t="shared" si="1"/>
        <v>205.67074361314943</v>
      </c>
      <c r="F28">
        <v>33.597999999999999</v>
      </c>
      <c r="I28" t="s">
        <v>7</v>
      </c>
      <c r="J28">
        <v>129</v>
      </c>
      <c r="K28">
        <f>J29-J28</f>
        <v>3</v>
      </c>
      <c r="L28">
        <v>34.444000000000003</v>
      </c>
      <c r="M28">
        <v>0</v>
      </c>
      <c r="N28">
        <f>1/2*3*0.303</f>
        <v>0.45450000000000002</v>
      </c>
      <c r="O28">
        <f>(N28+N31+N34+N37+N40+N43+N46+N49+N52+N55+N58+N61+N64+N67+N70+N73+N76+N79+N82+N85)</f>
        <v>28.946500000000004</v>
      </c>
      <c r="P28">
        <f>SQRT((K28)^2+(L28-L29)^2)</f>
        <v>3.0489237445367512</v>
      </c>
      <c r="Q28">
        <f>P28+P31+P34+P37+P40+P43+P46+P49+P52+P55+P58+P61+P64+P67+P70+P73+P76+P79+P82+P85</f>
        <v>83.347891069557448</v>
      </c>
      <c r="R28">
        <f>O28/Q28</f>
        <v>0.34729732964500432</v>
      </c>
      <c r="S28">
        <f>(1/0.035)*(R28)^(2/3)*(0.001)^(1/2)</f>
        <v>0.44640897591851586</v>
      </c>
      <c r="T28">
        <f>O28*S28</f>
        <v>12.921977421425321</v>
      </c>
      <c r="U28">
        <v>0.11</v>
      </c>
      <c r="V28">
        <f>O28*U28</f>
        <v>3.1841150000000003</v>
      </c>
    </row>
    <row r="29" spans="1:22" x14ac:dyDescent="0.3">
      <c r="A29">
        <v>190</v>
      </c>
      <c r="B29">
        <v>2649405.6060000001</v>
      </c>
      <c r="C29">
        <v>570304.45700000005</v>
      </c>
      <c r="D29">
        <f t="shared" si="0"/>
        <v>3.1004136821039765</v>
      </c>
      <c r="E29" s="1">
        <f t="shared" si="1"/>
        <v>208.7711572952534</v>
      </c>
      <c r="F29">
        <v>33.609000000000002</v>
      </c>
      <c r="J29">
        <v>132</v>
      </c>
      <c r="L29">
        <v>33.9</v>
      </c>
      <c r="M29">
        <v>0.30299999999999999</v>
      </c>
    </row>
    <row r="30" spans="1:22" x14ac:dyDescent="0.3">
      <c r="A30">
        <v>191</v>
      </c>
      <c r="B30">
        <v>2649408.858</v>
      </c>
      <c r="C30">
        <v>570305.41700000002</v>
      </c>
      <c r="D30">
        <f t="shared" si="0"/>
        <v>3.3907379726295557</v>
      </c>
      <c r="E30" s="1">
        <f t="shared" si="1"/>
        <v>212.16189526788295</v>
      </c>
      <c r="F30">
        <v>33.732999999999997</v>
      </c>
      <c r="K30" s="1"/>
    </row>
    <row r="31" spans="1:22" x14ac:dyDescent="0.3">
      <c r="A31">
        <v>192</v>
      </c>
      <c r="B31">
        <v>2649411.7859999998</v>
      </c>
      <c r="C31">
        <v>570306.07299999997</v>
      </c>
      <c r="D31">
        <f t="shared" si="0"/>
        <v>3.0005866091496478</v>
      </c>
      <c r="E31" s="1">
        <f t="shared" si="1"/>
        <v>215.1624818770326</v>
      </c>
      <c r="F31">
        <v>34.466999999999999</v>
      </c>
      <c r="I31" t="s">
        <v>8</v>
      </c>
      <c r="J31">
        <v>132</v>
      </c>
      <c r="K31" s="1">
        <f>J32-J31</f>
        <v>6</v>
      </c>
      <c r="L31">
        <v>33.9</v>
      </c>
      <c r="M31">
        <v>0.30299999999999999</v>
      </c>
      <c r="N31">
        <f>1/2*(SUM(M31:M32)*6)</f>
        <v>2.3130000000000002</v>
      </c>
      <c r="P31">
        <f>SQRT((K31)^2+(L31-L32)^2)</f>
        <v>6.0022683212265679</v>
      </c>
    </row>
    <row r="32" spans="1:22" x14ac:dyDescent="0.3">
      <c r="A32">
        <v>193</v>
      </c>
      <c r="B32">
        <v>2649421.5929999999</v>
      </c>
      <c r="C32">
        <v>570313.21900000004</v>
      </c>
      <c r="D32">
        <f t="shared" si="0"/>
        <v>12.13435474186945</v>
      </c>
      <c r="E32" s="1">
        <f t="shared" si="1"/>
        <v>227.29683661890206</v>
      </c>
      <c r="F32">
        <v>34.773000000000003</v>
      </c>
      <c r="J32">
        <v>138</v>
      </c>
      <c r="K32" s="1"/>
      <c r="L32">
        <v>33.734999999999999</v>
      </c>
      <c r="M32">
        <v>0.46800000000000003</v>
      </c>
    </row>
    <row r="33" spans="1:16" x14ac:dyDescent="0.3">
      <c r="A33">
        <v>194</v>
      </c>
      <c r="B33">
        <v>2649437.9700000002</v>
      </c>
      <c r="C33">
        <v>570315.598</v>
      </c>
      <c r="D33">
        <f t="shared" si="0"/>
        <v>16.548890295440771</v>
      </c>
      <c r="E33" s="1">
        <f t="shared" si="1"/>
        <v>243.84572691434283</v>
      </c>
      <c r="F33">
        <v>34.735999999999997</v>
      </c>
      <c r="K33" s="1"/>
    </row>
    <row r="34" spans="1:16" x14ac:dyDescent="0.3">
      <c r="A34">
        <v>195</v>
      </c>
      <c r="B34">
        <v>2649450.227</v>
      </c>
      <c r="C34">
        <v>570316.98300000001</v>
      </c>
      <c r="D34">
        <f t="shared" si="0"/>
        <v>12.335001985970948</v>
      </c>
      <c r="E34" s="1">
        <f t="shared" si="1"/>
        <v>256.1807289003138</v>
      </c>
      <c r="F34">
        <v>35.893999999999998</v>
      </c>
      <c r="I34" t="s">
        <v>9</v>
      </c>
      <c r="J34">
        <v>138</v>
      </c>
      <c r="K34" s="1">
        <f>J35-J34</f>
        <v>4</v>
      </c>
      <c r="L34">
        <v>33.734999999999999</v>
      </c>
      <c r="M34">
        <v>0.46800000000000003</v>
      </c>
      <c r="N34">
        <f>1/2*(SUM(M34:M35)*4)</f>
        <v>1.9500000000000002</v>
      </c>
      <c r="P34">
        <f>SQRT((K34)^2+(L35-L34)^2)</f>
        <v>4.0001901204817756</v>
      </c>
    </row>
    <row r="35" spans="1:16" x14ac:dyDescent="0.3">
      <c r="A35">
        <v>196</v>
      </c>
      <c r="B35">
        <v>2649463.4709999999</v>
      </c>
      <c r="C35">
        <v>570321.21400000004</v>
      </c>
      <c r="D35">
        <f t="shared" si="0"/>
        <v>13.903413142062018</v>
      </c>
      <c r="E35" s="1">
        <f t="shared" si="1"/>
        <v>270.08414204237579</v>
      </c>
      <c r="F35">
        <v>35.786000000000001</v>
      </c>
      <c r="J35">
        <v>142</v>
      </c>
      <c r="K35" s="1"/>
      <c r="L35">
        <v>33.695999999999998</v>
      </c>
      <c r="M35">
        <v>0.50700000000000001</v>
      </c>
    </row>
    <row r="36" spans="1:16" x14ac:dyDescent="0.3">
      <c r="A36">
        <v>197</v>
      </c>
      <c r="B36">
        <v>2649468.7340000002</v>
      </c>
      <c r="C36">
        <v>570323.81999999995</v>
      </c>
      <c r="D36">
        <f t="shared" si="0"/>
        <v>5.8728532249977956</v>
      </c>
      <c r="E36" s="1">
        <f t="shared" si="1"/>
        <v>275.9569952673736</v>
      </c>
      <c r="F36">
        <v>36.182000000000002</v>
      </c>
      <c r="K36" s="1"/>
    </row>
    <row r="37" spans="1:16" x14ac:dyDescent="0.3">
      <c r="A37">
        <v>198</v>
      </c>
      <c r="B37">
        <v>2649478.392</v>
      </c>
      <c r="C37">
        <v>570329.26599999995</v>
      </c>
      <c r="D37">
        <f t="shared" si="0"/>
        <v>11.087645376566904</v>
      </c>
      <c r="E37" s="1">
        <f t="shared" si="1"/>
        <v>287.04464064394051</v>
      </c>
      <c r="F37">
        <v>35.167000000000002</v>
      </c>
      <c r="I37" t="s">
        <v>10</v>
      </c>
      <c r="J37">
        <v>142</v>
      </c>
      <c r="K37" s="1">
        <f>J38-J37</f>
        <v>4</v>
      </c>
      <c r="L37">
        <v>33.695999999999998</v>
      </c>
      <c r="M37">
        <v>0.50700000000000001</v>
      </c>
      <c r="N37">
        <f>1/2*(SUM(M37:M38)*4)</f>
        <v>2.16</v>
      </c>
      <c r="P37">
        <f>SQRT((K37)^2+(L37-L38)^2)</f>
        <v>4.0005444629450126</v>
      </c>
    </row>
    <row r="38" spans="1:16" x14ac:dyDescent="0.3">
      <c r="A38">
        <v>199</v>
      </c>
      <c r="B38">
        <v>2649511.8429999999</v>
      </c>
      <c r="C38">
        <v>570343.21400000004</v>
      </c>
      <c r="D38">
        <f t="shared" si="0"/>
        <v>36.242462733578414</v>
      </c>
      <c r="E38" s="1">
        <f t="shared" si="1"/>
        <v>323.28710337751892</v>
      </c>
      <c r="F38">
        <v>35.637999999999998</v>
      </c>
      <c r="J38">
        <v>146</v>
      </c>
      <c r="K38" s="1"/>
      <c r="L38">
        <v>33.630000000000003</v>
      </c>
      <c r="M38">
        <v>0.57299999999999995</v>
      </c>
    </row>
    <row r="39" spans="1:16" x14ac:dyDescent="0.3">
      <c r="A39">
        <v>200</v>
      </c>
      <c r="B39">
        <v>2649524.534</v>
      </c>
      <c r="C39">
        <v>570350.228</v>
      </c>
      <c r="D39">
        <f t="shared" si="0"/>
        <v>14.5002647217998</v>
      </c>
      <c r="E39" s="1">
        <f t="shared" si="1"/>
        <v>337.78736809931871</v>
      </c>
      <c r="F39">
        <v>35.219000000000001</v>
      </c>
      <c r="K39" s="1"/>
    </row>
    <row r="40" spans="1:16" x14ac:dyDescent="0.3">
      <c r="A40">
        <v>201</v>
      </c>
      <c r="B40">
        <v>2649558.2949999999</v>
      </c>
      <c r="C40">
        <v>570363.35</v>
      </c>
      <c r="D40">
        <f t="shared" si="0"/>
        <v>36.221430189810164</v>
      </c>
      <c r="E40" s="1">
        <f t="shared" si="1"/>
        <v>374.00879828912889</v>
      </c>
      <c r="F40">
        <v>35.475999999999999</v>
      </c>
      <c r="I40" t="s">
        <v>11</v>
      </c>
      <c r="J40">
        <v>146</v>
      </c>
      <c r="K40" s="1">
        <f>J41-J40</f>
        <v>1</v>
      </c>
      <c r="L40">
        <v>33.630000000000003</v>
      </c>
      <c r="M40">
        <v>0.57299999999999995</v>
      </c>
      <c r="N40">
        <f>1/2*(SUM(M40:M41)*1)</f>
        <v>0.61149999999999993</v>
      </c>
      <c r="P40">
        <f>SQRT((K40)^2+(L40-L41)^2)</f>
        <v>1.0029601188482027</v>
      </c>
    </row>
    <row r="41" spans="1:16" x14ac:dyDescent="0.3">
      <c r="A41">
        <v>202</v>
      </c>
      <c r="B41">
        <v>2649578.8339999998</v>
      </c>
      <c r="C41">
        <v>570368.63300000003</v>
      </c>
      <c r="D41">
        <f t="shared" si="0"/>
        <v>21.20756020845792</v>
      </c>
      <c r="E41" s="1">
        <f t="shared" si="1"/>
        <v>395.21635849758684</v>
      </c>
      <c r="F41">
        <v>35.228999999999999</v>
      </c>
      <c r="J41">
        <v>147</v>
      </c>
      <c r="K41" s="1"/>
      <c r="L41">
        <v>33.552999999999997</v>
      </c>
      <c r="M41" s="3">
        <v>0.65</v>
      </c>
    </row>
    <row r="42" spans="1:16" x14ac:dyDescent="0.3">
      <c r="A42">
        <v>203</v>
      </c>
      <c r="B42">
        <v>2649604.0290000001</v>
      </c>
      <c r="C42">
        <v>570376.93999999994</v>
      </c>
      <c r="D42">
        <f t="shared" si="0"/>
        <v>26.529121244654494</v>
      </c>
      <c r="E42" s="1">
        <f t="shared" si="1"/>
        <v>421.74547974224134</v>
      </c>
      <c r="F42">
        <v>35.954000000000001</v>
      </c>
      <c r="K42" s="1"/>
    </row>
    <row r="43" spans="1:16" x14ac:dyDescent="0.3">
      <c r="A43">
        <v>204</v>
      </c>
      <c r="B43">
        <v>2649609.307</v>
      </c>
      <c r="C43">
        <v>570379.02599999995</v>
      </c>
      <c r="D43">
        <f t="shared" si="0"/>
        <v>5.6752691565541546</v>
      </c>
      <c r="E43" s="1">
        <f t="shared" si="1"/>
        <v>427.42074889879552</v>
      </c>
      <c r="F43">
        <v>35.131</v>
      </c>
      <c r="I43" t="s">
        <v>12</v>
      </c>
      <c r="J43">
        <v>147</v>
      </c>
      <c r="K43" s="1">
        <f>J44-J43</f>
        <v>3</v>
      </c>
      <c r="L43">
        <v>33.552999999999997</v>
      </c>
      <c r="M43">
        <v>0.65</v>
      </c>
      <c r="N43">
        <f>1/2*(SUM(M43:M44)*3)</f>
        <v>1.6034999999999999</v>
      </c>
      <c r="P43">
        <f>SQRT((K43)^2+(L44-L43)^2)</f>
        <v>3.0088803565446067</v>
      </c>
    </row>
    <row r="44" spans="1:16" x14ac:dyDescent="0.3">
      <c r="A44">
        <v>205</v>
      </c>
      <c r="B44">
        <v>2649613.057</v>
      </c>
      <c r="C44">
        <v>570380.79700000002</v>
      </c>
      <c r="D44">
        <f t="shared" si="0"/>
        <v>4.1471605949413402</v>
      </c>
      <c r="E44" s="1">
        <f t="shared" si="1"/>
        <v>431.56790949373686</v>
      </c>
      <c r="F44">
        <v>35.780999999999999</v>
      </c>
      <c r="J44">
        <v>150</v>
      </c>
      <c r="K44" s="1"/>
      <c r="L44">
        <v>33.783999999999999</v>
      </c>
      <c r="M44">
        <v>0.41899999999999998</v>
      </c>
    </row>
    <row r="45" spans="1:16" x14ac:dyDescent="0.3">
      <c r="A45">
        <v>206</v>
      </c>
      <c r="B45">
        <v>2649619.8509999998</v>
      </c>
      <c r="C45">
        <v>570380.03300000005</v>
      </c>
      <c r="D45">
        <f t="shared" si="0"/>
        <v>6.836821775994248</v>
      </c>
      <c r="E45" s="1">
        <f t="shared" si="1"/>
        <v>438.40473126973109</v>
      </c>
      <c r="F45">
        <v>36.792000000000002</v>
      </c>
      <c r="K45" s="1"/>
    </row>
    <row r="46" spans="1:16" x14ac:dyDescent="0.3">
      <c r="A46">
        <v>207</v>
      </c>
      <c r="B46">
        <v>2649628.1129999999</v>
      </c>
      <c r="C46">
        <v>570381.11800000002</v>
      </c>
      <c r="D46">
        <f t="shared" si="0"/>
        <v>8.332938797425717</v>
      </c>
      <c r="E46" s="1">
        <f t="shared" si="1"/>
        <v>446.73767006715678</v>
      </c>
      <c r="F46">
        <v>38.636000000000003</v>
      </c>
      <c r="I46" t="s">
        <v>13</v>
      </c>
      <c r="J46">
        <v>150</v>
      </c>
      <c r="K46" s="1">
        <f>J47-J46</f>
        <v>3</v>
      </c>
      <c r="L46">
        <v>33.783999999999999</v>
      </c>
      <c r="M46">
        <v>0.41899999999999998</v>
      </c>
      <c r="N46">
        <f>1/2*3*0.419</f>
        <v>0.62849999999999995</v>
      </c>
      <c r="P46">
        <f>SQRT((K46)^2+(L47-L46)^2)</f>
        <v>3.0500000000000007</v>
      </c>
    </row>
    <row r="47" spans="1:16" x14ac:dyDescent="0.3">
      <c r="A47">
        <v>208</v>
      </c>
      <c r="B47">
        <v>2649634.4350000001</v>
      </c>
      <c r="C47">
        <v>570386.63300000003</v>
      </c>
      <c r="D47">
        <f t="shared" si="0"/>
        <v>8.389452246850178</v>
      </c>
      <c r="E47" s="1">
        <f t="shared" si="1"/>
        <v>455.12712231400695</v>
      </c>
      <c r="F47">
        <v>40.591000000000001</v>
      </c>
      <c r="J47">
        <v>153</v>
      </c>
      <c r="K47" s="1"/>
      <c r="L47">
        <v>34.334000000000003</v>
      </c>
      <c r="M47">
        <v>0</v>
      </c>
    </row>
    <row r="48" spans="1:16" x14ac:dyDescent="0.3">
      <c r="B48" s="23" t="s">
        <v>6</v>
      </c>
      <c r="C48" s="23"/>
      <c r="D48" s="2">
        <f>SUM(D3:D47)</f>
        <v>455.12712231400695</v>
      </c>
      <c r="K48" s="1"/>
    </row>
    <row r="49" spans="9:16" x14ac:dyDescent="0.3">
      <c r="I49" t="s">
        <v>14</v>
      </c>
      <c r="J49">
        <v>153</v>
      </c>
      <c r="K49" s="1">
        <f>J50-J49</f>
        <v>16</v>
      </c>
      <c r="L49">
        <v>34.334000000000003</v>
      </c>
      <c r="M49">
        <v>0</v>
      </c>
      <c r="N49">
        <v>0</v>
      </c>
      <c r="P49">
        <f>SQRT((K49)^2+(L50-L49)^2)</f>
        <v>16.00002812497528</v>
      </c>
    </row>
    <row r="50" spans="9:16" x14ac:dyDescent="0.3">
      <c r="J50">
        <v>169</v>
      </c>
      <c r="K50" s="1"/>
      <c r="L50">
        <v>34.363999999999997</v>
      </c>
      <c r="M50">
        <v>0</v>
      </c>
    </row>
    <row r="52" spans="9:16" x14ac:dyDescent="0.3">
      <c r="I52" t="s">
        <v>15</v>
      </c>
      <c r="J52">
        <v>169</v>
      </c>
      <c r="K52">
        <f>J53-J52</f>
        <v>3</v>
      </c>
      <c r="L52">
        <v>34.363999999999997</v>
      </c>
      <c r="M52">
        <v>0</v>
      </c>
      <c r="N52">
        <f>1/2*3*0.51</f>
        <v>0.76500000000000001</v>
      </c>
      <c r="P52">
        <f>SQRT((K52)^2+(L52-L53)^2)</f>
        <v>3.0756599291859295</v>
      </c>
    </row>
    <row r="53" spans="9:16" x14ac:dyDescent="0.3">
      <c r="J53">
        <v>172</v>
      </c>
      <c r="L53">
        <v>33.686</v>
      </c>
      <c r="M53">
        <v>0.51</v>
      </c>
    </row>
    <row r="55" spans="9:16" x14ac:dyDescent="0.3">
      <c r="I55" t="s">
        <v>16</v>
      </c>
      <c r="J55">
        <v>172</v>
      </c>
      <c r="K55">
        <f>J56-J55</f>
        <v>4</v>
      </c>
      <c r="L55">
        <v>33.686</v>
      </c>
      <c r="M55">
        <v>0.51</v>
      </c>
      <c r="N55">
        <f>1/2*(SUM(M55:M56)*4)</f>
        <v>1.6120000000000001</v>
      </c>
      <c r="P55">
        <f>SQRT((K55)^2+(L56-L55)^2)</f>
        <v>4.0057204096142307</v>
      </c>
    </row>
    <row r="56" spans="9:16" x14ac:dyDescent="0.3">
      <c r="J56">
        <v>176</v>
      </c>
      <c r="L56">
        <v>33.9</v>
      </c>
      <c r="M56">
        <v>0.29599999999999999</v>
      </c>
    </row>
    <row r="58" spans="9:16" x14ac:dyDescent="0.3">
      <c r="I58" t="s">
        <v>17</v>
      </c>
      <c r="J58">
        <v>176</v>
      </c>
      <c r="K58">
        <f>J59-J58</f>
        <v>4</v>
      </c>
      <c r="L58">
        <v>33.9</v>
      </c>
      <c r="M58">
        <v>0.29599999999999999</v>
      </c>
      <c r="N58">
        <f>1/2*(SUM(M58:M59)*4)</f>
        <v>1.528</v>
      </c>
      <c r="P58">
        <f>SQRT((K58)^2+(L58-L59)^2)</f>
        <v>4.0036962921780166</v>
      </c>
    </row>
    <row r="59" spans="9:16" x14ac:dyDescent="0.3">
      <c r="J59">
        <v>180</v>
      </c>
      <c r="L59">
        <v>33.728000000000002</v>
      </c>
      <c r="M59">
        <v>0.46800000000000003</v>
      </c>
    </row>
    <row r="61" spans="9:16" x14ac:dyDescent="0.3">
      <c r="I61" t="s">
        <v>18</v>
      </c>
      <c r="J61">
        <v>180</v>
      </c>
      <c r="K61">
        <f>J62-J61</f>
        <v>6</v>
      </c>
      <c r="L61">
        <v>33.728000000000002</v>
      </c>
      <c r="M61">
        <v>0.46800000000000003</v>
      </c>
      <c r="N61">
        <f>1/2*(SUM(M61:M62)*6)</f>
        <v>3.2009999999999996</v>
      </c>
      <c r="P61">
        <f>SQRT((K61)^2+(L61-L62)^2)</f>
        <v>6.0014299129457473</v>
      </c>
    </row>
    <row r="62" spans="9:16" x14ac:dyDescent="0.3">
      <c r="J62">
        <v>186</v>
      </c>
      <c r="L62">
        <v>33.597000000000001</v>
      </c>
      <c r="M62">
        <v>0.59899999999999998</v>
      </c>
    </row>
    <row r="64" spans="9:16" x14ac:dyDescent="0.3">
      <c r="I64" t="s">
        <v>25</v>
      </c>
      <c r="J64">
        <v>186</v>
      </c>
      <c r="K64">
        <f>J65-J64</f>
        <v>3</v>
      </c>
      <c r="L64">
        <v>33.597000000000001</v>
      </c>
      <c r="M64">
        <v>0.59899999999999998</v>
      </c>
      <c r="N64">
        <f>1/2*(SUM(M64:M65)*3)</f>
        <v>1.6260000000000001</v>
      </c>
      <c r="P64">
        <f>SQRT((K64)^2+(L65-L64)^2)</f>
        <v>3.0021652186380416</v>
      </c>
    </row>
    <row r="65" spans="9:16" x14ac:dyDescent="0.3">
      <c r="J65">
        <v>189</v>
      </c>
      <c r="L65">
        <v>33.710999999999999</v>
      </c>
      <c r="M65">
        <v>0.48499999999999999</v>
      </c>
    </row>
    <row r="67" spans="9:16" x14ac:dyDescent="0.3">
      <c r="I67" t="s">
        <v>26</v>
      </c>
      <c r="J67">
        <v>189</v>
      </c>
      <c r="K67">
        <f>J68-J67</f>
        <v>3</v>
      </c>
      <c r="L67">
        <v>33.710999999999999</v>
      </c>
      <c r="M67">
        <v>0.48499999999999999</v>
      </c>
      <c r="N67">
        <f>1/2*(SUM(M67:M68)*3)</f>
        <v>1.6124999999999998</v>
      </c>
      <c r="P67">
        <f>SQRT((K67)^2+(L67-L68)^2)</f>
        <v>3.0018369376100362</v>
      </c>
    </row>
    <row r="68" spans="9:16" x14ac:dyDescent="0.3">
      <c r="J68">
        <v>192</v>
      </c>
      <c r="L68">
        <v>33.606000000000002</v>
      </c>
      <c r="M68">
        <v>0.59</v>
      </c>
    </row>
    <row r="70" spans="9:16" x14ac:dyDescent="0.3">
      <c r="I70" t="s">
        <v>27</v>
      </c>
      <c r="J70">
        <v>192</v>
      </c>
      <c r="K70">
        <f>J71-J70</f>
        <v>4</v>
      </c>
      <c r="L70">
        <v>33.606000000000002</v>
      </c>
      <c r="M70">
        <v>0.59</v>
      </c>
      <c r="N70">
        <f>1/2*(SUM(M70:M71)*4)</f>
        <v>2.3839999999999999</v>
      </c>
      <c r="P70">
        <f>SQRT((K70)^2+(L70-L71)^2)</f>
        <v>4.0000179999594998</v>
      </c>
    </row>
    <row r="71" spans="9:16" x14ac:dyDescent="0.3">
      <c r="J71">
        <v>196</v>
      </c>
      <c r="L71">
        <v>33.594000000000001</v>
      </c>
      <c r="M71">
        <v>0.60199999999999998</v>
      </c>
    </row>
    <row r="73" spans="9:16" x14ac:dyDescent="0.3">
      <c r="I73" t="s">
        <v>28</v>
      </c>
      <c r="J73">
        <v>196</v>
      </c>
      <c r="K73">
        <f>J74-J73</f>
        <v>3</v>
      </c>
      <c r="L73">
        <v>33.594000000000001</v>
      </c>
      <c r="M73">
        <v>0.60199999999999998</v>
      </c>
      <c r="N73">
        <f>1/2*3*0.602</f>
        <v>0.90300000000000002</v>
      </c>
      <c r="P73">
        <f>SQRT((K73)^2+(L74-L73)^2)</f>
        <v>3.0817243549675233</v>
      </c>
    </row>
    <row r="74" spans="9:16" x14ac:dyDescent="0.3">
      <c r="J74">
        <v>199</v>
      </c>
      <c r="L74">
        <v>34.298999999999999</v>
      </c>
      <c r="M74">
        <v>0</v>
      </c>
    </row>
    <row r="76" spans="9:16" x14ac:dyDescent="0.3">
      <c r="I76" t="s">
        <v>29</v>
      </c>
      <c r="J76">
        <v>199</v>
      </c>
      <c r="K76">
        <f>J77-J76</f>
        <v>4</v>
      </c>
      <c r="L76">
        <v>34.298999999999999</v>
      </c>
      <c r="M76">
        <v>0</v>
      </c>
      <c r="N76">
        <f>1/2*4*0.586</f>
        <v>1.1719999999999999</v>
      </c>
      <c r="P76">
        <f>SQRT((K76)^2+(L76-L77)^2)</f>
        <v>4.0592463586237288</v>
      </c>
    </row>
    <row r="77" spans="9:16" x14ac:dyDescent="0.3">
      <c r="J77">
        <v>203</v>
      </c>
      <c r="L77">
        <v>33.607999999999997</v>
      </c>
      <c r="M77">
        <v>0.58599999999999997</v>
      </c>
    </row>
    <row r="79" spans="9:16" x14ac:dyDescent="0.3">
      <c r="I79" t="s">
        <v>32</v>
      </c>
      <c r="J79">
        <v>203</v>
      </c>
      <c r="K79">
        <f>J80-J79</f>
        <v>3</v>
      </c>
      <c r="L79">
        <v>33.607999999999997</v>
      </c>
      <c r="M79">
        <v>0.58599999999999997</v>
      </c>
      <c r="N79">
        <f>1/2*(SUM(M79:M80)*3)</f>
        <v>1.7729999999999999</v>
      </c>
      <c r="P79">
        <f>SQRT((K79)^2+(L79-L80)^2)</f>
        <v>3.0000166666203705</v>
      </c>
    </row>
    <row r="80" spans="9:16" x14ac:dyDescent="0.3">
      <c r="J80">
        <v>206</v>
      </c>
      <c r="L80">
        <v>33.597999999999999</v>
      </c>
      <c r="M80">
        <v>0.59599999999999997</v>
      </c>
    </row>
    <row r="82" spans="9:16" x14ac:dyDescent="0.3">
      <c r="I82" t="s">
        <v>33</v>
      </c>
      <c r="J82">
        <v>206</v>
      </c>
      <c r="K82">
        <f>J83-J82</f>
        <v>3</v>
      </c>
      <c r="L82">
        <v>33.597999999999999</v>
      </c>
      <c r="M82">
        <v>0.59599999999999997</v>
      </c>
      <c r="N82">
        <f>1/2*(SUM(M82:M83)*3)</f>
        <v>1.7715000000000001</v>
      </c>
      <c r="P82">
        <f>SQRT((K82)^2+(L83-L82)^2)</f>
        <v>3.0000201665988846</v>
      </c>
    </row>
    <row r="83" spans="9:16" x14ac:dyDescent="0.3">
      <c r="J83">
        <v>209</v>
      </c>
      <c r="L83">
        <v>33.609000000000002</v>
      </c>
      <c r="M83">
        <v>0.58499999999999996</v>
      </c>
    </row>
    <row r="85" spans="9:16" x14ac:dyDescent="0.3">
      <c r="I85" t="s">
        <v>34</v>
      </c>
      <c r="J85">
        <v>209</v>
      </c>
      <c r="K85">
        <f>J86-J85</f>
        <v>3</v>
      </c>
      <c r="L85">
        <v>33.609000000000002</v>
      </c>
      <c r="M85">
        <v>0.58499999999999996</v>
      </c>
      <c r="N85">
        <f>1/2*3*0.585</f>
        <v>0.87749999999999995</v>
      </c>
      <c r="P85">
        <f>SQRT((K85)^2+(L86-L85)^2)</f>
        <v>3.0025615730572452</v>
      </c>
    </row>
    <row r="86" spans="9:16" x14ac:dyDescent="0.3">
      <c r="J86">
        <v>212</v>
      </c>
      <c r="L86">
        <v>33.732999999999997</v>
      </c>
      <c r="M86">
        <v>0</v>
      </c>
    </row>
  </sheetData>
  <mergeCells count="3">
    <mergeCell ref="B48:C48"/>
    <mergeCell ref="S26:T26"/>
    <mergeCell ref="U26:V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D5" zoomScale="112" zoomScaleNormal="112" workbookViewId="0">
      <selection activeCell="W27" sqref="W27"/>
    </sheetView>
  </sheetViews>
  <sheetFormatPr defaultRowHeight="14.4" x14ac:dyDescent="0.3"/>
  <cols>
    <col min="4" max="4" width="12" bestFit="1" customWidth="1"/>
    <col min="5" max="5" width="17.77734375" style="1" bestFit="1" customWidth="1"/>
    <col min="6" max="6" width="8.5546875" bestFit="1" customWidth="1"/>
    <col min="17" max="17" width="15.88671875" bestFit="1" customWidth="1"/>
    <col min="18" max="18" width="15.6640625" bestFit="1" customWidth="1"/>
    <col min="19" max="19" width="24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1" t="s">
        <v>31</v>
      </c>
      <c r="F1" t="s">
        <v>5</v>
      </c>
    </row>
    <row r="2" spans="1:6" x14ac:dyDescent="0.3">
      <c r="A2">
        <v>209</v>
      </c>
      <c r="B2">
        <v>2643336.7439999999</v>
      </c>
      <c r="C2">
        <v>578030.07700000005</v>
      </c>
      <c r="D2">
        <v>0</v>
      </c>
      <c r="E2" s="1">
        <v>0</v>
      </c>
      <c r="F2">
        <v>31.609000000000002</v>
      </c>
    </row>
    <row r="3" spans="1:6" x14ac:dyDescent="0.3">
      <c r="A3">
        <v>210</v>
      </c>
      <c r="B3">
        <v>2643340.3160000001</v>
      </c>
      <c r="C3">
        <v>578030.87800000003</v>
      </c>
      <c r="D3">
        <v>3.6607082649548257</v>
      </c>
      <c r="E3" s="1">
        <v>3.6607082649548257</v>
      </c>
      <c r="F3">
        <v>31.597000000000001</v>
      </c>
    </row>
    <row r="4" spans="1:6" x14ac:dyDescent="0.3">
      <c r="A4">
        <v>211</v>
      </c>
      <c r="B4">
        <v>2643341.764</v>
      </c>
      <c r="C4">
        <v>578031.26300000004</v>
      </c>
      <c r="D4">
        <v>1.4983087130485528</v>
      </c>
      <c r="E4" s="1">
        <v>5.159016978003379</v>
      </c>
      <c r="F4">
        <v>30.471</v>
      </c>
    </row>
    <row r="5" spans="1:6" x14ac:dyDescent="0.3">
      <c r="A5">
        <v>212</v>
      </c>
      <c r="B5">
        <v>2643363.341</v>
      </c>
      <c r="C5">
        <v>578034.11100000003</v>
      </c>
      <c r="D5">
        <v>21.764145584012237</v>
      </c>
      <c r="E5" s="1">
        <v>26.923162562015616</v>
      </c>
      <c r="F5">
        <v>30.518000000000001</v>
      </c>
    </row>
    <row r="6" spans="1:6" x14ac:dyDescent="0.3">
      <c r="A6">
        <v>213</v>
      </c>
      <c r="B6">
        <v>2643364.4010000001</v>
      </c>
      <c r="C6">
        <v>578035.62199999997</v>
      </c>
      <c r="D6">
        <v>1.8457304786827191</v>
      </c>
      <c r="E6" s="1">
        <v>28.768893040698334</v>
      </c>
      <c r="F6">
        <v>29.92</v>
      </c>
    </row>
    <row r="7" spans="1:6" x14ac:dyDescent="0.3">
      <c r="A7">
        <v>214</v>
      </c>
      <c r="B7">
        <v>2643380.0890000002</v>
      </c>
      <c r="C7">
        <v>578046.22400000005</v>
      </c>
      <c r="D7">
        <v>18.934512087827667</v>
      </c>
      <c r="E7" s="1">
        <v>47.703405128526001</v>
      </c>
      <c r="F7">
        <v>30.225000000000001</v>
      </c>
    </row>
    <row r="8" spans="1:6" x14ac:dyDescent="0.3">
      <c r="A8">
        <v>215</v>
      </c>
      <c r="B8">
        <v>2643382.5780000002</v>
      </c>
      <c r="C8">
        <v>578046.78599999996</v>
      </c>
      <c r="D8">
        <v>2.5516592641268923</v>
      </c>
      <c r="E8" s="1">
        <v>50.255064392652891</v>
      </c>
      <c r="F8">
        <v>28.734000000000002</v>
      </c>
    </row>
    <row r="9" spans="1:6" x14ac:dyDescent="0.3">
      <c r="A9">
        <v>216</v>
      </c>
      <c r="B9">
        <v>2643389.1839999999</v>
      </c>
      <c r="C9">
        <v>578040.76399999997</v>
      </c>
      <c r="D9">
        <v>8.9388880737893537</v>
      </c>
      <c r="E9" s="1">
        <v>59.193952466442241</v>
      </c>
      <c r="F9">
        <v>27.207999999999998</v>
      </c>
    </row>
    <row r="10" spans="1:6" x14ac:dyDescent="0.3">
      <c r="A10">
        <v>217</v>
      </c>
      <c r="B10">
        <v>2643399.179</v>
      </c>
      <c r="C10">
        <v>578043.03899999999</v>
      </c>
      <c r="D10">
        <v>10.250641443458063</v>
      </c>
      <c r="E10" s="1">
        <v>69.444593909900306</v>
      </c>
      <c r="F10">
        <v>27.445</v>
      </c>
    </row>
    <row r="11" spans="1:6" x14ac:dyDescent="0.3">
      <c r="A11">
        <v>218</v>
      </c>
      <c r="B11">
        <v>2643401.7459999998</v>
      </c>
      <c r="C11">
        <v>578043.076</v>
      </c>
      <c r="D11">
        <v>2.5672666396395787</v>
      </c>
      <c r="E11" s="1">
        <v>72.01186054953989</v>
      </c>
      <c r="F11">
        <v>27.97</v>
      </c>
    </row>
    <row r="12" spans="1:6" x14ac:dyDescent="0.3">
      <c r="A12">
        <v>219</v>
      </c>
      <c r="B12">
        <v>2643405.673</v>
      </c>
      <c r="C12">
        <v>578043.55299999996</v>
      </c>
      <c r="D12">
        <v>3.955863749052686</v>
      </c>
      <c r="E12" s="1">
        <v>75.967724298592572</v>
      </c>
      <c r="F12">
        <v>26.920999999999999</v>
      </c>
    </row>
    <row r="13" spans="1:6" x14ac:dyDescent="0.3">
      <c r="A13">
        <v>220</v>
      </c>
      <c r="B13">
        <v>2643409.3470000001</v>
      </c>
      <c r="C13">
        <v>578045.576</v>
      </c>
      <c r="D13">
        <v>4.1941393635678645</v>
      </c>
      <c r="E13" s="1">
        <v>80.161863662160442</v>
      </c>
      <c r="F13">
        <v>26.943000000000001</v>
      </c>
    </row>
    <row r="14" spans="1:6" x14ac:dyDescent="0.3">
      <c r="A14">
        <v>221</v>
      </c>
      <c r="B14">
        <v>2643411.25</v>
      </c>
      <c r="C14">
        <v>578046.67200000002</v>
      </c>
      <c r="D14">
        <v>2.1960475859570208</v>
      </c>
      <c r="E14" s="1">
        <v>82.35791124811746</v>
      </c>
      <c r="F14">
        <v>26.052</v>
      </c>
    </row>
    <row r="15" spans="1:6" x14ac:dyDescent="0.3">
      <c r="A15">
        <v>222</v>
      </c>
      <c r="B15">
        <v>2643413.6120000002</v>
      </c>
      <c r="C15">
        <v>578048.15300000005</v>
      </c>
      <c r="D15">
        <v>2.7879033342313404</v>
      </c>
      <c r="E15" s="1">
        <v>85.145814582348805</v>
      </c>
      <c r="F15">
        <v>25.971</v>
      </c>
    </row>
    <row r="16" spans="1:6" x14ac:dyDescent="0.3">
      <c r="A16">
        <v>223</v>
      </c>
      <c r="B16">
        <v>2643415.6740000001</v>
      </c>
      <c r="C16">
        <v>578049.10600000003</v>
      </c>
      <c r="D16">
        <v>2.2715750041816714</v>
      </c>
      <c r="E16" s="1">
        <v>87.417389586530476</v>
      </c>
      <c r="F16">
        <v>26.131</v>
      </c>
    </row>
    <row r="17" spans="1:24" x14ac:dyDescent="0.3">
      <c r="A17">
        <v>224</v>
      </c>
      <c r="B17">
        <v>2643418.88</v>
      </c>
      <c r="C17">
        <v>578050.01300000004</v>
      </c>
      <c r="D17">
        <v>3.3318290770318253</v>
      </c>
      <c r="E17" s="1">
        <v>90.749218663562303</v>
      </c>
      <c r="F17">
        <v>26.11</v>
      </c>
    </row>
    <row r="18" spans="1:24" x14ac:dyDescent="0.3">
      <c r="A18">
        <v>225</v>
      </c>
      <c r="B18">
        <v>2643420.2659999998</v>
      </c>
      <c r="C18">
        <v>578050.06999999995</v>
      </c>
      <c r="D18">
        <v>1.3871715826908011</v>
      </c>
      <c r="E18" s="1">
        <v>92.1363902462531</v>
      </c>
      <c r="F18">
        <v>26.664000000000001</v>
      </c>
    </row>
    <row r="19" spans="1:24" x14ac:dyDescent="0.3">
      <c r="A19">
        <v>226</v>
      </c>
      <c r="B19">
        <v>2643425.3730000001</v>
      </c>
      <c r="C19">
        <v>578052.36100000003</v>
      </c>
      <c r="D19">
        <v>5.5973324006660965</v>
      </c>
      <c r="E19" s="1">
        <v>97.73372264691919</v>
      </c>
      <c r="F19">
        <v>26.347000000000001</v>
      </c>
    </row>
    <row r="20" spans="1:24" x14ac:dyDescent="0.3">
      <c r="A20">
        <v>227</v>
      </c>
      <c r="B20">
        <v>2643428.5299999998</v>
      </c>
      <c r="C20">
        <v>578057.04299999995</v>
      </c>
      <c r="D20">
        <v>5.6469259776470402</v>
      </c>
      <c r="E20" s="1">
        <v>103.38064862456623</v>
      </c>
      <c r="F20">
        <v>26.812999999999999</v>
      </c>
    </row>
    <row r="21" spans="1:24" x14ac:dyDescent="0.3">
      <c r="A21">
        <v>228</v>
      </c>
      <c r="B21">
        <v>2643434.1090000002</v>
      </c>
      <c r="C21">
        <v>578060.32299999997</v>
      </c>
      <c r="D21">
        <v>6.4717571805794387</v>
      </c>
      <c r="E21" s="1">
        <v>109.85240580514568</v>
      </c>
      <c r="F21">
        <v>26.446000000000002</v>
      </c>
      <c r="T21" t="s">
        <v>59</v>
      </c>
    </row>
    <row r="22" spans="1:24" x14ac:dyDescent="0.3">
      <c r="A22">
        <v>229</v>
      </c>
      <c r="B22">
        <v>2643436.2429999998</v>
      </c>
      <c r="C22">
        <v>578061.26399999997</v>
      </c>
      <c r="D22">
        <v>2.3322600623281002</v>
      </c>
      <c r="E22" s="1">
        <v>112.18466586747378</v>
      </c>
      <c r="F22">
        <v>26.166</v>
      </c>
      <c r="T22" t="s">
        <v>60</v>
      </c>
    </row>
    <row r="23" spans="1:24" x14ac:dyDescent="0.3">
      <c r="A23">
        <v>230</v>
      </c>
      <c r="B23">
        <v>2643437.304</v>
      </c>
      <c r="C23">
        <v>578062.41599999997</v>
      </c>
      <c r="D23">
        <v>1.5661497375636502</v>
      </c>
      <c r="E23" s="1">
        <v>113.75081560503743</v>
      </c>
      <c r="F23">
        <v>26.05</v>
      </c>
      <c r="T23" t="s">
        <v>66</v>
      </c>
    </row>
    <row r="24" spans="1:24" x14ac:dyDescent="0.3">
      <c r="A24">
        <v>231</v>
      </c>
      <c r="B24">
        <v>2643438.122</v>
      </c>
      <c r="C24">
        <v>578063.12</v>
      </c>
      <c r="D24">
        <v>1.0792312078462478</v>
      </c>
      <c r="E24" s="1">
        <v>114.83004681288368</v>
      </c>
      <c r="F24">
        <v>26.007000000000001</v>
      </c>
    </row>
    <row r="25" spans="1:24" x14ac:dyDescent="0.3">
      <c r="A25">
        <v>232</v>
      </c>
      <c r="B25">
        <v>2643439.3110000002</v>
      </c>
      <c r="C25">
        <v>578064.23199999996</v>
      </c>
      <c r="D25">
        <v>1.6279634518335995</v>
      </c>
      <c r="E25" s="1">
        <v>116.45801026471727</v>
      </c>
      <c r="F25">
        <v>26.137</v>
      </c>
      <c r="U25" s="24" t="s">
        <v>55</v>
      </c>
      <c r="V25" s="25"/>
      <c r="W25" s="26" t="s">
        <v>56</v>
      </c>
      <c r="X25" s="26"/>
    </row>
    <row r="26" spans="1:24" x14ac:dyDescent="0.3">
      <c r="A26">
        <v>233</v>
      </c>
      <c r="B26">
        <v>2643438.5980000002</v>
      </c>
      <c r="C26">
        <v>578063.48400000005</v>
      </c>
      <c r="D26">
        <v>1.0333794074985001</v>
      </c>
      <c r="E26" s="1">
        <v>117.49138967221577</v>
      </c>
      <c r="F26">
        <v>25.888000000000002</v>
      </c>
      <c r="L26" t="s">
        <v>21</v>
      </c>
      <c r="M26" t="s">
        <v>22</v>
      </c>
      <c r="N26" t="s">
        <v>5</v>
      </c>
      <c r="O26" t="s">
        <v>19</v>
      </c>
      <c r="P26" t="s">
        <v>20</v>
      </c>
      <c r="Q26" s="6" t="s">
        <v>23</v>
      </c>
      <c r="R26" s="3" t="s">
        <v>24</v>
      </c>
      <c r="S26" s="3" t="s">
        <v>51</v>
      </c>
      <c r="T26" s="11" t="s">
        <v>54</v>
      </c>
      <c r="U26" s="9" t="s">
        <v>58</v>
      </c>
      <c r="V26" s="9" t="s">
        <v>57</v>
      </c>
      <c r="W26" s="10" t="s">
        <v>58</v>
      </c>
      <c r="X26" s="10" t="s">
        <v>57</v>
      </c>
    </row>
    <row r="27" spans="1:24" x14ac:dyDescent="0.3">
      <c r="A27">
        <v>234</v>
      </c>
      <c r="B27">
        <v>2643440.517</v>
      </c>
      <c r="C27">
        <v>578065.13500000001</v>
      </c>
      <c r="D27">
        <v>2.5314742738045481</v>
      </c>
      <c r="E27" s="1">
        <v>120.02286394602032</v>
      </c>
      <c r="F27">
        <v>26.251999999999999</v>
      </c>
      <c r="K27" t="s">
        <v>7</v>
      </c>
      <c r="L27">
        <v>80</v>
      </c>
      <c r="M27">
        <v>2</v>
      </c>
      <c r="N27">
        <v>26.943000000000001</v>
      </c>
      <c r="O27">
        <v>0</v>
      </c>
      <c r="P27">
        <f>1/2*2*0.081</f>
        <v>8.1000000000000003E-2</v>
      </c>
      <c r="Q27" s="8">
        <f>P27+P30+P33+P36+P39+P42+P45+P48+P51+P54+P57+P60+P63+P66+P69+P72+P75+P78+P81+P84+P87+P90+P93+P96+P99+P102+P105</f>
        <v>12.089000000000002</v>
      </c>
      <c r="R27">
        <f>SQRT((M27)^2+(N27-N28)^2)</f>
        <v>2.1894933203825957</v>
      </c>
      <c r="S27">
        <f>R27+R30+R33+R36+R39+R42+R45+R48+R51+R54+R57+R60+R63+R66+R72+R69+R75+R78+R81+R84+R87+R90+R93+R96+R99+R102+R105+R108+R111</f>
        <v>165.82555358961045</v>
      </c>
      <c r="T27">
        <f>Q27/S27</f>
        <v>7.2901912511736194E-2</v>
      </c>
      <c r="U27">
        <f>(1/0.035)*(T27)^(2/3)*(0.002)^(1/2)</f>
        <v>0.2229835890114637</v>
      </c>
      <c r="V27">
        <f>Q27*U27</f>
        <v>2.6956486075595851</v>
      </c>
      <c r="W27">
        <v>0.69</v>
      </c>
      <c r="X27">
        <f>Q27*W27</f>
        <v>8.3414100000000015</v>
      </c>
    </row>
    <row r="28" spans="1:24" x14ac:dyDescent="0.3">
      <c r="A28">
        <v>235</v>
      </c>
      <c r="B28">
        <v>2643441.7179999999</v>
      </c>
      <c r="C28">
        <v>578065.78300000005</v>
      </c>
      <c r="D28">
        <v>1.3646629619728614</v>
      </c>
      <c r="E28" s="1">
        <v>121.38752690799319</v>
      </c>
      <c r="F28">
        <v>26.558</v>
      </c>
      <c r="L28">
        <v>82</v>
      </c>
      <c r="N28">
        <v>26.052</v>
      </c>
      <c r="O28">
        <v>8.1000000000000003E-2</v>
      </c>
    </row>
    <row r="29" spans="1:24" x14ac:dyDescent="0.3">
      <c r="A29">
        <v>236</v>
      </c>
      <c r="B29">
        <v>2643444.3629999999</v>
      </c>
      <c r="C29">
        <v>578067.76</v>
      </c>
      <c r="D29">
        <v>3.3022044152235304</v>
      </c>
      <c r="E29" s="1">
        <v>124.68973132321672</v>
      </c>
      <c r="F29">
        <v>26.553999999999998</v>
      </c>
    </row>
    <row r="30" spans="1:24" x14ac:dyDescent="0.3">
      <c r="A30">
        <v>237</v>
      </c>
      <c r="B30">
        <v>2643445.9550000001</v>
      </c>
      <c r="C30">
        <v>578068.353</v>
      </c>
      <c r="D30">
        <v>1.698856380204522</v>
      </c>
      <c r="E30" s="1">
        <v>126.38858770342124</v>
      </c>
      <c r="F30">
        <v>26.11</v>
      </c>
      <c r="K30" t="s">
        <v>8</v>
      </c>
      <c r="L30">
        <v>82</v>
      </c>
      <c r="M30">
        <v>3</v>
      </c>
      <c r="N30">
        <v>26.052</v>
      </c>
      <c r="O30">
        <v>8.1000000000000003E-2</v>
      </c>
      <c r="P30">
        <f>1/2*(SUM(O30:O31)*3)</f>
        <v>0.63150000000000006</v>
      </c>
      <c r="R30">
        <f>SQRT((M30)^2+(N30-N31)^2)</f>
        <v>3.0010933007822334</v>
      </c>
    </row>
    <row r="31" spans="1:24" x14ac:dyDescent="0.3">
      <c r="A31">
        <v>238</v>
      </c>
      <c r="B31">
        <v>2643447.091</v>
      </c>
      <c r="C31">
        <v>578069.37600000005</v>
      </c>
      <c r="D31">
        <v>1.5287331356244103</v>
      </c>
      <c r="E31" s="1">
        <v>127.91732083904564</v>
      </c>
      <c r="F31">
        <v>26.577000000000002</v>
      </c>
      <c r="L31">
        <v>85</v>
      </c>
      <c r="N31">
        <v>25.971</v>
      </c>
      <c r="O31">
        <v>0.34</v>
      </c>
    </row>
    <row r="32" spans="1:24" x14ac:dyDescent="0.3">
      <c r="A32">
        <v>239</v>
      </c>
      <c r="B32">
        <v>2643462.3739999998</v>
      </c>
      <c r="C32">
        <v>578085.16299999994</v>
      </c>
      <c r="D32">
        <v>21.972698013471437</v>
      </c>
      <c r="E32" s="1">
        <v>149.89001885251707</v>
      </c>
      <c r="F32">
        <v>26.576000000000001</v>
      </c>
    </row>
    <row r="33" spans="1:18" x14ac:dyDescent="0.3">
      <c r="A33">
        <v>240</v>
      </c>
      <c r="B33">
        <v>2643483.8130000001</v>
      </c>
      <c r="C33">
        <v>578091.91899999999</v>
      </c>
      <c r="D33">
        <v>22.478306364387134</v>
      </c>
      <c r="E33" s="1">
        <v>172.3683252169042</v>
      </c>
      <c r="F33">
        <v>26.001000000000001</v>
      </c>
      <c r="K33" t="s">
        <v>9</v>
      </c>
      <c r="L33">
        <v>85</v>
      </c>
      <c r="M33" s="1">
        <f>L34-L33</f>
        <v>2</v>
      </c>
      <c r="N33">
        <v>25.971</v>
      </c>
      <c r="O33" s="3">
        <v>0.34</v>
      </c>
      <c r="P33">
        <f>1/2*(SUM(O33:O34)*2)</f>
        <v>0.52</v>
      </c>
      <c r="R33">
        <f>SQRT((M33)^2+(N34-N33)^2)</f>
        <v>2.0063897926375125</v>
      </c>
    </row>
    <row r="34" spans="1:18" x14ac:dyDescent="0.3">
      <c r="A34">
        <v>241</v>
      </c>
      <c r="B34">
        <v>2643487.7949999999</v>
      </c>
      <c r="C34">
        <v>578094.47199999995</v>
      </c>
      <c r="D34">
        <v>4.7301303363153151</v>
      </c>
      <c r="E34" s="1">
        <v>177.09845555321951</v>
      </c>
      <c r="F34">
        <v>26.738</v>
      </c>
      <c r="L34">
        <v>87</v>
      </c>
      <c r="M34" s="1"/>
      <c r="N34">
        <v>26.131</v>
      </c>
      <c r="O34">
        <v>0.18</v>
      </c>
    </row>
    <row r="35" spans="1:18" x14ac:dyDescent="0.3">
      <c r="A35">
        <v>242</v>
      </c>
      <c r="B35">
        <v>2643492.9700000002</v>
      </c>
      <c r="C35">
        <v>578097.88800000004</v>
      </c>
      <c r="D35">
        <v>6.2007806769366365</v>
      </c>
      <c r="E35" s="1">
        <v>183.29923623015614</v>
      </c>
      <c r="F35">
        <v>26.428000000000001</v>
      </c>
      <c r="M35" s="1"/>
    </row>
    <row r="36" spans="1:18" x14ac:dyDescent="0.3">
      <c r="A36">
        <v>243</v>
      </c>
      <c r="B36">
        <v>2643492.9950000001</v>
      </c>
      <c r="C36">
        <v>578097.946</v>
      </c>
      <c r="D36">
        <v>6.3158530625767276E-2</v>
      </c>
      <c r="E36" s="1">
        <v>183.36239476078191</v>
      </c>
      <c r="F36">
        <v>26.407</v>
      </c>
      <c r="K36" t="s">
        <v>10</v>
      </c>
      <c r="L36">
        <v>87</v>
      </c>
      <c r="M36" s="1">
        <f>L37-L36</f>
        <v>4</v>
      </c>
      <c r="N36">
        <v>26.131</v>
      </c>
      <c r="O36">
        <v>0.18</v>
      </c>
      <c r="P36">
        <f>1/2*(SUM(O36:O37)*4)</f>
        <v>0.76200000000000001</v>
      </c>
      <c r="R36">
        <f>SQRT((M36)^2+(N36-N37)^2)</f>
        <v>4.0000551246201592</v>
      </c>
    </row>
    <row r="37" spans="1:18" x14ac:dyDescent="0.3">
      <c r="A37">
        <v>244</v>
      </c>
      <c r="B37">
        <v>2643498.4730000002</v>
      </c>
      <c r="C37">
        <v>578101.99699999997</v>
      </c>
      <c r="D37">
        <v>6.813155289667554</v>
      </c>
      <c r="E37" s="1">
        <v>190.17555005044946</v>
      </c>
      <c r="F37">
        <v>27.337</v>
      </c>
      <c r="L37">
        <v>91</v>
      </c>
      <c r="M37" s="1"/>
      <c r="N37">
        <v>26.11</v>
      </c>
      <c r="O37">
        <v>0.20100000000000001</v>
      </c>
    </row>
    <row r="38" spans="1:18" x14ac:dyDescent="0.3">
      <c r="A38">
        <v>245</v>
      </c>
      <c r="B38">
        <v>2643503.5869999998</v>
      </c>
      <c r="C38">
        <v>578104.83200000005</v>
      </c>
      <c r="D38">
        <v>5.8472404599345582</v>
      </c>
      <c r="E38" s="1">
        <v>196.02279051038403</v>
      </c>
      <c r="F38">
        <v>26.483000000000001</v>
      </c>
      <c r="M38" s="1"/>
    </row>
    <row r="39" spans="1:18" x14ac:dyDescent="0.3">
      <c r="A39">
        <v>246</v>
      </c>
      <c r="B39">
        <v>2643513.4759999998</v>
      </c>
      <c r="C39">
        <v>578113.902</v>
      </c>
      <c r="D39">
        <v>13.418540196251145</v>
      </c>
      <c r="E39" s="1">
        <v>209.44133070663517</v>
      </c>
      <c r="F39">
        <v>25.878</v>
      </c>
      <c r="K39" t="s">
        <v>11</v>
      </c>
      <c r="L39">
        <v>91</v>
      </c>
      <c r="M39" s="1">
        <f>L40-L39</f>
        <v>1</v>
      </c>
      <c r="N39">
        <v>26.11</v>
      </c>
      <c r="O39">
        <v>0.20100000000000001</v>
      </c>
      <c r="P39">
        <f>1/2*1*0.201</f>
        <v>0.10050000000000001</v>
      </c>
      <c r="R39">
        <f>SQRT((M39)^2+(N40-N39)^2)</f>
        <v>1.1432042687114154</v>
      </c>
    </row>
    <row r="40" spans="1:18" x14ac:dyDescent="0.3">
      <c r="A40">
        <v>247</v>
      </c>
      <c r="B40">
        <v>2643518.9169999999</v>
      </c>
      <c r="C40">
        <v>578117.00300000003</v>
      </c>
      <c r="D40">
        <v>6.2626417749481567</v>
      </c>
      <c r="E40" s="1">
        <v>215.70397248158332</v>
      </c>
      <c r="F40">
        <v>26.620999999999999</v>
      </c>
      <c r="L40">
        <v>92</v>
      </c>
      <c r="M40" s="1"/>
      <c r="N40">
        <v>26.664000000000001</v>
      </c>
      <c r="O40">
        <v>0</v>
      </c>
    </row>
    <row r="41" spans="1:18" x14ac:dyDescent="0.3">
      <c r="A41">
        <v>248</v>
      </c>
      <c r="B41">
        <v>2643521.2949999999</v>
      </c>
      <c r="C41">
        <v>578121.40599999996</v>
      </c>
      <c r="D41">
        <v>5.0041275962482743</v>
      </c>
      <c r="E41" s="1">
        <v>220.7081000778316</v>
      </c>
      <c r="F41">
        <v>25.922000000000001</v>
      </c>
      <c r="M41" s="1"/>
    </row>
    <row r="42" spans="1:18" x14ac:dyDescent="0.3">
      <c r="A42">
        <v>249</v>
      </c>
      <c r="B42">
        <v>2643521.5260000001</v>
      </c>
      <c r="C42">
        <v>578122.68599999999</v>
      </c>
      <c r="D42">
        <v>1.3006771313968151</v>
      </c>
      <c r="E42" s="1">
        <v>222.00877720922841</v>
      </c>
      <c r="F42">
        <v>25.718</v>
      </c>
      <c r="K42" t="s">
        <v>12</v>
      </c>
      <c r="L42">
        <v>92</v>
      </c>
      <c r="M42" s="1">
        <f>L43-L42</f>
        <v>6</v>
      </c>
      <c r="N42">
        <v>26.664000000000001</v>
      </c>
      <c r="O42">
        <v>0</v>
      </c>
      <c r="P42">
        <f>1/2*6*0.18</f>
        <v>0.54</v>
      </c>
      <c r="R42">
        <f>SQRT((M42)^2+(N42-N43)^2)</f>
        <v>6.0083682477025331</v>
      </c>
    </row>
    <row r="43" spans="1:18" x14ac:dyDescent="0.3">
      <c r="A43">
        <v>250</v>
      </c>
      <c r="B43">
        <v>2643521.0789999999</v>
      </c>
      <c r="C43">
        <v>578124.46499999997</v>
      </c>
      <c r="D43">
        <v>1.8342982309519957</v>
      </c>
      <c r="E43" s="1">
        <v>223.8430754401804</v>
      </c>
      <c r="F43">
        <v>25.597000000000001</v>
      </c>
      <c r="L43">
        <v>98</v>
      </c>
      <c r="M43" s="1"/>
      <c r="N43">
        <v>26.347000000000001</v>
      </c>
      <c r="O43" s="4">
        <v>0.18</v>
      </c>
    </row>
    <row r="44" spans="1:18" x14ac:dyDescent="0.3">
      <c r="A44">
        <v>251</v>
      </c>
      <c r="B44">
        <v>2643521.2949999999</v>
      </c>
      <c r="C44">
        <v>578126.46</v>
      </c>
      <c r="D44">
        <v>2.0066591638810656</v>
      </c>
      <c r="E44" s="1">
        <v>225.84973460406147</v>
      </c>
      <c r="F44">
        <v>25.675000000000001</v>
      </c>
      <c r="M44" s="1"/>
      <c r="O44" s="4"/>
    </row>
    <row r="45" spans="1:18" x14ac:dyDescent="0.3">
      <c r="A45">
        <v>252</v>
      </c>
      <c r="B45">
        <v>2643521.696</v>
      </c>
      <c r="C45">
        <v>578128.93299999996</v>
      </c>
      <c r="D45">
        <v>2.505300381201335</v>
      </c>
      <c r="E45" s="1">
        <v>228.35503498526279</v>
      </c>
      <c r="F45">
        <v>26.053999999999998</v>
      </c>
      <c r="K45" t="s">
        <v>13</v>
      </c>
      <c r="L45">
        <v>98</v>
      </c>
      <c r="M45" s="1">
        <f>L46-L45</f>
        <v>5</v>
      </c>
      <c r="N45">
        <v>26.347000000000001</v>
      </c>
      <c r="O45" s="4">
        <v>0.18</v>
      </c>
      <c r="P45">
        <f>1/2*5*0.18</f>
        <v>0.44999999999999996</v>
      </c>
      <c r="R45">
        <f>SQRT((M45)^2+(N46-N45)^2)</f>
        <v>5.0216686469738319</v>
      </c>
    </row>
    <row r="46" spans="1:18" x14ac:dyDescent="0.3">
      <c r="A46">
        <v>253</v>
      </c>
      <c r="B46">
        <v>2643533.6609999998</v>
      </c>
      <c r="C46">
        <v>578137.848</v>
      </c>
      <c r="D46">
        <v>14.921074022907948</v>
      </c>
      <c r="E46" s="1">
        <v>243.27610900817075</v>
      </c>
      <c r="F46">
        <v>27.113</v>
      </c>
      <c r="L46">
        <v>103</v>
      </c>
      <c r="M46" s="1"/>
      <c r="N46">
        <v>26.812999999999999</v>
      </c>
      <c r="O46">
        <v>0</v>
      </c>
    </row>
    <row r="47" spans="1:18" x14ac:dyDescent="0.3">
      <c r="A47">
        <v>254</v>
      </c>
      <c r="B47">
        <v>2643540.6779999998</v>
      </c>
      <c r="C47">
        <v>578139.69299999997</v>
      </c>
      <c r="D47">
        <v>7.2555023258071074</v>
      </c>
      <c r="E47" s="1">
        <v>250.53161133397785</v>
      </c>
      <c r="F47">
        <v>27.846</v>
      </c>
      <c r="M47" s="1"/>
    </row>
    <row r="48" spans="1:18" x14ac:dyDescent="0.3">
      <c r="A48">
        <v>255</v>
      </c>
      <c r="B48">
        <v>2643540.5499999998</v>
      </c>
      <c r="C48">
        <v>578149.83200000005</v>
      </c>
      <c r="D48">
        <v>10.139807937120283</v>
      </c>
      <c r="E48" s="1">
        <v>260.67141927109816</v>
      </c>
      <c r="F48">
        <v>27.306000000000001</v>
      </c>
      <c r="K48" t="s">
        <v>14</v>
      </c>
      <c r="L48">
        <v>103</v>
      </c>
      <c r="M48" s="1">
        <f>L49-L48</f>
        <v>7</v>
      </c>
      <c r="N48">
        <v>26.812999999999999</v>
      </c>
      <c r="O48">
        <v>0</v>
      </c>
      <c r="P48">
        <f>1/2*7*0.18</f>
        <v>0.63</v>
      </c>
      <c r="R48">
        <f>SQRT((M48)^2+(N48-N49)^2)</f>
        <v>7.0096140407300593</v>
      </c>
    </row>
    <row r="49" spans="1:18" x14ac:dyDescent="0.3">
      <c r="A49">
        <v>256</v>
      </c>
      <c r="B49">
        <v>2643544.29</v>
      </c>
      <c r="C49">
        <v>578154.91299999994</v>
      </c>
      <c r="D49">
        <v>6.3090538910795244</v>
      </c>
      <c r="E49" s="1">
        <v>266.9804731621777</v>
      </c>
      <c r="F49">
        <v>26.873999999999999</v>
      </c>
      <c r="L49">
        <v>110</v>
      </c>
      <c r="M49" s="1"/>
      <c r="N49">
        <v>26.446000000000002</v>
      </c>
      <c r="O49">
        <v>0.18</v>
      </c>
    </row>
    <row r="50" spans="1:18" x14ac:dyDescent="0.3">
      <c r="A50">
        <v>257</v>
      </c>
      <c r="B50">
        <v>2643544.3629999999</v>
      </c>
      <c r="C50">
        <v>578170.57400000002</v>
      </c>
      <c r="D50">
        <v>15.661170135161932</v>
      </c>
      <c r="E50" s="1">
        <v>282.64164329733961</v>
      </c>
      <c r="F50">
        <v>27.143999999999998</v>
      </c>
      <c r="M50" s="1"/>
    </row>
    <row r="51" spans="1:18" x14ac:dyDescent="0.3">
      <c r="A51">
        <v>258</v>
      </c>
      <c r="B51">
        <v>2643566.773</v>
      </c>
      <c r="C51">
        <v>578189.27800000005</v>
      </c>
      <c r="D51">
        <v>29.189856388952808</v>
      </c>
      <c r="E51" s="1">
        <v>311.83149968629243</v>
      </c>
      <c r="F51">
        <v>27.988</v>
      </c>
      <c r="K51" t="s">
        <v>15</v>
      </c>
      <c r="L51">
        <v>110</v>
      </c>
      <c r="M51" s="1">
        <f>L52-L51</f>
        <v>2</v>
      </c>
      <c r="N51">
        <v>26.446000000000002</v>
      </c>
      <c r="O51">
        <v>0.18</v>
      </c>
      <c r="P51">
        <f>1/2*(SUM(O51:O52)*2)</f>
        <v>0.64</v>
      </c>
      <c r="R51">
        <f>SQRT((M51)^2+(N51-N52)^2)</f>
        <v>2.0195048898182941</v>
      </c>
    </row>
    <row r="52" spans="1:18" x14ac:dyDescent="0.3">
      <c r="A52">
        <v>259</v>
      </c>
      <c r="B52">
        <v>2643595.8739999998</v>
      </c>
      <c r="C52">
        <v>578195.76599999995</v>
      </c>
      <c r="D52">
        <v>29.815471570755083</v>
      </c>
      <c r="E52" s="1">
        <v>341.64697125704754</v>
      </c>
      <c r="F52">
        <v>28.65</v>
      </c>
      <c r="L52">
        <v>112</v>
      </c>
      <c r="M52" s="1"/>
      <c r="N52">
        <v>26.166</v>
      </c>
      <c r="O52">
        <v>0.46</v>
      </c>
    </row>
    <row r="53" spans="1:18" x14ac:dyDescent="0.3">
      <c r="A53">
        <v>260</v>
      </c>
      <c r="B53">
        <v>2643609.54</v>
      </c>
      <c r="C53">
        <v>578200.37399999995</v>
      </c>
      <c r="D53">
        <v>14.421970045925312</v>
      </c>
      <c r="E53" s="1">
        <v>356.06894130297286</v>
      </c>
      <c r="F53">
        <v>30.991</v>
      </c>
      <c r="M53" s="1"/>
    </row>
    <row r="54" spans="1:18" x14ac:dyDescent="0.3">
      <c r="B54" t="s">
        <v>6</v>
      </c>
      <c r="D54">
        <v>356.06894130297286</v>
      </c>
      <c r="K54" t="s">
        <v>16</v>
      </c>
      <c r="L54">
        <v>112</v>
      </c>
      <c r="M54" s="1">
        <f>L55-L54</f>
        <v>2</v>
      </c>
      <c r="N54">
        <v>26.166</v>
      </c>
      <c r="O54">
        <v>0.46</v>
      </c>
      <c r="P54">
        <f>1/2*(SUM(O54:O55)*2)</f>
        <v>1.036</v>
      </c>
      <c r="R54">
        <f>SQRT((M54)^2+(N54-N55)^2)</f>
        <v>2.003361175624605</v>
      </c>
    </row>
    <row r="55" spans="1:18" x14ac:dyDescent="0.3">
      <c r="L55">
        <v>114</v>
      </c>
      <c r="N55">
        <v>26.05</v>
      </c>
      <c r="O55">
        <v>0.57599999999999996</v>
      </c>
    </row>
    <row r="57" spans="1:18" x14ac:dyDescent="0.3">
      <c r="K57" t="s">
        <v>17</v>
      </c>
      <c r="L57">
        <v>114</v>
      </c>
      <c r="M57">
        <v>1</v>
      </c>
      <c r="N57">
        <v>26.05</v>
      </c>
      <c r="O57">
        <v>0.57599999999999996</v>
      </c>
      <c r="P57">
        <f>1/2*(SUM(O57:O58)*1)</f>
        <v>0.59749999999999992</v>
      </c>
      <c r="R57">
        <f>SQRT((M57)^2+(N57-N58)^2)</f>
        <v>1.0009240730445041</v>
      </c>
    </row>
    <row r="58" spans="1:18" x14ac:dyDescent="0.3">
      <c r="L58">
        <v>115</v>
      </c>
      <c r="N58">
        <v>26.007000000000001</v>
      </c>
      <c r="O58">
        <v>0.61899999999999999</v>
      </c>
    </row>
    <row r="60" spans="1:18" x14ac:dyDescent="0.3">
      <c r="K60" t="s">
        <v>18</v>
      </c>
      <c r="L60">
        <v>115</v>
      </c>
      <c r="M60">
        <v>1</v>
      </c>
      <c r="N60">
        <v>26.007000000000001</v>
      </c>
      <c r="O60">
        <v>0.61899999999999999</v>
      </c>
      <c r="P60">
        <f>1/2*(SUM(O60:O61)*1)</f>
        <v>0.55400000000000005</v>
      </c>
      <c r="R60">
        <f>SQRT((M60)^2+(N61-N60)^2)</f>
        <v>1.0084145972763383</v>
      </c>
    </row>
    <row r="61" spans="1:18" x14ac:dyDescent="0.3">
      <c r="L61">
        <v>116</v>
      </c>
      <c r="N61">
        <v>26.137</v>
      </c>
      <c r="O61">
        <v>0.48899999999999999</v>
      </c>
    </row>
    <row r="63" spans="1:18" x14ac:dyDescent="0.3">
      <c r="K63" t="s">
        <v>25</v>
      </c>
      <c r="L63">
        <v>116</v>
      </c>
      <c r="M63">
        <v>1</v>
      </c>
      <c r="N63">
        <v>26.137</v>
      </c>
      <c r="O63">
        <v>0.48899999999999999</v>
      </c>
      <c r="P63">
        <f>1/2*(SUM(O63:O64)*1)</f>
        <v>0.36449999999999999</v>
      </c>
      <c r="R63">
        <f>SQRT((M63)^2+(N63-N64)^2)</f>
        <v>1.0305343274243703</v>
      </c>
    </row>
    <row r="64" spans="1:18" x14ac:dyDescent="0.3">
      <c r="L64">
        <v>117</v>
      </c>
      <c r="N64">
        <v>25.888000000000002</v>
      </c>
      <c r="O64">
        <v>0.24</v>
      </c>
    </row>
    <row r="66" spans="11:18" x14ac:dyDescent="0.3">
      <c r="K66" t="s">
        <v>26</v>
      </c>
      <c r="L66">
        <v>117</v>
      </c>
      <c r="M66">
        <v>3</v>
      </c>
      <c r="N66">
        <v>25.888000000000002</v>
      </c>
      <c r="O66">
        <v>0.24</v>
      </c>
      <c r="P66">
        <f>1/2*(SUM(O66:O67)*3)</f>
        <v>0.95550000000000002</v>
      </c>
      <c r="R66">
        <f>SQRT((M66)^2+(N67-N66)^2)</f>
        <v>3.0668826192079792</v>
      </c>
    </row>
    <row r="67" spans="11:18" x14ac:dyDescent="0.3">
      <c r="L67">
        <v>120</v>
      </c>
      <c r="N67">
        <v>26.524999999999999</v>
      </c>
      <c r="O67">
        <v>0.39700000000000002</v>
      </c>
    </row>
    <row r="69" spans="11:18" x14ac:dyDescent="0.3">
      <c r="K69" t="s">
        <v>27</v>
      </c>
      <c r="L69">
        <v>120</v>
      </c>
      <c r="M69">
        <v>1</v>
      </c>
      <c r="N69">
        <v>26.524999999999999</v>
      </c>
      <c r="O69">
        <v>0.39700000000000002</v>
      </c>
      <c r="P69">
        <f>1/2*1*0.397</f>
        <v>0.19850000000000001</v>
      </c>
      <c r="R69">
        <f>SQRT((M69)^2+(N70-N69)^2)</f>
        <v>1.0005443518405368</v>
      </c>
    </row>
    <row r="70" spans="11:18" x14ac:dyDescent="0.3">
      <c r="L70">
        <v>121</v>
      </c>
      <c r="N70">
        <v>26.558</v>
      </c>
      <c r="O70">
        <v>0</v>
      </c>
    </row>
    <row r="72" spans="11:18" x14ac:dyDescent="0.3">
      <c r="K72" t="s">
        <v>28</v>
      </c>
      <c r="L72">
        <v>121</v>
      </c>
      <c r="M72">
        <f>L73-L72</f>
        <v>4</v>
      </c>
      <c r="N72">
        <v>26.558</v>
      </c>
      <c r="O72">
        <v>0</v>
      </c>
      <c r="P72">
        <v>0</v>
      </c>
      <c r="R72">
        <f>SQRT((M72)^2+(N72-N73)^2)</f>
        <v>4.0000019999995002</v>
      </c>
    </row>
    <row r="73" spans="11:18" x14ac:dyDescent="0.3">
      <c r="L73">
        <v>125</v>
      </c>
      <c r="N73">
        <v>26.553999999999998</v>
      </c>
      <c r="O73">
        <v>0</v>
      </c>
    </row>
    <row r="75" spans="11:18" x14ac:dyDescent="0.3">
      <c r="K75" t="s">
        <v>29</v>
      </c>
      <c r="L75">
        <v>125</v>
      </c>
      <c r="M75">
        <v>1</v>
      </c>
      <c r="N75">
        <v>26.553999999999998</v>
      </c>
      <c r="O75">
        <v>0</v>
      </c>
      <c r="P75">
        <f>1/2*1*0.18</f>
        <v>0.09</v>
      </c>
      <c r="R75">
        <f>SQRT((M75)^2+(N75-N76)^2)</f>
        <v>1.0941371029263194</v>
      </c>
    </row>
    <row r="76" spans="11:18" x14ac:dyDescent="0.3">
      <c r="L76">
        <v>126</v>
      </c>
      <c r="N76">
        <v>26.11</v>
      </c>
      <c r="O76">
        <v>0.18</v>
      </c>
    </row>
    <row r="78" spans="11:18" x14ac:dyDescent="0.3">
      <c r="K78" t="s">
        <v>32</v>
      </c>
      <c r="L78">
        <v>126</v>
      </c>
      <c r="M78">
        <v>2</v>
      </c>
      <c r="N78">
        <v>26.11</v>
      </c>
      <c r="O78">
        <v>0.18</v>
      </c>
      <c r="P78">
        <f>1/2*2*0.18</f>
        <v>0.18</v>
      </c>
      <c r="R78">
        <f>SQRT((M78)^2+(N79-N78)^2)</f>
        <v>2.0537986756252429</v>
      </c>
    </row>
    <row r="79" spans="11:18" x14ac:dyDescent="0.3">
      <c r="L79">
        <v>128</v>
      </c>
      <c r="N79">
        <v>26.577000000000002</v>
      </c>
      <c r="O79">
        <v>0</v>
      </c>
    </row>
    <row r="81" spans="11:18" x14ac:dyDescent="0.3">
      <c r="K81" t="s">
        <v>33</v>
      </c>
      <c r="L81">
        <v>128</v>
      </c>
      <c r="M81">
        <f>L82-L81</f>
        <v>22</v>
      </c>
      <c r="N81">
        <v>26.577000000000002</v>
      </c>
      <c r="O81">
        <v>0</v>
      </c>
      <c r="P81">
        <v>0</v>
      </c>
      <c r="R81">
        <f>SQRT((M81)^2+(N81-N82)^2)</f>
        <v>22.000000022727274</v>
      </c>
    </row>
    <row r="82" spans="11:18" x14ac:dyDescent="0.3">
      <c r="L82">
        <v>150</v>
      </c>
      <c r="N82">
        <v>26.576000000000001</v>
      </c>
      <c r="O82">
        <v>0</v>
      </c>
    </row>
    <row r="84" spans="11:18" x14ac:dyDescent="0.3">
      <c r="K84" t="s">
        <v>34</v>
      </c>
      <c r="L84">
        <v>150</v>
      </c>
      <c r="M84">
        <f>L85-L84</f>
        <v>22</v>
      </c>
      <c r="N84">
        <v>26.576000000000001</v>
      </c>
      <c r="O84">
        <v>0</v>
      </c>
      <c r="P84">
        <f>1/2*22*0.11</f>
        <v>1.21</v>
      </c>
      <c r="R84">
        <f>SQRT((M84)^2+(N84-N85)^2)</f>
        <v>22.007512921727436</v>
      </c>
    </row>
    <row r="85" spans="11:18" x14ac:dyDescent="0.3">
      <c r="L85">
        <v>172</v>
      </c>
      <c r="N85">
        <v>26.001000000000001</v>
      </c>
      <c r="O85">
        <v>0.11</v>
      </c>
    </row>
    <row r="87" spans="11:18" x14ac:dyDescent="0.3">
      <c r="K87" t="s">
        <v>35</v>
      </c>
      <c r="L87">
        <v>172</v>
      </c>
      <c r="M87">
        <f>L88-L87</f>
        <v>5</v>
      </c>
      <c r="N87">
        <v>26.001000000000001</v>
      </c>
      <c r="O87">
        <v>0.11</v>
      </c>
      <c r="P87">
        <f>1/2*5*0.11</f>
        <v>0.27500000000000002</v>
      </c>
      <c r="R87">
        <f>SQRT((M87)^2+(N88-N87)^2)</f>
        <v>5.0540250296174829</v>
      </c>
    </row>
    <row r="88" spans="11:18" x14ac:dyDescent="0.3">
      <c r="L88">
        <v>177</v>
      </c>
      <c r="N88">
        <v>26.738</v>
      </c>
      <c r="O88">
        <v>0</v>
      </c>
    </row>
    <row r="90" spans="11:18" x14ac:dyDescent="0.3">
      <c r="K90" t="s">
        <v>36</v>
      </c>
      <c r="L90">
        <v>221</v>
      </c>
      <c r="M90">
        <f>L91-L90</f>
        <v>1</v>
      </c>
      <c r="N90">
        <v>25.922000000000001</v>
      </c>
      <c r="O90">
        <v>0</v>
      </c>
      <c r="P90">
        <f>1/2*1*0.21</f>
        <v>0.105</v>
      </c>
      <c r="R90">
        <f>SQRT((M90)^2+(N90-N91)^2)</f>
        <v>1.0205959043617607</v>
      </c>
    </row>
    <row r="91" spans="11:18" x14ac:dyDescent="0.3">
      <c r="L91">
        <v>222</v>
      </c>
      <c r="N91">
        <v>25.718</v>
      </c>
      <c r="O91" s="4">
        <v>0.21</v>
      </c>
    </row>
    <row r="93" spans="11:18" x14ac:dyDescent="0.3">
      <c r="K93" t="s">
        <v>37</v>
      </c>
      <c r="L93">
        <v>222</v>
      </c>
      <c r="M93">
        <f>L94-L93</f>
        <v>2</v>
      </c>
      <c r="N93">
        <v>25.718</v>
      </c>
      <c r="O93">
        <v>0.21</v>
      </c>
      <c r="P93" s="1">
        <f>1/2*(SUM(O93:O94)*2)</f>
        <v>0.54100000000000004</v>
      </c>
      <c r="R93">
        <f>SQRT((M93)^2+(N93-N94)^2)</f>
        <v>2.0036569067582404</v>
      </c>
    </row>
    <row r="94" spans="11:18" x14ac:dyDescent="0.3">
      <c r="L94">
        <v>224</v>
      </c>
      <c r="N94">
        <v>25.597000000000001</v>
      </c>
      <c r="O94">
        <v>0.33100000000000002</v>
      </c>
      <c r="P94" s="1"/>
    </row>
    <row r="95" spans="11:18" x14ac:dyDescent="0.3">
      <c r="P95" s="1"/>
    </row>
    <row r="96" spans="11:18" x14ac:dyDescent="0.3">
      <c r="K96" t="s">
        <v>38</v>
      </c>
      <c r="L96">
        <v>224</v>
      </c>
      <c r="M96">
        <f>L97-L96</f>
        <v>2</v>
      </c>
      <c r="N96">
        <v>25.597000000000001</v>
      </c>
      <c r="O96">
        <v>0.33100000000000002</v>
      </c>
      <c r="P96" s="1">
        <f>1/2*(SUM(O96:O97)*2)</f>
        <v>0.58400000000000007</v>
      </c>
      <c r="R96">
        <f>SQRT((M96)^2+(N97-N96)^2)</f>
        <v>2.0015204220791754</v>
      </c>
    </row>
    <row r="97" spans="11:18" x14ac:dyDescent="0.3">
      <c r="L97">
        <v>226</v>
      </c>
      <c r="N97">
        <v>25.675000000000001</v>
      </c>
      <c r="O97">
        <v>0.253</v>
      </c>
      <c r="P97" s="1"/>
    </row>
    <row r="99" spans="11:18" x14ac:dyDescent="0.3">
      <c r="K99" t="s">
        <v>39</v>
      </c>
      <c r="L99">
        <v>226</v>
      </c>
      <c r="M99">
        <f>L100-L99</f>
        <v>2</v>
      </c>
      <c r="N99">
        <v>25.675000000000001</v>
      </c>
      <c r="O99">
        <v>0.253</v>
      </c>
      <c r="P99">
        <f>1/2*2*0.253</f>
        <v>0.253</v>
      </c>
      <c r="R99">
        <f>SQRT((M99)^2+(N100-N99)^2)</f>
        <v>2.0355935252402424</v>
      </c>
    </row>
    <row r="100" spans="11:18" x14ac:dyDescent="0.3">
      <c r="L100">
        <v>228</v>
      </c>
      <c r="N100">
        <v>26.053999999999998</v>
      </c>
      <c r="O100">
        <v>0</v>
      </c>
    </row>
    <row r="102" spans="11:18" x14ac:dyDescent="0.3">
      <c r="K102" t="s">
        <v>40</v>
      </c>
      <c r="L102">
        <v>251</v>
      </c>
      <c r="M102">
        <f>L103-L102</f>
        <v>10</v>
      </c>
      <c r="N102">
        <v>27.846</v>
      </c>
      <c r="O102">
        <v>0</v>
      </c>
      <c r="P102">
        <f>1/2*10*0.05</f>
        <v>0.25</v>
      </c>
      <c r="R102">
        <f>SQRT((M102)^2+(N102-N103)^2)</f>
        <v>10.014569386648635</v>
      </c>
    </row>
    <row r="103" spans="11:18" x14ac:dyDescent="0.3">
      <c r="L103">
        <v>261</v>
      </c>
      <c r="N103">
        <v>27.306000000000001</v>
      </c>
      <c r="O103">
        <v>0.05</v>
      </c>
    </row>
    <row r="104" spans="11:18" x14ac:dyDescent="0.3">
      <c r="O104" s="1"/>
    </row>
    <row r="105" spans="11:18" x14ac:dyDescent="0.3">
      <c r="K105" t="s">
        <v>41</v>
      </c>
      <c r="L105">
        <v>261</v>
      </c>
      <c r="M105">
        <f>L106-L105</f>
        <v>6</v>
      </c>
      <c r="N105">
        <v>27.306000000000001</v>
      </c>
      <c r="O105" s="1">
        <v>0.05</v>
      </c>
      <c r="P105">
        <f>1/2*6*0.18</f>
        <v>0.54</v>
      </c>
      <c r="R105">
        <f>SQRT((M105)^2+(N105-N106)^2)</f>
        <v>6.0155318966821216</v>
      </c>
    </row>
    <row r="106" spans="11:18" x14ac:dyDescent="0.3">
      <c r="L106">
        <v>267</v>
      </c>
      <c r="N106">
        <v>26.873999999999999</v>
      </c>
      <c r="O106" s="7">
        <v>0.18</v>
      </c>
    </row>
    <row r="107" spans="11:18" x14ac:dyDescent="0.3">
      <c r="O107" s="1"/>
    </row>
    <row r="108" spans="11:18" x14ac:dyDescent="0.3">
      <c r="K108" t="s">
        <v>42</v>
      </c>
      <c r="L108">
        <v>267</v>
      </c>
      <c r="M108">
        <f>L109-L108</f>
        <v>16</v>
      </c>
      <c r="N108">
        <v>26.873999999999999</v>
      </c>
      <c r="O108" s="1">
        <v>0.18</v>
      </c>
      <c r="P108">
        <v>0</v>
      </c>
      <c r="R108">
        <f>SQRT((M108)^2+(N109-N108)^2)</f>
        <v>16.002277962840164</v>
      </c>
    </row>
    <row r="109" spans="11:18" x14ac:dyDescent="0.3">
      <c r="L109">
        <v>283</v>
      </c>
      <c r="N109">
        <v>27.143999999999998</v>
      </c>
      <c r="O109" s="1">
        <v>0.27</v>
      </c>
    </row>
    <row r="111" spans="11:18" x14ac:dyDescent="0.3">
      <c r="K111" t="s">
        <v>43</v>
      </c>
      <c r="L111">
        <v>283</v>
      </c>
      <c r="M111">
        <f>L112-L111</f>
        <v>29</v>
      </c>
      <c r="N111">
        <v>27.143999999999998</v>
      </c>
      <c r="O111" s="1">
        <v>0.27</v>
      </c>
      <c r="P111">
        <v>0</v>
      </c>
      <c r="R111">
        <f>SQRT((M111)^2+(N112-N111)^2)</f>
        <v>29.01227905559989</v>
      </c>
    </row>
    <row r="112" spans="11:18" x14ac:dyDescent="0.3">
      <c r="L112">
        <v>312</v>
      </c>
      <c r="N112">
        <v>27.988</v>
      </c>
      <c r="O112">
        <v>0</v>
      </c>
    </row>
  </sheetData>
  <mergeCells count="2">
    <mergeCell ref="U25:V25"/>
    <mergeCell ref="W25:X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1"/>
  <sheetViews>
    <sheetView topLeftCell="B14" zoomScale="95" zoomScaleNormal="95" workbookViewId="0">
      <selection activeCell="K29" sqref="K29"/>
    </sheetView>
  </sheetViews>
  <sheetFormatPr defaultRowHeight="14.4" x14ac:dyDescent="0.3"/>
  <cols>
    <col min="4" max="4" width="12" bestFit="1" customWidth="1"/>
    <col min="5" max="5" width="20.88671875" bestFit="1" customWidth="1"/>
    <col min="9" max="9" width="9.5546875" bestFit="1" customWidth="1"/>
    <col min="13" max="13" width="15.88671875" bestFit="1" customWidth="1"/>
    <col min="14" max="14" width="15.6640625" bestFit="1" customWidth="1"/>
    <col min="15" max="15" width="17.109375" customWidth="1"/>
  </cols>
  <sheetData>
    <row r="1" spans="1:6" x14ac:dyDescent="0.3">
      <c r="A1" t="s">
        <v>44</v>
      </c>
      <c r="B1" t="s">
        <v>1</v>
      </c>
      <c r="C1" t="s">
        <v>2</v>
      </c>
      <c r="D1" t="s">
        <v>3</v>
      </c>
      <c r="E1" t="s">
        <v>45</v>
      </c>
      <c r="F1" t="s">
        <v>5</v>
      </c>
    </row>
    <row r="2" spans="1:6" x14ac:dyDescent="0.3">
      <c r="A2">
        <v>261</v>
      </c>
      <c r="B2">
        <v>2641222.554</v>
      </c>
      <c r="C2">
        <v>599693.21699999995</v>
      </c>
      <c r="D2">
        <v>0</v>
      </c>
      <c r="E2" s="1">
        <v>0</v>
      </c>
      <c r="F2">
        <v>32.936</v>
      </c>
    </row>
    <row r="3" spans="1:6" x14ac:dyDescent="0.3">
      <c r="A3">
        <v>262</v>
      </c>
      <c r="B3">
        <v>2641278.0929999999</v>
      </c>
      <c r="C3">
        <v>599701.76599999995</v>
      </c>
      <c r="D3">
        <f>SQRT((C3-C2)^2+(B3-B2)^2)</f>
        <v>56.193112762917082</v>
      </c>
      <c r="E3" s="1">
        <f>E2+D3</f>
        <v>56.193112762917082</v>
      </c>
      <c r="F3">
        <v>30.003</v>
      </c>
    </row>
    <row r="4" spans="1:6" x14ac:dyDescent="0.3">
      <c r="A4">
        <v>263</v>
      </c>
      <c r="B4">
        <v>2641365.622</v>
      </c>
      <c r="C4">
        <v>599727.51</v>
      </c>
      <c r="D4">
        <f t="shared" ref="D4:D20" si="0">SQRT((C4-C3)^2+(B4-B3)^2)</f>
        <v>91.236392832138336</v>
      </c>
      <c r="E4" s="1">
        <f>E3+D4</f>
        <v>147.42950559505542</v>
      </c>
      <c r="F4">
        <v>28.085000000000001</v>
      </c>
    </row>
    <row r="5" spans="1:6" x14ac:dyDescent="0.3">
      <c r="A5">
        <v>264</v>
      </c>
      <c r="B5">
        <v>2641437.6639999999</v>
      </c>
      <c r="C5">
        <v>599761.91299999994</v>
      </c>
      <c r="D5">
        <f t="shared" si="0"/>
        <v>79.834930782088705</v>
      </c>
      <c r="E5" s="1">
        <f t="shared" ref="E5:E20" si="1">E4+D5</f>
        <v>227.26443637714414</v>
      </c>
      <c r="F5">
        <v>27.974</v>
      </c>
    </row>
    <row r="6" spans="1:6" x14ac:dyDescent="0.3">
      <c r="A6">
        <v>265</v>
      </c>
      <c r="B6">
        <v>2641516.568</v>
      </c>
      <c r="C6">
        <v>599770.73300000001</v>
      </c>
      <c r="D6">
        <f t="shared" si="0"/>
        <v>79.395425661787556</v>
      </c>
      <c r="E6" s="1">
        <f t="shared" si="1"/>
        <v>306.65986203893169</v>
      </c>
      <c r="F6">
        <v>27.248000000000001</v>
      </c>
    </row>
    <row r="7" spans="1:6" x14ac:dyDescent="0.3">
      <c r="A7">
        <v>266</v>
      </c>
      <c r="B7">
        <v>2641556.6809999999</v>
      </c>
      <c r="C7">
        <v>599780.79299999995</v>
      </c>
      <c r="D7">
        <f t="shared" si="0"/>
        <v>41.355245966992072</v>
      </c>
      <c r="E7" s="1">
        <f t="shared" si="1"/>
        <v>348.01510800592376</v>
      </c>
      <c r="F7">
        <v>27.452999999999999</v>
      </c>
    </row>
    <row r="8" spans="1:6" x14ac:dyDescent="0.3">
      <c r="A8">
        <v>267</v>
      </c>
      <c r="B8">
        <v>2641569.8909999998</v>
      </c>
      <c r="C8">
        <v>599784.30500000005</v>
      </c>
      <c r="D8">
        <f t="shared" si="0"/>
        <v>13.668878666509132</v>
      </c>
      <c r="E8" s="1">
        <f t="shared" si="1"/>
        <v>361.68398667243292</v>
      </c>
      <c r="F8">
        <v>27.934999999999999</v>
      </c>
    </row>
    <row r="9" spans="1:6" x14ac:dyDescent="0.3">
      <c r="A9">
        <v>268</v>
      </c>
      <c r="B9">
        <v>2641587.2280000001</v>
      </c>
      <c r="C9">
        <v>599795.91500000004</v>
      </c>
      <c r="D9">
        <f t="shared" si="0"/>
        <v>20.865370090409396</v>
      </c>
      <c r="E9" s="1">
        <f t="shared" si="1"/>
        <v>382.54935676284231</v>
      </c>
      <c r="F9">
        <v>25.991</v>
      </c>
    </row>
    <row r="10" spans="1:6" x14ac:dyDescent="0.3">
      <c r="A10">
        <v>269</v>
      </c>
      <c r="B10">
        <v>2641590.3840000001</v>
      </c>
      <c r="C10">
        <v>599797.34</v>
      </c>
      <c r="D10">
        <f t="shared" si="0"/>
        <v>3.4627967020231316</v>
      </c>
      <c r="E10" s="1">
        <f t="shared" si="1"/>
        <v>386.01215346486543</v>
      </c>
      <c r="F10">
        <v>26.818999999999999</v>
      </c>
    </row>
    <row r="11" spans="1:6" x14ac:dyDescent="0.3">
      <c r="A11">
        <v>270</v>
      </c>
      <c r="B11">
        <v>2641599.0649999999</v>
      </c>
      <c r="C11">
        <v>599801.61399999994</v>
      </c>
      <c r="D11">
        <f t="shared" si="0"/>
        <v>9.6760961651620931</v>
      </c>
      <c r="E11" s="1">
        <f t="shared" si="1"/>
        <v>395.68824963002754</v>
      </c>
      <c r="F11">
        <v>27.117999999999999</v>
      </c>
    </row>
    <row r="12" spans="1:6" x14ac:dyDescent="0.3">
      <c r="A12">
        <v>271</v>
      </c>
      <c r="B12">
        <v>2641620.764</v>
      </c>
      <c r="C12">
        <v>599816.05799999996</v>
      </c>
      <c r="D12">
        <f t="shared" si="0"/>
        <v>26.066755398428114</v>
      </c>
      <c r="E12" s="1">
        <f t="shared" si="1"/>
        <v>421.75500502845568</v>
      </c>
      <c r="F12">
        <v>26.635000000000002</v>
      </c>
    </row>
    <row r="13" spans="1:6" x14ac:dyDescent="0.3">
      <c r="A13">
        <v>272</v>
      </c>
      <c r="B13">
        <v>2641622.9049999998</v>
      </c>
      <c r="C13">
        <v>599817.53599999996</v>
      </c>
      <c r="D13">
        <f t="shared" si="0"/>
        <v>2.6016081563668427</v>
      </c>
      <c r="E13" s="1">
        <f t="shared" si="1"/>
        <v>424.35661318482255</v>
      </c>
      <c r="F13">
        <v>25.809000000000001</v>
      </c>
    </row>
    <row r="14" spans="1:6" x14ac:dyDescent="0.3">
      <c r="A14">
        <v>273</v>
      </c>
      <c r="B14">
        <v>2641627.7289999998</v>
      </c>
      <c r="C14">
        <v>599816.87300000002</v>
      </c>
      <c r="D14">
        <f t="shared" si="0"/>
        <v>4.8693474922353905</v>
      </c>
      <c r="E14" s="1">
        <f t="shared" si="1"/>
        <v>429.22596067705791</v>
      </c>
      <c r="F14">
        <v>25.231999999999999</v>
      </c>
    </row>
    <row r="15" spans="1:6" x14ac:dyDescent="0.3">
      <c r="A15">
        <v>274</v>
      </c>
      <c r="B15">
        <v>2641663.4640000002</v>
      </c>
      <c r="C15">
        <v>599821.60199999996</v>
      </c>
      <c r="D15">
        <f t="shared" si="0"/>
        <v>36.046548600709848</v>
      </c>
      <c r="E15" s="1">
        <f t="shared" si="1"/>
        <v>465.27250927776777</v>
      </c>
      <c r="F15">
        <v>23.567</v>
      </c>
    </row>
    <row r="16" spans="1:6" x14ac:dyDescent="0.3">
      <c r="A16">
        <v>275</v>
      </c>
      <c r="B16">
        <v>2641667.227</v>
      </c>
      <c r="C16">
        <v>599822.06900000002</v>
      </c>
      <c r="D16">
        <f t="shared" si="0"/>
        <v>3.7918673498122719</v>
      </c>
      <c r="E16" s="1">
        <f t="shared" si="1"/>
        <v>469.06437662758003</v>
      </c>
      <c r="F16">
        <v>24.033000000000001</v>
      </c>
    </row>
    <row r="17" spans="1:20" x14ac:dyDescent="0.3">
      <c r="A17">
        <v>276</v>
      </c>
      <c r="B17">
        <v>2641671.5460000001</v>
      </c>
      <c r="C17">
        <v>599824.08200000005</v>
      </c>
      <c r="D17">
        <f t="shared" si="0"/>
        <v>4.7650739764772725</v>
      </c>
      <c r="E17" s="1">
        <f t="shared" si="1"/>
        <v>473.82945060405729</v>
      </c>
      <c r="F17">
        <v>26.138000000000002</v>
      </c>
    </row>
    <row r="18" spans="1:20" x14ac:dyDescent="0.3">
      <c r="A18">
        <v>277</v>
      </c>
      <c r="B18">
        <v>2641674.2599999998</v>
      </c>
      <c r="C18">
        <v>599825.60699999996</v>
      </c>
      <c r="D18">
        <f t="shared" si="0"/>
        <v>3.1131047200531805</v>
      </c>
      <c r="E18" s="1">
        <f t="shared" si="1"/>
        <v>476.94255532411046</v>
      </c>
      <c r="F18">
        <v>26.978999999999999</v>
      </c>
    </row>
    <row r="19" spans="1:20" x14ac:dyDescent="0.3">
      <c r="A19">
        <v>278</v>
      </c>
      <c r="B19">
        <v>2641675.5630000001</v>
      </c>
      <c r="C19">
        <v>599828.30500000005</v>
      </c>
      <c r="D19">
        <f t="shared" si="0"/>
        <v>2.9961663841129642</v>
      </c>
      <c r="E19" s="1">
        <f t="shared" si="1"/>
        <v>479.9387217082234</v>
      </c>
      <c r="F19">
        <v>27.774999999999999</v>
      </c>
      <c r="P19" t="s">
        <v>59</v>
      </c>
    </row>
    <row r="20" spans="1:20" x14ac:dyDescent="0.3">
      <c r="A20">
        <v>279</v>
      </c>
      <c r="B20">
        <v>2641677.7379999999</v>
      </c>
      <c r="C20">
        <v>599828.07999999996</v>
      </c>
      <c r="D20">
        <f t="shared" si="0"/>
        <v>2.1866069603912952</v>
      </c>
      <c r="E20" s="1">
        <f t="shared" si="1"/>
        <v>482.12532866861471</v>
      </c>
      <c r="F20">
        <v>30.875</v>
      </c>
      <c r="P20" t="s">
        <v>60</v>
      </c>
    </row>
    <row r="21" spans="1:20" x14ac:dyDescent="0.3">
      <c r="B21" s="23" t="s">
        <v>6</v>
      </c>
      <c r="C21" s="23"/>
      <c r="D21">
        <f>SUM(D2:D20)</f>
        <v>482.12532866861471</v>
      </c>
      <c r="P21" t="s">
        <v>68</v>
      </c>
    </row>
    <row r="23" spans="1:20" x14ac:dyDescent="0.3">
      <c r="Q23" s="24" t="s">
        <v>55</v>
      </c>
      <c r="R23" s="25"/>
      <c r="S23" s="26" t="s">
        <v>56</v>
      </c>
      <c r="T23" s="26"/>
    </row>
    <row r="24" spans="1:20" x14ac:dyDescent="0.3">
      <c r="H24" t="s">
        <v>21</v>
      </c>
      <c r="I24" t="s">
        <v>22</v>
      </c>
      <c r="J24" t="s">
        <v>5</v>
      </c>
      <c r="K24" t="s">
        <v>19</v>
      </c>
      <c r="L24" t="s">
        <v>20</v>
      </c>
      <c r="M24" s="6" t="s">
        <v>23</v>
      </c>
      <c r="N24" s="3" t="s">
        <v>24</v>
      </c>
      <c r="O24" s="3" t="s">
        <v>51</v>
      </c>
      <c r="P24" s="11" t="s">
        <v>54</v>
      </c>
      <c r="Q24" s="9" t="s">
        <v>58</v>
      </c>
      <c r="R24" s="9" t="s">
        <v>57</v>
      </c>
      <c r="S24" s="10" t="s">
        <v>58</v>
      </c>
      <c r="T24" s="10" t="s">
        <v>57</v>
      </c>
    </row>
    <row r="25" spans="1:20" x14ac:dyDescent="0.3">
      <c r="G25" t="s">
        <v>7</v>
      </c>
      <c r="H25">
        <v>422</v>
      </c>
      <c r="I25">
        <f>H26-H25</f>
        <v>2</v>
      </c>
      <c r="J25">
        <v>26.635000000000002</v>
      </c>
      <c r="K25">
        <v>0</v>
      </c>
      <c r="L25">
        <f>1/2*2*0.032</f>
        <v>3.2000000000000001E-2</v>
      </c>
      <c r="M25">
        <f>L25+L28+L31+L34+L37+L40</f>
        <v>107.34650000000008</v>
      </c>
      <c r="N25">
        <f>SQRT((I25)^2+(J25-J26)^2)</f>
        <v>2.1638567420233716</v>
      </c>
      <c r="O25">
        <f>N25+N28+N31+N34+N37+N40</f>
        <v>54.528846852907265</v>
      </c>
      <c r="P25">
        <f>M25/O25</f>
        <v>1.9686185605496036</v>
      </c>
      <c r="Q25">
        <f>(1/0.035)*(P25)^(2/3)*(0.003)^(1/2)</f>
        <v>2.4581042627964571</v>
      </c>
      <c r="R25">
        <f>M25*Q25</f>
        <v>263.86888924628005</v>
      </c>
      <c r="S25">
        <v>0.69</v>
      </c>
      <c r="T25">
        <f>M25*S25</f>
        <v>74.069085000000044</v>
      </c>
    </row>
    <row r="26" spans="1:20" x14ac:dyDescent="0.3">
      <c r="H26">
        <v>424</v>
      </c>
      <c r="J26">
        <v>25.809000000000001</v>
      </c>
      <c r="K26">
        <f>J25-J26</f>
        <v>0.82600000000000051</v>
      </c>
    </row>
    <row r="28" spans="1:20" x14ac:dyDescent="0.3">
      <c r="G28" t="s">
        <v>8</v>
      </c>
      <c r="H28">
        <v>424</v>
      </c>
      <c r="I28">
        <f>H29-H28</f>
        <v>5</v>
      </c>
      <c r="J28">
        <v>25.809000000000001</v>
      </c>
      <c r="K28">
        <f>K26</f>
        <v>0.82600000000000051</v>
      </c>
      <c r="L28">
        <f>1/2*(SUM(K28:K29)*5)</f>
        <v>5.5725000000000069</v>
      </c>
      <c r="N28">
        <f>SQRT((I28)^2+(J28-J29)^2)</f>
        <v>5.0331827902431678</v>
      </c>
    </row>
    <row r="29" spans="1:20" x14ac:dyDescent="0.3">
      <c r="H29">
        <v>429</v>
      </c>
      <c r="J29">
        <v>25.231999999999999</v>
      </c>
      <c r="K29">
        <f>J25-J29</f>
        <v>1.4030000000000022</v>
      </c>
    </row>
    <row r="31" spans="1:20" x14ac:dyDescent="0.3">
      <c r="G31" t="s">
        <v>9</v>
      </c>
      <c r="H31">
        <v>429</v>
      </c>
      <c r="I31">
        <f>H32-H31</f>
        <v>36</v>
      </c>
      <c r="J31">
        <v>25.231999999999999</v>
      </c>
      <c r="K31">
        <f>K29</f>
        <v>1.4030000000000022</v>
      </c>
      <c r="L31">
        <f>1/2*(SUM(K31:K32)*36)</f>
        <v>80.478000000000065</v>
      </c>
      <c r="N31">
        <f>SQRT((I31)^2+(J31-J32)^2)</f>
        <v>36.038482556844706</v>
      </c>
    </row>
    <row r="32" spans="1:20" x14ac:dyDescent="0.3">
      <c r="H32">
        <v>465</v>
      </c>
      <c r="J32">
        <v>23.567</v>
      </c>
      <c r="K32">
        <f>J25-J32</f>
        <v>3.0680000000000014</v>
      </c>
    </row>
    <row r="34" spans="3:14" x14ac:dyDescent="0.3">
      <c r="G34" t="s">
        <v>10</v>
      </c>
      <c r="H34">
        <v>465</v>
      </c>
      <c r="I34">
        <f>H35-H34</f>
        <v>4</v>
      </c>
      <c r="J34">
        <v>23.567</v>
      </c>
      <c r="K34">
        <f>K32</f>
        <v>3.0680000000000014</v>
      </c>
      <c r="L34">
        <f>1/2*(SUM(K34:K35)*4)</f>
        <v>11.340000000000003</v>
      </c>
      <c r="N34">
        <f>SQRT((I34)^2+(J35-J34)^2)</f>
        <v>4.0270530167853522</v>
      </c>
    </row>
    <row r="35" spans="3:14" x14ac:dyDescent="0.3">
      <c r="H35">
        <v>469</v>
      </c>
      <c r="J35">
        <v>24.033000000000001</v>
      </c>
      <c r="K35">
        <f>J25-J35</f>
        <v>2.6020000000000003</v>
      </c>
    </row>
    <row r="37" spans="3:14" x14ac:dyDescent="0.3">
      <c r="C37">
        <v>26.138000000000002</v>
      </c>
      <c r="D37">
        <v>0.497</v>
      </c>
      <c r="E37">
        <v>474</v>
      </c>
      <c r="G37" t="s">
        <v>11</v>
      </c>
      <c r="H37">
        <v>469</v>
      </c>
      <c r="I37">
        <f>H38-H37</f>
        <v>5</v>
      </c>
      <c r="J37">
        <v>24.033000000000001</v>
      </c>
      <c r="K37">
        <f>K35</f>
        <v>2.6020000000000003</v>
      </c>
      <c r="L37">
        <f>1/2*(SUM(K37:K38)*5)</f>
        <v>7.7475000000000005</v>
      </c>
      <c r="N37">
        <f>SQRT((I37)^2+(J38-J37)^2)</f>
        <v>5.4250368662341826</v>
      </c>
    </row>
    <row r="38" spans="3:14" x14ac:dyDescent="0.3">
      <c r="C38">
        <v>26.978999999999999</v>
      </c>
      <c r="D38">
        <v>-0.34399999999999997</v>
      </c>
      <c r="E38">
        <v>477</v>
      </c>
      <c r="H38">
        <v>474</v>
      </c>
      <c r="J38">
        <v>26.138000000000002</v>
      </c>
      <c r="K38">
        <f>J25-J38</f>
        <v>0.49699999999999989</v>
      </c>
    </row>
    <row r="39" spans="3:14" x14ac:dyDescent="0.3">
      <c r="C39" t="s">
        <v>72</v>
      </c>
      <c r="D39">
        <v>0</v>
      </c>
      <c r="E39" t="s">
        <v>72</v>
      </c>
    </row>
    <row r="40" spans="3:14" x14ac:dyDescent="0.3">
      <c r="G40" t="s">
        <v>12</v>
      </c>
      <c r="H40">
        <v>474</v>
      </c>
      <c r="I40" s="1">
        <f>H41-H40</f>
        <v>1.7728894173602612</v>
      </c>
      <c r="J40">
        <v>26.138000000000002</v>
      </c>
      <c r="K40">
        <f>K38</f>
        <v>0.49699999999999989</v>
      </c>
      <c r="L40">
        <f>1/2*3*1.451</f>
        <v>2.1764999999999999</v>
      </c>
      <c r="N40">
        <f>SQRT((I40)^2+(J41-J40)^2)</f>
        <v>1.8412348807764876</v>
      </c>
    </row>
    <row r="41" spans="3:14" x14ac:dyDescent="0.3">
      <c r="H41" s="1">
        <f>TREND(E37:E38,D37:D38,0)</f>
        <v>475.77288941736026</v>
      </c>
      <c r="J41">
        <f>TREND(C37:C38,D37:D38,D39)</f>
        <v>26.635000000000002</v>
      </c>
      <c r="K41">
        <f>J25-J41</f>
        <v>0</v>
      </c>
    </row>
  </sheetData>
  <mergeCells count="3">
    <mergeCell ref="B21:C21"/>
    <mergeCell ref="Q23:R23"/>
    <mergeCell ref="S23:T2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5"/>
  <sheetViews>
    <sheetView topLeftCell="A12" zoomScale="102" zoomScaleNormal="102" workbookViewId="0">
      <selection activeCell="F33" sqref="F33"/>
    </sheetView>
  </sheetViews>
  <sheetFormatPr defaultRowHeight="14.4" x14ac:dyDescent="0.3"/>
  <cols>
    <col min="4" max="4" width="12" bestFit="1" customWidth="1"/>
    <col min="5" max="5" width="12.109375" bestFit="1" customWidth="1"/>
    <col min="6" max="6" width="11.6640625" bestFit="1" customWidth="1"/>
    <col min="14" max="14" width="15.88671875" bestFit="1" customWidth="1"/>
    <col min="15" max="15" width="15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46</v>
      </c>
      <c r="F1" t="s">
        <v>47</v>
      </c>
    </row>
    <row r="2" spans="1:6" x14ac:dyDescent="0.3">
      <c r="A2">
        <v>1</v>
      </c>
      <c r="B2">
        <v>2647998.0619999999</v>
      </c>
      <c r="C2">
        <v>556155.84699999995</v>
      </c>
      <c r="D2">
        <v>0</v>
      </c>
      <c r="E2">
        <v>0</v>
      </c>
      <c r="F2">
        <v>59.826000000000001</v>
      </c>
    </row>
    <row r="3" spans="1:6" x14ac:dyDescent="0.3">
      <c r="A3">
        <v>2</v>
      </c>
      <c r="B3">
        <v>2648001.1889999998</v>
      </c>
      <c r="C3">
        <v>556154.42099999997</v>
      </c>
      <c r="D3">
        <f t="shared" ref="D3:D29" si="0">SQRT((C3-C2)^2+(B3-B2)^2)</f>
        <v>3.4368015652746418</v>
      </c>
      <c r="E3" s="1">
        <f>E2+D3</f>
        <v>3.4368015652746418</v>
      </c>
      <c r="F3">
        <v>58.347999999999999</v>
      </c>
    </row>
    <row r="4" spans="1:6" x14ac:dyDescent="0.3">
      <c r="A4">
        <v>3</v>
      </c>
      <c r="B4">
        <v>2648010.247</v>
      </c>
      <c r="C4">
        <v>556152.68599999999</v>
      </c>
      <c r="D4">
        <f t="shared" si="0"/>
        <v>9.222667130687352</v>
      </c>
      <c r="E4" s="1">
        <f>E3+D4</f>
        <v>12.659468695961994</v>
      </c>
      <c r="F4">
        <v>57.192999999999998</v>
      </c>
    </row>
    <row r="5" spans="1:6" x14ac:dyDescent="0.3">
      <c r="A5">
        <v>4</v>
      </c>
      <c r="B5">
        <v>2648019.0189999999</v>
      </c>
      <c r="C5">
        <v>556148.46699999995</v>
      </c>
      <c r="D5">
        <f t="shared" si="0"/>
        <v>9.7338556080442427</v>
      </c>
      <c r="E5" s="1">
        <f t="shared" ref="E5:E20" si="1">E4+D5</f>
        <v>22.393324304006235</v>
      </c>
      <c r="F5">
        <v>56.433</v>
      </c>
    </row>
    <row r="6" spans="1:6" x14ac:dyDescent="0.3">
      <c r="A6">
        <v>5</v>
      </c>
      <c r="B6">
        <v>2648033.09</v>
      </c>
      <c r="C6">
        <v>556144.27899999998</v>
      </c>
      <c r="D6">
        <f t="shared" si="0"/>
        <v>14.681021251929531</v>
      </c>
      <c r="E6" s="1">
        <f t="shared" si="1"/>
        <v>37.074345555935764</v>
      </c>
      <c r="F6">
        <v>55.533000000000001</v>
      </c>
    </row>
    <row r="7" spans="1:6" x14ac:dyDescent="0.3">
      <c r="A7">
        <v>6</v>
      </c>
      <c r="B7">
        <v>2648058.2999999998</v>
      </c>
      <c r="C7">
        <v>556135.799</v>
      </c>
      <c r="D7">
        <f t="shared" si="0"/>
        <v>26.598016843325102</v>
      </c>
      <c r="E7" s="1">
        <f t="shared" si="1"/>
        <v>63.672362399260862</v>
      </c>
      <c r="F7">
        <v>55.667000000000002</v>
      </c>
    </row>
    <row r="8" spans="1:6" x14ac:dyDescent="0.3">
      <c r="A8">
        <v>7</v>
      </c>
      <c r="B8">
        <v>2648071.5729999999</v>
      </c>
      <c r="C8">
        <v>556134.12</v>
      </c>
      <c r="D8">
        <f t="shared" si="0"/>
        <v>13.378773112703541</v>
      </c>
      <c r="E8" s="1">
        <f t="shared" si="1"/>
        <v>77.051135511964404</v>
      </c>
      <c r="F8">
        <v>54.948</v>
      </c>
    </row>
    <row r="9" spans="1:6" x14ac:dyDescent="0.3">
      <c r="A9">
        <v>8</v>
      </c>
      <c r="B9">
        <v>2648081.4210000001</v>
      </c>
      <c r="C9">
        <v>556135.41099999996</v>
      </c>
      <c r="D9">
        <f t="shared" si="0"/>
        <v>9.9322598135805631</v>
      </c>
      <c r="E9" s="1">
        <f t="shared" si="1"/>
        <v>86.983395325544961</v>
      </c>
      <c r="F9">
        <v>54.311</v>
      </c>
    </row>
    <row r="10" spans="1:6" x14ac:dyDescent="0.3">
      <c r="A10">
        <v>9</v>
      </c>
      <c r="B10">
        <v>2648087.6179999998</v>
      </c>
      <c r="C10">
        <v>556135.42500000005</v>
      </c>
      <c r="D10">
        <f t="shared" si="0"/>
        <v>6.1970158137781342</v>
      </c>
      <c r="E10" s="1">
        <f t="shared" si="1"/>
        <v>93.180411139323098</v>
      </c>
      <c r="F10">
        <v>54.09</v>
      </c>
    </row>
    <row r="11" spans="1:6" x14ac:dyDescent="0.3">
      <c r="A11">
        <v>10</v>
      </c>
      <c r="B11">
        <v>2648091.9279999998</v>
      </c>
      <c r="C11">
        <v>556147.59900000005</v>
      </c>
      <c r="D11">
        <f t="shared" si="0"/>
        <v>12.914425113045452</v>
      </c>
      <c r="E11" s="1">
        <f t="shared" si="1"/>
        <v>106.09483625236855</v>
      </c>
      <c r="F11">
        <v>53.343000000000004</v>
      </c>
    </row>
    <row r="12" spans="1:6" x14ac:dyDescent="0.3">
      <c r="A12">
        <v>11</v>
      </c>
      <c r="B12">
        <v>2648132.5589999999</v>
      </c>
      <c r="C12">
        <v>556136.09100000001</v>
      </c>
      <c r="D12">
        <f t="shared" si="0"/>
        <v>42.229281606545776</v>
      </c>
      <c r="E12" s="1">
        <f t="shared" si="1"/>
        <v>148.32411785891432</v>
      </c>
      <c r="F12">
        <v>53.393999999999998</v>
      </c>
    </row>
    <row r="13" spans="1:6" x14ac:dyDescent="0.3">
      <c r="A13">
        <v>12</v>
      </c>
      <c r="B13">
        <v>2648133.87</v>
      </c>
      <c r="C13">
        <v>556133.91200000001</v>
      </c>
      <c r="D13">
        <f t="shared" si="0"/>
        <v>2.5429828942783965</v>
      </c>
      <c r="E13" s="1">
        <f t="shared" si="1"/>
        <v>150.86710075319272</v>
      </c>
      <c r="F13">
        <v>53.975000000000001</v>
      </c>
    </row>
    <row r="14" spans="1:6" x14ac:dyDescent="0.3">
      <c r="A14">
        <v>13</v>
      </c>
      <c r="B14">
        <v>2648137.3810000001</v>
      </c>
      <c r="C14">
        <v>556131.48400000005</v>
      </c>
      <c r="D14">
        <f t="shared" si="0"/>
        <v>4.268759187324684</v>
      </c>
      <c r="E14" s="1">
        <f t="shared" si="1"/>
        <v>155.13585994051741</v>
      </c>
      <c r="F14">
        <v>55.003</v>
      </c>
    </row>
    <row r="15" spans="1:6" x14ac:dyDescent="0.3">
      <c r="A15">
        <v>14</v>
      </c>
      <c r="B15">
        <v>2648148.3629999999</v>
      </c>
      <c r="C15">
        <v>556133.31200000003</v>
      </c>
      <c r="D15">
        <f t="shared" si="0"/>
        <v>11.133099658068662</v>
      </c>
      <c r="E15" s="1">
        <f t="shared" si="1"/>
        <v>166.26895959858606</v>
      </c>
      <c r="F15">
        <v>55.814</v>
      </c>
    </row>
    <row r="16" spans="1:6" x14ac:dyDescent="0.3">
      <c r="A16">
        <v>15</v>
      </c>
      <c r="B16">
        <v>2648158.0860000001</v>
      </c>
      <c r="C16">
        <v>556134.62300000002</v>
      </c>
      <c r="D16">
        <f t="shared" si="0"/>
        <v>9.8109861891889967</v>
      </c>
      <c r="E16" s="1">
        <f t="shared" si="1"/>
        <v>176.07994578777507</v>
      </c>
      <c r="F16">
        <v>55.923999999999999</v>
      </c>
    </row>
    <row r="17" spans="1:15" x14ac:dyDescent="0.3">
      <c r="A17">
        <v>16</v>
      </c>
      <c r="B17">
        <v>2648163.7540000002</v>
      </c>
      <c r="C17">
        <v>556135.12100000004</v>
      </c>
      <c r="D17">
        <f t="shared" si="0"/>
        <v>5.6898354985657749</v>
      </c>
      <c r="E17" s="1">
        <f t="shared" si="1"/>
        <v>181.76978128634084</v>
      </c>
      <c r="F17">
        <v>56.058</v>
      </c>
    </row>
    <row r="18" spans="1:15" x14ac:dyDescent="0.3">
      <c r="A18">
        <v>17</v>
      </c>
      <c r="B18">
        <v>2648166.9500000002</v>
      </c>
      <c r="C18">
        <v>556135.42200000002</v>
      </c>
      <c r="D18">
        <f t="shared" si="0"/>
        <v>3.2101428317074507</v>
      </c>
      <c r="E18" s="1">
        <f t="shared" si="1"/>
        <v>184.9799241180483</v>
      </c>
      <c r="F18">
        <v>55.898000000000003</v>
      </c>
    </row>
    <row r="19" spans="1:15" x14ac:dyDescent="0.3">
      <c r="A19">
        <v>18</v>
      </c>
      <c r="B19">
        <v>2648176.7579999999</v>
      </c>
      <c r="C19">
        <v>556135.277</v>
      </c>
      <c r="D19">
        <f t="shared" si="0"/>
        <v>9.8090717702885062</v>
      </c>
      <c r="E19" s="1">
        <f t="shared" si="1"/>
        <v>194.78899588833681</v>
      </c>
      <c r="F19">
        <v>56.399000000000001</v>
      </c>
    </row>
    <row r="20" spans="1:15" x14ac:dyDescent="0.3">
      <c r="A20">
        <v>19</v>
      </c>
      <c r="B20">
        <v>2648188.2960000001</v>
      </c>
      <c r="C20">
        <v>556136.10499999998</v>
      </c>
      <c r="D20">
        <f t="shared" si="0"/>
        <v>11.567671676011832</v>
      </c>
      <c r="E20" s="1">
        <f t="shared" si="1"/>
        <v>206.35666756434864</v>
      </c>
      <c r="F20">
        <v>56.600999999999999</v>
      </c>
    </row>
    <row r="21" spans="1:15" x14ac:dyDescent="0.3">
      <c r="A21">
        <v>20</v>
      </c>
      <c r="B21">
        <v>2648210.5580000002</v>
      </c>
      <c r="C21">
        <v>556138.64800000004</v>
      </c>
      <c r="D21">
        <f t="shared" si="0"/>
        <v>22.406773373356689</v>
      </c>
      <c r="E21" s="1">
        <f>E20+D21</f>
        <v>228.76344093770533</v>
      </c>
      <c r="F21">
        <v>56.238999999999997</v>
      </c>
    </row>
    <row r="22" spans="1:15" x14ac:dyDescent="0.3">
      <c r="A22">
        <v>21</v>
      </c>
      <c r="B22">
        <v>2648224.4500000002</v>
      </c>
      <c r="C22">
        <v>556141.14</v>
      </c>
      <c r="D22">
        <f t="shared" si="0"/>
        <v>14.113742522791034</v>
      </c>
      <c r="E22" s="1">
        <f>E21+D22</f>
        <v>242.87718346049635</v>
      </c>
      <c r="F22">
        <v>57.314999999999998</v>
      </c>
    </row>
    <row r="23" spans="1:15" x14ac:dyDescent="0.3">
      <c r="A23">
        <v>22</v>
      </c>
      <c r="B23">
        <v>2648236.3939999999</v>
      </c>
      <c r="C23">
        <v>556143.076</v>
      </c>
      <c r="D23">
        <f t="shared" si="0"/>
        <v>12.099885618964729</v>
      </c>
      <c r="E23" s="1">
        <f t="shared" ref="E23:E29" si="2">E22+D23</f>
        <v>254.97706907946107</v>
      </c>
      <c r="F23">
        <v>58.3</v>
      </c>
    </row>
    <row r="24" spans="1:15" x14ac:dyDescent="0.3">
      <c r="A24">
        <v>23</v>
      </c>
      <c r="B24">
        <v>2648251.2969999998</v>
      </c>
      <c r="C24">
        <v>556143.59</v>
      </c>
      <c r="D24">
        <f t="shared" si="0"/>
        <v>14.911861218438391</v>
      </c>
      <c r="E24" s="1">
        <f t="shared" si="2"/>
        <v>269.88893029789949</v>
      </c>
      <c r="F24">
        <v>59.442</v>
      </c>
    </row>
    <row r="25" spans="1:15" x14ac:dyDescent="0.3">
      <c r="A25">
        <v>24</v>
      </c>
      <c r="B25">
        <v>2648286.048</v>
      </c>
      <c r="C25">
        <v>556142.22900000005</v>
      </c>
      <c r="D25">
        <f t="shared" si="0"/>
        <v>34.777641122007779</v>
      </c>
      <c r="E25" s="1">
        <f t="shared" si="2"/>
        <v>304.66657141990726</v>
      </c>
      <c r="F25">
        <v>59.539000000000001</v>
      </c>
    </row>
    <row r="26" spans="1:15" x14ac:dyDescent="0.3">
      <c r="A26">
        <v>25</v>
      </c>
      <c r="B26">
        <v>2648319.5189999999</v>
      </c>
      <c r="C26">
        <v>556141.53799999994</v>
      </c>
      <c r="D26">
        <f t="shared" si="0"/>
        <v>33.47813199677762</v>
      </c>
      <c r="E26" s="1">
        <f t="shared" si="2"/>
        <v>338.14470341668488</v>
      </c>
      <c r="F26">
        <v>59.676000000000002</v>
      </c>
    </row>
    <row r="27" spans="1:15" x14ac:dyDescent="0.3">
      <c r="A27">
        <v>26</v>
      </c>
      <c r="B27">
        <v>2648352.9330000002</v>
      </c>
      <c r="C27">
        <v>556143.18299999996</v>
      </c>
      <c r="D27">
        <f t="shared" si="0"/>
        <v>33.45446787833751</v>
      </c>
      <c r="E27" s="1">
        <f t="shared" si="2"/>
        <v>371.59917129502242</v>
      </c>
      <c r="F27">
        <v>60.235999999999997</v>
      </c>
      <c r="I27" t="s">
        <v>21</v>
      </c>
      <c r="J27" t="s">
        <v>22</v>
      </c>
      <c r="K27" t="s">
        <v>5</v>
      </c>
      <c r="L27" t="s">
        <v>19</v>
      </c>
      <c r="M27" t="s">
        <v>20</v>
      </c>
      <c r="N27" s="6" t="s">
        <v>23</v>
      </c>
      <c r="O27" s="3" t="s">
        <v>24</v>
      </c>
    </row>
    <row r="28" spans="1:15" x14ac:dyDescent="0.3">
      <c r="A28">
        <v>27</v>
      </c>
      <c r="B28">
        <v>2648358.7179999999</v>
      </c>
      <c r="C28">
        <v>556142.05900000001</v>
      </c>
      <c r="D28">
        <f t="shared" si="0"/>
        <v>5.8931825863644844</v>
      </c>
      <c r="E28" s="1">
        <f t="shared" si="2"/>
        <v>377.49235388138692</v>
      </c>
      <c r="F28">
        <v>60.680999999999997</v>
      </c>
      <c r="H28" t="s">
        <v>7</v>
      </c>
      <c r="I28">
        <v>93</v>
      </c>
      <c r="J28">
        <f>I29-I28</f>
        <v>13</v>
      </c>
      <c r="K28">
        <v>54.09</v>
      </c>
    </row>
    <row r="29" spans="1:15" x14ac:dyDescent="0.3">
      <c r="A29">
        <v>28</v>
      </c>
      <c r="B29">
        <v>2648360.66</v>
      </c>
      <c r="C29">
        <v>556141.10499999998</v>
      </c>
      <c r="D29">
        <f t="shared" si="0"/>
        <v>2.1636728036160573</v>
      </c>
      <c r="E29" s="1">
        <f t="shared" si="2"/>
        <v>379.65602668500298</v>
      </c>
      <c r="F29">
        <v>61.470999999999997</v>
      </c>
      <c r="I29">
        <v>106</v>
      </c>
      <c r="K29">
        <v>53.343000000000004</v>
      </c>
    </row>
    <row r="30" spans="1:15" x14ac:dyDescent="0.3">
      <c r="B30" s="27" t="s">
        <v>6</v>
      </c>
      <c r="C30" s="27"/>
      <c r="D30" s="2">
        <f>SUM(D3:D29)</f>
        <v>379.65602668500298</v>
      </c>
      <c r="E30" s="2"/>
    </row>
    <row r="31" spans="1:15" x14ac:dyDescent="0.3">
      <c r="H31" t="s">
        <v>8</v>
      </c>
      <c r="I31">
        <v>106</v>
      </c>
      <c r="J31">
        <f>I32-I31</f>
        <v>42</v>
      </c>
      <c r="K31">
        <v>53.343000000000004</v>
      </c>
    </row>
    <row r="32" spans="1:15" x14ac:dyDescent="0.3">
      <c r="I32">
        <v>148</v>
      </c>
      <c r="K32">
        <v>53.393999999999998</v>
      </c>
    </row>
    <row r="34" spans="8:11" x14ac:dyDescent="0.3">
      <c r="H34" t="s">
        <v>9</v>
      </c>
      <c r="I34">
        <v>148</v>
      </c>
      <c r="J34">
        <f>I35-I34</f>
        <v>2</v>
      </c>
      <c r="K34">
        <v>53.393999999999998</v>
      </c>
    </row>
    <row r="35" spans="8:11" x14ac:dyDescent="0.3">
      <c r="I35">
        <v>150</v>
      </c>
      <c r="K35">
        <v>53.975000000000001</v>
      </c>
    </row>
  </sheetData>
  <mergeCells count="1">
    <mergeCell ref="B30:C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9"/>
  <sheetViews>
    <sheetView zoomScaleNormal="100" workbookViewId="0">
      <selection activeCell="I26" sqref="I26:P26"/>
    </sheetView>
  </sheetViews>
  <sheetFormatPr defaultRowHeight="14.4" x14ac:dyDescent="0.3"/>
  <cols>
    <col min="4" max="4" width="12" bestFit="1" customWidth="1"/>
    <col min="5" max="5" width="12.109375" bestFit="1" customWidth="1"/>
    <col min="6" max="6" width="11.6640625" bestFit="1" customWidth="1"/>
    <col min="11" max="11" width="9.5546875" bestFit="1" customWidth="1"/>
    <col min="15" max="15" width="15.88671875" bestFit="1" customWidth="1"/>
    <col min="16" max="16" width="15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46</v>
      </c>
      <c r="F1" t="s">
        <v>47</v>
      </c>
    </row>
    <row r="2" spans="1:6" x14ac:dyDescent="0.3">
      <c r="A2">
        <v>29</v>
      </c>
      <c r="B2">
        <v>2649544.5759999999</v>
      </c>
      <c r="C2">
        <v>556403.25100000005</v>
      </c>
      <c r="D2">
        <v>0</v>
      </c>
      <c r="E2">
        <v>0</v>
      </c>
      <c r="F2">
        <v>58.963000000000001</v>
      </c>
    </row>
    <row r="3" spans="1:6" x14ac:dyDescent="0.3">
      <c r="A3">
        <v>30</v>
      </c>
      <c r="B3">
        <v>2649576.4929999998</v>
      </c>
      <c r="C3">
        <v>556421.13</v>
      </c>
      <c r="D3">
        <f>SQRT((C3-C2)^2+(B3-B2)^2)</f>
        <v>36.58351445654241</v>
      </c>
      <c r="E3" s="1">
        <f>E2+D3</f>
        <v>36.58351445654241</v>
      </c>
      <c r="F3">
        <v>56.198999999999998</v>
      </c>
    </row>
    <row r="4" spans="1:6" x14ac:dyDescent="0.3">
      <c r="A4">
        <v>31</v>
      </c>
      <c r="B4">
        <v>2649592.2289999998</v>
      </c>
      <c r="C4">
        <v>556431.84600000002</v>
      </c>
      <c r="D4">
        <f t="shared" ref="D4:D27" si="0">SQRT((C4-C3)^2+(B4-B3)^2)</f>
        <v>19.03823395174496</v>
      </c>
      <c r="E4" s="1">
        <f>E3+D4</f>
        <v>55.621748408287374</v>
      </c>
      <c r="F4">
        <v>56.076999999999998</v>
      </c>
    </row>
    <row r="5" spans="1:6" x14ac:dyDescent="0.3">
      <c r="A5">
        <v>32</v>
      </c>
      <c r="B5">
        <v>2649603.56</v>
      </c>
      <c r="C5">
        <v>556438.53700000001</v>
      </c>
      <c r="D5">
        <f t="shared" si="0"/>
        <v>13.159066912410275</v>
      </c>
      <c r="E5" s="1">
        <f t="shared" ref="E5:E26" si="1">E4+D5</f>
        <v>68.780815320697656</v>
      </c>
      <c r="F5">
        <v>55.198</v>
      </c>
    </row>
    <row r="6" spans="1:6" x14ac:dyDescent="0.3">
      <c r="A6">
        <v>33</v>
      </c>
      <c r="B6">
        <v>2649617.58</v>
      </c>
      <c r="C6">
        <v>556445.223</v>
      </c>
      <c r="D6">
        <f t="shared" si="0"/>
        <v>15.532642917428699</v>
      </c>
      <c r="E6" s="1">
        <f t="shared" si="1"/>
        <v>84.313458238126358</v>
      </c>
      <c r="F6">
        <v>53.2</v>
      </c>
    </row>
    <row r="7" spans="1:6" x14ac:dyDescent="0.3">
      <c r="A7">
        <v>34</v>
      </c>
      <c r="B7">
        <v>2649623.5759999999</v>
      </c>
      <c r="C7">
        <v>556449.08799999999</v>
      </c>
      <c r="D7">
        <f t="shared" si="0"/>
        <v>7.1337396222212694</v>
      </c>
      <c r="E7" s="1">
        <f t="shared" si="1"/>
        <v>91.447197860347629</v>
      </c>
      <c r="F7">
        <v>53.847000000000001</v>
      </c>
    </row>
    <row r="8" spans="1:6" x14ac:dyDescent="0.3">
      <c r="A8">
        <v>35</v>
      </c>
      <c r="B8">
        <v>2649634.094</v>
      </c>
      <c r="C8">
        <v>556453.25600000005</v>
      </c>
      <c r="D8">
        <f t="shared" si="0"/>
        <v>11.313732717534883</v>
      </c>
      <c r="E8" s="1">
        <f t="shared" si="1"/>
        <v>102.7609305778825</v>
      </c>
      <c r="F8">
        <v>53.826999999999998</v>
      </c>
    </row>
    <row r="9" spans="1:6" x14ac:dyDescent="0.3">
      <c r="A9">
        <v>36</v>
      </c>
      <c r="B9">
        <v>2649638.074</v>
      </c>
      <c r="C9">
        <v>556453.92799999996</v>
      </c>
      <c r="D9">
        <f t="shared" si="0"/>
        <v>4.0363329892023048</v>
      </c>
      <c r="E9" s="1">
        <f t="shared" si="1"/>
        <v>106.79726356708481</v>
      </c>
      <c r="F9">
        <v>52.779000000000003</v>
      </c>
    </row>
    <row r="10" spans="1:6" x14ac:dyDescent="0.3">
      <c r="A10">
        <v>37</v>
      </c>
      <c r="B10">
        <v>2649668.7620000001</v>
      </c>
      <c r="C10">
        <v>556468.84100000001</v>
      </c>
      <c r="D10">
        <f t="shared" si="0"/>
        <v>34.119655816065617</v>
      </c>
      <c r="E10" s="1">
        <f t="shared" si="1"/>
        <v>140.91691938315043</v>
      </c>
      <c r="F10">
        <v>52.143999999999998</v>
      </c>
    </row>
    <row r="11" spans="1:6" x14ac:dyDescent="0.3">
      <c r="A11">
        <v>38</v>
      </c>
      <c r="B11">
        <v>2649687.1740000001</v>
      </c>
      <c r="C11">
        <v>556480.37600000005</v>
      </c>
      <c r="D11">
        <f t="shared" si="0"/>
        <v>21.726895061217643</v>
      </c>
      <c r="E11" s="1">
        <f t="shared" si="1"/>
        <v>162.64381444436808</v>
      </c>
      <c r="F11">
        <v>52.137</v>
      </c>
    </row>
    <row r="12" spans="1:6" x14ac:dyDescent="0.3">
      <c r="A12">
        <v>39</v>
      </c>
      <c r="B12">
        <v>2649689.287</v>
      </c>
      <c r="C12">
        <v>556481.38199999998</v>
      </c>
      <c r="D12">
        <f t="shared" si="0"/>
        <v>2.3402574643465832</v>
      </c>
      <c r="E12" s="1">
        <f t="shared" si="1"/>
        <v>164.98407190871467</v>
      </c>
      <c r="F12">
        <v>51.247</v>
      </c>
    </row>
    <row r="13" spans="1:6" x14ac:dyDescent="0.3">
      <c r="A13">
        <v>40</v>
      </c>
      <c r="B13">
        <v>2649697.0079999999</v>
      </c>
      <c r="C13">
        <v>556484.56200000003</v>
      </c>
      <c r="D13">
        <f t="shared" si="0"/>
        <v>8.3502240089012041</v>
      </c>
      <c r="E13" s="1">
        <f t="shared" si="1"/>
        <v>173.33429591761586</v>
      </c>
      <c r="F13">
        <v>51.039000000000001</v>
      </c>
    </row>
    <row r="14" spans="1:6" x14ac:dyDescent="0.3">
      <c r="A14">
        <v>41</v>
      </c>
      <c r="B14">
        <v>2649704.9</v>
      </c>
      <c r="C14">
        <v>556487.70499999996</v>
      </c>
      <c r="D14">
        <f t="shared" si="0"/>
        <v>8.4948286032975595</v>
      </c>
      <c r="E14" s="1">
        <f t="shared" si="1"/>
        <v>181.82912452091341</v>
      </c>
      <c r="F14">
        <v>51.09</v>
      </c>
    </row>
    <row r="15" spans="1:6" x14ac:dyDescent="0.3">
      <c r="A15">
        <v>42</v>
      </c>
      <c r="B15">
        <v>2649707.5329999998</v>
      </c>
      <c r="C15">
        <v>556488.88800000004</v>
      </c>
      <c r="D15">
        <f t="shared" si="0"/>
        <v>2.8865512293620723</v>
      </c>
      <c r="E15" s="1">
        <f t="shared" si="1"/>
        <v>184.71567575027549</v>
      </c>
      <c r="F15">
        <v>51.112000000000002</v>
      </c>
    </row>
    <row r="16" spans="1:6" x14ac:dyDescent="0.3">
      <c r="A16">
        <v>43</v>
      </c>
      <c r="B16">
        <v>2649709.804</v>
      </c>
      <c r="C16">
        <v>556488.77</v>
      </c>
      <c r="D16">
        <f t="shared" si="0"/>
        <v>2.2740635437104761</v>
      </c>
      <c r="E16" s="1">
        <f t="shared" si="1"/>
        <v>186.98973929398596</v>
      </c>
      <c r="F16">
        <v>51.454000000000001</v>
      </c>
    </row>
    <row r="17" spans="1:16" x14ac:dyDescent="0.3">
      <c r="A17">
        <v>44</v>
      </c>
      <c r="B17">
        <v>2649713.878</v>
      </c>
      <c r="C17">
        <v>556489.96400000004</v>
      </c>
      <c r="D17">
        <f t="shared" si="0"/>
        <v>4.2453635886958354</v>
      </c>
      <c r="E17" s="1">
        <f t="shared" si="1"/>
        <v>191.23510288268179</v>
      </c>
      <c r="F17">
        <v>51.226999999999997</v>
      </c>
    </row>
    <row r="18" spans="1:16" x14ac:dyDescent="0.3">
      <c r="A18">
        <v>45</v>
      </c>
      <c r="B18">
        <v>2649719.3420000002</v>
      </c>
      <c r="C18">
        <v>556492.25300000003</v>
      </c>
      <c r="D18">
        <f t="shared" si="0"/>
        <v>5.9240878624158011</v>
      </c>
      <c r="E18" s="1">
        <f t="shared" si="1"/>
        <v>197.15919074509759</v>
      </c>
      <c r="F18">
        <v>51.462000000000003</v>
      </c>
    </row>
    <row r="19" spans="1:16" x14ac:dyDescent="0.3">
      <c r="A19">
        <v>46</v>
      </c>
      <c r="B19">
        <v>2649757.2779999999</v>
      </c>
      <c r="C19">
        <v>556514.75399999996</v>
      </c>
      <c r="D19">
        <f t="shared" si="0"/>
        <v>44.107086697924679</v>
      </c>
      <c r="E19" s="1">
        <f t="shared" si="1"/>
        <v>241.26627744302226</v>
      </c>
      <c r="F19">
        <v>51.631999999999998</v>
      </c>
    </row>
    <row r="20" spans="1:16" x14ac:dyDescent="0.3">
      <c r="A20">
        <v>47</v>
      </c>
      <c r="B20">
        <v>2649762.5460000001</v>
      </c>
      <c r="C20">
        <v>556521.99699999997</v>
      </c>
      <c r="D20">
        <f t="shared" si="0"/>
        <v>8.9561639668940476</v>
      </c>
      <c r="E20" s="1">
        <f t="shared" si="1"/>
        <v>250.22244140991631</v>
      </c>
      <c r="F20">
        <v>51.284999999999997</v>
      </c>
    </row>
    <row r="21" spans="1:16" x14ac:dyDescent="0.3">
      <c r="A21">
        <v>48</v>
      </c>
      <c r="B21">
        <v>2649775.284</v>
      </c>
      <c r="C21">
        <v>556533.71200000006</v>
      </c>
      <c r="D21">
        <f t="shared" si="0"/>
        <v>17.306006731747985</v>
      </c>
      <c r="E21" s="1">
        <f t="shared" si="1"/>
        <v>267.52844814166428</v>
      </c>
      <c r="F21">
        <v>51.454000000000001</v>
      </c>
    </row>
    <row r="22" spans="1:16" x14ac:dyDescent="0.3">
      <c r="A22">
        <v>49</v>
      </c>
      <c r="B22">
        <v>2649806.9789999998</v>
      </c>
      <c r="C22">
        <v>556556.99399999995</v>
      </c>
      <c r="D22">
        <f t="shared" si="0"/>
        <v>39.327147735174698</v>
      </c>
      <c r="E22" s="1">
        <f t="shared" si="1"/>
        <v>306.855595876839</v>
      </c>
      <c r="F22">
        <v>51.734000000000002</v>
      </c>
    </row>
    <row r="23" spans="1:16" x14ac:dyDescent="0.3">
      <c r="A23">
        <v>50</v>
      </c>
      <c r="B23">
        <v>2649821.4070000001</v>
      </c>
      <c r="C23">
        <v>556567.42000000004</v>
      </c>
      <c r="D23">
        <f t="shared" si="0"/>
        <v>17.800805038277797</v>
      </c>
      <c r="E23" s="1">
        <f t="shared" si="1"/>
        <v>324.65640091511682</v>
      </c>
      <c r="F23">
        <v>51.610999999999997</v>
      </c>
    </row>
    <row r="24" spans="1:16" x14ac:dyDescent="0.3">
      <c r="A24">
        <v>51</v>
      </c>
      <c r="B24">
        <v>2649826.8760000002</v>
      </c>
      <c r="C24">
        <v>556569.99600000004</v>
      </c>
      <c r="D24">
        <f t="shared" si="0"/>
        <v>6.0453070228444989</v>
      </c>
      <c r="E24" s="1">
        <f t="shared" si="1"/>
        <v>330.70170793796132</v>
      </c>
      <c r="F24">
        <v>52.051000000000002</v>
      </c>
    </row>
    <row r="25" spans="1:16" x14ac:dyDescent="0.3">
      <c r="A25">
        <v>52</v>
      </c>
      <c r="B25">
        <v>2649828.639</v>
      </c>
      <c r="C25">
        <v>556571.36399999994</v>
      </c>
      <c r="D25">
        <f t="shared" si="0"/>
        <v>2.2315001678313129</v>
      </c>
      <c r="E25" s="1">
        <f t="shared" si="1"/>
        <v>332.93320810579263</v>
      </c>
      <c r="F25">
        <v>53.232999999999997</v>
      </c>
    </row>
    <row r="26" spans="1:16" x14ac:dyDescent="0.3">
      <c r="A26">
        <v>53</v>
      </c>
      <c r="B26">
        <v>2649834.8760000002</v>
      </c>
      <c r="C26">
        <v>556573.777</v>
      </c>
      <c r="D26">
        <f t="shared" si="0"/>
        <v>6.6875061123520503</v>
      </c>
      <c r="E26" s="1">
        <f t="shared" si="1"/>
        <v>339.62071421814466</v>
      </c>
      <c r="F26">
        <v>53.557000000000002</v>
      </c>
      <c r="J26" t="s">
        <v>21</v>
      </c>
      <c r="K26" t="s">
        <v>22</v>
      </c>
      <c r="L26" t="s">
        <v>5</v>
      </c>
      <c r="M26" t="s">
        <v>19</v>
      </c>
      <c r="N26" t="s">
        <v>20</v>
      </c>
      <c r="O26" s="6" t="s">
        <v>23</v>
      </c>
      <c r="P26" s="3" t="s">
        <v>24</v>
      </c>
    </row>
    <row r="27" spans="1:16" x14ac:dyDescent="0.3">
      <c r="A27">
        <v>54</v>
      </c>
      <c r="B27">
        <v>2649843.3530000001</v>
      </c>
      <c r="C27">
        <v>556576.522</v>
      </c>
      <c r="D27">
        <f t="shared" si="0"/>
        <v>8.9103621699242144</v>
      </c>
      <c r="E27" s="1">
        <f>E26+D27</f>
        <v>348.53107638806887</v>
      </c>
      <c r="F27">
        <v>54.345999999999997</v>
      </c>
      <c r="I27" t="s">
        <v>7</v>
      </c>
      <c r="J27">
        <v>163</v>
      </c>
      <c r="K27">
        <f>J28-J27</f>
        <v>2</v>
      </c>
      <c r="L27">
        <v>52.137</v>
      </c>
      <c r="N27" s="1"/>
    </row>
    <row r="28" spans="1:16" x14ac:dyDescent="0.3">
      <c r="D28" s="2">
        <f>SUM(D2:D27)</f>
        <v>348.53107638806887</v>
      </c>
      <c r="J28">
        <v>165</v>
      </c>
      <c r="L28">
        <v>51.247</v>
      </c>
      <c r="N28" s="1"/>
    </row>
    <row r="29" spans="1:16" x14ac:dyDescent="0.3">
      <c r="N29" s="1"/>
    </row>
    <row r="30" spans="1:16" x14ac:dyDescent="0.3">
      <c r="I30" t="s">
        <v>8</v>
      </c>
      <c r="J30">
        <v>165</v>
      </c>
      <c r="K30">
        <f>J31-J30</f>
        <v>8</v>
      </c>
      <c r="L30">
        <v>51.247</v>
      </c>
      <c r="N30" s="1"/>
    </row>
    <row r="31" spans="1:16" x14ac:dyDescent="0.3">
      <c r="J31">
        <v>173</v>
      </c>
      <c r="L31">
        <v>51.039000000000001</v>
      </c>
      <c r="N31" s="1"/>
    </row>
    <row r="32" spans="1:16" x14ac:dyDescent="0.3">
      <c r="N32" s="1"/>
    </row>
    <row r="33" spans="9:14" x14ac:dyDescent="0.3">
      <c r="I33" t="s">
        <v>9</v>
      </c>
      <c r="J33">
        <v>173</v>
      </c>
      <c r="K33">
        <f>J34-J33</f>
        <v>9</v>
      </c>
      <c r="L33">
        <v>51.039000000000001</v>
      </c>
      <c r="N33" s="1"/>
    </row>
    <row r="34" spans="9:14" x14ac:dyDescent="0.3">
      <c r="J34">
        <v>182</v>
      </c>
      <c r="L34">
        <v>51.09</v>
      </c>
      <c r="N34" s="1"/>
    </row>
    <row r="35" spans="9:14" x14ac:dyDescent="0.3">
      <c r="N35" s="1"/>
    </row>
    <row r="36" spans="9:14" x14ac:dyDescent="0.3">
      <c r="I36" t="s">
        <v>10</v>
      </c>
      <c r="J36">
        <v>182</v>
      </c>
      <c r="K36">
        <f>J37-J36</f>
        <v>3</v>
      </c>
      <c r="L36">
        <v>51.09</v>
      </c>
    </row>
    <row r="37" spans="9:14" x14ac:dyDescent="0.3">
      <c r="J37">
        <v>185</v>
      </c>
      <c r="L37">
        <v>51.112000000000002</v>
      </c>
    </row>
    <row r="39" spans="9:14" x14ac:dyDescent="0.3">
      <c r="I39" t="s">
        <v>11</v>
      </c>
      <c r="J39">
        <v>185</v>
      </c>
      <c r="K39">
        <f>J40-J39</f>
        <v>2</v>
      </c>
      <c r="L39">
        <v>51.112000000000002</v>
      </c>
    </row>
    <row r="40" spans="9:14" x14ac:dyDescent="0.3">
      <c r="J40">
        <v>187</v>
      </c>
      <c r="L40">
        <v>51.454000000000001</v>
      </c>
    </row>
    <row r="42" spans="9:14" x14ac:dyDescent="0.3">
      <c r="I42" t="s">
        <v>12</v>
      </c>
      <c r="J42">
        <v>187</v>
      </c>
      <c r="K42">
        <f>J43-J42</f>
        <v>4</v>
      </c>
      <c r="L42">
        <v>51.454000000000001</v>
      </c>
    </row>
    <row r="43" spans="9:14" x14ac:dyDescent="0.3">
      <c r="J43">
        <v>191</v>
      </c>
      <c r="L43">
        <v>51.226999999999997</v>
      </c>
    </row>
    <row r="45" spans="9:14" x14ac:dyDescent="0.3">
      <c r="I45" t="s">
        <v>13</v>
      </c>
      <c r="J45">
        <v>191</v>
      </c>
      <c r="K45">
        <f>J46-J45</f>
        <v>6</v>
      </c>
      <c r="L45">
        <v>51.226999999999997</v>
      </c>
    </row>
    <row r="46" spans="9:14" x14ac:dyDescent="0.3">
      <c r="J46">
        <v>197</v>
      </c>
      <c r="L46">
        <v>51.462000000000003</v>
      </c>
    </row>
    <row r="48" spans="9:14" x14ac:dyDescent="0.3">
      <c r="I48" t="s">
        <v>14</v>
      </c>
      <c r="J48">
        <v>197</v>
      </c>
      <c r="K48">
        <f>J49-J48</f>
        <v>44</v>
      </c>
      <c r="L48">
        <v>51.462000000000003</v>
      </c>
    </row>
    <row r="49" spans="10:12" x14ac:dyDescent="0.3">
      <c r="J49">
        <v>241</v>
      </c>
      <c r="L49">
        <v>51.631999999999998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51"/>
  <sheetViews>
    <sheetView tabSelected="1" workbookViewId="0">
      <selection activeCell="M17" sqref="M17"/>
    </sheetView>
  </sheetViews>
  <sheetFormatPr defaultRowHeight="14.4" x14ac:dyDescent="0.3"/>
  <cols>
    <col min="4" max="4" width="12" bestFit="1" customWidth="1"/>
    <col min="5" max="5" width="12.109375" bestFit="1" customWidth="1"/>
    <col min="6" max="6" width="11.6640625" bestFit="1" customWidth="1"/>
    <col min="7" max="7" width="11" bestFit="1" customWidth="1"/>
    <col min="11" max="11" width="12" bestFit="1" customWidth="1"/>
    <col min="13" max="13" width="15.88671875" bestFit="1" customWidth="1"/>
    <col min="14" max="14" width="15.6640625" bestFit="1" customWidth="1"/>
    <col min="15" max="15" width="24" bestFit="1" customWidth="1"/>
  </cols>
  <sheetData>
    <row r="1" spans="1:11" x14ac:dyDescent="0.3">
      <c r="A1" t="s">
        <v>48</v>
      </c>
      <c r="B1" t="s">
        <v>1</v>
      </c>
      <c r="C1" t="s">
        <v>2</v>
      </c>
      <c r="D1" t="s">
        <v>3</v>
      </c>
      <c r="E1" t="s">
        <v>46</v>
      </c>
      <c r="F1" t="s">
        <v>47</v>
      </c>
      <c r="G1" s="3"/>
      <c r="H1" s="3"/>
      <c r="I1" s="3"/>
      <c r="J1" s="3"/>
      <c r="K1" s="3"/>
    </row>
    <row r="2" spans="1:11" x14ac:dyDescent="0.3">
      <c r="A2">
        <v>280</v>
      </c>
      <c r="B2">
        <v>2685771.102</v>
      </c>
      <c r="C2">
        <v>521497.46100000001</v>
      </c>
      <c r="D2">
        <v>0</v>
      </c>
      <c r="E2" s="1">
        <v>0</v>
      </c>
      <c r="F2">
        <v>125.599</v>
      </c>
    </row>
    <row r="3" spans="1:11" x14ac:dyDescent="0.3">
      <c r="A3">
        <v>281</v>
      </c>
      <c r="B3">
        <v>2685772.5430000001</v>
      </c>
      <c r="C3">
        <v>521493.84</v>
      </c>
      <c r="D3">
        <f>SQRT((C3-C2)^2+(B3-B2)^2)</f>
        <v>3.8971941188757926</v>
      </c>
      <c r="E3" s="1">
        <f>E2+D3</f>
        <v>3.8971941188757926</v>
      </c>
      <c r="F3">
        <v>124.458</v>
      </c>
    </row>
    <row r="4" spans="1:11" x14ac:dyDescent="0.3">
      <c r="A4">
        <v>282</v>
      </c>
      <c r="B4">
        <v>2685776.3569999998</v>
      </c>
      <c r="C4">
        <v>521489.99599999998</v>
      </c>
      <c r="D4">
        <f t="shared" ref="D4:D23" si="0">SQRT((C4-C3)^2+(B4-B3)^2)</f>
        <v>5.4150652811058952</v>
      </c>
      <c r="E4" s="1">
        <f>E3+D4</f>
        <v>9.3122593999816878</v>
      </c>
      <c r="F4">
        <v>123.50700000000001</v>
      </c>
    </row>
    <row r="5" spans="1:11" x14ac:dyDescent="0.3">
      <c r="A5">
        <v>283</v>
      </c>
      <c r="B5">
        <v>2685781.2930000001</v>
      </c>
      <c r="C5">
        <v>521484.54499999998</v>
      </c>
      <c r="D5">
        <f t="shared" si="0"/>
        <v>7.3537403409543867</v>
      </c>
      <c r="E5" s="1">
        <f t="shared" ref="E5:E23" si="1">E4+D5</f>
        <v>16.665999740936073</v>
      </c>
      <c r="F5">
        <v>122.598</v>
      </c>
    </row>
    <row r="6" spans="1:11" x14ac:dyDescent="0.3">
      <c r="A6">
        <v>284</v>
      </c>
      <c r="B6">
        <v>2685786.693</v>
      </c>
      <c r="C6">
        <v>521477.81</v>
      </c>
      <c r="D6">
        <f t="shared" si="0"/>
        <v>8.63250977403478</v>
      </c>
      <c r="E6" s="1">
        <f t="shared" si="1"/>
        <v>25.298509514970853</v>
      </c>
      <c r="F6">
        <v>121.767</v>
      </c>
    </row>
    <row r="7" spans="1:11" x14ac:dyDescent="0.3">
      <c r="A7">
        <v>285</v>
      </c>
      <c r="B7">
        <v>2685804.49</v>
      </c>
      <c r="C7">
        <v>521463.4</v>
      </c>
      <c r="D7">
        <f t="shared" si="0"/>
        <v>22.899373550564185</v>
      </c>
      <c r="E7" s="1">
        <f t="shared" si="1"/>
        <v>48.197883065535038</v>
      </c>
      <c r="F7">
        <v>121.173</v>
      </c>
    </row>
    <row r="8" spans="1:11" x14ac:dyDescent="0.3">
      <c r="A8">
        <v>286</v>
      </c>
      <c r="B8">
        <v>2685820.7289999998</v>
      </c>
      <c r="C8">
        <v>521450.13099999999</v>
      </c>
      <c r="D8">
        <f t="shared" si="0"/>
        <v>20.970729171576046</v>
      </c>
      <c r="E8" s="1">
        <f t="shared" si="1"/>
        <v>69.168612237111091</v>
      </c>
      <c r="F8">
        <v>121.357</v>
      </c>
    </row>
    <row r="9" spans="1:11" x14ac:dyDescent="0.3">
      <c r="A9">
        <v>287</v>
      </c>
      <c r="B9">
        <v>2685823.4360000002</v>
      </c>
      <c r="C9">
        <v>521448.20899999997</v>
      </c>
      <c r="D9">
        <f t="shared" si="0"/>
        <v>3.3199296682696433</v>
      </c>
      <c r="E9" s="1">
        <f t="shared" si="1"/>
        <v>72.488541905380728</v>
      </c>
      <c r="F9">
        <v>121.755</v>
      </c>
    </row>
    <row r="10" spans="1:11" x14ac:dyDescent="0.3">
      <c r="A10">
        <v>288</v>
      </c>
      <c r="B10">
        <v>2685825.588</v>
      </c>
      <c r="C10">
        <v>521445.80699999997</v>
      </c>
      <c r="D10">
        <f t="shared" si="0"/>
        <v>3.2250128680386476</v>
      </c>
      <c r="E10" s="1">
        <f t="shared" si="1"/>
        <v>75.713554773419375</v>
      </c>
      <c r="F10">
        <v>121.399</v>
      </c>
      <c r="J10" s="2"/>
      <c r="K10" s="2"/>
    </row>
    <row r="11" spans="1:11" x14ac:dyDescent="0.3">
      <c r="A11">
        <v>289</v>
      </c>
      <c r="B11">
        <v>2685829.85</v>
      </c>
      <c r="C11">
        <v>521442.03600000002</v>
      </c>
      <c r="D11">
        <f t="shared" si="0"/>
        <v>5.6907894883319861</v>
      </c>
      <c r="E11" s="1">
        <f t="shared" si="1"/>
        <v>81.404344261751362</v>
      </c>
      <c r="F11">
        <v>121.75700000000001</v>
      </c>
    </row>
    <row r="12" spans="1:11" x14ac:dyDescent="0.3">
      <c r="A12">
        <v>290</v>
      </c>
      <c r="B12">
        <v>2685831.6919999998</v>
      </c>
      <c r="C12">
        <v>521440.40899999999</v>
      </c>
      <c r="D12">
        <f t="shared" si="0"/>
        <v>2.4576600658070999</v>
      </c>
      <c r="E12" s="1">
        <f t="shared" si="1"/>
        <v>83.862004327558466</v>
      </c>
      <c r="F12">
        <v>121.754</v>
      </c>
    </row>
    <row r="13" spans="1:11" x14ac:dyDescent="0.3">
      <c r="A13">
        <v>291</v>
      </c>
      <c r="B13">
        <v>2685833.1749999998</v>
      </c>
      <c r="C13">
        <v>521438.978</v>
      </c>
      <c r="D13">
        <f t="shared" si="0"/>
        <v>2.0608372085080995</v>
      </c>
      <c r="E13" s="1">
        <f t="shared" si="1"/>
        <v>85.922841536066571</v>
      </c>
      <c r="F13">
        <v>121.532</v>
      </c>
    </row>
    <row r="14" spans="1:11" x14ac:dyDescent="0.3">
      <c r="A14">
        <v>292</v>
      </c>
      <c r="B14">
        <v>2685849.7749999999</v>
      </c>
      <c r="C14">
        <v>521426.95</v>
      </c>
      <c r="D14">
        <f t="shared" si="0"/>
        <v>20.499580093330671</v>
      </c>
      <c r="E14" s="1">
        <f t="shared" si="1"/>
        <v>106.42242162939723</v>
      </c>
      <c r="F14">
        <v>121.14400000000001</v>
      </c>
    </row>
    <row r="15" spans="1:11" x14ac:dyDescent="0.3">
      <c r="A15">
        <v>293</v>
      </c>
      <c r="B15">
        <v>2685865.8650000002</v>
      </c>
      <c r="C15">
        <v>521415.06400000001</v>
      </c>
      <c r="D15">
        <f t="shared" si="0"/>
        <v>20.004126974455961</v>
      </c>
      <c r="E15" s="1">
        <f t="shared" si="1"/>
        <v>126.42654860385319</v>
      </c>
      <c r="F15">
        <v>121.319</v>
      </c>
    </row>
    <row r="16" spans="1:11" x14ac:dyDescent="0.3">
      <c r="A16">
        <v>294</v>
      </c>
      <c r="B16">
        <v>2685870.9419999998</v>
      </c>
      <c r="C16">
        <v>521411.24400000001</v>
      </c>
      <c r="D16">
        <f t="shared" si="0"/>
        <v>6.3536075575862245</v>
      </c>
      <c r="E16" s="1">
        <f t="shared" si="1"/>
        <v>132.78015616143941</v>
      </c>
      <c r="F16">
        <v>120.929</v>
      </c>
    </row>
    <row r="17" spans="1:20" x14ac:dyDescent="0.3">
      <c r="A17">
        <v>295</v>
      </c>
      <c r="B17">
        <v>2685875.321</v>
      </c>
      <c r="C17">
        <v>521409.22</v>
      </c>
      <c r="D17">
        <f t="shared" si="0"/>
        <v>4.824128626166754</v>
      </c>
      <c r="E17" s="1">
        <f t="shared" si="1"/>
        <v>137.60428478760616</v>
      </c>
      <c r="F17">
        <v>120.952</v>
      </c>
    </row>
    <row r="18" spans="1:20" x14ac:dyDescent="0.3">
      <c r="A18">
        <v>296</v>
      </c>
      <c r="B18">
        <v>2685885.7420000001</v>
      </c>
      <c r="C18">
        <v>521405.89600000001</v>
      </c>
      <c r="D18">
        <f t="shared" si="0"/>
        <v>10.938291320020008</v>
      </c>
      <c r="E18" s="1">
        <f t="shared" si="1"/>
        <v>148.54257610762616</v>
      </c>
      <c r="F18">
        <v>121.322</v>
      </c>
    </row>
    <row r="19" spans="1:20" x14ac:dyDescent="0.3">
      <c r="A19">
        <v>297</v>
      </c>
      <c r="B19">
        <v>2685904.9210000001</v>
      </c>
      <c r="C19">
        <v>521394.56099999999</v>
      </c>
      <c r="D19">
        <f t="shared" si="0"/>
        <v>22.278156701141544</v>
      </c>
      <c r="E19" s="1">
        <f t="shared" si="1"/>
        <v>170.8207328087677</v>
      </c>
      <c r="F19">
        <v>121.014</v>
      </c>
    </row>
    <row r="20" spans="1:20" x14ac:dyDescent="0.3">
      <c r="A20">
        <v>298</v>
      </c>
      <c r="B20">
        <v>2685926.5490000001</v>
      </c>
      <c r="C20">
        <v>521382.75300000003</v>
      </c>
      <c r="D20">
        <f t="shared" si="0"/>
        <v>24.641413271162111</v>
      </c>
      <c r="E20" s="1">
        <f t="shared" si="1"/>
        <v>195.46214607992982</v>
      </c>
      <c r="F20">
        <v>121.27</v>
      </c>
    </row>
    <row r="21" spans="1:20" x14ac:dyDescent="0.3">
      <c r="A21">
        <v>299</v>
      </c>
      <c r="B21">
        <v>2685929.4</v>
      </c>
      <c r="C21">
        <v>521378.75599999999</v>
      </c>
      <c r="D21">
        <f t="shared" si="0"/>
        <v>4.9096038535779361</v>
      </c>
      <c r="E21" s="1">
        <f t="shared" si="1"/>
        <v>200.37174993350777</v>
      </c>
      <c r="F21">
        <v>122.907</v>
      </c>
      <c r="J21" s="2"/>
      <c r="K21" s="2"/>
    </row>
    <row r="22" spans="1:20" x14ac:dyDescent="0.3">
      <c r="A22">
        <v>300</v>
      </c>
      <c r="B22">
        <v>2685932.4270000001</v>
      </c>
      <c r="C22">
        <v>521373.777</v>
      </c>
      <c r="D22">
        <f t="shared" si="0"/>
        <v>5.8269348718980893</v>
      </c>
      <c r="E22" s="1">
        <f t="shared" si="1"/>
        <v>206.19868480540586</v>
      </c>
      <c r="F22">
        <v>124.80200000000001</v>
      </c>
    </row>
    <row r="23" spans="1:20" x14ac:dyDescent="0.3">
      <c r="A23">
        <v>301</v>
      </c>
      <c r="B23">
        <v>2685940.3650000002</v>
      </c>
      <c r="C23">
        <v>521366.96899999998</v>
      </c>
      <c r="D23">
        <f t="shared" si="0"/>
        <v>10.45756702113647</v>
      </c>
      <c r="E23" s="1">
        <f t="shared" si="1"/>
        <v>216.65625182654233</v>
      </c>
      <c r="F23">
        <v>126.21</v>
      </c>
      <c r="P23" t="s">
        <v>59</v>
      </c>
    </row>
    <row r="24" spans="1:20" x14ac:dyDescent="0.3">
      <c r="C24">
        <f>SUM(D2:D23)</f>
        <v>216.65625182654233</v>
      </c>
      <c r="P24" t="s">
        <v>60</v>
      </c>
    </row>
    <row r="25" spans="1:20" x14ac:dyDescent="0.3">
      <c r="B25" s="2" t="s">
        <v>6</v>
      </c>
      <c r="C25" s="2" t="s">
        <v>49</v>
      </c>
      <c r="P25" t="s">
        <v>69</v>
      </c>
    </row>
    <row r="27" spans="1:20" x14ac:dyDescent="0.3">
      <c r="Q27" s="24" t="s">
        <v>55</v>
      </c>
      <c r="R27" s="25"/>
      <c r="S27" s="26" t="s">
        <v>56</v>
      </c>
      <c r="T27" s="26"/>
    </row>
    <row r="28" spans="1:20" x14ac:dyDescent="0.3">
      <c r="H28" t="s">
        <v>21</v>
      </c>
      <c r="I28" t="s">
        <v>22</v>
      </c>
      <c r="J28" t="s">
        <v>5</v>
      </c>
      <c r="K28" t="s">
        <v>19</v>
      </c>
      <c r="L28" t="s">
        <v>20</v>
      </c>
      <c r="M28" s="6" t="s">
        <v>23</v>
      </c>
      <c r="N28" s="3" t="s">
        <v>24</v>
      </c>
      <c r="O28" s="3" t="s">
        <v>51</v>
      </c>
      <c r="P28" s="11" t="s">
        <v>54</v>
      </c>
      <c r="Q28" s="9" t="s">
        <v>58</v>
      </c>
      <c r="R28" s="9" t="s">
        <v>57</v>
      </c>
      <c r="S28" s="10" t="s">
        <v>58</v>
      </c>
      <c r="T28" s="10" t="s">
        <v>57</v>
      </c>
    </row>
    <row r="29" spans="1:20" x14ac:dyDescent="0.3">
      <c r="H29">
        <v>25</v>
      </c>
      <c r="I29">
        <f>H30-H29</f>
        <v>23</v>
      </c>
      <c r="J29">
        <v>121.77</v>
      </c>
      <c r="K29">
        <v>0</v>
      </c>
      <c r="L29">
        <f>1/2*I29*K30</f>
        <v>2.5299999999999998</v>
      </c>
      <c r="M29">
        <f>L29+L32+L35+L38+L41+L44+L47+L50</f>
        <v>10.177999999999999</v>
      </c>
      <c r="N29">
        <f>SQRT((I29)^2+(J29-J30)^2)</f>
        <v>23.007824755939012</v>
      </c>
      <c r="O29">
        <f>N29+N32+N35+N38+N41+N44+N47+N50</f>
        <v>116.05594256263166</v>
      </c>
      <c r="P29">
        <f>M29/O29</f>
        <v>8.7699085245094274E-2</v>
      </c>
      <c r="Q29">
        <f>(1/0.035)*(P29)^(2/3)*(0.02)^(1/2)</f>
        <v>0.79758503318211893</v>
      </c>
      <c r="R29">
        <f>M29*Q29</f>
        <v>8.117820467727606</v>
      </c>
      <c r="S29">
        <v>0.53</v>
      </c>
      <c r="T29">
        <f>M29*S29</f>
        <v>5.3943399999999997</v>
      </c>
    </row>
    <row r="30" spans="1:20" x14ac:dyDescent="0.3">
      <c r="H30">
        <v>48</v>
      </c>
      <c r="J30">
        <v>121.17</v>
      </c>
      <c r="K30" s="3">
        <v>0.22</v>
      </c>
    </row>
    <row r="32" spans="1:20" x14ac:dyDescent="0.3">
      <c r="H32">
        <v>48</v>
      </c>
      <c r="I32">
        <f>H33-H32</f>
        <v>21</v>
      </c>
      <c r="J32">
        <v>121.17</v>
      </c>
      <c r="K32">
        <v>0.22</v>
      </c>
      <c r="L32">
        <f>1/2*(SUM(K32:K33)*I32)</f>
        <v>2.625</v>
      </c>
      <c r="N32">
        <f>SQRT((I32)^2+(J33-J32)^2)</f>
        <v>21.000859506220216</v>
      </c>
    </row>
    <row r="33" spans="8:14" x14ac:dyDescent="0.3">
      <c r="H33">
        <v>69</v>
      </c>
      <c r="J33">
        <v>121.36</v>
      </c>
      <c r="K33">
        <v>0.03</v>
      </c>
    </row>
    <row r="35" spans="8:14" x14ac:dyDescent="0.3">
      <c r="H35">
        <v>69</v>
      </c>
      <c r="I35">
        <f>H36-H35</f>
        <v>3</v>
      </c>
      <c r="J35">
        <v>121.36</v>
      </c>
      <c r="K35">
        <v>0.03</v>
      </c>
      <c r="L35">
        <f>1/2*I35*K35</f>
        <v>4.4999999999999998E-2</v>
      </c>
      <c r="N35">
        <f>SQRT((I35)^2+(J36-J35)^2)</f>
        <v>3.026549190084312</v>
      </c>
    </row>
    <row r="36" spans="8:14" x14ac:dyDescent="0.3">
      <c r="H36">
        <v>72</v>
      </c>
      <c r="J36">
        <v>121.76</v>
      </c>
      <c r="K36">
        <v>0</v>
      </c>
    </row>
    <row r="38" spans="8:14" x14ac:dyDescent="0.3">
      <c r="H38">
        <v>126</v>
      </c>
      <c r="I38">
        <f>H39-H38</f>
        <v>7</v>
      </c>
      <c r="J38">
        <v>121.32</v>
      </c>
      <c r="K38">
        <v>0</v>
      </c>
      <c r="L38">
        <f>1/2*I38*K39</f>
        <v>3.5000000000000003E-2</v>
      </c>
      <c r="N38">
        <f>SQRT((I38)^2+(J38-J39)^2)</f>
        <v>7.0108558678666322</v>
      </c>
    </row>
    <row r="39" spans="8:14" x14ac:dyDescent="0.3">
      <c r="H39">
        <v>133</v>
      </c>
      <c r="J39">
        <v>120.93</v>
      </c>
      <c r="K39">
        <v>0.01</v>
      </c>
    </row>
    <row r="41" spans="8:14" x14ac:dyDescent="0.3">
      <c r="H41">
        <v>133</v>
      </c>
      <c r="I41">
        <f>H42-H41</f>
        <v>5</v>
      </c>
      <c r="J41">
        <v>120.93</v>
      </c>
      <c r="K41">
        <v>0.01</v>
      </c>
      <c r="L41">
        <f>1/2*(SUM(K41:K42)*I41)</f>
        <v>5.2499999999999991E-2</v>
      </c>
      <c r="N41">
        <f>SQRT((I41)^2+(J42-J41)^2)</f>
        <v>5.0000399998400011</v>
      </c>
    </row>
    <row r="42" spans="8:14" x14ac:dyDescent="0.3">
      <c r="H42">
        <v>138</v>
      </c>
      <c r="J42">
        <v>120.95</v>
      </c>
      <c r="K42">
        <v>1.0999999999999999E-2</v>
      </c>
    </row>
    <row r="44" spans="8:14" x14ac:dyDescent="0.3">
      <c r="H44">
        <v>138</v>
      </c>
      <c r="I44">
        <f>H45-H44</f>
        <v>11</v>
      </c>
      <c r="J44">
        <v>120.95</v>
      </c>
      <c r="K44">
        <v>1.0999999999999999E-2</v>
      </c>
      <c r="L44">
        <f>1/2*I44*K44</f>
        <v>6.0499999999999998E-2</v>
      </c>
      <c r="N44">
        <f>SQRT((I44)^2+(J45-J44)^2)</f>
        <v>11.006220968161596</v>
      </c>
    </row>
    <row r="45" spans="8:14" x14ac:dyDescent="0.3">
      <c r="H45">
        <v>149</v>
      </c>
      <c r="J45">
        <v>121.32</v>
      </c>
      <c r="K45">
        <v>0</v>
      </c>
    </row>
    <row r="47" spans="8:14" x14ac:dyDescent="0.3">
      <c r="H47">
        <v>149</v>
      </c>
      <c r="I47">
        <f>H48-H47</f>
        <v>22</v>
      </c>
      <c r="J47">
        <v>121.32</v>
      </c>
      <c r="K47">
        <v>0</v>
      </c>
      <c r="L47">
        <f>1/2*I47*K48</f>
        <v>2.31</v>
      </c>
      <c r="N47">
        <f>SQRT((I47)^2+(J47-J48)^2)</f>
        <v>22.002183982505009</v>
      </c>
    </row>
    <row r="48" spans="8:14" x14ac:dyDescent="0.3">
      <c r="H48">
        <v>171</v>
      </c>
      <c r="J48">
        <v>121.01</v>
      </c>
      <c r="K48">
        <v>0.21</v>
      </c>
    </row>
    <row r="50" spans="8:14" x14ac:dyDescent="0.3">
      <c r="H50">
        <v>171</v>
      </c>
      <c r="I50">
        <f>H51-H50</f>
        <v>24</v>
      </c>
      <c r="J50">
        <v>121.01</v>
      </c>
      <c r="K50">
        <v>0.21</v>
      </c>
      <c r="L50">
        <f>1/2*I50*K50</f>
        <v>2.52</v>
      </c>
      <c r="N50">
        <f>SQRT((I50)^2+(J51-J50)^2)</f>
        <v>24.001408292014865</v>
      </c>
    </row>
    <row r="51" spans="8:14" x14ac:dyDescent="0.3">
      <c r="H51">
        <v>195</v>
      </c>
      <c r="J51">
        <v>121.27</v>
      </c>
      <c r="K51">
        <v>0</v>
      </c>
    </row>
  </sheetData>
  <mergeCells count="2">
    <mergeCell ref="Q27:R27"/>
    <mergeCell ref="S27:T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DIGULI</vt:lpstr>
      <vt:lpstr>BENIAGRAM</vt:lpstr>
      <vt:lpstr>BANSKULI</vt:lpstr>
      <vt:lpstr>SAINTHIA</vt:lpstr>
      <vt:lpstr>PANJONA</vt:lpstr>
      <vt:lpstr>SUNDARPUR</vt:lpstr>
      <vt:lpstr>AJAYPUR 1</vt:lpstr>
      <vt:lpstr>AJAYPUR 2</vt:lpstr>
      <vt:lpstr>DUDHANI</vt:lpstr>
      <vt:lpstr>MAHARO</vt:lpstr>
      <vt:lpstr>ASANJOR</vt:lpstr>
      <vt:lpstr>AMARPUR 1</vt:lpstr>
      <vt:lpstr>Amarpur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SAYAK KARMAKAR</cp:lastModifiedBy>
  <dcterms:created xsi:type="dcterms:W3CDTF">2022-04-19T08:01:37Z</dcterms:created>
  <dcterms:modified xsi:type="dcterms:W3CDTF">2022-10-24T09:26:09Z</dcterms:modified>
</cp:coreProperties>
</file>