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THESIS 2021-22\Research_Paper\SWETASREE DI\"/>
    </mc:Choice>
  </mc:AlternateContent>
  <xr:revisionPtr revIDLastSave="0" documentId="13_ncr:1_{1B32A5A5-0FCE-4E56-A5EF-B6A3C13FC5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nnings" sheetId="15" r:id="rId1"/>
    <sheet name="Rational" sheetId="18" r:id="rId2"/>
    <sheet name="KWP" sheetId="17" r:id="rId3"/>
    <sheet name="Sheet2" sheetId="16" r:id="rId4"/>
    <sheet name="DIGULI" sheetId="1" r:id="rId5"/>
    <sheet name="BENIAGRAM" sheetId="2" r:id="rId6"/>
    <sheet name="BANSKULI" sheetId="3" r:id="rId7"/>
    <sheet name="SAINTHIA" sheetId="4" r:id="rId8"/>
    <sheet name="PANJONA" sheetId="5" r:id="rId9"/>
    <sheet name="SUNDARPUR" sheetId="6" r:id="rId10"/>
    <sheet name="AJAYPUR 1" sheetId="7" r:id="rId11"/>
    <sheet name="AJAYPUR 2" sheetId="8" r:id="rId12"/>
    <sheet name="DUDHANI" sheetId="9" r:id="rId13"/>
    <sheet name="MAHARO" sheetId="10" r:id="rId14"/>
    <sheet name="ASANJOR" sheetId="12" r:id="rId15"/>
    <sheet name="AMARPUR 1" sheetId="13" r:id="rId16"/>
    <sheet name="Amarpur 2" sheetId="1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7" hidden="1">SAINTHIA!$N$29:$N$86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8" l="1"/>
  <c r="H4" i="18"/>
  <c r="E4" i="18"/>
  <c r="G4" i="18"/>
  <c r="G35" i="18"/>
  <c r="G29" i="18"/>
  <c r="G30" i="18"/>
  <c r="G31" i="18"/>
  <c r="G32" i="18"/>
  <c r="G33" i="18"/>
  <c r="G34" i="18"/>
  <c r="G28" i="18"/>
  <c r="F35" i="18"/>
  <c r="F29" i="18"/>
  <c r="F30" i="18"/>
  <c r="F31" i="18"/>
  <c r="F32" i="18"/>
  <c r="F33" i="18"/>
  <c r="F34" i="18"/>
  <c r="F28" i="18"/>
  <c r="C29" i="18"/>
  <c r="C30" i="18"/>
  <c r="C31" i="18"/>
  <c r="C32" i="18"/>
  <c r="C33" i="18"/>
  <c r="C34" i="18"/>
  <c r="C28" i="18"/>
  <c r="B35" i="18"/>
  <c r="V4" i="17"/>
  <c r="V5" i="17"/>
  <c r="Y5" i="17" s="1"/>
  <c r="V6" i="17"/>
  <c r="V7" i="17"/>
  <c r="Y7" i="17" s="1"/>
  <c r="V8" i="17"/>
  <c r="Y8" i="17" s="1"/>
  <c r="V9" i="17"/>
  <c r="Y9" i="17" s="1"/>
  <c r="V10" i="17"/>
  <c r="Y10" i="17" s="1"/>
  <c r="V11" i="17"/>
  <c r="Y11" i="17" s="1"/>
  <c r="V12" i="17"/>
  <c r="Y12" i="17" s="1"/>
  <c r="V13" i="17"/>
  <c r="V14" i="17"/>
  <c r="V15" i="17"/>
  <c r="V16" i="17"/>
  <c r="Y16" i="17" s="1"/>
  <c r="V17" i="17"/>
  <c r="V18" i="17"/>
  <c r="V19" i="17"/>
  <c r="Y19" i="17" s="1"/>
  <c r="V20" i="17"/>
  <c r="Y20" i="17" s="1"/>
  <c r="V3" i="17"/>
  <c r="Y3" i="17" s="1"/>
  <c r="S20" i="17"/>
  <c r="X18" i="17"/>
  <c r="Y18" i="17"/>
  <c r="S19" i="17"/>
  <c r="S18" i="17"/>
  <c r="AB16" i="17"/>
  <c r="X16" i="17"/>
  <c r="Y17" i="17"/>
  <c r="S17" i="17"/>
  <c r="S16" i="17"/>
  <c r="X14" i="17"/>
  <c r="Y15" i="17"/>
  <c r="Y14" i="17"/>
  <c r="S15" i="17"/>
  <c r="S14" i="17"/>
  <c r="Y13" i="17"/>
  <c r="X10" i="17"/>
  <c r="S13" i="17"/>
  <c r="S11" i="17"/>
  <c r="S12" i="17"/>
  <c r="S10" i="17"/>
  <c r="S9" i="17"/>
  <c r="S8" i="17"/>
  <c r="X5" i="17"/>
  <c r="Y6" i="17"/>
  <c r="S5" i="17"/>
  <c r="S6" i="17"/>
  <c r="S7" i="17"/>
  <c r="Y4" i="17"/>
  <c r="S4" i="17"/>
  <c r="X3" i="17"/>
  <c r="S3" i="17"/>
  <c r="L4" i="17"/>
  <c r="I4" i="17"/>
  <c r="F4" i="17"/>
  <c r="L3" i="17"/>
  <c r="K4" i="17"/>
  <c r="K3" i="17"/>
  <c r="F3" i="17"/>
  <c r="I3" i="17" s="1"/>
  <c r="G13" i="15"/>
  <c r="F13" i="15"/>
  <c r="G12" i="15"/>
  <c r="F12" i="15"/>
  <c r="G11" i="15"/>
  <c r="F11" i="15"/>
  <c r="G8" i="15"/>
  <c r="F8" i="15"/>
  <c r="G7" i="15"/>
  <c r="F7" i="15"/>
  <c r="G6" i="15"/>
  <c r="F6" i="15"/>
  <c r="G5" i="15"/>
  <c r="F5" i="15"/>
  <c r="G4" i="15"/>
  <c r="F4" i="15"/>
  <c r="K48" i="9"/>
  <c r="K50" i="9"/>
  <c r="K51" i="9"/>
  <c r="K38" i="9"/>
  <c r="K39" i="9"/>
  <c r="K41" i="9"/>
  <c r="K42" i="9"/>
  <c r="K44" i="9"/>
  <c r="K45" i="9"/>
  <c r="K47" i="9"/>
  <c r="M64" i="2"/>
  <c r="M65" i="2"/>
  <c r="M67" i="2"/>
  <c r="M68" i="2"/>
  <c r="M70" i="2"/>
  <c r="M71" i="2"/>
  <c r="M73" i="2"/>
  <c r="M74" i="2"/>
  <c r="M58" i="2"/>
  <c r="M59" i="2"/>
  <c r="M61" i="2"/>
  <c r="M62" i="2"/>
  <c r="M47" i="2"/>
  <c r="M49" i="2"/>
  <c r="M50" i="2"/>
  <c r="M52" i="2"/>
  <c r="M53" i="2"/>
  <c r="M55" i="2"/>
  <c r="M56" i="2"/>
  <c r="M37" i="2"/>
  <c r="M38" i="2"/>
  <c r="M40" i="2"/>
  <c r="M41" i="2"/>
  <c r="M43" i="2"/>
  <c r="M44" i="2"/>
  <c r="M46" i="2"/>
  <c r="M26" i="2"/>
  <c r="M28" i="2"/>
  <c r="M29" i="2"/>
  <c r="M31" i="2"/>
  <c r="M32" i="2"/>
  <c r="M34" i="2"/>
  <c r="M35" i="2"/>
  <c r="M25" i="2"/>
  <c r="I113" i="16"/>
  <c r="J113" i="16" s="1"/>
  <c r="H113" i="16"/>
  <c r="G113" i="16"/>
  <c r="F113" i="16"/>
  <c r="I112" i="16"/>
  <c r="J112" i="16" s="1"/>
  <c r="H112" i="16"/>
  <c r="G112" i="16"/>
  <c r="F112" i="16"/>
  <c r="M111" i="16"/>
  <c r="L111" i="16"/>
  <c r="I111" i="16"/>
  <c r="J111" i="16" s="1"/>
  <c r="K111" i="16" s="1"/>
  <c r="H111" i="16"/>
  <c r="G111" i="16"/>
  <c r="F111" i="16"/>
  <c r="J110" i="16"/>
  <c r="I110" i="16"/>
  <c r="H110" i="16"/>
  <c r="G110" i="16"/>
  <c r="F110" i="16"/>
  <c r="I109" i="16"/>
  <c r="J109" i="16" s="1"/>
  <c r="H109" i="16"/>
  <c r="G109" i="16"/>
  <c r="F109" i="16"/>
  <c r="L108" i="16"/>
  <c r="I108" i="16"/>
  <c r="J108" i="16" s="1"/>
  <c r="K108" i="16" s="1"/>
  <c r="M108" i="16" s="1"/>
  <c r="H108" i="16"/>
  <c r="G108" i="16"/>
  <c r="F108" i="16"/>
  <c r="I107" i="16"/>
  <c r="J107" i="16" s="1"/>
  <c r="H107" i="16"/>
  <c r="G107" i="16"/>
  <c r="F107" i="16"/>
  <c r="L106" i="16"/>
  <c r="I106" i="16"/>
  <c r="J106" i="16" s="1"/>
  <c r="K106" i="16" s="1"/>
  <c r="H106" i="16"/>
  <c r="G106" i="16"/>
  <c r="F106" i="16"/>
  <c r="I105" i="16"/>
  <c r="J105" i="16" s="1"/>
  <c r="H105" i="16"/>
  <c r="G105" i="16"/>
  <c r="F105" i="16"/>
  <c r="J104" i="16"/>
  <c r="I104" i="16"/>
  <c r="H104" i="16"/>
  <c r="G104" i="16"/>
  <c r="F104" i="16"/>
  <c r="L103" i="16"/>
  <c r="J103" i="16"/>
  <c r="K103" i="16" s="1"/>
  <c r="M103" i="16" s="1"/>
  <c r="I103" i="16"/>
  <c r="H103" i="16"/>
  <c r="G103" i="16"/>
  <c r="F103" i="16"/>
  <c r="I102" i="16"/>
  <c r="J102" i="16" s="1"/>
  <c r="H102" i="16"/>
  <c r="G102" i="16"/>
  <c r="F102" i="16"/>
  <c r="I101" i="16"/>
  <c r="J101" i="16" s="1"/>
  <c r="H101" i="16"/>
  <c r="G101" i="16"/>
  <c r="F101" i="16"/>
  <c r="M100" i="16"/>
  <c r="J100" i="16"/>
  <c r="I100" i="16"/>
  <c r="H100" i="16"/>
  <c r="G100" i="16"/>
  <c r="F100" i="16"/>
  <c r="I99" i="16"/>
  <c r="J99" i="16" s="1"/>
  <c r="H99" i="16"/>
  <c r="G99" i="16"/>
  <c r="F99" i="16"/>
  <c r="I98" i="16"/>
  <c r="J98" i="16" s="1"/>
  <c r="H98" i="16"/>
  <c r="G98" i="16"/>
  <c r="F98" i="16"/>
  <c r="M97" i="16"/>
  <c r="J97" i="16"/>
  <c r="I97" i="16"/>
  <c r="H97" i="16"/>
  <c r="G97" i="16"/>
  <c r="F97" i="16"/>
  <c r="I96" i="16"/>
  <c r="J96" i="16" s="1"/>
  <c r="H96" i="16"/>
  <c r="G96" i="16"/>
  <c r="F96" i="16"/>
  <c r="I95" i="16"/>
  <c r="J95" i="16" s="1"/>
  <c r="H95" i="16"/>
  <c r="G95" i="16"/>
  <c r="F95" i="16"/>
  <c r="L94" i="16"/>
  <c r="I94" i="16"/>
  <c r="J94" i="16" s="1"/>
  <c r="K94" i="16" s="1"/>
  <c r="M94" i="16" s="1"/>
  <c r="H94" i="16"/>
  <c r="G94" i="16"/>
  <c r="F94" i="16"/>
  <c r="I93" i="16"/>
  <c r="J93" i="16" s="1"/>
  <c r="H93" i="16"/>
  <c r="G93" i="16"/>
  <c r="F93" i="16"/>
  <c r="J92" i="16"/>
  <c r="I92" i="16"/>
  <c r="H92" i="16"/>
  <c r="G92" i="16"/>
  <c r="F92" i="16"/>
  <c r="I91" i="16"/>
  <c r="J91" i="16" s="1"/>
  <c r="H91" i="16"/>
  <c r="G91" i="16"/>
  <c r="F91" i="16"/>
  <c r="I90" i="16"/>
  <c r="J90" i="16" s="1"/>
  <c r="H90" i="16"/>
  <c r="G90" i="16"/>
  <c r="F90" i="16"/>
  <c r="I89" i="16"/>
  <c r="J89" i="16" s="1"/>
  <c r="H89" i="16"/>
  <c r="G89" i="16"/>
  <c r="F89" i="16"/>
  <c r="J88" i="16"/>
  <c r="I88" i="16"/>
  <c r="H88" i="16"/>
  <c r="G88" i="16"/>
  <c r="F88" i="16"/>
  <c r="I87" i="16"/>
  <c r="J87" i="16" s="1"/>
  <c r="H87" i="16"/>
  <c r="G87" i="16"/>
  <c r="F87" i="16"/>
  <c r="I86" i="16"/>
  <c r="J86" i="16" s="1"/>
  <c r="H86" i="16"/>
  <c r="G86" i="16"/>
  <c r="F86" i="16"/>
  <c r="I85" i="16"/>
  <c r="J85" i="16" s="1"/>
  <c r="H85" i="16"/>
  <c r="G85" i="16"/>
  <c r="F85" i="16"/>
  <c r="J84" i="16"/>
  <c r="I84" i="16"/>
  <c r="H84" i="16"/>
  <c r="G84" i="16"/>
  <c r="F84" i="16"/>
  <c r="I83" i="16"/>
  <c r="J83" i="16" s="1"/>
  <c r="H83" i="16"/>
  <c r="G83" i="16"/>
  <c r="F83" i="16"/>
  <c r="I82" i="16"/>
  <c r="J82" i="16" s="1"/>
  <c r="H82" i="16"/>
  <c r="G82" i="16"/>
  <c r="F82" i="16"/>
  <c r="I81" i="16"/>
  <c r="J81" i="16" s="1"/>
  <c r="H81" i="16"/>
  <c r="G81" i="16"/>
  <c r="F81" i="16"/>
  <c r="J80" i="16"/>
  <c r="I80" i="16"/>
  <c r="H80" i="16"/>
  <c r="G80" i="16"/>
  <c r="F80" i="16"/>
  <c r="I79" i="16"/>
  <c r="J79" i="16" s="1"/>
  <c r="H79" i="16"/>
  <c r="G79" i="16"/>
  <c r="F79" i="16"/>
  <c r="L78" i="16"/>
  <c r="K78" i="16"/>
  <c r="M78" i="16" s="1"/>
  <c r="I78" i="16"/>
  <c r="J78" i="16" s="1"/>
  <c r="H78" i="16"/>
  <c r="G78" i="16"/>
  <c r="F78" i="16"/>
  <c r="I77" i="16"/>
  <c r="J77" i="16" s="1"/>
  <c r="H77" i="16"/>
  <c r="G77" i="16"/>
  <c r="F77" i="16"/>
  <c r="I76" i="16"/>
  <c r="J76" i="16" s="1"/>
  <c r="H76" i="16"/>
  <c r="G76" i="16"/>
  <c r="F76" i="16"/>
  <c r="J75" i="16"/>
  <c r="I75" i="16"/>
  <c r="H75" i="16"/>
  <c r="G75" i="16"/>
  <c r="F75" i="16"/>
  <c r="I74" i="16"/>
  <c r="J74" i="16" s="1"/>
  <c r="H74" i="16"/>
  <c r="G74" i="16"/>
  <c r="F74" i="16"/>
  <c r="I73" i="16"/>
  <c r="J73" i="16" s="1"/>
  <c r="H73" i="16"/>
  <c r="G73" i="16"/>
  <c r="F73" i="16"/>
  <c r="I72" i="16"/>
  <c r="J72" i="16" s="1"/>
  <c r="H72" i="16"/>
  <c r="G72" i="16"/>
  <c r="F72" i="16"/>
  <c r="J71" i="16"/>
  <c r="I71" i="16"/>
  <c r="H71" i="16"/>
  <c r="G71" i="16"/>
  <c r="F71" i="16"/>
  <c r="L70" i="16"/>
  <c r="K70" i="16"/>
  <c r="M70" i="16" s="1"/>
  <c r="J70" i="16"/>
  <c r="I70" i="16"/>
  <c r="H70" i="16"/>
  <c r="G70" i="16"/>
  <c r="F70" i="16"/>
  <c r="I69" i="16"/>
  <c r="J69" i="16" s="1"/>
  <c r="H69" i="16"/>
  <c r="G69" i="16"/>
  <c r="F69" i="16"/>
  <c r="I68" i="16"/>
  <c r="J68" i="16" s="1"/>
  <c r="H68" i="16"/>
  <c r="G68" i="16"/>
  <c r="F68" i="16"/>
  <c r="I67" i="16"/>
  <c r="J67" i="16" s="1"/>
  <c r="H67" i="16"/>
  <c r="G67" i="16"/>
  <c r="F67" i="16"/>
  <c r="J66" i="16"/>
  <c r="K65" i="16" s="1"/>
  <c r="M65" i="16" s="1"/>
  <c r="I66" i="16"/>
  <c r="H66" i="16"/>
  <c r="G66" i="16"/>
  <c r="F66" i="16"/>
  <c r="L65" i="16"/>
  <c r="J65" i="16"/>
  <c r="I65" i="16"/>
  <c r="H65" i="16"/>
  <c r="G65" i="16"/>
  <c r="F65" i="16"/>
  <c r="I64" i="16"/>
  <c r="J64" i="16" s="1"/>
  <c r="H64" i="16"/>
  <c r="G64" i="16"/>
  <c r="F64" i="16"/>
  <c r="I63" i="16"/>
  <c r="J63" i="16" s="1"/>
  <c r="K59" i="16" s="1"/>
  <c r="M59" i="16" s="1"/>
  <c r="H63" i="16"/>
  <c r="G63" i="16"/>
  <c r="F63" i="16"/>
  <c r="I62" i="16"/>
  <c r="J62" i="16" s="1"/>
  <c r="H62" i="16"/>
  <c r="G62" i="16"/>
  <c r="F62" i="16"/>
  <c r="J61" i="16"/>
  <c r="I61" i="16"/>
  <c r="H61" i="16"/>
  <c r="G61" i="16"/>
  <c r="F61" i="16"/>
  <c r="I60" i="16"/>
  <c r="J60" i="16" s="1"/>
  <c r="H60" i="16"/>
  <c r="G60" i="16"/>
  <c r="F60" i="16"/>
  <c r="L59" i="16"/>
  <c r="I59" i="16"/>
  <c r="J59" i="16" s="1"/>
  <c r="H59" i="16"/>
  <c r="G59" i="16"/>
  <c r="F59" i="16"/>
  <c r="I58" i="16"/>
  <c r="J58" i="16" s="1"/>
  <c r="H58" i="16"/>
  <c r="G58" i="16"/>
  <c r="F58" i="16"/>
  <c r="I57" i="16"/>
  <c r="J57" i="16" s="1"/>
  <c r="K55" i="16" s="1"/>
  <c r="M55" i="16" s="1"/>
  <c r="H57" i="16"/>
  <c r="G57" i="16"/>
  <c r="F57" i="16"/>
  <c r="J56" i="16"/>
  <c r="I56" i="16"/>
  <c r="H56" i="16"/>
  <c r="G56" i="16"/>
  <c r="F56" i="16"/>
  <c r="L55" i="16"/>
  <c r="J55" i="16"/>
  <c r="I55" i="16"/>
  <c r="H55" i="16"/>
  <c r="G55" i="16"/>
  <c r="F55" i="16"/>
  <c r="I54" i="16"/>
  <c r="J54" i="16" s="1"/>
  <c r="H54" i="16"/>
  <c r="G54" i="16"/>
  <c r="F54" i="16"/>
  <c r="I53" i="16"/>
  <c r="J53" i="16" s="1"/>
  <c r="H53" i="16"/>
  <c r="G53" i="16"/>
  <c r="F53" i="16"/>
  <c r="J52" i="16"/>
  <c r="I52" i="16"/>
  <c r="H52" i="16"/>
  <c r="G52" i="16"/>
  <c r="F52" i="16"/>
  <c r="J51" i="16"/>
  <c r="I51" i="16"/>
  <c r="H51" i="16"/>
  <c r="G51" i="16"/>
  <c r="F51" i="16"/>
  <c r="I50" i="16"/>
  <c r="J50" i="16" s="1"/>
  <c r="H50" i="16"/>
  <c r="G50" i="16"/>
  <c r="F50" i="16"/>
  <c r="I49" i="16"/>
  <c r="J49" i="16" s="1"/>
  <c r="H49" i="16"/>
  <c r="G49" i="16"/>
  <c r="F49" i="16"/>
  <c r="I48" i="16"/>
  <c r="J48" i="16" s="1"/>
  <c r="H48" i="16"/>
  <c r="G48" i="16"/>
  <c r="F48" i="16"/>
  <c r="J47" i="16"/>
  <c r="I47" i="16"/>
  <c r="H47" i="16"/>
  <c r="G47" i="16"/>
  <c r="F47" i="16"/>
  <c r="I46" i="16"/>
  <c r="J46" i="16" s="1"/>
  <c r="H46" i="16"/>
  <c r="G46" i="16"/>
  <c r="F46" i="16"/>
  <c r="I45" i="16"/>
  <c r="J45" i="16" s="1"/>
  <c r="H45" i="16"/>
  <c r="G45" i="16"/>
  <c r="F45" i="16"/>
  <c r="J44" i="16"/>
  <c r="I44" i="16"/>
  <c r="H44" i="16"/>
  <c r="G44" i="16"/>
  <c r="F44" i="16"/>
  <c r="J43" i="16"/>
  <c r="I43" i="16"/>
  <c r="H43" i="16"/>
  <c r="G43" i="16"/>
  <c r="F43" i="16"/>
  <c r="I42" i="16"/>
  <c r="J42" i="16" s="1"/>
  <c r="H42" i="16"/>
  <c r="G42" i="16"/>
  <c r="F42" i="16"/>
  <c r="I41" i="16"/>
  <c r="J41" i="16" s="1"/>
  <c r="H41" i="16"/>
  <c r="G41" i="16"/>
  <c r="F41" i="16"/>
  <c r="I40" i="16"/>
  <c r="J40" i="16" s="1"/>
  <c r="H40" i="16"/>
  <c r="G40" i="16"/>
  <c r="F40" i="16"/>
  <c r="J39" i="16"/>
  <c r="I39" i="16"/>
  <c r="H39" i="16"/>
  <c r="G39" i="16"/>
  <c r="F39" i="16"/>
  <c r="I38" i="16"/>
  <c r="J38" i="16" s="1"/>
  <c r="H38" i="16"/>
  <c r="G38" i="16"/>
  <c r="F38" i="16"/>
  <c r="I37" i="16"/>
  <c r="J37" i="16" s="1"/>
  <c r="H37" i="16"/>
  <c r="G37" i="16"/>
  <c r="F37" i="16"/>
  <c r="J36" i="16"/>
  <c r="I36" i="16"/>
  <c r="H36" i="16"/>
  <c r="G36" i="16"/>
  <c r="F36" i="16"/>
  <c r="J35" i="16"/>
  <c r="I35" i="16"/>
  <c r="H35" i="16"/>
  <c r="G35" i="16"/>
  <c r="F35" i="16"/>
  <c r="I34" i="16"/>
  <c r="J34" i="16" s="1"/>
  <c r="H34" i="16"/>
  <c r="G34" i="16"/>
  <c r="F34" i="16"/>
  <c r="L33" i="16"/>
  <c r="I33" i="16"/>
  <c r="J33" i="16" s="1"/>
  <c r="K33" i="16" s="1"/>
  <c r="M33" i="16" s="1"/>
  <c r="H33" i="16"/>
  <c r="G33" i="16"/>
  <c r="F33" i="16"/>
  <c r="I32" i="16"/>
  <c r="J32" i="16" s="1"/>
  <c r="H32" i="16"/>
  <c r="G32" i="16"/>
  <c r="F32" i="16"/>
  <c r="J31" i="16"/>
  <c r="I31" i="16"/>
  <c r="H31" i="16"/>
  <c r="G31" i="16"/>
  <c r="F31" i="16"/>
  <c r="J30" i="16"/>
  <c r="I30" i="16"/>
  <c r="H30" i="16"/>
  <c r="G30" i="16"/>
  <c r="F30" i="16"/>
  <c r="I29" i="16"/>
  <c r="J29" i="16" s="1"/>
  <c r="H29" i="16"/>
  <c r="G29" i="16"/>
  <c r="F29" i="16"/>
  <c r="I28" i="16"/>
  <c r="J28" i="16" s="1"/>
  <c r="H28" i="16"/>
  <c r="G28" i="16"/>
  <c r="F28" i="16"/>
  <c r="I27" i="16"/>
  <c r="J27" i="16" s="1"/>
  <c r="H27" i="16"/>
  <c r="G27" i="16"/>
  <c r="F27" i="16"/>
  <c r="J26" i="16"/>
  <c r="I26" i="16"/>
  <c r="H26" i="16"/>
  <c r="G26" i="16"/>
  <c r="F26" i="16"/>
  <c r="I25" i="16"/>
  <c r="J25" i="16" s="1"/>
  <c r="H25" i="16"/>
  <c r="G25" i="16"/>
  <c r="F25" i="16"/>
  <c r="L24" i="16"/>
  <c r="I24" i="16"/>
  <c r="J24" i="16" s="1"/>
  <c r="K24" i="16" s="1"/>
  <c r="M24" i="16" s="1"/>
  <c r="H24" i="16"/>
  <c r="G24" i="16"/>
  <c r="F24" i="16"/>
  <c r="I23" i="16"/>
  <c r="J23" i="16" s="1"/>
  <c r="H23" i="16"/>
  <c r="G23" i="16"/>
  <c r="F23" i="16"/>
  <c r="I22" i="16"/>
  <c r="J22" i="16" s="1"/>
  <c r="H22" i="16"/>
  <c r="G22" i="16"/>
  <c r="F22" i="16"/>
  <c r="J21" i="16"/>
  <c r="I21" i="16"/>
  <c r="H21" i="16"/>
  <c r="G21" i="16"/>
  <c r="F21" i="16"/>
  <c r="I20" i="16"/>
  <c r="J20" i="16" s="1"/>
  <c r="H20" i="16"/>
  <c r="G20" i="16"/>
  <c r="F20" i="16"/>
  <c r="L19" i="16"/>
  <c r="I19" i="16"/>
  <c r="J19" i="16" s="1"/>
  <c r="K19" i="16" s="1"/>
  <c r="M19" i="16" s="1"/>
  <c r="H19" i="16"/>
  <c r="G19" i="16"/>
  <c r="F19" i="16"/>
  <c r="I18" i="16"/>
  <c r="J18" i="16" s="1"/>
  <c r="H18" i="16"/>
  <c r="G18" i="16"/>
  <c r="F18" i="16"/>
  <c r="I17" i="16"/>
  <c r="J17" i="16" s="1"/>
  <c r="H17" i="16"/>
  <c r="G17" i="16"/>
  <c r="F17" i="16"/>
  <c r="J16" i="16"/>
  <c r="I16" i="16"/>
  <c r="H16" i="16"/>
  <c r="G16" i="16"/>
  <c r="F16" i="16"/>
  <c r="I15" i="16"/>
  <c r="J15" i="16" s="1"/>
  <c r="H15" i="16"/>
  <c r="G15" i="16"/>
  <c r="F15" i="16"/>
  <c r="I14" i="16"/>
  <c r="J14" i="16" s="1"/>
  <c r="H14" i="16"/>
  <c r="G14" i="16"/>
  <c r="F14" i="16"/>
  <c r="J13" i="16"/>
  <c r="I13" i="16"/>
  <c r="H13" i="16"/>
  <c r="G13" i="16"/>
  <c r="F13" i="16"/>
  <c r="J12" i="16"/>
  <c r="I12" i="16"/>
  <c r="H12" i="16"/>
  <c r="G12" i="16"/>
  <c r="F12" i="16"/>
  <c r="I11" i="16"/>
  <c r="J11" i="16" s="1"/>
  <c r="H11" i="16"/>
  <c r="G11" i="16"/>
  <c r="F11" i="16"/>
  <c r="I10" i="16"/>
  <c r="J10" i="16" s="1"/>
  <c r="H10" i="16"/>
  <c r="G10" i="16"/>
  <c r="F10" i="16"/>
  <c r="I9" i="16"/>
  <c r="J9" i="16" s="1"/>
  <c r="H9" i="16"/>
  <c r="G9" i="16"/>
  <c r="F9" i="16"/>
  <c r="J8" i="16"/>
  <c r="I8" i="16"/>
  <c r="H8" i="16"/>
  <c r="G8" i="16"/>
  <c r="F8" i="16"/>
  <c r="I7" i="16"/>
  <c r="J7" i="16" s="1"/>
  <c r="H7" i="16"/>
  <c r="G7" i="16"/>
  <c r="F7" i="16"/>
  <c r="I6" i="16"/>
  <c r="J6" i="16" s="1"/>
  <c r="H6" i="16"/>
  <c r="G6" i="16"/>
  <c r="F6" i="16"/>
  <c r="J5" i="16"/>
  <c r="I5" i="16"/>
  <c r="H5" i="16"/>
  <c r="G5" i="16"/>
  <c r="F5" i="16"/>
  <c r="L4" i="16"/>
  <c r="I4" i="16"/>
  <c r="J4" i="16" s="1"/>
  <c r="H4" i="16"/>
  <c r="G4" i="16"/>
  <c r="F4" i="16"/>
  <c r="J3" i="16"/>
  <c r="I3" i="16"/>
  <c r="L2" i="16"/>
  <c r="I2" i="16"/>
  <c r="J2" i="16" s="1"/>
  <c r="K2" i="16" s="1"/>
  <c r="M2" i="16" s="1"/>
  <c r="H4" i="15"/>
  <c r="K4" i="16" l="1"/>
  <c r="M4" i="16" s="1"/>
  <c r="M106" i="16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29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4" i="15"/>
  <c r="J5" i="15"/>
  <c r="L5" i="15" s="1"/>
  <c r="M5" i="15" s="1"/>
  <c r="J6" i="15"/>
  <c r="L6" i="15" s="1"/>
  <c r="M6" i="15" s="1"/>
  <c r="Q6" i="15" s="1"/>
  <c r="J7" i="15"/>
  <c r="L7" i="15" s="1"/>
  <c r="M7" i="15" s="1"/>
  <c r="J8" i="15"/>
  <c r="L8" i="15" s="1"/>
  <c r="M8" i="15" s="1"/>
  <c r="J9" i="15"/>
  <c r="L9" i="15" s="1"/>
  <c r="M9" i="15" s="1"/>
  <c r="J10" i="15"/>
  <c r="L10" i="15" s="1"/>
  <c r="M10" i="15" s="1"/>
  <c r="J11" i="15"/>
  <c r="L11" i="15" s="1"/>
  <c r="M11" i="15" s="1"/>
  <c r="J12" i="15"/>
  <c r="L12" i="15" s="1"/>
  <c r="M12" i="15" s="1"/>
  <c r="Q12" i="15" s="1"/>
  <c r="J13" i="15"/>
  <c r="L13" i="15" s="1"/>
  <c r="M13" i="15" s="1"/>
  <c r="J14" i="15"/>
  <c r="L14" i="15" s="1"/>
  <c r="M14" i="15" s="1"/>
  <c r="J15" i="15"/>
  <c r="L15" i="15" s="1"/>
  <c r="M15" i="15" s="1"/>
  <c r="Q15" i="15" s="1"/>
  <c r="J16" i="15"/>
  <c r="L16" i="15" s="1"/>
  <c r="M16" i="15" s="1"/>
  <c r="Q16" i="15" s="1"/>
  <c r="J17" i="15"/>
  <c r="L17" i="15" s="1"/>
  <c r="M17" i="15" s="1"/>
  <c r="J18" i="15"/>
  <c r="L18" i="15" s="1"/>
  <c r="M18" i="15" s="1"/>
  <c r="J19" i="15"/>
  <c r="L19" i="15" s="1"/>
  <c r="M19" i="15" s="1"/>
  <c r="J20" i="15"/>
  <c r="L20" i="15" s="1"/>
  <c r="M20" i="15" s="1"/>
  <c r="J21" i="15"/>
  <c r="L21" i="15" s="1"/>
  <c r="M21" i="15" s="1"/>
  <c r="J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N31" i="12"/>
  <c r="N28" i="12"/>
  <c r="L31" i="12"/>
  <c r="L28" i="12"/>
  <c r="M28" i="12"/>
  <c r="H28" i="12"/>
  <c r="J31" i="12"/>
  <c r="J32" i="12"/>
  <c r="J28" i="12"/>
  <c r="J29" i="12"/>
  <c r="N36" i="10"/>
  <c r="M36" i="10"/>
  <c r="O30" i="10"/>
  <c r="M30" i="10"/>
  <c r="J34" i="10"/>
  <c r="J30" i="10"/>
  <c r="J40" i="10"/>
  <c r="J36" i="10"/>
  <c r="O41" i="9"/>
  <c r="M41" i="9"/>
  <c r="M44" i="9"/>
  <c r="M47" i="9"/>
  <c r="O44" i="9"/>
  <c r="O42" i="8"/>
  <c r="O30" i="8"/>
  <c r="M32" i="9"/>
  <c r="M35" i="9"/>
  <c r="M29" i="9"/>
  <c r="O35" i="9"/>
  <c r="O32" i="9"/>
  <c r="O29" i="9"/>
  <c r="K33" i="9"/>
  <c r="K35" i="9"/>
  <c r="K36" i="9"/>
  <c r="K29" i="9"/>
  <c r="K30" i="9"/>
  <c r="K32" i="9"/>
  <c r="L33" i="9"/>
  <c r="S27" i="8"/>
  <c r="R27" i="8"/>
  <c r="Q42" i="8"/>
  <c r="Q36" i="8"/>
  <c r="Q30" i="8"/>
  <c r="Q33" i="8"/>
  <c r="Q39" i="8"/>
  <c r="Q45" i="8"/>
  <c r="Q48" i="8"/>
  <c r="Q27" i="8"/>
  <c r="P27" i="8"/>
  <c r="O48" i="8"/>
  <c r="O45" i="8"/>
  <c r="O39" i="8"/>
  <c r="O36" i="8"/>
  <c r="O33" i="8"/>
  <c r="O27" i="8"/>
  <c r="N46" i="8"/>
  <c r="N48" i="8"/>
  <c r="N28" i="8"/>
  <c r="N30" i="8"/>
  <c r="N31" i="8"/>
  <c r="N33" i="8"/>
  <c r="N34" i="8"/>
  <c r="N36" i="8"/>
  <c r="N37" i="8"/>
  <c r="N39" i="8"/>
  <c r="N40" i="8"/>
  <c r="N42" i="8"/>
  <c r="N43" i="8"/>
  <c r="M45" i="8"/>
  <c r="N45" i="8" s="1"/>
  <c r="M46" i="8"/>
  <c r="M48" i="8"/>
  <c r="M49" i="8"/>
  <c r="N49" i="8" s="1"/>
  <c r="M27" i="8"/>
  <c r="N27" i="8" s="1"/>
  <c r="M28" i="8"/>
  <c r="M30" i="8"/>
  <c r="M31" i="8"/>
  <c r="M33" i="8"/>
  <c r="M34" i="8"/>
  <c r="M36" i="8"/>
  <c r="M37" i="8"/>
  <c r="M39" i="8"/>
  <c r="M40" i="8"/>
  <c r="M42" i="8"/>
  <c r="M43" i="8"/>
  <c r="R28" i="7"/>
  <c r="Q28" i="7"/>
  <c r="P34" i="7"/>
  <c r="P31" i="7"/>
  <c r="P28" i="7"/>
  <c r="O28" i="7"/>
  <c r="N34" i="7"/>
  <c r="N31" i="7"/>
  <c r="N28" i="7"/>
  <c r="M29" i="7"/>
  <c r="M31" i="7"/>
  <c r="M32" i="7"/>
  <c r="M34" i="7"/>
  <c r="M35" i="7"/>
  <c r="M28" i="7"/>
  <c r="L31" i="7"/>
  <c r="L32" i="7"/>
  <c r="L34" i="7"/>
  <c r="L28" i="7"/>
  <c r="L29" i="7"/>
  <c r="Q25" i="6"/>
  <c r="P25" i="6"/>
  <c r="O40" i="6"/>
  <c r="O34" i="6"/>
  <c r="O25" i="6"/>
  <c r="N25" i="6"/>
  <c r="M40" i="6"/>
  <c r="M37" i="6"/>
  <c r="M34" i="6"/>
  <c r="M31" i="6"/>
  <c r="M28" i="6"/>
  <c r="M25" i="6"/>
  <c r="L25" i="6"/>
  <c r="L26" i="6"/>
  <c r="L29" i="6"/>
  <c r="L31" i="6"/>
  <c r="L32" i="6"/>
  <c r="L34" i="6"/>
  <c r="L35" i="6"/>
  <c r="L37" i="6"/>
  <c r="L38" i="6"/>
  <c r="L40" i="6"/>
  <c r="L41" i="6"/>
  <c r="L4" i="15" l="1"/>
  <c r="M4" i="15" s="1"/>
  <c r="Q4" i="15" s="1"/>
  <c r="T4" i="15"/>
  <c r="T19" i="15"/>
  <c r="U19" i="15" s="1"/>
  <c r="V19" i="15" s="1"/>
  <c r="T15" i="15"/>
  <c r="U15" i="15" s="1"/>
  <c r="V15" i="15" s="1"/>
  <c r="T7" i="15"/>
  <c r="U7" i="15" s="1"/>
  <c r="V7" i="15" s="1"/>
  <c r="W4" i="15"/>
  <c r="W18" i="15"/>
  <c r="W14" i="15"/>
  <c r="W10" i="15"/>
  <c r="W6" i="15"/>
  <c r="T14" i="15"/>
  <c r="U14" i="15" s="1"/>
  <c r="V14" i="15" s="1"/>
  <c r="X14" i="15" s="1"/>
  <c r="Y14" i="15" s="1"/>
  <c r="Z14" i="15" s="1"/>
  <c r="T10" i="15"/>
  <c r="U10" i="15" s="1"/>
  <c r="V10" i="15" s="1"/>
  <c r="X10" i="15" s="1"/>
  <c r="Y10" i="15" s="1"/>
  <c r="Z10" i="15" s="1"/>
  <c r="T6" i="15"/>
  <c r="U6" i="15" s="1"/>
  <c r="V6" i="15" s="1"/>
  <c r="X6" i="15" s="1"/>
  <c r="Y6" i="15" s="1"/>
  <c r="Z6" i="15" s="1"/>
  <c r="T21" i="15"/>
  <c r="U21" i="15" s="1"/>
  <c r="V21" i="15" s="1"/>
  <c r="W21" i="15"/>
  <c r="W17" i="15"/>
  <c r="W13" i="15"/>
  <c r="W9" i="15"/>
  <c r="W5" i="15"/>
  <c r="Q17" i="15"/>
  <c r="Q13" i="15"/>
  <c r="Q9" i="15"/>
  <c r="Q5" i="15"/>
  <c r="T18" i="15"/>
  <c r="U18" i="15" s="1"/>
  <c r="V18" i="15" s="1"/>
  <c r="X18" i="15" s="1"/>
  <c r="Y18" i="15" s="1"/>
  <c r="Z18" i="15" s="1"/>
  <c r="W20" i="15"/>
  <c r="W16" i="15"/>
  <c r="W12" i="15"/>
  <c r="W8" i="15"/>
  <c r="T20" i="15"/>
  <c r="U20" i="15" s="1"/>
  <c r="V20" i="15" s="1"/>
  <c r="X20" i="15" s="1"/>
  <c r="Y20" i="15" s="1"/>
  <c r="Z20" i="15" s="1"/>
  <c r="T16" i="15"/>
  <c r="U16" i="15" s="1"/>
  <c r="V16" i="15" s="1"/>
  <c r="X16" i="15" s="1"/>
  <c r="Y16" i="15" s="1"/>
  <c r="Z16" i="15" s="1"/>
  <c r="T12" i="15"/>
  <c r="U12" i="15" s="1"/>
  <c r="V12" i="15" s="1"/>
  <c r="X12" i="15" s="1"/>
  <c r="Y12" i="15" s="1"/>
  <c r="Z12" i="15" s="1"/>
  <c r="T8" i="15"/>
  <c r="U8" i="15" s="1"/>
  <c r="V8" i="15" s="1"/>
  <c r="X8" i="15" s="1"/>
  <c r="Y8" i="15" s="1"/>
  <c r="Z8" i="15" s="1"/>
  <c r="T11" i="15"/>
  <c r="U11" i="15" s="1"/>
  <c r="V11" i="15" s="1"/>
  <c r="X11" i="15" s="1"/>
  <c r="Y11" i="15" s="1"/>
  <c r="Z11" i="15" s="1"/>
  <c r="W19" i="15"/>
  <c r="W15" i="15"/>
  <c r="W11" i="15"/>
  <c r="W7" i="15"/>
  <c r="Q18" i="15"/>
  <c r="T17" i="15"/>
  <c r="U17" i="15" s="1"/>
  <c r="V17" i="15" s="1"/>
  <c r="Q14" i="15"/>
  <c r="T13" i="15"/>
  <c r="U13" i="15" s="1"/>
  <c r="V13" i="15" s="1"/>
  <c r="X13" i="15" s="1"/>
  <c r="Y13" i="15" s="1"/>
  <c r="Z13" i="15" s="1"/>
  <c r="Q11" i="15"/>
  <c r="Q10" i="15"/>
  <c r="Q21" i="15"/>
  <c r="Q20" i="15"/>
  <c r="Q19" i="15"/>
  <c r="T9" i="15"/>
  <c r="U9" i="15" s="1"/>
  <c r="V9" i="15" s="1"/>
  <c r="X9" i="15" s="1"/>
  <c r="Y9" i="15" s="1"/>
  <c r="Z9" i="15" s="1"/>
  <c r="Q8" i="15"/>
  <c r="Q7" i="15"/>
  <c r="T5" i="15"/>
  <c r="U5" i="15" s="1"/>
  <c r="V5" i="15" s="1"/>
  <c r="U4" i="15"/>
  <c r="V4" i="15" s="1"/>
  <c r="S12" i="15"/>
  <c r="S19" i="15"/>
  <c r="S15" i="15"/>
  <c r="S11" i="15"/>
  <c r="S7" i="15"/>
  <c r="S20" i="15"/>
  <c r="S16" i="15"/>
  <c r="S8" i="15"/>
  <c r="S4" i="15"/>
  <c r="S18" i="15"/>
  <c r="S14" i="15"/>
  <c r="S10" i="15"/>
  <c r="S6" i="15"/>
  <c r="S21" i="15"/>
  <c r="S17" i="15"/>
  <c r="S13" i="15"/>
  <c r="S9" i="15"/>
  <c r="S5" i="15"/>
  <c r="U102" i="5"/>
  <c r="T102" i="5"/>
  <c r="R90" i="5"/>
  <c r="T90" i="5"/>
  <c r="S108" i="5"/>
  <c r="S105" i="5"/>
  <c r="S102" i="5"/>
  <c r="Q108" i="5"/>
  <c r="Q105" i="5"/>
  <c r="Q102" i="5"/>
  <c r="O105" i="5"/>
  <c r="O106" i="5"/>
  <c r="O108" i="5"/>
  <c r="O109" i="5"/>
  <c r="G108" i="5" s="1"/>
  <c r="O102" i="5"/>
  <c r="O103" i="5"/>
  <c r="P105" i="5"/>
  <c r="O96" i="5"/>
  <c r="O97" i="5"/>
  <c r="O99" i="5"/>
  <c r="O100" i="5"/>
  <c r="O91" i="5"/>
  <c r="O93" i="5"/>
  <c r="O94" i="5"/>
  <c r="U27" i="5"/>
  <c r="R102" i="5"/>
  <c r="T27" i="5"/>
  <c r="S87" i="5"/>
  <c r="Q96" i="5"/>
  <c r="S36" i="5"/>
  <c r="S27" i="5"/>
  <c r="R27" i="5"/>
  <c r="Q87" i="5"/>
  <c r="Q27" i="5"/>
  <c r="M27" i="5"/>
  <c r="O48" i="5"/>
  <c r="O49" i="5"/>
  <c r="P49" i="5" s="1"/>
  <c r="O51" i="5"/>
  <c r="O52" i="5"/>
  <c r="O54" i="5"/>
  <c r="O55" i="5"/>
  <c r="O57" i="5"/>
  <c r="P57" i="5" s="1"/>
  <c r="O58" i="5"/>
  <c r="P58" i="5" s="1"/>
  <c r="O60" i="5"/>
  <c r="O61" i="5"/>
  <c r="P61" i="5" s="1"/>
  <c r="O63" i="5"/>
  <c r="O64" i="5"/>
  <c r="O66" i="5"/>
  <c r="O67" i="5"/>
  <c r="O69" i="5"/>
  <c r="P69" i="5" s="1"/>
  <c r="O70" i="5"/>
  <c r="P70" i="5" s="1"/>
  <c r="O72" i="5"/>
  <c r="O73" i="5"/>
  <c r="P73" i="5" s="1"/>
  <c r="O75" i="5"/>
  <c r="O76" i="5"/>
  <c r="O78" i="5"/>
  <c r="O79" i="5"/>
  <c r="O81" i="5"/>
  <c r="P81" i="5" s="1"/>
  <c r="O82" i="5"/>
  <c r="P82" i="5" s="1"/>
  <c r="O84" i="5"/>
  <c r="O85" i="5"/>
  <c r="P85" i="5" s="1"/>
  <c r="O87" i="5"/>
  <c r="O28" i="5"/>
  <c r="O30" i="5"/>
  <c r="P30" i="5" s="1"/>
  <c r="O31" i="5"/>
  <c r="O33" i="5"/>
  <c r="O34" i="5"/>
  <c r="O36" i="5"/>
  <c r="O37" i="5"/>
  <c r="P37" i="5" s="1"/>
  <c r="O39" i="5"/>
  <c r="O40" i="5"/>
  <c r="O42" i="5"/>
  <c r="P42" i="5" s="1"/>
  <c r="O43" i="5"/>
  <c r="O45" i="5"/>
  <c r="O46" i="5"/>
  <c r="S28" i="4"/>
  <c r="R28" i="4"/>
  <c r="Q24" i="3"/>
  <c r="P24" i="3"/>
  <c r="O27" i="3"/>
  <c r="O24" i="3"/>
  <c r="N24" i="3"/>
  <c r="M27" i="3"/>
  <c r="M24" i="3"/>
  <c r="I27" i="3"/>
  <c r="I24" i="3"/>
  <c r="L31" i="3"/>
  <c r="L30" i="3"/>
  <c r="L28" i="3"/>
  <c r="K27" i="3"/>
  <c r="L27" i="3" s="1"/>
  <c r="K30" i="3"/>
  <c r="K31" i="3"/>
  <c r="K25" i="3"/>
  <c r="L25" i="3" s="1"/>
  <c r="Z43" i="1"/>
  <c r="Y43" i="1"/>
  <c r="Y28" i="1"/>
  <c r="X55" i="1"/>
  <c r="X43" i="1"/>
  <c r="X40" i="1"/>
  <c r="X28" i="1"/>
  <c r="W43" i="1"/>
  <c r="W28" i="1"/>
  <c r="V55" i="1"/>
  <c r="V43" i="1"/>
  <c r="V40" i="1"/>
  <c r="V31" i="1"/>
  <c r="V28" i="1"/>
  <c r="T49" i="1"/>
  <c r="T50" i="1"/>
  <c r="T52" i="1"/>
  <c r="T53" i="1"/>
  <c r="T55" i="1"/>
  <c r="U55" i="1" s="1"/>
  <c r="U43" i="1"/>
  <c r="T44" i="1"/>
  <c r="T46" i="1"/>
  <c r="U46" i="1" s="1"/>
  <c r="T47" i="1"/>
  <c r="U41" i="1"/>
  <c r="L41" i="1"/>
  <c r="T34" i="1"/>
  <c r="T35" i="1"/>
  <c r="U35" i="1" s="1"/>
  <c r="T37" i="1"/>
  <c r="T38" i="1"/>
  <c r="T40" i="1"/>
  <c r="U40" i="1" s="1"/>
  <c r="T29" i="1"/>
  <c r="T31" i="1"/>
  <c r="U31" i="1" s="1"/>
  <c r="T32" i="1"/>
  <c r="U32" i="1" s="1"/>
  <c r="Q37" i="4"/>
  <c r="Q28" i="4"/>
  <c r="O85" i="4"/>
  <c r="O37" i="4"/>
  <c r="O34" i="4"/>
  <c r="O31" i="4"/>
  <c r="O28" i="4"/>
  <c r="N28" i="4"/>
  <c r="M59" i="4"/>
  <c r="M61" i="4"/>
  <c r="M62" i="4"/>
  <c r="N62" i="4" s="1"/>
  <c r="M64" i="4"/>
  <c r="M65" i="4"/>
  <c r="M67" i="4"/>
  <c r="M68" i="4"/>
  <c r="M70" i="4"/>
  <c r="N70" i="4" s="1"/>
  <c r="M71" i="4"/>
  <c r="M73" i="4"/>
  <c r="M74" i="4"/>
  <c r="M76" i="4"/>
  <c r="M77" i="4"/>
  <c r="M79" i="4"/>
  <c r="M80" i="4"/>
  <c r="M82" i="4"/>
  <c r="N82" i="4" s="1"/>
  <c r="M83" i="4"/>
  <c r="M85" i="4"/>
  <c r="N86" i="4"/>
  <c r="M29" i="4"/>
  <c r="M31" i="4"/>
  <c r="N31" i="4" s="1"/>
  <c r="M32" i="4"/>
  <c r="M34" i="4"/>
  <c r="M35" i="4"/>
  <c r="N35" i="4" s="1"/>
  <c r="M37" i="4"/>
  <c r="M38" i="4"/>
  <c r="M40" i="4"/>
  <c r="M41" i="4"/>
  <c r="M43" i="4"/>
  <c r="M44" i="4"/>
  <c r="M46" i="4"/>
  <c r="M47" i="4"/>
  <c r="N47" i="4" s="1"/>
  <c r="M49" i="4"/>
  <c r="M50" i="4"/>
  <c r="M52" i="4"/>
  <c r="M53" i="4"/>
  <c r="M55" i="4"/>
  <c r="N55" i="4" s="1"/>
  <c r="M56" i="4"/>
  <c r="M58" i="4"/>
  <c r="N59" i="4"/>
  <c r="N74" i="4"/>
  <c r="N43" i="4"/>
  <c r="R37" i="2"/>
  <c r="Q25" i="2"/>
  <c r="O55" i="2"/>
  <c r="O37" i="2"/>
  <c r="O25" i="2"/>
  <c r="N68" i="2"/>
  <c r="N61" i="2"/>
  <c r="N64" i="2"/>
  <c r="N38" i="2"/>
  <c r="N40" i="2"/>
  <c r="N41" i="2"/>
  <c r="N43" i="2"/>
  <c r="N44" i="2"/>
  <c r="N46" i="2"/>
  <c r="N47" i="2"/>
  <c r="N49" i="2"/>
  <c r="N50" i="2"/>
  <c r="N52" i="2"/>
  <c r="N53" i="2"/>
  <c r="N55" i="2"/>
  <c r="N56" i="2"/>
  <c r="H56" i="2"/>
  <c r="X37" i="1"/>
  <c r="X34" i="1"/>
  <c r="X31" i="1"/>
  <c r="D43" i="1"/>
  <c r="R43" i="1"/>
  <c r="D44" i="1"/>
  <c r="U44" i="1"/>
  <c r="R46" i="1"/>
  <c r="X46" i="1"/>
  <c r="U47" i="1"/>
  <c r="F49" i="1"/>
  <c r="R49" i="1"/>
  <c r="U49" i="1"/>
  <c r="X49" i="1"/>
  <c r="U50" i="1"/>
  <c r="R52" i="1"/>
  <c r="U52" i="1"/>
  <c r="V52" i="1"/>
  <c r="X52" i="1"/>
  <c r="U53" i="1"/>
  <c r="R55" i="1"/>
  <c r="U56" i="1"/>
  <c r="U38" i="1"/>
  <c r="U29" i="1"/>
  <c r="U34" i="1"/>
  <c r="U37" i="1"/>
  <c r="K29" i="12"/>
  <c r="K31" i="12"/>
  <c r="K32" i="12"/>
  <c r="K31" i="10"/>
  <c r="K33" i="10"/>
  <c r="K34" i="10"/>
  <c r="K36" i="10"/>
  <c r="K37" i="10"/>
  <c r="K39" i="10"/>
  <c r="K40" i="10"/>
  <c r="K30" i="10"/>
  <c r="L30" i="9"/>
  <c r="L32" i="9"/>
  <c r="L35" i="9"/>
  <c r="L36" i="9"/>
  <c r="L38" i="9"/>
  <c r="L39" i="9"/>
  <c r="L41" i="9"/>
  <c r="L42" i="9"/>
  <c r="L44" i="9"/>
  <c r="L45" i="9"/>
  <c r="L47" i="9"/>
  <c r="L48" i="9"/>
  <c r="L50" i="9"/>
  <c r="L51" i="9"/>
  <c r="L29" i="9"/>
  <c r="L28" i="6"/>
  <c r="P28" i="5"/>
  <c r="P31" i="5"/>
  <c r="P33" i="5"/>
  <c r="P34" i="5"/>
  <c r="P36" i="5"/>
  <c r="P39" i="5"/>
  <c r="P40" i="5"/>
  <c r="P43" i="5"/>
  <c r="P45" i="5"/>
  <c r="P46" i="5"/>
  <c r="P48" i="5"/>
  <c r="P51" i="5"/>
  <c r="P52" i="5"/>
  <c r="P54" i="5"/>
  <c r="P55" i="5"/>
  <c r="P60" i="5"/>
  <c r="P63" i="5"/>
  <c r="P64" i="5"/>
  <c r="P66" i="5"/>
  <c r="P67" i="5"/>
  <c r="P72" i="5"/>
  <c r="P75" i="5"/>
  <c r="P76" i="5"/>
  <c r="P78" i="5"/>
  <c r="P79" i="5"/>
  <c r="P84" i="5"/>
  <c r="P87" i="5"/>
  <c r="P88" i="5"/>
  <c r="P90" i="5"/>
  <c r="P91" i="5"/>
  <c r="P93" i="5"/>
  <c r="P94" i="5"/>
  <c r="P96" i="5"/>
  <c r="P97" i="5"/>
  <c r="P99" i="5"/>
  <c r="P111" i="5"/>
  <c r="P112" i="5"/>
  <c r="P27" i="5"/>
  <c r="N37" i="2"/>
  <c r="N58" i="2"/>
  <c r="N59" i="2"/>
  <c r="N62" i="2"/>
  <c r="N65" i="2"/>
  <c r="N67" i="2"/>
  <c r="N70" i="2"/>
  <c r="N71" i="2"/>
  <c r="N73" i="2"/>
  <c r="N74" i="2"/>
  <c r="N26" i="2"/>
  <c r="N28" i="2"/>
  <c r="N29" i="2"/>
  <c r="N31" i="2"/>
  <c r="N32" i="2"/>
  <c r="N34" i="2"/>
  <c r="N35" i="2"/>
  <c r="N25" i="2"/>
  <c r="N29" i="4"/>
  <c r="N32" i="4"/>
  <c r="N34" i="4"/>
  <c r="N37" i="4"/>
  <c r="N38" i="4"/>
  <c r="N40" i="4"/>
  <c r="N41" i="4"/>
  <c r="N44" i="4"/>
  <c r="N46" i="4"/>
  <c r="N49" i="4"/>
  <c r="N50" i="4"/>
  <c r="N52" i="4"/>
  <c r="N53" i="4"/>
  <c r="N56" i="4"/>
  <c r="N58" i="4"/>
  <c r="N61" i="4"/>
  <c r="N64" i="4"/>
  <c r="N65" i="4"/>
  <c r="N67" i="4"/>
  <c r="N68" i="4"/>
  <c r="N71" i="4"/>
  <c r="N73" i="4"/>
  <c r="N76" i="4"/>
  <c r="N77" i="4"/>
  <c r="N79" i="4"/>
  <c r="N80" i="4"/>
  <c r="N83" i="4"/>
  <c r="N85" i="4"/>
  <c r="V56" i="15"/>
  <c r="P56" i="15"/>
  <c r="J56" i="15"/>
  <c r="L56" i="15" s="1"/>
  <c r="M56" i="15" s="1"/>
  <c r="E56" i="15"/>
  <c r="I56" i="15" s="1"/>
  <c r="D56" i="15"/>
  <c r="X5" i="15" l="1"/>
  <c r="Y5" i="15" s="1"/>
  <c r="Z5" i="15" s="1"/>
  <c r="X17" i="15"/>
  <c r="Y17" i="15" s="1"/>
  <c r="Z17" i="15" s="1"/>
  <c r="X7" i="15"/>
  <c r="Y7" i="15" s="1"/>
  <c r="Z7" i="15" s="1"/>
  <c r="X4" i="15"/>
  <c r="Y4" i="15" s="1"/>
  <c r="Z4" i="15" s="1"/>
  <c r="X15" i="15"/>
  <c r="Y15" i="15" s="1"/>
  <c r="Z15" i="15" s="1"/>
  <c r="X21" i="15"/>
  <c r="Y21" i="15" s="1"/>
  <c r="Z21" i="15" s="1"/>
  <c r="X19" i="15"/>
  <c r="Y19" i="15" s="1"/>
  <c r="Z19" i="15" s="1"/>
  <c r="S56" i="15"/>
  <c r="Q56" i="15"/>
  <c r="H56" i="15"/>
  <c r="W56" i="15"/>
  <c r="X56" i="15" s="1"/>
  <c r="Y56" i="15" s="1"/>
  <c r="Z56" i="15" s="1"/>
  <c r="P100" i="5"/>
  <c r="L24" i="3"/>
  <c r="V46" i="1"/>
  <c r="V49" i="1"/>
  <c r="J55" i="15"/>
  <c r="W55" i="15" s="1"/>
  <c r="V55" i="15"/>
  <c r="P55" i="15"/>
  <c r="O31" i="2"/>
  <c r="E55" i="15"/>
  <c r="I55" i="15" s="1"/>
  <c r="D55" i="15"/>
  <c r="H55" i="15" s="1"/>
  <c r="E54" i="15"/>
  <c r="I54" i="15" s="1"/>
  <c r="V54" i="15"/>
  <c r="P54" i="15"/>
  <c r="J54" i="15"/>
  <c r="L54" i="15" s="1"/>
  <c r="M54" i="15" s="1"/>
  <c r="D54" i="15"/>
  <c r="H54" i="15" s="1"/>
  <c r="K38" i="6"/>
  <c r="K35" i="6"/>
  <c r="K37" i="6" s="1"/>
  <c r="K32" i="6"/>
  <c r="K34" i="6" s="1"/>
  <c r="K29" i="6"/>
  <c r="K31" i="6" s="1"/>
  <c r="K26" i="6"/>
  <c r="K28" i="6" s="1"/>
  <c r="S55" i="15" l="1"/>
  <c r="S54" i="15"/>
  <c r="L55" i="15"/>
  <c r="M55" i="15" s="1"/>
  <c r="Q55" i="15" s="1"/>
  <c r="X55" i="15"/>
  <c r="Y55" i="15" s="1"/>
  <c r="Z55" i="15" s="1"/>
  <c r="W54" i="15"/>
  <c r="X54" i="15" s="1"/>
  <c r="Y54" i="15" s="1"/>
  <c r="Z54" i="15" s="1"/>
  <c r="Q54" i="15"/>
  <c r="D13" i="14" l="1"/>
  <c r="D12" i="14"/>
  <c r="D11" i="14"/>
  <c r="D10" i="14"/>
  <c r="D9" i="14"/>
  <c r="D8" i="14"/>
  <c r="D7" i="14"/>
  <c r="D6" i="14"/>
  <c r="D5" i="14"/>
  <c r="D4" i="14"/>
  <c r="D3" i="14"/>
  <c r="D14" i="14" s="1"/>
  <c r="D13" i="13"/>
  <c r="D12" i="13"/>
  <c r="D11" i="13"/>
  <c r="D10" i="13"/>
  <c r="D9" i="13"/>
  <c r="D8" i="13"/>
  <c r="D7" i="13"/>
  <c r="D6" i="13"/>
  <c r="D5" i="13"/>
  <c r="D4" i="13"/>
  <c r="D3" i="13"/>
  <c r="D14" i="13" s="1"/>
  <c r="H31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" i="12" l="1"/>
  <c r="O28" i="12"/>
  <c r="P28" i="12" s="1"/>
  <c r="Q28" i="12" s="1"/>
  <c r="E3" i="14"/>
  <c r="E4" i="14" s="1"/>
  <c r="E5" i="14" s="1"/>
  <c r="E6" i="14" s="1"/>
  <c r="E7" i="14" s="1"/>
  <c r="E8" i="14" s="1"/>
  <c r="E9" i="14" s="1"/>
  <c r="E10" i="14" s="1"/>
  <c r="E11" i="14" s="1"/>
  <c r="E12" i="14" s="1"/>
  <c r="E13" i="14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T28" i="12" l="1"/>
  <c r="R28" i="12"/>
  <c r="H39" i="10"/>
  <c r="N39" i="10" s="1"/>
  <c r="O36" i="10" s="1"/>
  <c r="P36" i="10" s="1"/>
  <c r="H36" i="10"/>
  <c r="H33" i="10"/>
  <c r="N33" i="10" s="1"/>
  <c r="H30" i="10"/>
  <c r="L30" i="10" s="1"/>
  <c r="I50" i="9"/>
  <c r="I47" i="9"/>
  <c r="O47" i="9" s="1"/>
  <c r="I44" i="9"/>
  <c r="I41" i="9"/>
  <c r="I38" i="9"/>
  <c r="I35" i="9"/>
  <c r="I32" i="9"/>
  <c r="I29" i="9"/>
  <c r="M50" i="9" l="1"/>
  <c r="O50" i="9"/>
  <c r="M38" i="9"/>
  <c r="N38" i="9" s="1"/>
  <c r="O38" i="9"/>
  <c r="N30" i="10"/>
  <c r="L33" i="10"/>
  <c r="L36" i="10"/>
  <c r="L39" i="10"/>
  <c r="S78" i="5"/>
  <c r="S75" i="5"/>
  <c r="S69" i="5"/>
  <c r="S66" i="5"/>
  <c r="S63" i="5"/>
  <c r="S60" i="5"/>
  <c r="S57" i="5"/>
  <c r="S30" i="5"/>
  <c r="P38" i="9" l="1"/>
  <c r="Q38" i="9"/>
  <c r="P29" i="9"/>
  <c r="T30" i="10"/>
  <c r="P30" i="10"/>
  <c r="Q30" i="10" s="1"/>
  <c r="R30" i="10" s="1"/>
  <c r="N29" i="9"/>
  <c r="F56" i="2"/>
  <c r="U29" i="9" l="1"/>
  <c r="Q29" i="9"/>
  <c r="R29" i="9" s="1"/>
  <c r="S29" i="9" s="1"/>
  <c r="D15" i="10" l="1"/>
  <c r="D14" i="10"/>
  <c r="D13" i="10"/>
  <c r="D12" i="10"/>
  <c r="D11" i="10"/>
  <c r="D10" i="10"/>
  <c r="D9" i="10"/>
  <c r="D8" i="10"/>
  <c r="D7" i="10"/>
  <c r="D6" i="10"/>
  <c r="D5" i="10"/>
  <c r="D4" i="10"/>
  <c r="D3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24" i="9" l="1"/>
  <c r="D16" i="10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3" i="9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K48" i="8" l="1"/>
  <c r="K45" i="8"/>
  <c r="K42" i="8"/>
  <c r="K39" i="8"/>
  <c r="K36" i="8"/>
  <c r="K33" i="8"/>
  <c r="K30" i="8"/>
  <c r="K27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J34" i="7"/>
  <c r="J31" i="7"/>
  <c r="J28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0" i="7" l="1"/>
  <c r="D28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I37" i="6"/>
  <c r="O37" i="6" s="1"/>
  <c r="I34" i="6"/>
  <c r="I31" i="6"/>
  <c r="O31" i="6" s="1"/>
  <c r="I28" i="6"/>
  <c r="O28" i="6" s="1"/>
  <c r="I25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1" i="6" l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U25" i="6"/>
  <c r="Q99" i="5"/>
  <c r="Q93" i="5"/>
  <c r="Q90" i="5"/>
  <c r="M111" i="5"/>
  <c r="S111" i="5" s="1"/>
  <c r="M108" i="5"/>
  <c r="M105" i="5"/>
  <c r="M102" i="5"/>
  <c r="M99" i="5"/>
  <c r="S99" i="5" s="1"/>
  <c r="M96" i="5"/>
  <c r="S96" i="5" s="1"/>
  <c r="M93" i="5"/>
  <c r="S93" i="5" s="1"/>
  <c r="M90" i="5"/>
  <c r="S90" i="5" s="1"/>
  <c r="Q84" i="5"/>
  <c r="Q78" i="5"/>
  <c r="Q75" i="5"/>
  <c r="Q69" i="5"/>
  <c r="Q66" i="5"/>
  <c r="Q63" i="5"/>
  <c r="Q60" i="5"/>
  <c r="Q57" i="5"/>
  <c r="Q54" i="5"/>
  <c r="Q51" i="5"/>
  <c r="Q48" i="5"/>
  <c r="Q45" i="5"/>
  <c r="Q42" i="5"/>
  <c r="Q39" i="5"/>
  <c r="Q36" i="5"/>
  <c r="Q33" i="5"/>
  <c r="Q30" i="5"/>
  <c r="U90" i="5" l="1"/>
  <c r="Y27" i="5"/>
  <c r="R25" i="6"/>
  <c r="S25" i="6" s="1"/>
  <c r="M87" i="5"/>
  <c r="M84" i="5"/>
  <c r="S84" i="5" s="1"/>
  <c r="M81" i="5"/>
  <c r="S81" i="5" s="1"/>
  <c r="M72" i="5"/>
  <c r="S72" i="5" s="1"/>
  <c r="M54" i="5"/>
  <c r="S54" i="5" s="1"/>
  <c r="M51" i="5"/>
  <c r="S51" i="5" s="1"/>
  <c r="M48" i="5"/>
  <c r="S48" i="5" s="1"/>
  <c r="M45" i="5"/>
  <c r="S45" i="5" s="1"/>
  <c r="M42" i="5"/>
  <c r="S42" i="5" s="1"/>
  <c r="M39" i="5"/>
  <c r="S39" i="5" s="1"/>
  <c r="M36" i="5"/>
  <c r="M33" i="5"/>
  <c r="S33" i="5" s="1"/>
  <c r="O82" i="4"/>
  <c r="O79" i="4"/>
  <c r="O76" i="4"/>
  <c r="O73" i="4"/>
  <c r="O70" i="4"/>
  <c r="O67" i="4"/>
  <c r="O64" i="4"/>
  <c r="O61" i="4"/>
  <c r="O58" i="4"/>
  <c r="O55" i="4"/>
  <c r="O52" i="4"/>
  <c r="O46" i="4"/>
  <c r="O43" i="4"/>
  <c r="O40" i="4"/>
  <c r="K85" i="4"/>
  <c r="Q85" i="4" s="1"/>
  <c r="K82" i="4"/>
  <c r="Q82" i="4" s="1"/>
  <c r="K79" i="4"/>
  <c r="Q79" i="4" s="1"/>
  <c r="K76" i="4"/>
  <c r="Q76" i="4" s="1"/>
  <c r="K73" i="4"/>
  <c r="Q73" i="4" s="1"/>
  <c r="K70" i="4"/>
  <c r="Q70" i="4" s="1"/>
  <c r="K67" i="4"/>
  <c r="Q67" i="4" s="1"/>
  <c r="K64" i="4"/>
  <c r="Q64" i="4" s="1"/>
  <c r="K61" i="4"/>
  <c r="Q61" i="4" s="1"/>
  <c r="K58" i="4"/>
  <c r="Q58" i="4" s="1"/>
  <c r="K55" i="4"/>
  <c r="Q55" i="4" s="1"/>
  <c r="K52" i="4"/>
  <c r="Q52" i="4" s="1"/>
  <c r="K49" i="4"/>
  <c r="Q49" i="4" s="1"/>
  <c r="K46" i="4"/>
  <c r="Q46" i="4" s="1"/>
  <c r="K43" i="4"/>
  <c r="Q43" i="4" s="1"/>
  <c r="K40" i="4"/>
  <c r="Q40" i="4" s="1"/>
  <c r="K37" i="4"/>
  <c r="K34" i="4"/>
  <c r="Q34" i="4" s="1"/>
  <c r="K31" i="4"/>
  <c r="Q31" i="4" s="1"/>
  <c r="K2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V27" i="5" l="1"/>
  <c r="W27" i="5" s="1"/>
  <c r="P28" i="4"/>
  <c r="D48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T28" i="4" l="1"/>
  <c r="U28" i="4" s="1"/>
  <c r="W28" i="4"/>
  <c r="O70" i="2"/>
  <c r="O67" i="2"/>
  <c r="O64" i="2"/>
  <c r="O61" i="2"/>
  <c r="O52" i="2"/>
  <c r="O49" i="2"/>
  <c r="O46" i="2"/>
  <c r="O43" i="2"/>
  <c r="O40" i="2"/>
  <c r="P37" i="2" l="1"/>
  <c r="S37" i="2" s="1"/>
  <c r="U24" i="3"/>
  <c r="O28" i="2"/>
  <c r="K73" i="2"/>
  <c r="K70" i="2"/>
  <c r="Q70" i="2" s="1"/>
  <c r="K67" i="2"/>
  <c r="Q67" i="2" s="1"/>
  <c r="K64" i="2"/>
  <c r="Q64" i="2" s="1"/>
  <c r="K61" i="2"/>
  <c r="Q61" i="2" s="1"/>
  <c r="K58" i="2"/>
  <c r="K55" i="2"/>
  <c r="Q55" i="2" s="1"/>
  <c r="K52" i="2"/>
  <c r="Q52" i="2" s="1"/>
  <c r="K49" i="2"/>
  <c r="Q49" i="2" s="1"/>
  <c r="K46" i="2"/>
  <c r="Q46" i="2" s="1"/>
  <c r="K43" i="2"/>
  <c r="Q43" i="2" s="1"/>
  <c r="K40" i="2"/>
  <c r="Q40" i="2" s="1"/>
  <c r="K37" i="2"/>
  <c r="Q37" i="2" s="1"/>
  <c r="K34" i="2"/>
  <c r="K31" i="2"/>
  <c r="Q31" i="2" s="1"/>
  <c r="K28" i="2"/>
  <c r="Q28" i="2" s="1"/>
  <c r="K25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Q73" i="2" l="1"/>
  <c r="O73" i="2"/>
  <c r="Q58" i="2"/>
  <c r="O58" i="2"/>
  <c r="P58" i="2" s="1"/>
  <c r="Q34" i="2"/>
  <c r="R25" i="2" s="1"/>
  <c r="O34" i="2"/>
  <c r="P25" i="2" s="1"/>
  <c r="S25" i="2" s="1"/>
  <c r="D51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R58" i="2" l="1"/>
  <c r="S58" i="2" s="1"/>
  <c r="W25" i="2"/>
  <c r="T26" i="2"/>
  <c r="U26" i="2" s="1"/>
  <c r="V34" i="1"/>
  <c r="R40" i="1" l="1"/>
  <c r="R37" i="1"/>
  <c r="R34" i="1"/>
  <c r="R31" i="1"/>
  <c r="R28" i="1"/>
  <c r="V37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Z28" i="1" l="1"/>
  <c r="D45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R24" i="3"/>
  <c r="S24" i="3" s="1"/>
</calcChain>
</file>

<file path=xl/sharedStrings.xml><?xml version="1.0" encoding="utf-8"?>
<sst xmlns="http://schemas.openxmlformats.org/spreadsheetml/2006/main" count="672" uniqueCount="196">
  <si>
    <t>Point ID</t>
  </si>
  <si>
    <t>Northing</t>
  </si>
  <si>
    <t>Easting</t>
  </si>
  <si>
    <t>Distance (m)</t>
  </si>
  <si>
    <t>Cum Distance (m)</t>
  </si>
  <si>
    <t>Elevation</t>
  </si>
  <si>
    <t>TOTAL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</si>
  <si>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</si>
  <si>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</si>
  <si>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</si>
  <si>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</si>
  <si>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</si>
  <si>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</si>
  <si>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</si>
  <si>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</si>
  <si>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</si>
  <si>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</si>
  <si>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</si>
  <si>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</si>
  <si>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Depth</t>
  </si>
  <si>
    <t>Area</t>
  </si>
  <si>
    <t>Distance</t>
  </si>
  <si>
    <t>Difference</t>
  </si>
  <si>
    <t>Total Area of flow</t>
  </si>
  <si>
    <t>Wetted perimeter</t>
  </si>
  <si>
    <t>Q13</t>
  </si>
  <si>
    <t>Q14</t>
  </si>
  <si>
    <t>Q15</t>
  </si>
  <si>
    <t>Q16</t>
  </si>
  <si>
    <t>Q17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</si>
  <si>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</si>
  <si>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Cumulative Distance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</si>
  <si>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</si>
  <si>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</si>
  <si>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</si>
  <si>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</si>
  <si>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</si>
  <si>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</si>
  <si>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</si>
  <si>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</si>
  <si>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</si>
  <si>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</si>
  <si>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</si>
  <si>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</si>
  <si>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Point I°°</t>
  </si>
  <si>
    <t>Cumulative Distance (m)</t>
  </si>
  <si>
    <t>Cum Distance</t>
  </si>
  <si>
    <t>Elevation (m)</t>
  </si>
  <si>
    <t>Point Id</t>
  </si>
  <si>
    <t>216.66 m</t>
  </si>
  <si>
    <t>246.57 m</t>
  </si>
  <si>
    <t>TOTAL WETTED PERIMETER</t>
  </si>
  <si>
    <t>Wetted perimeter (m)</t>
  </si>
  <si>
    <t>Total Area of flow (m2)</t>
  </si>
  <si>
    <t>Rh (m)</t>
  </si>
  <si>
    <t>CALCULATED</t>
  </si>
  <si>
    <t>MEASURED</t>
  </si>
  <si>
    <t>Discharge</t>
  </si>
  <si>
    <t>velocity</t>
  </si>
  <si>
    <t>k= 1</t>
  </si>
  <si>
    <t>n= 0.035</t>
  </si>
  <si>
    <t>s=</t>
  </si>
  <si>
    <t>highest elev</t>
  </si>
  <si>
    <t>s=0.001</t>
  </si>
  <si>
    <t>Distance (M)</t>
  </si>
  <si>
    <t>Cumulative Distance (M)</t>
  </si>
  <si>
    <t>s= 0.002</t>
  </si>
  <si>
    <t>s= 0.001</t>
  </si>
  <si>
    <t>s= 0.003</t>
  </si>
  <si>
    <t>s= 0.02</t>
  </si>
  <si>
    <t>s= 0.03</t>
  </si>
  <si>
    <t>s= 0.012</t>
  </si>
  <si>
    <t>?</t>
  </si>
  <si>
    <t>Diguli</t>
  </si>
  <si>
    <t>V(max)</t>
  </si>
  <si>
    <t>C/S area</t>
  </si>
  <si>
    <t>R</t>
  </si>
  <si>
    <t>Sf</t>
  </si>
  <si>
    <t>u*</t>
  </si>
  <si>
    <t>Ks</t>
  </si>
  <si>
    <t>K. viscosity</t>
  </si>
  <si>
    <t>u*Ks/v</t>
  </si>
  <si>
    <t>flow type</t>
  </si>
  <si>
    <t>f</t>
  </si>
  <si>
    <t>(f/8g)^0.5</t>
  </si>
  <si>
    <t>R^(1/6)</t>
  </si>
  <si>
    <t>n</t>
  </si>
  <si>
    <t>v(avg)</t>
  </si>
  <si>
    <t>Q(cal)</t>
  </si>
  <si>
    <t>Wet Perimeter</t>
  </si>
  <si>
    <t>g*R*Sf</t>
  </si>
  <si>
    <t>Re=v(avg)*4R/v</t>
  </si>
  <si>
    <t>V(avg)1/7</t>
  </si>
  <si>
    <t>v,avg,1/3</t>
  </si>
  <si>
    <t>Q,m,1/3</t>
  </si>
  <si>
    <t>Beniagram</t>
  </si>
  <si>
    <t>Q(measured),1/7</t>
  </si>
  <si>
    <t>Measured Discharge</t>
  </si>
  <si>
    <t>Calculated Discharge</t>
  </si>
  <si>
    <t>Transition</t>
  </si>
  <si>
    <t>Rough</t>
  </si>
  <si>
    <t>Banskuli</t>
  </si>
  <si>
    <t>rough</t>
  </si>
  <si>
    <t>Water Surface level</t>
  </si>
  <si>
    <t>Surface Water level</t>
  </si>
  <si>
    <t>WSL</t>
  </si>
  <si>
    <t>water surface level</t>
  </si>
  <si>
    <t>Total WP</t>
  </si>
  <si>
    <t>Hydraulic Radius</t>
  </si>
  <si>
    <t>BANSKULI</t>
  </si>
  <si>
    <t>SAINTHIA</t>
  </si>
  <si>
    <t>SUNDARPUR</t>
  </si>
  <si>
    <t>AJAYPUR 1</t>
  </si>
  <si>
    <t>AJAYPUR 2</t>
  </si>
  <si>
    <t>ASANJOR</t>
  </si>
  <si>
    <t>AMARPUR 1</t>
  </si>
  <si>
    <t>AMARPUR 2</t>
  </si>
  <si>
    <t>DIGULI 2</t>
  </si>
  <si>
    <t>DIGULI 1</t>
  </si>
  <si>
    <t xml:space="preserve">BENIAGRAM 1 </t>
  </si>
  <si>
    <t xml:space="preserve">BENIAGRAM 2 </t>
  </si>
  <si>
    <t xml:space="preserve">BENIAGRAM 3 </t>
  </si>
  <si>
    <t>DUDHANI 1</t>
  </si>
  <si>
    <t>DUDHANI 2</t>
  </si>
  <si>
    <t>PANJONA 1</t>
  </si>
  <si>
    <t>PANJONA 2</t>
  </si>
  <si>
    <t>PANJONA 3</t>
  </si>
  <si>
    <t>MAHARO 1</t>
  </si>
  <si>
    <t>MAHARO 2</t>
  </si>
  <si>
    <t>D50</t>
  </si>
  <si>
    <t>TURBULENT</t>
  </si>
  <si>
    <t>1/f</t>
  </si>
  <si>
    <t>WP</t>
  </si>
  <si>
    <t>CS NAME</t>
  </si>
  <si>
    <t>Total Depth</t>
  </si>
  <si>
    <t>Measured at</t>
  </si>
  <si>
    <t>Velocity</t>
  </si>
  <si>
    <t>parabolic</t>
  </si>
  <si>
    <t>1/3 law</t>
  </si>
  <si>
    <t>1/7 law</t>
  </si>
  <si>
    <t>V=1/7 th law</t>
  </si>
  <si>
    <t>v*d</t>
  </si>
  <si>
    <t>sum(v*d)</t>
  </si>
  <si>
    <t>sum(d)</t>
  </si>
  <si>
    <t>V,avg</t>
  </si>
  <si>
    <t>Dudhani</t>
  </si>
  <si>
    <t>C1</t>
  </si>
  <si>
    <t>C2</t>
  </si>
  <si>
    <t>Asanjor</t>
  </si>
  <si>
    <t>Poljori</t>
  </si>
  <si>
    <t>C3</t>
  </si>
  <si>
    <t>Panjona</t>
  </si>
  <si>
    <t>Sainthia</t>
  </si>
  <si>
    <t>Sundarpur</t>
  </si>
  <si>
    <t>Maharo</t>
  </si>
  <si>
    <t xml:space="preserve">Ajaypur </t>
  </si>
  <si>
    <t>Amarpur</t>
  </si>
  <si>
    <t>no water</t>
  </si>
  <si>
    <t>Slope</t>
  </si>
  <si>
    <t>Width(B)</t>
  </si>
  <si>
    <t>Alpha</t>
  </si>
  <si>
    <t>Intensity(i)</t>
  </si>
  <si>
    <t>V</t>
  </si>
  <si>
    <t>Catchment Area</t>
  </si>
  <si>
    <t>Q</t>
  </si>
  <si>
    <t>CS area</t>
  </si>
  <si>
    <t>A</t>
  </si>
  <si>
    <t>Q measured</t>
  </si>
  <si>
    <t>remarks</t>
  </si>
  <si>
    <t>ok</t>
  </si>
  <si>
    <t>Max Intensity(i)</t>
  </si>
  <si>
    <t>Avg Intensity</t>
  </si>
  <si>
    <t>Revised CA</t>
  </si>
  <si>
    <t>Previous</t>
  </si>
  <si>
    <t>L</t>
  </si>
  <si>
    <t>LULC Type</t>
  </si>
  <si>
    <t>Water Body</t>
  </si>
  <si>
    <t>Forest</t>
  </si>
  <si>
    <t>Wet Fallow</t>
  </si>
  <si>
    <t>Agricultural land</t>
  </si>
  <si>
    <t>Build up area</t>
  </si>
  <si>
    <t>Bare land</t>
  </si>
  <si>
    <t>Pasture Land</t>
  </si>
  <si>
    <t xml:space="preserve"> Sainthia</t>
  </si>
  <si>
    <t xml:space="preserve">Panjona </t>
  </si>
  <si>
    <t xml:space="preserve"> Ajaypur</t>
  </si>
  <si>
    <t xml:space="preserve"> Asanjor</t>
  </si>
  <si>
    <t>Total</t>
  </si>
  <si>
    <t>pixel</t>
  </si>
  <si>
    <t>Fraction</t>
  </si>
  <si>
    <t>C</t>
  </si>
  <si>
    <t>Total n</t>
  </si>
  <si>
    <t>Total C</t>
  </si>
  <si>
    <t>S(Degree)</t>
  </si>
  <si>
    <t>S( Fraction)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</si>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</sst>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2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0" xfId="0" applyFill="1"/>
    <xf numFmtId="0" fontId="1" fillId="2" borderId="0" xfId="0" applyFont="1" applyFill="1"/>
    <xf numFmtId="2" fontId="0" fillId="0" borderId="0" xfId="0" applyNumberFormat="1" applyBorder="1"/>
    <xf numFmtId="1" fontId="0" fillId="0" borderId="0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4" borderId="12" xfId="0" applyFill="1" applyBorder="1"/>
    <xf numFmtId="0" fontId="0" fillId="5" borderId="12" xfId="0" applyFill="1" applyBorder="1"/>
    <xf numFmtId="0" fontId="0" fillId="0" borderId="0" xfId="0" applyFill="1" applyBorder="1"/>
    <xf numFmtId="0" fontId="0" fillId="11" borderId="0" xfId="0" applyFill="1"/>
    <xf numFmtId="0" fontId="0" fillId="0" borderId="6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4" xfId="0" applyBorder="1"/>
    <xf numFmtId="1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5" fontId="0" fillId="0" borderId="0" xfId="0" applyNumberFormat="1" applyBorder="1"/>
    <xf numFmtId="166" fontId="0" fillId="0" borderId="0" xfId="0" applyNumberFormat="1" applyBorder="1"/>
    <xf numFmtId="166" fontId="0" fillId="0" borderId="6" xfId="0" applyNumberFormat="1" applyFill="1" applyBorder="1"/>
    <xf numFmtId="0" fontId="0" fillId="0" borderId="15" xfId="0" applyFill="1" applyBorder="1"/>
    <xf numFmtId="0" fontId="0" fillId="0" borderId="22" xfId="0" applyFill="1" applyBorder="1"/>
    <xf numFmtId="164" fontId="0" fillId="0" borderId="15" xfId="0" applyNumberFormat="1" applyBorder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20" xfId="0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1" fillId="10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1" borderId="1" xfId="0" applyFont="1" applyFill="1" applyBorder="1"/>
    <xf numFmtId="0" fontId="0" fillId="14" borderId="0" xfId="0" applyFill="1"/>
    <xf numFmtId="0" fontId="1" fillId="8" borderId="1" xfId="0" applyFont="1" applyFill="1" applyBorder="1"/>
    <xf numFmtId="0" fontId="0" fillId="8" borderId="1" xfId="0" applyFill="1" applyBorder="1"/>
    <xf numFmtId="0" fontId="1" fillId="10" borderId="23" xfId="0" applyFont="1" applyFill="1" applyBorder="1"/>
    <xf numFmtId="0" fontId="1" fillId="11" borderId="0" xfId="0" applyFont="1" applyFill="1"/>
    <xf numFmtId="0" fontId="1" fillId="2" borderId="1" xfId="0" applyFont="1" applyFill="1" applyBorder="1"/>
    <xf numFmtId="0" fontId="1" fillId="2" borderId="23" xfId="0" applyFont="1" applyFill="1" applyBorder="1"/>
    <xf numFmtId="0" fontId="1" fillId="10" borderId="24" xfId="0" applyFont="1" applyFill="1" applyBorder="1"/>
    <xf numFmtId="0" fontId="1" fillId="10" borderId="12" xfId="0" applyFont="1" applyFill="1" applyBorder="1"/>
    <xf numFmtId="0" fontId="1" fillId="2" borderId="12" xfId="0" applyFont="1" applyFill="1" applyBorder="1"/>
    <xf numFmtId="0" fontId="1" fillId="2" borderId="24" xfId="0" applyFont="1" applyFill="1" applyBorder="1"/>
    <xf numFmtId="0" fontId="0" fillId="2" borderId="6" xfId="0" applyFill="1" applyBorder="1"/>
    <xf numFmtId="2" fontId="1" fillId="9" borderId="1" xfId="0" applyNumberFormat="1" applyFont="1" applyFill="1" applyBorder="1"/>
    <xf numFmtId="0" fontId="0" fillId="11" borderId="1" xfId="0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22442550049232E-2"/>
          <c:y val="0.16758201077352886"/>
          <c:w val="0.90280294960704954"/>
          <c:h val="0.70475463403237326"/>
        </c:manualLayout>
      </c:layout>
      <c:lineChart>
        <c:grouping val="standard"/>
        <c:varyColors val="0"/>
        <c:ser>
          <c:idx val="0"/>
          <c:order val="0"/>
          <c:tx>
            <c:strRef>
              <c:f>DIGULI!$F$1</c:f>
              <c:strCache>
                <c:ptCount val="1"/>
                <c:pt idx="0">
                  <c:v>Elevation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DIGULI!$E$2:$E$44</c:f>
              <c:numCache>
                <c:formatCode>0</c:formatCode>
                <c:ptCount val="43"/>
                <c:pt idx="0" formatCode="General">
                  <c:v>0</c:v>
                </c:pt>
                <c:pt idx="1">
                  <c:v>1.7236243790999186</c:v>
                </c:pt>
                <c:pt idx="2">
                  <c:v>3.6206792016404816</c:v>
                </c:pt>
                <c:pt idx="3">
                  <c:v>6.2685179431021725</c:v>
                </c:pt>
                <c:pt idx="4">
                  <c:v>11.986444577577736</c:v>
                </c:pt>
                <c:pt idx="5">
                  <c:v>24.073539886430602</c:v>
                </c:pt>
                <c:pt idx="6">
                  <c:v>27.236832632633064</c:v>
                </c:pt>
                <c:pt idx="7">
                  <c:v>30.200407669684154</c:v>
                </c:pt>
                <c:pt idx="8">
                  <c:v>35.049708753711244</c:v>
                </c:pt>
                <c:pt idx="9">
                  <c:v>41.507883882612042</c:v>
                </c:pt>
                <c:pt idx="10">
                  <c:v>42.895788778675005</c:v>
                </c:pt>
                <c:pt idx="11">
                  <c:v>45.393392630222706</c:v>
                </c:pt>
                <c:pt idx="12">
                  <c:v>48.757078257947128</c:v>
                </c:pt>
                <c:pt idx="13">
                  <c:v>55.864823469984231</c:v>
                </c:pt>
                <c:pt idx="14">
                  <c:v>58.686503111617853</c:v>
                </c:pt>
                <c:pt idx="15">
                  <c:v>68.833609300092249</c:v>
                </c:pt>
                <c:pt idx="16">
                  <c:v>72.476753546413875</c:v>
                </c:pt>
                <c:pt idx="17">
                  <c:v>84.270387931184942</c:v>
                </c:pt>
                <c:pt idx="18">
                  <c:v>116.60915503782491</c:v>
                </c:pt>
                <c:pt idx="19">
                  <c:v>142.68514449176507</c:v>
                </c:pt>
                <c:pt idx="20">
                  <c:v>146.4945250188095</c:v>
                </c:pt>
                <c:pt idx="21">
                  <c:v>153.75518132528413</c:v>
                </c:pt>
                <c:pt idx="22">
                  <c:v>160.1903559925197</c:v>
                </c:pt>
                <c:pt idx="23">
                  <c:v>164.80080152423139</c:v>
                </c:pt>
                <c:pt idx="24">
                  <c:v>174.85788539577385</c:v>
                </c:pt>
                <c:pt idx="25">
                  <c:v>195.22764572804638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cat>
          <c:val>
            <c:numRef>
              <c:f>DIGULI!$F$2:$F$44</c:f>
              <c:numCache>
                <c:formatCode>General</c:formatCode>
                <c:ptCount val="43"/>
                <c:pt idx="0">
                  <c:v>74.564999999999998</c:v>
                </c:pt>
                <c:pt idx="1">
                  <c:v>73.978999999999999</c:v>
                </c:pt>
                <c:pt idx="2">
                  <c:v>73.161000000000001</c:v>
                </c:pt>
                <c:pt idx="3">
                  <c:v>71.924000000000007</c:v>
                </c:pt>
                <c:pt idx="4">
                  <c:v>70.471999999999994</c:v>
                </c:pt>
                <c:pt idx="5">
                  <c:v>70.093999999999994</c:v>
                </c:pt>
                <c:pt idx="6">
                  <c:v>69.875</c:v>
                </c:pt>
                <c:pt idx="7">
                  <c:v>69.08</c:v>
                </c:pt>
                <c:pt idx="8">
                  <c:v>69.001999999999995</c:v>
                </c:pt>
                <c:pt idx="9">
                  <c:v>69.188000000000002</c:v>
                </c:pt>
                <c:pt idx="10">
                  <c:v>68.759</c:v>
                </c:pt>
                <c:pt idx="11">
                  <c:v>68.739999999999995</c:v>
                </c:pt>
                <c:pt idx="12">
                  <c:v>68.757999999999996</c:v>
                </c:pt>
                <c:pt idx="13">
                  <c:v>68.590999999999994</c:v>
                </c:pt>
                <c:pt idx="14">
                  <c:v>68.959000000000003</c:v>
                </c:pt>
                <c:pt idx="15">
                  <c:v>68.974000000000004</c:v>
                </c:pt>
                <c:pt idx="16">
                  <c:v>69.162000000000006</c:v>
                </c:pt>
                <c:pt idx="17">
                  <c:v>69.203999999999994</c:v>
                </c:pt>
                <c:pt idx="18">
                  <c:v>69.094999999999999</c:v>
                </c:pt>
                <c:pt idx="19">
                  <c:v>69.302999999999997</c:v>
                </c:pt>
                <c:pt idx="20">
                  <c:v>68.866</c:v>
                </c:pt>
                <c:pt idx="21">
                  <c:v>68.915000000000006</c:v>
                </c:pt>
                <c:pt idx="22">
                  <c:v>68.707999999999998</c:v>
                </c:pt>
                <c:pt idx="23">
                  <c:v>68.992999999999995</c:v>
                </c:pt>
                <c:pt idx="24">
                  <c:v>69.103999999999999</c:v>
                </c:pt>
                <c:pt idx="25">
                  <c:v>69.012</c:v>
                </c:pt>
                <c:pt idx="26">
                  <c:v>68.980999999999995</c:v>
                </c:pt>
                <c:pt idx="27">
                  <c:v>68.867999999999995</c:v>
                </c:pt>
                <c:pt idx="28">
                  <c:v>69.05</c:v>
                </c:pt>
                <c:pt idx="29">
                  <c:v>69.016999999999996</c:v>
                </c:pt>
                <c:pt idx="30">
                  <c:v>68.855999999999995</c:v>
                </c:pt>
                <c:pt idx="31">
                  <c:v>69.430000000000007</c:v>
                </c:pt>
                <c:pt idx="32">
                  <c:v>70.007999999999996</c:v>
                </c:pt>
                <c:pt idx="33">
                  <c:v>69.891000000000005</c:v>
                </c:pt>
                <c:pt idx="34">
                  <c:v>70.17</c:v>
                </c:pt>
                <c:pt idx="35">
                  <c:v>70.344999999999999</c:v>
                </c:pt>
                <c:pt idx="36">
                  <c:v>71.566000000000003</c:v>
                </c:pt>
                <c:pt idx="37">
                  <c:v>70.944000000000003</c:v>
                </c:pt>
                <c:pt idx="38">
                  <c:v>71.274000000000001</c:v>
                </c:pt>
                <c:pt idx="39">
                  <c:v>72.391000000000005</c:v>
                </c:pt>
                <c:pt idx="40">
                  <c:v>73.462000000000003</c:v>
                </c:pt>
                <c:pt idx="41">
                  <c:v>74.918999999999997</c:v>
                </c:pt>
                <c:pt idx="42">
                  <c:v>75.983000000000004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5-4B4E-86F6-66ECDCAB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1024"/>
        <c:axId val="-1192864832"/>
      </c:lineChart>
      <c:catAx>
        <c:axId val="-11928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4832"/>
        <c:crosses val="autoZero"/>
        <c:auto val="1"/>
        <c:lblAlgn val="ctr"/>
        <c:lblOffset val="100"/>
        <c:noMultiLvlLbl val="0"/>
      </c:catAx>
      <c:valAx>
        <c:axId val="-119286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10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[5]Maharo!$E$3:$E$15</c:f>
              <c:numCache>
                <c:formatCode>General</c:formatCode>
                <c:ptCount val="13"/>
                <c:pt idx="0">
                  <c:v>1.0440306748335492E-2</c:v>
                </c:pt>
                <c:pt idx="1">
                  <c:v>8.3144131511065744</c:v>
                </c:pt>
                <c:pt idx="2">
                  <c:v>12.272446122002719</c:v>
                </c:pt>
                <c:pt idx="3">
                  <c:v>16.293394393143327</c:v>
                </c:pt>
                <c:pt idx="4">
                  <c:v>18.337093490394299</c:v>
                </c:pt>
                <c:pt idx="5">
                  <c:v>58.033531869696816</c:v>
                </c:pt>
                <c:pt idx="6">
                  <c:v>63.111248876277585</c:v>
                </c:pt>
                <c:pt idx="7">
                  <c:v>70.469100532829486</c:v>
                </c:pt>
                <c:pt idx="8">
                  <c:v>110.65414265061258</c:v>
                </c:pt>
                <c:pt idx="9">
                  <c:v>179.27770912735758</c:v>
                </c:pt>
                <c:pt idx="10">
                  <c:v>225.29452875885693</c:v>
                </c:pt>
                <c:pt idx="11">
                  <c:v>240.79362557123596</c:v>
                </c:pt>
                <c:pt idx="12">
                  <c:v>246.5677801414075</c:v>
                </c:pt>
              </c:numCache>
            </c:numRef>
          </c:cat>
          <c:val>
            <c:numRef>
              <c:f>[5]Maharo!$F$3:$F$15</c:f>
              <c:numCache>
                <c:formatCode>General</c:formatCode>
                <c:ptCount val="13"/>
                <c:pt idx="0">
                  <c:v>132.255</c:v>
                </c:pt>
                <c:pt idx="1">
                  <c:v>132.25399999999999</c:v>
                </c:pt>
                <c:pt idx="2">
                  <c:v>130.89699999999999</c:v>
                </c:pt>
                <c:pt idx="3">
                  <c:v>130.43799999999999</c:v>
                </c:pt>
                <c:pt idx="4">
                  <c:v>129.41200000000001</c:v>
                </c:pt>
                <c:pt idx="5">
                  <c:v>128.84899999999999</c:v>
                </c:pt>
                <c:pt idx="6">
                  <c:v>128.70400000000001</c:v>
                </c:pt>
                <c:pt idx="7">
                  <c:v>128.87299999999999</c:v>
                </c:pt>
                <c:pt idx="8">
                  <c:v>129.40799999999999</c:v>
                </c:pt>
                <c:pt idx="9">
                  <c:v>129.29599999999999</c:v>
                </c:pt>
                <c:pt idx="10">
                  <c:v>129.38999999999999</c:v>
                </c:pt>
                <c:pt idx="11">
                  <c:v>129.60400000000001</c:v>
                </c:pt>
                <c:pt idx="12">
                  <c:v>130.916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4BD7-9D68-2F97AE95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9520"/>
        <c:axId val="-1185606256"/>
      </c:lineChart>
      <c:catAx>
        <c:axId val="-11856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6256"/>
        <c:crosses val="autoZero"/>
        <c:auto val="1"/>
        <c:lblAlgn val="ctr"/>
        <c:lblOffset val="100"/>
        <c:noMultiLvlLbl val="0"/>
      </c:catAx>
      <c:valAx>
        <c:axId val="-118560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95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[6]Asanjor!$E$2:$E$15</c:f>
              <c:numCache>
                <c:formatCode>General</c:formatCode>
                <c:ptCount val="14"/>
                <c:pt idx="0">
                  <c:v>0</c:v>
                </c:pt>
                <c:pt idx="1">
                  <c:v>1.4003570973425075</c:v>
                </c:pt>
                <c:pt idx="2">
                  <c:v>4.0285385979882111</c:v>
                </c:pt>
                <c:pt idx="3">
                  <c:v>10.020416600760907</c:v>
                </c:pt>
                <c:pt idx="4">
                  <c:v>14.551714979800096</c:v>
                </c:pt>
                <c:pt idx="5">
                  <c:v>31.224808544052742</c:v>
                </c:pt>
                <c:pt idx="6">
                  <c:v>45.99421069849204</c:v>
                </c:pt>
                <c:pt idx="7">
                  <c:v>67.791217947079005</c:v>
                </c:pt>
                <c:pt idx="8">
                  <c:v>88.483794997943022</c:v>
                </c:pt>
                <c:pt idx="9">
                  <c:v>104.60937920439618</c:v>
                </c:pt>
                <c:pt idx="10">
                  <c:v>129.86633897797276</c:v>
                </c:pt>
                <c:pt idx="11">
                  <c:v>139.8335245385164</c:v>
                </c:pt>
                <c:pt idx="12">
                  <c:v>143.12906849966811</c:v>
                </c:pt>
                <c:pt idx="13">
                  <c:v>146.82812148675518</c:v>
                </c:pt>
              </c:numCache>
            </c:numRef>
          </c:cat>
          <c:val>
            <c:numRef>
              <c:f>[6]Asanjor!$F$2:$F$15</c:f>
              <c:numCache>
                <c:formatCode>General</c:formatCode>
                <c:ptCount val="14"/>
                <c:pt idx="0">
                  <c:v>139.36199999999999</c:v>
                </c:pt>
                <c:pt idx="1">
                  <c:v>139.36099999999999</c:v>
                </c:pt>
                <c:pt idx="2">
                  <c:v>138.01599999999999</c:v>
                </c:pt>
                <c:pt idx="3">
                  <c:v>136.46799999999999</c:v>
                </c:pt>
                <c:pt idx="4">
                  <c:v>135.43700000000001</c:v>
                </c:pt>
                <c:pt idx="5">
                  <c:v>135.46700000000001</c:v>
                </c:pt>
                <c:pt idx="6">
                  <c:v>134.94300000000001</c:v>
                </c:pt>
                <c:pt idx="7">
                  <c:v>135.00800000000001</c:v>
                </c:pt>
                <c:pt idx="8">
                  <c:v>134.88300000000001</c:v>
                </c:pt>
                <c:pt idx="9">
                  <c:v>134.822</c:v>
                </c:pt>
                <c:pt idx="10">
                  <c:v>134.91399999999999</c:v>
                </c:pt>
                <c:pt idx="11">
                  <c:v>135.71899999999999</c:v>
                </c:pt>
                <c:pt idx="12">
                  <c:v>136.911</c:v>
                </c:pt>
                <c:pt idx="13">
                  <c:v>137.81200000000001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D-4BC2-B0B7-D95113C1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1904"/>
        <c:axId val="-1185601360"/>
      </c:lineChart>
      <c:catAx>
        <c:axId val="-11856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1360"/>
        <c:crosses val="autoZero"/>
        <c:auto val="1"/>
        <c:lblAlgn val="ctr"/>
        <c:lblOffset val="100"/>
        <c:noMultiLvlLbl val="0"/>
      </c:catAx>
      <c:valAx>
        <c:axId val="-118560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19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[6]Amarpur1!$E$3:$E$13</c:f>
              <c:numCache>
                <c:formatCode>General</c:formatCode>
                <c:ptCount val="11"/>
                <c:pt idx="0">
                  <c:v>8.9805344982533203E-2</c:v>
                </c:pt>
                <c:pt idx="1">
                  <c:v>3.665325726696675</c:v>
                </c:pt>
                <c:pt idx="2">
                  <c:v>17.787770876251059</c:v>
                </c:pt>
                <c:pt idx="3">
                  <c:v>36.882864303433365</c:v>
                </c:pt>
                <c:pt idx="4">
                  <c:v>53.999191391990109</c:v>
                </c:pt>
                <c:pt idx="5">
                  <c:v>57.110872609640708</c:v>
                </c:pt>
                <c:pt idx="6">
                  <c:v>66.25303674059208</c:v>
                </c:pt>
                <c:pt idx="7">
                  <c:v>76.944297891762389</c:v>
                </c:pt>
                <c:pt idx="8">
                  <c:v>82.280762077009626</c:v>
                </c:pt>
                <c:pt idx="9">
                  <c:v>85.797339532430684</c:v>
                </c:pt>
                <c:pt idx="10">
                  <c:v>88.120652899029125</c:v>
                </c:pt>
              </c:numCache>
            </c:numRef>
          </c:cat>
          <c:val>
            <c:numRef>
              <c:f>[6]Amarpur1!$F$3:$F$13</c:f>
              <c:numCache>
                <c:formatCode>General</c:formatCode>
                <c:ptCount val="11"/>
                <c:pt idx="0">
                  <c:v>151.47900000000001</c:v>
                </c:pt>
                <c:pt idx="1">
                  <c:v>147.31399999999999</c:v>
                </c:pt>
                <c:pt idx="2">
                  <c:v>147.191</c:v>
                </c:pt>
                <c:pt idx="3">
                  <c:v>147.59200000000001</c:v>
                </c:pt>
                <c:pt idx="4">
                  <c:v>148.59299999999999</c:v>
                </c:pt>
                <c:pt idx="5">
                  <c:v>148.334</c:v>
                </c:pt>
                <c:pt idx="6">
                  <c:v>148.078</c:v>
                </c:pt>
                <c:pt idx="7">
                  <c:v>148.05500000000001</c:v>
                </c:pt>
                <c:pt idx="8">
                  <c:v>149.10300000000001</c:v>
                </c:pt>
                <c:pt idx="9">
                  <c:v>150.767</c:v>
                </c:pt>
                <c:pt idx="10">
                  <c:v>151.28399999999999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B-4392-B87C-D52F3E032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15504"/>
        <c:axId val="-1185614960"/>
      </c:lineChart>
      <c:catAx>
        <c:axId val="-11856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4960"/>
        <c:crosses val="autoZero"/>
        <c:auto val="1"/>
        <c:lblAlgn val="ctr"/>
        <c:lblOffset val="100"/>
        <c:noMultiLvlLbl val="0"/>
      </c:catAx>
      <c:valAx>
        <c:axId val="-118561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5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[6]Amarpur2!$F$1</c:f>
              <c:strCache>
                <c:ptCount val="1"/>
                <c:pt idx="0">
                  <c:v>Elevation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[6]Amarpur2!$E$2:$E$13</c:f>
              <c:numCache>
                <c:formatCode>General</c:formatCode>
                <c:ptCount val="12"/>
                <c:pt idx="0">
                  <c:v>0</c:v>
                </c:pt>
                <c:pt idx="1">
                  <c:v>5.5674073857535964</c:v>
                </c:pt>
                <c:pt idx="2">
                  <c:v>12.841125692040263</c:v>
                </c:pt>
                <c:pt idx="3">
                  <c:v>19.860929820463497</c:v>
                </c:pt>
                <c:pt idx="4">
                  <c:v>22.368654885190526</c:v>
                </c:pt>
                <c:pt idx="5">
                  <c:v>39.385796977596883</c:v>
                </c:pt>
                <c:pt idx="6">
                  <c:v>65.623363880632922</c:v>
                </c:pt>
                <c:pt idx="7">
                  <c:v>95.367642557656296</c:v>
                </c:pt>
                <c:pt idx="8">
                  <c:v>97.618699420252128</c:v>
                </c:pt>
                <c:pt idx="9">
                  <c:v>101.4229877902789</c:v>
                </c:pt>
                <c:pt idx="10">
                  <c:v>110.05334780564498</c:v>
                </c:pt>
                <c:pt idx="11">
                  <c:v>113.42873193202624</c:v>
                </c:pt>
              </c:numCache>
            </c:numRef>
          </c:cat>
          <c:val>
            <c:numRef>
              <c:f>[6]Amarpur2!$F$2:$F$13</c:f>
              <c:numCache>
                <c:formatCode>General</c:formatCode>
                <c:ptCount val="12"/>
                <c:pt idx="0">
                  <c:v>154.79400000000001</c:v>
                </c:pt>
                <c:pt idx="1">
                  <c:v>153.30099999999999</c:v>
                </c:pt>
                <c:pt idx="2">
                  <c:v>151.38800000000001</c:v>
                </c:pt>
                <c:pt idx="3">
                  <c:v>149.358</c:v>
                </c:pt>
                <c:pt idx="4">
                  <c:v>148.25399999999999</c:v>
                </c:pt>
                <c:pt idx="5">
                  <c:v>148.26</c:v>
                </c:pt>
                <c:pt idx="6">
                  <c:v>148.59200000000001</c:v>
                </c:pt>
                <c:pt idx="7">
                  <c:v>148.815</c:v>
                </c:pt>
                <c:pt idx="8">
                  <c:v>148.38200000000001</c:v>
                </c:pt>
                <c:pt idx="9">
                  <c:v>149.19</c:v>
                </c:pt>
                <c:pt idx="10">
                  <c:v>150.637</c:v>
                </c:pt>
                <c:pt idx="11">
                  <c:v>152.75299999999999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9-42B1-9B0A-288B0992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12784"/>
        <c:axId val="-1185612240"/>
      </c:lineChart>
      <c:catAx>
        <c:axId val="-11856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2240"/>
        <c:crosses val="autoZero"/>
        <c:auto val="1"/>
        <c:lblAlgn val="ctr"/>
        <c:lblOffset val="100"/>
        <c:noMultiLvlLbl val="0"/>
      </c:catAx>
      <c:valAx>
        <c:axId val="-11856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27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55935566138895E-2"/>
          <c:y val="0.17337089482500156"/>
          <c:w val="0.87642151562483206"/>
          <c:h val="0.62800173870348808"/>
        </c:manualLayout>
      </c:layout>
      <c:lineChart>
        <c:grouping val="stacke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[1]Sheet1!$E$52:$E$100</c:f>
              <c:numCache>
                <c:formatCode>General</c:formatCode>
                <c:ptCount val="49"/>
                <c:pt idx="0">
                  <c:v>0</c:v>
                </c:pt>
                <c:pt idx="1">
                  <c:v>15.704181354004762</c:v>
                </c:pt>
                <c:pt idx="2">
                  <c:v>38.593603474237142</c:v>
                </c:pt>
                <c:pt idx="3">
                  <c:v>62.584015267702789</c:v>
                </c:pt>
                <c:pt idx="4">
                  <c:v>67.335399908005371</c:v>
                </c:pt>
                <c:pt idx="5">
                  <c:v>73.855953948832081</c:v>
                </c:pt>
                <c:pt idx="6">
                  <c:v>91.147348137765718</c:v>
                </c:pt>
                <c:pt idx="7">
                  <c:v>98.306974454843285</c:v>
                </c:pt>
                <c:pt idx="8">
                  <c:v>121.98857237373747</c:v>
                </c:pt>
                <c:pt idx="9">
                  <c:v>131.03061307273899</c:v>
                </c:pt>
                <c:pt idx="10">
                  <c:v>153.73800944490276</c:v>
                </c:pt>
                <c:pt idx="11">
                  <c:v>180.52189613056203</c:v>
                </c:pt>
                <c:pt idx="12">
                  <c:v>208.87116195887637</c:v>
                </c:pt>
                <c:pt idx="13">
                  <c:v>211.46150131901018</c:v>
                </c:pt>
                <c:pt idx="14">
                  <c:v>217.6030041481369</c:v>
                </c:pt>
                <c:pt idx="15">
                  <c:v>228.28007570353154</c:v>
                </c:pt>
                <c:pt idx="16">
                  <c:v>245.49869728022387</c:v>
                </c:pt>
                <c:pt idx="17">
                  <c:v>253.14651036638782</c:v>
                </c:pt>
                <c:pt idx="18">
                  <c:v>256.94660365443968</c:v>
                </c:pt>
                <c:pt idx="19">
                  <c:v>265.52606103848194</c:v>
                </c:pt>
                <c:pt idx="20">
                  <c:v>268.23862919431411</c:v>
                </c:pt>
                <c:pt idx="21">
                  <c:v>275.68734049211537</c:v>
                </c:pt>
                <c:pt idx="22">
                  <c:v>278.65127200281535</c:v>
                </c:pt>
                <c:pt idx="23">
                  <c:v>289.88788167824833</c:v>
                </c:pt>
                <c:pt idx="24">
                  <c:v>299.89071027844682</c:v>
                </c:pt>
                <c:pt idx="25">
                  <c:v>335.33559573446541</c:v>
                </c:pt>
                <c:pt idx="26">
                  <c:v>343.59386601353987</c:v>
                </c:pt>
                <c:pt idx="27">
                  <c:v>354.06565349262956</c:v>
                </c:pt>
                <c:pt idx="28">
                  <c:v>357.25515784260068</c:v>
                </c:pt>
                <c:pt idx="29">
                  <c:v>370.401688335681</c:v>
                </c:pt>
                <c:pt idx="30">
                  <c:v>385.35144452094653</c:v>
                </c:pt>
                <c:pt idx="31">
                  <c:v>412.01963336081724</c:v>
                </c:pt>
                <c:pt idx="32">
                  <c:v>429.68067763899325</c:v>
                </c:pt>
                <c:pt idx="33">
                  <c:v>453.23861884801482</c:v>
                </c:pt>
                <c:pt idx="34">
                  <c:v>464.06537279342024</c:v>
                </c:pt>
                <c:pt idx="35">
                  <c:v>471.98131581998808</c:v>
                </c:pt>
                <c:pt idx="36">
                  <c:v>475.06983164494835</c:v>
                </c:pt>
                <c:pt idx="37">
                  <c:v>481.38926967385714</c:v>
                </c:pt>
                <c:pt idx="38">
                  <c:v>486.50208690124248</c:v>
                </c:pt>
                <c:pt idx="39">
                  <c:v>494.51570056789797</c:v>
                </c:pt>
                <c:pt idx="40">
                  <c:v>506.74517610848875</c:v>
                </c:pt>
                <c:pt idx="41">
                  <c:v>510.59366841075627</c:v>
                </c:pt>
                <c:pt idx="42">
                  <c:v>516.53529815362049</c:v>
                </c:pt>
                <c:pt idx="43">
                  <c:v>525.3420857631221</c:v>
                </c:pt>
                <c:pt idx="44">
                  <c:v>535.02442602774431</c:v>
                </c:pt>
                <c:pt idx="45">
                  <c:v>541.97759005572266</c:v>
                </c:pt>
                <c:pt idx="46">
                  <c:v>546.71201568093727</c:v>
                </c:pt>
                <c:pt idx="47">
                  <c:v>564.37900829418641</c:v>
                </c:pt>
                <c:pt idx="48">
                  <c:v>585.23304878996998</c:v>
                </c:pt>
              </c:numCache>
            </c:numRef>
          </c:cat>
          <c:val>
            <c:numRef>
              <c:f>[1]Sheet1!$F$52:$F$100</c:f>
              <c:numCache>
                <c:formatCode>General</c:formatCode>
                <c:ptCount val="49"/>
                <c:pt idx="0">
                  <c:v>84.001000000000005</c:v>
                </c:pt>
                <c:pt idx="1">
                  <c:v>84.391000000000005</c:v>
                </c:pt>
                <c:pt idx="2">
                  <c:v>83.131</c:v>
                </c:pt>
                <c:pt idx="3">
                  <c:v>81.784999999999997</c:v>
                </c:pt>
                <c:pt idx="4">
                  <c:v>82.106999999999999</c:v>
                </c:pt>
                <c:pt idx="5">
                  <c:v>80.754000000000005</c:v>
                </c:pt>
                <c:pt idx="6">
                  <c:v>81.647999999999996</c:v>
                </c:pt>
                <c:pt idx="7">
                  <c:v>80.948999999999998</c:v>
                </c:pt>
                <c:pt idx="8">
                  <c:v>81.709999999999994</c:v>
                </c:pt>
                <c:pt idx="9">
                  <c:v>80.822999999999993</c:v>
                </c:pt>
                <c:pt idx="10">
                  <c:v>81.227999999999994</c:v>
                </c:pt>
                <c:pt idx="11">
                  <c:v>80.897000000000006</c:v>
                </c:pt>
                <c:pt idx="12">
                  <c:v>80.691000000000003</c:v>
                </c:pt>
                <c:pt idx="13">
                  <c:v>81.591999999999999</c:v>
                </c:pt>
                <c:pt idx="14">
                  <c:v>81.760000000000005</c:v>
                </c:pt>
                <c:pt idx="15">
                  <c:v>81.120999999999995</c:v>
                </c:pt>
                <c:pt idx="16">
                  <c:v>80.222999999999999</c:v>
                </c:pt>
                <c:pt idx="17">
                  <c:v>79.927000000000007</c:v>
                </c:pt>
                <c:pt idx="18">
                  <c:v>80.221999999999994</c:v>
                </c:pt>
                <c:pt idx="19">
                  <c:v>80.152000000000001</c:v>
                </c:pt>
                <c:pt idx="20">
                  <c:v>80.891000000000005</c:v>
                </c:pt>
                <c:pt idx="21">
                  <c:v>80.78</c:v>
                </c:pt>
                <c:pt idx="22">
                  <c:v>81.926000000000002</c:v>
                </c:pt>
                <c:pt idx="23">
                  <c:v>81.644000000000005</c:v>
                </c:pt>
                <c:pt idx="24">
                  <c:v>80.903000000000006</c:v>
                </c:pt>
                <c:pt idx="25">
                  <c:v>80.557000000000002</c:v>
                </c:pt>
                <c:pt idx="26">
                  <c:v>80.594999999999999</c:v>
                </c:pt>
                <c:pt idx="27">
                  <c:v>79.930999999999997</c:v>
                </c:pt>
                <c:pt idx="28">
                  <c:v>79.947999999999993</c:v>
                </c:pt>
                <c:pt idx="29">
                  <c:v>80.367999999999995</c:v>
                </c:pt>
                <c:pt idx="30">
                  <c:v>80.278999999999996</c:v>
                </c:pt>
                <c:pt idx="31">
                  <c:v>80.468000000000004</c:v>
                </c:pt>
                <c:pt idx="32">
                  <c:v>80.275999999999996</c:v>
                </c:pt>
                <c:pt idx="33">
                  <c:v>80.921999999999997</c:v>
                </c:pt>
                <c:pt idx="34">
                  <c:v>80.203999999999994</c:v>
                </c:pt>
                <c:pt idx="35">
                  <c:v>79.837999999999994</c:v>
                </c:pt>
                <c:pt idx="36">
                  <c:v>79.795000000000002</c:v>
                </c:pt>
                <c:pt idx="37">
                  <c:v>80.388000000000005</c:v>
                </c:pt>
                <c:pt idx="38">
                  <c:v>79.887</c:v>
                </c:pt>
                <c:pt idx="39">
                  <c:v>79.510000000000005</c:v>
                </c:pt>
                <c:pt idx="40">
                  <c:v>79.790000000000006</c:v>
                </c:pt>
                <c:pt idx="41">
                  <c:v>79.427000000000007</c:v>
                </c:pt>
                <c:pt idx="42">
                  <c:v>79.548000000000002</c:v>
                </c:pt>
                <c:pt idx="43">
                  <c:v>79.713999999999999</c:v>
                </c:pt>
                <c:pt idx="44">
                  <c:v>79.935000000000002</c:v>
                </c:pt>
                <c:pt idx="45">
                  <c:v>81.445999999999998</c:v>
                </c:pt>
                <c:pt idx="46">
                  <c:v>82.027000000000001</c:v>
                </c:pt>
                <c:pt idx="47">
                  <c:v>83.108999999999995</c:v>
                </c:pt>
                <c:pt idx="48">
                  <c:v>84.257999999999996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6-4072-BEC6-727D42AA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55040"/>
        <c:axId val="-1192854496"/>
      </c:lineChart>
      <c:catAx>
        <c:axId val="-11928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4496"/>
        <c:crosses val="autoZero"/>
        <c:auto val="1"/>
        <c:lblAlgn val="ctr"/>
        <c:lblOffset val="100"/>
        <c:noMultiLvlLbl val="0"/>
      </c:catAx>
      <c:valAx>
        <c:axId val="-1192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5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061073602674"/>
          <c:y val="7.2592610058006213E-2"/>
          <c:w val="0.86754758785973418"/>
          <c:h val="0.78585965976501004"/>
        </c:manualLayout>
      </c:layout>
      <c:lineChart>
        <c:grouping val="stacked"/>
        <c:varyColors val="0"/>
        <c:ser>
          <c:idx val="1"/>
          <c:order val="0"/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[1]Sheet1!$E$102:$E$110</c:f>
              <c:numCache>
                <c:formatCode>General</c:formatCode>
                <c:ptCount val="9"/>
                <c:pt idx="0">
                  <c:v>0</c:v>
                </c:pt>
                <c:pt idx="1">
                  <c:v>14.917266572511934</c:v>
                </c:pt>
                <c:pt idx="2">
                  <c:v>24.833408211616248</c:v>
                </c:pt>
                <c:pt idx="3">
                  <c:v>53.913431681338892</c:v>
                </c:pt>
                <c:pt idx="4">
                  <c:v>68.809981785109017</c:v>
                </c:pt>
                <c:pt idx="5">
                  <c:v>104.38918526145397</c:v>
                </c:pt>
                <c:pt idx="6">
                  <c:v>159.2802139729709</c:v>
                </c:pt>
                <c:pt idx="7">
                  <c:v>187.94551515712774</c:v>
                </c:pt>
                <c:pt idx="8">
                  <c:v>195.86909225367361</c:v>
                </c:pt>
              </c:numCache>
            </c:numRef>
          </c:cat>
          <c:val>
            <c:numRef>
              <c:f>[1]Sheet1!$F$102:$F$110</c:f>
              <c:numCache>
                <c:formatCode>General</c:formatCode>
                <c:ptCount val="9"/>
                <c:pt idx="0">
                  <c:v>90.504999999999995</c:v>
                </c:pt>
                <c:pt idx="1">
                  <c:v>86.591999999999999</c:v>
                </c:pt>
                <c:pt idx="2">
                  <c:v>85.885000000000005</c:v>
                </c:pt>
                <c:pt idx="3">
                  <c:v>86.051000000000002</c:v>
                </c:pt>
                <c:pt idx="4">
                  <c:v>86.289000000000001</c:v>
                </c:pt>
                <c:pt idx="5">
                  <c:v>86.233000000000004</c:v>
                </c:pt>
                <c:pt idx="6">
                  <c:v>87.236999999999995</c:v>
                </c:pt>
                <c:pt idx="7">
                  <c:v>87.902000000000001</c:v>
                </c:pt>
                <c:pt idx="8">
                  <c:v>90.894999999999996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8-44F3-A309-8B8AF0F7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3200"/>
        <c:axId val="-1192856672"/>
      </c:lineChart>
      <c:catAx>
        <c:axId val="-11928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45454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56672"/>
        <c:crosses val="autoZero"/>
        <c:auto val="1"/>
        <c:lblAlgn val="ctr"/>
        <c:lblOffset val="100"/>
        <c:noMultiLvlLbl val="0"/>
      </c:catAx>
      <c:valAx>
        <c:axId val="-1192856672"/>
        <c:scaling>
          <c:orientation val="minMax"/>
          <c:max val="9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rgbClr val="454545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3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7928102579084"/>
          <c:y val="0.14393518518518519"/>
          <c:w val="0.85854221347331572"/>
          <c:h val="0.62829505686789155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[2]Sheet1!$E$2:$E$47</c:f>
              <c:numCache>
                <c:formatCode>General</c:formatCode>
                <c:ptCount val="46"/>
                <c:pt idx="0">
                  <c:v>0</c:v>
                </c:pt>
                <c:pt idx="1">
                  <c:v>18.094732327558951</c:v>
                </c:pt>
                <c:pt idx="2">
                  <c:v>24.604926257018363</c:v>
                </c:pt>
                <c:pt idx="3">
                  <c:v>64.068300225675387</c:v>
                </c:pt>
                <c:pt idx="4">
                  <c:v>79.505728249856688</c:v>
                </c:pt>
                <c:pt idx="5">
                  <c:v>102.41603756687373</c:v>
                </c:pt>
                <c:pt idx="6">
                  <c:v>109.62625594080052</c:v>
                </c:pt>
                <c:pt idx="7">
                  <c:v>116.44123158297248</c:v>
                </c:pt>
                <c:pt idx="8">
                  <c:v>128.99012336643946</c:v>
                </c:pt>
                <c:pt idx="9">
                  <c:v>132.23961640420035</c:v>
                </c:pt>
                <c:pt idx="10">
                  <c:v>138.45434511882149</c:v>
                </c:pt>
                <c:pt idx="11">
                  <c:v>142.00526683028355</c:v>
                </c:pt>
                <c:pt idx="12">
                  <c:v>145.51691516135585</c:v>
                </c:pt>
                <c:pt idx="13">
                  <c:v>147.20475994067925</c:v>
                </c:pt>
                <c:pt idx="14">
                  <c:v>149.82610863954596</c:v>
                </c:pt>
                <c:pt idx="15">
                  <c:v>153.36106832797734</c:v>
                </c:pt>
                <c:pt idx="16">
                  <c:v>168.7707180970522</c:v>
                </c:pt>
                <c:pt idx="17">
                  <c:v>172.10423410848264</c:v>
                </c:pt>
                <c:pt idx="18">
                  <c:v>176.01575555181282</c:v>
                </c:pt>
                <c:pt idx="19">
                  <c:v>180.2344342549774</c:v>
                </c:pt>
                <c:pt idx="20">
                  <c:v>186.3749521484896</c:v>
                </c:pt>
                <c:pt idx="21">
                  <c:v>189.19211188815052</c:v>
                </c:pt>
                <c:pt idx="22">
                  <c:v>191.96227433815307</c:v>
                </c:pt>
                <c:pt idx="23">
                  <c:v>195.68047457484226</c:v>
                </c:pt>
                <c:pt idx="24">
                  <c:v>199.02934005448134</c:v>
                </c:pt>
                <c:pt idx="25">
                  <c:v>203.01911222830043</c:v>
                </c:pt>
                <c:pt idx="26">
                  <c:v>205.67074361314943</c:v>
                </c:pt>
                <c:pt idx="27">
                  <c:v>208.7711572952534</c:v>
                </c:pt>
                <c:pt idx="28">
                  <c:v>212.16189526788295</c:v>
                </c:pt>
                <c:pt idx="29">
                  <c:v>215.1624818770326</c:v>
                </c:pt>
                <c:pt idx="30">
                  <c:v>227.29683661890206</c:v>
                </c:pt>
                <c:pt idx="31">
                  <c:v>243.84572691434283</c:v>
                </c:pt>
                <c:pt idx="32">
                  <c:v>256.1807289003138</c:v>
                </c:pt>
                <c:pt idx="33">
                  <c:v>270.08414204237579</c:v>
                </c:pt>
                <c:pt idx="34">
                  <c:v>275.9569952673736</c:v>
                </c:pt>
                <c:pt idx="35">
                  <c:v>287.04464064394051</c:v>
                </c:pt>
                <c:pt idx="36">
                  <c:v>323.28710337751892</c:v>
                </c:pt>
                <c:pt idx="37">
                  <c:v>337.78736809931871</c:v>
                </c:pt>
                <c:pt idx="38">
                  <c:v>374.00879828912889</c:v>
                </c:pt>
                <c:pt idx="39">
                  <c:v>395.21635849758684</c:v>
                </c:pt>
                <c:pt idx="40">
                  <c:v>421.74547974224134</c:v>
                </c:pt>
                <c:pt idx="41">
                  <c:v>427.42074889879552</c:v>
                </c:pt>
                <c:pt idx="42">
                  <c:v>431.56790949373686</c:v>
                </c:pt>
                <c:pt idx="43">
                  <c:v>438.40473126973109</c:v>
                </c:pt>
                <c:pt idx="44">
                  <c:v>446.73767006715678</c:v>
                </c:pt>
                <c:pt idx="45">
                  <c:v>455.12712231400695</c:v>
                </c:pt>
              </c:numCache>
            </c:numRef>
          </c:cat>
          <c:val>
            <c:numRef>
              <c:f>[2]Sheet1!$F$2:$F$47</c:f>
              <c:numCache>
                <c:formatCode>General</c:formatCode>
                <c:ptCount val="46"/>
                <c:pt idx="0">
                  <c:v>37.430999999999997</c:v>
                </c:pt>
                <c:pt idx="1">
                  <c:v>36.063000000000002</c:v>
                </c:pt>
                <c:pt idx="2">
                  <c:v>35.32</c:v>
                </c:pt>
                <c:pt idx="3">
                  <c:v>34.923000000000002</c:v>
                </c:pt>
                <c:pt idx="4">
                  <c:v>34.738999999999997</c:v>
                </c:pt>
                <c:pt idx="5">
                  <c:v>35.088000000000001</c:v>
                </c:pt>
                <c:pt idx="6">
                  <c:v>34.868000000000002</c:v>
                </c:pt>
                <c:pt idx="7">
                  <c:v>35.11</c:v>
                </c:pt>
                <c:pt idx="8">
                  <c:v>34.444000000000003</c:v>
                </c:pt>
                <c:pt idx="9">
                  <c:v>33.9</c:v>
                </c:pt>
                <c:pt idx="10">
                  <c:v>33.734999999999999</c:v>
                </c:pt>
                <c:pt idx="11">
                  <c:v>33.695999999999998</c:v>
                </c:pt>
                <c:pt idx="12">
                  <c:v>33.630000000000003</c:v>
                </c:pt>
                <c:pt idx="13">
                  <c:v>33.552999999999997</c:v>
                </c:pt>
                <c:pt idx="14">
                  <c:v>33.783999999999999</c:v>
                </c:pt>
                <c:pt idx="15">
                  <c:v>34.334000000000003</c:v>
                </c:pt>
                <c:pt idx="16">
                  <c:v>34.363999999999997</c:v>
                </c:pt>
                <c:pt idx="17">
                  <c:v>33.686</c:v>
                </c:pt>
                <c:pt idx="18">
                  <c:v>33.9</c:v>
                </c:pt>
                <c:pt idx="19">
                  <c:v>33.728000000000002</c:v>
                </c:pt>
                <c:pt idx="20">
                  <c:v>33.597000000000001</c:v>
                </c:pt>
                <c:pt idx="21">
                  <c:v>33.710999999999999</c:v>
                </c:pt>
                <c:pt idx="22">
                  <c:v>33.606000000000002</c:v>
                </c:pt>
                <c:pt idx="23">
                  <c:v>33.594000000000001</c:v>
                </c:pt>
                <c:pt idx="24">
                  <c:v>34.298999999999999</c:v>
                </c:pt>
                <c:pt idx="25">
                  <c:v>33.607999999999997</c:v>
                </c:pt>
                <c:pt idx="26">
                  <c:v>33.597999999999999</c:v>
                </c:pt>
                <c:pt idx="27">
                  <c:v>33.609000000000002</c:v>
                </c:pt>
                <c:pt idx="28">
                  <c:v>33.732999999999997</c:v>
                </c:pt>
                <c:pt idx="29">
                  <c:v>34.466999999999999</c:v>
                </c:pt>
                <c:pt idx="30">
                  <c:v>34.773000000000003</c:v>
                </c:pt>
                <c:pt idx="31">
                  <c:v>34.735999999999997</c:v>
                </c:pt>
                <c:pt idx="32">
                  <c:v>35.893999999999998</c:v>
                </c:pt>
                <c:pt idx="33">
                  <c:v>35.786000000000001</c:v>
                </c:pt>
                <c:pt idx="34">
                  <c:v>36.182000000000002</c:v>
                </c:pt>
                <c:pt idx="35">
                  <c:v>35.167000000000002</c:v>
                </c:pt>
                <c:pt idx="36">
                  <c:v>35.637999999999998</c:v>
                </c:pt>
                <c:pt idx="37">
                  <c:v>35.219000000000001</c:v>
                </c:pt>
                <c:pt idx="38">
                  <c:v>35.475999999999999</c:v>
                </c:pt>
                <c:pt idx="39">
                  <c:v>35.228999999999999</c:v>
                </c:pt>
                <c:pt idx="40">
                  <c:v>35.954000000000001</c:v>
                </c:pt>
                <c:pt idx="41">
                  <c:v>35.131</c:v>
                </c:pt>
                <c:pt idx="42">
                  <c:v>35.780999999999999</c:v>
                </c:pt>
                <c:pt idx="43">
                  <c:v>36.792000000000002</c:v>
                </c:pt>
                <c:pt idx="44">
                  <c:v>38.636000000000003</c:v>
                </c:pt>
                <c:pt idx="45">
                  <c:v>40.591000000000001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8-4728-8A03-ACFEABCC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92865920"/>
        <c:axId val="-1340081248"/>
      </c:lineChart>
      <c:catAx>
        <c:axId val="-11928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81248"/>
        <c:crosses val="autoZero"/>
        <c:auto val="1"/>
        <c:lblAlgn val="ctr"/>
        <c:lblOffset val="100"/>
        <c:noMultiLvlLbl val="0"/>
      </c:catAx>
      <c:valAx>
        <c:axId val="-1340081248"/>
        <c:scaling>
          <c:orientation val="minMax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2865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7648168230468"/>
          <c:y val="5.5555555555555552E-2"/>
          <c:w val="0.838444371100319"/>
          <c:h val="0.73519320501603957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[2]Sheet1!$E$49:$E$100</c:f>
              <c:numCache>
                <c:formatCode>General</c:formatCode>
                <c:ptCount val="52"/>
                <c:pt idx="0">
                  <c:v>0</c:v>
                </c:pt>
                <c:pt idx="1">
                  <c:v>3.6607082649548257</c:v>
                </c:pt>
                <c:pt idx="2">
                  <c:v>5.159016978003379</c:v>
                </c:pt>
                <c:pt idx="3">
                  <c:v>26.923162562015616</c:v>
                </c:pt>
                <c:pt idx="4">
                  <c:v>28.768893040698334</c:v>
                </c:pt>
                <c:pt idx="5">
                  <c:v>47.703405128526001</c:v>
                </c:pt>
                <c:pt idx="6">
                  <c:v>50.255064392652891</c:v>
                </c:pt>
                <c:pt idx="7">
                  <c:v>59.193952466442241</c:v>
                </c:pt>
                <c:pt idx="8">
                  <c:v>69.444593909900306</c:v>
                </c:pt>
                <c:pt idx="9">
                  <c:v>72.01186054953989</c:v>
                </c:pt>
                <c:pt idx="10">
                  <c:v>75.967724298592572</c:v>
                </c:pt>
                <c:pt idx="11">
                  <c:v>80.161863662160442</c:v>
                </c:pt>
                <c:pt idx="12">
                  <c:v>82.35791124811746</c:v>
                </c:pt>
                <c:pt idx="13">
                  <c:v>85.145814582348805</c:v>
                </c:pt>
                <c:pt idx="14">
                  <c:v>87.417389586530476</c:v>
                </c:pt>
                <c:pt idx="15">
                  <c:v>90.749218663562303</c:v>
                </c:pt>
                <c:pt idx="16">
                  <c:v>92.1363902462531</c:v>
                </c:pt>
                <c:pt idx="17">
                  <c:v>97.73372264691919</c:v>
                </c:pt>
                <c:pt idx="18">
                  <c:v>103.38064862456623</c:v>
                </c:pt>
                <c:pt idx="19">
                  <c:v>109.85240580514568</c:v>
                </c:pt>
                <c:pt idx="20">
                  <c:v>112.18466586747378</c:v>
                </c:pt>
                <c:pt idx="21">
                  <c:v>113.75081560503743</c:v>
                </c:pt>
                <c:pt idx="22">
                  <c:v>114.83004681288368</c:v>
                </c:pt>
                <c:pt idx="23">
                  <c:v>116.45801026471727</c:v>
                </c:pt>
                <c:pt idx="24">
                  <c:v>117.49138967221577</c:v>
                </c:pt>
                <c:pt idx="25">
                  <c:v>120.02286394602032</c:v>
                </c:pt>
                <c:pt idx="26">
                  <c:v>121.38752690799319</c:v>
                </c:pt>
                <c:pt idx="27">
                  <c:v>124.68973132321672</c:v>
                </c:pt>
                <c:pt idx="28">
                  <c:v>126.38858770342124</c:v>
                </c:pt>
                <c:pt idx="29">
                  <c:v>127.91732083904564</c:v>
                </c:pt>
                <c:pt idx="30">
                  <c:v>149.89001885251707</c:v>
                </c:pt>
                <c:pt idx="31">
                  <c:v>172.3683252169042</c:v>
                </c:pt>
                <c:pt idx="32">
                  <c:v>177.09845555321951</c:v>
                </c:pt>
                <c:pt idx="33">
                  <c:v>183.29923623015614</c:v>
                </c:pt>
                <c:pt idx="34">
                  <c:v>183.36239476078191</c:v>
                </c:pt>
                <c:pt idx="35">
                  <c:v>190.17555005044946</c:v>
                </c:pt>
                <c:pt idx="36">
                  <c:v>196.02279051038403</c:v>
                </c:pt>
                <c:pt idx="37">
                  <c:v>209.44133070663517</c:v>
                </c:pt>
                <c:pt idx="38">
                  <c:v>215.70397248158332</c:v>
                </c:pt>
                <c:pt idx="39">
                  <c:v>220.7081000778316</c:v>
                </c:pt>
                <c:pt idx="40">
                  <c:v>222.00877720922841</c:v>
                </c:pt>
                <c:pt idx="41">
                  <c:v>223.8430754401804</c:v>
                </c:pt>
                <c:pt idx="42">
                  <c:v>225.84973460406147</c:v>
                </c:pt>
                <c:pt idx="43">
                  <c:v>228.35503498526279</c:v>
                </c:pt>
                <c:pt idx="44">
                  <c:v>243.27610900817075</c:v>
                </c:pt>
                <c:pt idx="45">
                  <c:v>250.53161133397785</c:v>
                </c:pt>
                <c:pt idx="46">
                  <c:v>260.67141927109816</c:v>
                </c:pt>
                <c:pt idx="47">
                  <c:v>266.9804731621777</c:v>
                </c:pt>
                <c:pt idx="48">
                  <c:v>282.64164329733961</c:v>
                </c:pt>
                <c:pt idx="49">
                  <c:v>311.83149968629243</c:v>
                </c:pt>
                <c:pt idx="50">
                  <c:v>341.64697125704754</c:v>
                </c:pt>
                <c:pt idx="51">
                  <c:v>356.06894130297286</c:v>
                </c:pt>
              </c:numCache>
            </c:numRef>
          </c:cat>
          <c:val>
            <c:numRef>
              <c:f>[2]Sheet1!$F$49:$F$100</c:f>
              <c:numCache>
                <c:formatCode>General</c:formatCode>
                <c:ptCount val="52"/>
                <c:pt idx="0">
                  <c:v>31.609000000000002</c:v>
                </c:pt>
                <c:pt idx="1">
                  <c:v>31.597000000000001</c:v>
                </c:pt>
                <c:pt idx="2">
                  <c:v>30.471</c:v>
                </c:pt>
                <c:pt idx="3">
                  <c:v>30.518000000000001</c:v>
                </c:pt>
                <c:pt idx="4">
                  <c:v>29.92</c:v>
                </c:pt>
                <c:pt idx="5">
                  <c:v>30.225000000000001</c:v>
                </c:pt>
                <c:pt idx="6">
                  <c:v>28.734000000000002</c:v>
                </c:pt>
                <c:pt idx="7">
                  <c:v>27.207999999999998</c:v>
                </c:pt>
                <c:pt idx="8">
                  <c:v>27.445</c:v>
                </c:pt>
                <c:pt idx="9">
                  <c:v>27.97</c:v>
                </c:pt>
                <c:pt idx="10">
                  <c:v>26.920999999999999</c:v>
                </c:pt>
                <c:pt idx="11">
                  <c:v>26.943000000000001</c:v>
                </c:pt>
                <c:pt idx="12">
                  <c:v>26.052</c:v>
                </c:pt>
                <c:pt idx="13">
                  <c:v>25.971</c:v>
                </c:pt>
                <c:pt idx="14">
                  <c:v>26.131</c:v>
                </c:pt>
                <c:pt idx="15">
                  <c:v>26.11</c:v>
                </c:pt>
                <c:pt idx="16">
                  <c:v>26.664000000000001</c:v>
                </c:pt>
                <c:pt idx="17">
                  <c:v>26.347000000000001</c:v>
                </c:pt>
                <c:pt idx="18">
                  <c:v>26.812999999999999</c:v>
                </c:pt>
                <c:pt idx="19">
                  <c:v>26.446000000000002</c:v>
                </c:pt>
                <c:pt idx="20">
                  <c:v>26.166</c:v>
                </c:pt>
                <c:pt idx="21">
                  <c:v>26.05</c:v>
                </c:pt>
                <c:pt idx="22">
                  <c:v>26.007000000000001</c:v>
                </c:pt>
                <c:pt idx="23">
                  <c:v>26.137</c:v>
                </c:pt>
                <c:pt idx="24">
                  <c:v>25.888000000000002</c:v>
                </c:pt>
                <c:pt idx="25">
                  <c:v>26.251999999999999</c:v>
                </c:pt>
                <c:pt idx="26">
                  <c:v>26.558</c:v>
                </c:pt>
                <c:pt idx="27">
                  <c:v>26.553999999999998</c:v>
                </c:pt>
                <c:pt idx="28">
                  <c:v>26.11</c:v>
                </c:pt>
                <c:pt idx="29">
                  <c:v>26.577000000000002</c:v>
                </c:pt>
                <c:pt idx="30">
                  <c:v>26.576000000000001</c:v>
                </c:pt>
                <c:pt idx="31">
                  <c:v>26.001000000000001</c:v>
                </c:pt>
                <c:pt idx="32">
                  <c:v>26.738</c:v>
                </c:pt>
                <c:pt idx="33">
                  <c:v>26.428000000000001</c:v>
                </c:pt>
                <c:pt idx="34">
                  <c:v>26.407</c:v>
                </c:pt>
                <c:pt idx="35">
                  <c:v>27.337</c:v>
                </c:pt>
                <c:pt idx="36">
                  <c:v>26.483000000000001</c:v>
                </c:pt>
                <c:pt idx="37">
                  <c:v>25.878</c:v>
                </c:pt>
                <c:pt idx="38">
                  <c:v>26.620999999999999</c:v>
                </c:pt>
                <c:pt idx="39">
                  <c:v>25.922000000000001</c:v>
                </c:pt>
                <c:pt idx="40">
                  <c:v>25.718</c:v>
                </c:pt>
                <c:pt idx="41">
                  <c:v>25.597000000000001</c:v>
                </c:pt>
                <c:pt idx="42">
                  <c:v>25.675000000000001</c:v>
                </c:pt>
                <c:pt idx="43">
                  <c:v>26.053999999999998</c:v>
                </c:pt>
                <c:pt idx="44">
                  <c:v>27.113</c:v>
                </c:pt>
                <c:pt idx="45">
                  <c:v>27.846</c:v>
                </c:pt>
                <c:pt idx="46">
                  <c:v>27.306000000000001</c:v>
                </c:pt>
                <c:pt idx="47">
                  <c:v>26.873999999999999</c:v>
                </c:pt>
                <c:pt idx="48">
                  <c:v>27.143999999999998</c:v>
                </c:pt>
                <c:pt idx="49">
                  <c:v>27.988</c:v>
                </c:pt>
                <c:pt idx="50">
                  <c:v>28.65</c:v>
                </c:pt>
                <c:pt idx="51">
                  <c:v>30.991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9-4A17-AA0A-46383C8E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340080704"/>
        <c:axId val="-1340079616"/>
      </c:lineChart>
      <c:catAx>
        <c:axId val="-1340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79616"/>
        <c:crosses val="autoZero"/>
        <c:auto val="1"/>
        <c:lblAlgn val="ctr"/>
        <c:lblOffset val="100"/>
        <c:noMultiLvlLbl val="0"/>
      </c:catAx>
      <c:valAx>
        <c:axId val="-1340079616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IN" sz="900" b="1" i="0" u="none" strike="noStrike" kern="1200" spc="2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0080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404085524041769E-2"/>
          <c:y val="5.0925925925925923E-2"/>
          <c:w val="0.86982842774175662"/>
          <c:h val="0.77685987168270632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'[3]SUNDARPUR CS'!$E$2:$E$20</c:f>
              <c:numCache>
                <c:formatCode>General</c:formatCode>
                <c:ptCount val="19"/>
                <c:pt idx="0">
                  <c:v>0</c:v>
                </c:pt>
                <c:pt idx="1">
                  <c:v>56.193112762917082</c:v>
                </c:pt>
                <c:pt idx="2">
                  <c:v>147.42950559505542</c:v>
                </c:pt>
                <c:pt idx="3">
                  <c:v>227.26443637714414</c:v>
                </c:pt>
                <c:pt idx="4">
                  <c:v>306.65986203893169</c:v>
                </c:pt>
                <c:pt idx="5">
                  <c:v>348.01510800592376</c:v>
                </c:pt>
                <c:pt idx="6">
                  <c:v>361.68398667243292</c:v>
                </c:pt>
                <c:pt idx="7">
                  <c:v>382.54935676284231</c:v>
                </c:pt>
                <c:pt idx="8">
                  <c:v>386.01215346486543</c:v>
                </c:pt>
                <c:pt idx="9">
                  <c:v>395.68824963002754</c:v>
                </c:pt>
                <c:pt idx="10">
                  <c:v>421.75500502845568</c:v>
                </c:pt>
                <c:pt idx="11">
                  <c:v>424.35661318482255</c:v>
                </c:pt>
                <c:pt idx="12">
                  <c:v>429.22596067705791</c:v>
                </c:pt>
                <c:pt idx="13">
                  <c:v>465.27250927776777</c:v>
                </c:pt>
                <c:pt idx="14">
                  <c:v>469.06437662758003</c:v>
                </c:pt>
                <c:pt idx="15">
                  <c:v>473.82945060405729</c:v>
                </c:pt>
                <c:pt idx="16">
                  <c:v>476.94255532411046</c:v>
                </c:pt>
                <c:pt idx="17">
                  <c:v>479.9387217082234</c:v>
                </c:pt>
                <c:pt idx="18">
                  <c:v>482.12532866861471</c:v>
                </c:pt>
              </c:numCache>
            </c:numRef>
          </c:cat>
          <c:val>
            <c:numRef>
              <c:f>'[3]SUNDARPUR CS'!$F$2:$F$20</c:f>
              <c:numCache>
                <c:formatCode>General</c:formatCode>
                <c:ptCount val="19"/>
                <c:pt idx="0">
                  <c:v>32.936</c:v>
                </c:pt>
                <c:pt idx="1">
                  <c:v>30.003</c:v>
                </c:pt>
                <c:pt idx="2">
                  <c:v>28.085000000000001</c:v>
                </c:pt>
                <c:pt idx="3">
                  <c:v>27.974</c:v>
                </c:pt>
                <c:pt idx="4">
                  <c:v>27.248000000000001</c:v>
                </c:pt>
                <c:pt idx="5">
                  <c:v>27.452999999999999</c:v>
                </c:pt>
                <c:pt idx="6">
                  <c:v>27.934999999999999</c:v>
                </c:pt>
                <c:pt idx="7">
                  <c:v>25.991</c:v>
                </c:pt>
                <c:pt idx="8">
                  <c:v>26.818999999999999</c:v>
                </c:pt>
                <c:pt idx="9">
                  <c:v>27.117999999999999</c:v>
                </c:pt>
                <c:pt idx="10">
                  <c:v>26.635000000000002</c:v>
                </c:pt>
                <c:pt idx="11">
                  <c:v>25.809000000000001</c:v>
                </c:pt>
                <c:pt idx="12">
                  <c:v>25.231999999999999</c:v>
                </c:pt>
                <c:pt idx="13">
                  <c:v>23.567</c:v>
                </c:pt>
                <c:pt idx="14">
                  <c:v>24.033000000000001</c:v>
                </c:pt>
                <c:pt idx="15">
                  <c:v>26.138000000000002</c:v>
                </c:pt>
                <c:pt idx="16">
                  <c:v>26.978999999999999</c:v>
                </c:pt>
                <c:pt idx="17">
                  <c:v>27.774999999999999</c:v>
                </c:pt>
                <c:pt idx="18">
                  <c:v>30.875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9-4E97-83F8-58910DE9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265898368"/>
        <c:axId val="-1265904352"/>
      </c:lineChart>
      <c:catAx>
        <c:axId val="-12658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904352"/>
        <c:crosses val="autoZero"/>
        <c:auto val="1"/>
        <c:lblAlgn val="ctr"/>
        <c:lblOffset val="100"/>
        <c:noMultiLvlLbl val="0"/>
      </c:catAx>
      <c:valAx>
        <c:axId val="-1265904352"/>
        <c:scaling>
          <c:orientation val="minMax"/>
          <c:min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898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8092738407699"/>
          <c:y val="0.17171296296296296"/>
          <c:w val="0.83804879945562361"/>
          <c:h val="0.6222998687664042"/>
        </c:manualLayout>
      </c:layout>
      <c:lineChart>
        <c:grouping val="standard"/>
        <c:varyColors val="0"/>
        <c:ser>
          <c:idx val="1"/>
          <c:order val="0"/>
          <c:tx>
            <c:strRef>
              <c:f>[4]GRAPH!$F$1</c:f>
              <c:strCache>
                <c:ptCount val="1"/>
                <c:pt idx="0">
                  <c:v>Elevation (m)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[4]GRAPH!$E$2:$E$29</c:f>
              <c:numCache>
                <c:formatCode>General</c:formatCode>
                <c:ptCount val="28"/>
                <c:pt idx="0">
                  <c:v>0</c:v>
                </c:pt>
                <c:pt idx="1">
                  <c:v>3.4368015652746418</c:v>
                </c:pt>
                <c:pt idx="2">
                  <c:v>12.659468695961994</c:v>
                </c:pt>
                <c:pt idx="3">
                  <c:v>22.393324304006235</c:v>
                </c:pt>
                <c:pt idx="4">
                  <c:v>37.074345555935764</c:v>
                </c:pt>
                <c:pt idx="5">
                  <c:v>63.672362399260862</c:v>
                </c:pt>
                <c:pt idx="6">
                  <c:v>77.051135511964404</c:v>
                </c:pt>
                <c:pt idx="7">
                  <c:v>86.983395325544961</c:v>
                </c:pt>
                <c:pt idx="8">
                  <c:v>93.180411139323098</c:v>
                </c:pt>
                <c:pt idx="9">
                  <c:v>106.09483625236855</c:v>
                </c:pt>
                <c:pt idx="10">
                  <c:v>148.32411785891432</c:v>
                </c:pt>
                <c:pt idx="11">
                  <c:v>150.86710075319272</c:v>
                </c:pt>
                <c:pt idx="12">
                  <c:v>155.13585994051741</c:v>
                </c:pt>
                <c:pt idx="13">
                  <c:v>166.26895959858606</c:v>
                </c:pt>
                <c:pt idx="14">
                  <c:v>176.07994578777507</c:v>
                </c:pt>
                <c:pt idx="15">
                  <c:v>181.76978128634084</c:v>
                </c:pt>
                <c:pt idx="16">
                  <c:v>184.9799241180483</c:v>
                </c:pt>
                <c:pt idx="17">
                  <c:v>194.78899588833681</c:v>
                </c:pt>
                <c:pt idx="18">
                  <c:v>206.35666756434864</c:v>
                </c:pt>
                <c:pt idx="19">
                  <c:v>228.76344093770533</c:v>
                </c:pt>
                <c:pt idx="20">
                  <c:v>242.87718346049635</c:v>
                </c:pt>
                <c:pt idx="21">
                  <c:v>254.97706907946107</c:v>
                </c:pt>
                <c:pt idx="22">
                  <c:v>269.88893029789949</c:v>
                </c:pt>
                <c:pt idx="23">
                  <c:v>304.66657141990726</c:v>
                </c:pt>
                <c:pt idx="24">
                  <c:v>338.14470341668488</c:v>
                </c:pt>
                <c:pt idx="25">
                  <c:v>371.59917129502242</c:v>
                </c:pt>
                <c:pt idx="26">
                  <c:v>377.49235388138692</c:v>
                </c:pt>
                <c:pt idx="27">
                  <c:v>379.65602668500298</c:v>
                </c:pt>
              </c:numCache>
            </c:numRef>
          </c:cat>
          <c:val>
            <c:numRef>
              <c:f>[4]GRAPH!$F$2:$F$29</c:f>
              <c:numCache>
                <c:formatCode>General</c:formatCode>
                <c:ptCount val="28"/>
                <c:pt idx="0">
                  <c:v>59.826000000000001</c:v>
                </c:pt>
                <c:pt idx="1">
                  <c:v>58.347999999999999</c:v>
                </c:pt>
                <c:pt idx="2">
                  <c:v>57.192999999999998</c:v>
                </c:pt>
                <c:pt idx="3">
                  <c:v>56.433</c:v>
                </c:pt>
                <c:pt idx="4">
                  <c:v>55.533000000000001</c:v>
                </c:pt>
                <c:pt idx="5">
                  <c:v>55.667000000000002</c:v>
                </c:pt>
                <c:pt idx="6">
                  <c:v>54.948</c:v>
                </c:pt>
                <c:pt idx="7">
                  <c:v>54.311</c:v>
                </c:pt>
                <c:pt idx="8">
                  <c:v>54.09</c:v>
                </c:pt>
                <c:pt idx="9">
                  <c:v>53.343000000000004</c:v>
                </c:pt>
                <c:pt idx="10">
                  <c:v>53.393999999999998</c:v>
                </c:pt>
                <c:pt idx="11">
                  <c:v>53.975000000000001</c:v>
                </c:pt>
                <c:pt idx="12">
                  <c:v>55.003</c:v>
                </c:pt>
                <c:pt idx="13">
                  <c:v>55.814</c:v>
                </c:pt>
                <c:pt idx="14">
                  <c:v>55.923999999999999</c:v>
                </c:pt>
                <c:pt idx="15">
                  <c:v>56.058</c:v>
                </c:pt>
                <c:pt idx="16">
                  <c:v>55.898000000000003</c:v>
                </c:pt>
                <c:pt idx="17">
                  <c:v>56.399000000000001</c:v>
                </c:pt>
                <c:pt idx="18">
                  <c:v>56.600999999999999</c:v>
                </c:pt>
                <c:pt idx="19">
                  <c:v>56.238999999999997</c:v>
                </c:pt>
                <c:pt idx="20">
                  <c:v>57.314999999999998</c:v>
                </c:pt>
                <c:pt idx="21">
                  <c:v>58.3</c:v>
                </c:pt>
                <c:pt idx="22">
                  <c:v>59.442</c:v>
                </c:pt>
                <c:pt idx="23">
                  <c:v>59.539000000000001</c:v>
                </c:pt>
                <c:pt idx="24">
                  <c:v>59.676000000000002</c:v>
                </c:pt>
                <c:pt idx="25">
                  <c:v>60.235999999999997</c:v>
                </c:pt>
                <c:pt idx="26">
                  <c:v>60.680999999999997</c:v>
                </c:pt>
                <c:pt idx="27">
                  <c:v>61.470999999999997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3-4C42-AB31-E508DBB82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3000"/>
                </a:srgbClr>
              </a:solidFill>
              <a:round/>
            </a:ln>
            <a:effectLst/>
          </c:spPr>
        </c:dropLines>
        <c:smooth val="0"/>
        <c:axId val="-1185610608"/>
        <c:axId val="-1185613328"/>
      </c:lineChart>
      <c:catAx>
        <c:axId val="-11856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3328"/>
        <c:crosses val="autoZero"/>
        <c:auto val="1"/>
        <c:lblAlgn val="ctr"/>
        <c:lblOffset val="100"/>
        <c:noMultiLvlLbl val="0"/>
      </c:catAx>
      <c:valAx>
        <c:axId val="-118561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10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720472440945"/>
          <c:y val="9.4444444444444442E-2"/>
          <c:w val="0.78862029746281714"/>
          <c:h val="0.70961522801832821"/>
        </c:manualLayout>
      </c:layout>
      <c:lineChart>
        <c:grouping val="standard"/>
        <c:varyColors val="0"/>
        <c:ser>
          <c:idx val="1"/>
          <c:order val="0"/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[4]GRAPH!$E$31:$E$56</c:f>
              <c:numCache>
                <c:formatCode>General</c:formatCode>
                <c:ptCount val="26"/>
                <c:pt idx="0">
                  <c:v>0</c:v>
                </c:pt>
                <c:pt idx="1">
                  <c:v>36.58351445654241</c:v>
                </c:pt>
                <c:pt idx="2">
                  <c:v>55.621748408287374</c:v>
                </c:pt>
                <c:pt idx="3">
                  <c:v>68.780815320697656</c:v>
                </c:pt>
                <c:pt idx="4">
                  <c:v>84.313458238126358</c:v>
                </c:pt>
                <c:pt idx="5">
                  <c:v>91.447197860347629</c:v>
                </c:pt>
                <c:pt idx="6">
                  <c:v>102.7609305778825</c:v>
                </c:pt>
                <c:pt idx="7">
                  <c:v>106.79726356708481</c:v>
                </c:pt>
                <c:pt idx="8">
                  <c:v>140.91691938315043</c:v>
                </c:pt>
                <c:pt idx="9">
                  <c:v>162.64381444436808</c:v>
                </c:pt>
                <c:pt idx="10">
                  <c:v>164.98407190871467</c:v>
                </c:pt>
                <c:pt idx="11">
                  <c:v>173.33429591761586</c:v>
                </c:pt>
                <c:pt idx="12">
                  <c:v>181.82912452091341</c:v>
                </c:pt>
                <c:pt idx="13">
                  <c:v>184.71567575027549</c:v>
                </c:pt>
                <c:pt idx="14">
                  <c:v>186.98973929398596</c:v>
                </c:pt>
                <c:pt idx="15">
                  <c:v>191.23510288268179</c:v>
                </c:pt>
                <c:pt idx="16">
                  <c:v>197.15919074509759</c:v>
                </c:pt>
                <c:pt idx="17">
                  <c:v>241.26627744302226</c:v>
                </c:pt>
                <c:pt idx="18">
                  <c:v>250.22244140991631</c:v>
                </c:pt>
                <c:pt idx="19">
                  <c:v>267.52844814166428</c:v>
                </c:pt>
                <c:pt idx="20">
                  <c:v>306.855595876839</c:v>
                </c:pt>
                <c:pt idx="21">
                  <c:v>324.65640091511682</c:v>
                </c:pt>
                <c:pt idx="22">
                  <c:v>330.70170793796132</c:v>
                </c:pt>
                <c:pt idx="23">
                  <c:v>332.93320810579263</c:v>
                </c:pt>
                <c:pt idx="24">
                  <c:v>339.62071421814466</c:v>
                </c:pt>
                <c:pt idx="25">
                  <c:v>348.53107638806887</c:v>
                </c:pt>
              </c:numCache>
            </c:numRef>
          </c:cat>
          <c:val>
            <c:numRef>
              <c:f>[4]GRAPH!$F$31:$F$56</c:f>
              <c:numCache>
                <c:formatCode>General</c:formatCode>
                <c:ptCount val="26"/>
                <c:pt idx="0">
                  <c:v>58.963000000000001</c:v>
                </c:pt>
                <c:pt idx="1">
                  <c:v>56.198999999999998</c:v>
                </c:pt>
                <c:pt idx="2">
                  <c:v>56.076999999999998</c:v>
                </c:pt>
                <c:pt idx="3">
                  <c:v>55.198</c:v>
                </c:pt>
                <c:pt idx="4">
                  <c:v>53.2</c:v>
                </c:pt>
                <c:pt idx="5">
                  <c:v>53.847000000000001</c:v>
                </c:pt>
                <c:pt idx="6">
                  <c:v>53.826999999999998</c:v>
                </c:pt>
                <c:pt idx="7">
                  <c:v>52.779000000000003</c:v>
                </c:pt>
                <c:pt idx="8">
                  <c:v>52.143999999999998</c:v>
                </c:pt>
                <c:pt idx="9">
                  <c:v>52.137</c:v>
                </c:pt>
                <c:pt idx="10">
                  <c:v>51.247</c:v>
                </c:pt>
                <c:pt idx="11">
                  <c:v>51.039000000000001</c:v>
                </c:pt>
                <c:pt idx="12">
                  <c:v>51.09</c:v>
                </c:pt>
                <c:pt idx="13">
                  <c:v>51.112000000000002</c:v>
                </c:pt>
                <c:pt idx="14">
                  <c:v>51.454000000000001</c:v>
                </c:pt>
                <c:pt idx="15">
                  <c:v>51.226999999999997</c:v>
                </c:pt>
                <c:pt idx="16">
                  <c:v>51.462000000000003</c:v>
                </c:pt>
                <c:pt idx="17">
                  <c:v>51.631999999999998</c:v>
                </c:pt>
                <c:pt idx="18">
                  <c:v>51.284999999999997</c:v>
                </c:pt>
                <c:pt idx="19">
                  <c:v>51.454000000000001</c:v>
                </c:pt>
                <c:pt idx="20">
                  <c:v>51.734000000000002</c:v>
                </c:pt>
                <c:pt idx="21">
                  <c:v>51.610999999999997</c:v>
                </c:pt>
                <c:pt idx="22">
                  <c:v>52.051000000000002</c:v>
                </c:pt>
                <c:pt idx="23">
                  <c:v>53.232999999999997</c:v>
                </c:pt>
                <c:pt idx="24">
                  <c:v>53.557000000000002</c:v>
                </c:pt>
                <c:pt idx="25">
                  <c:v>54.345999999999997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A-4320-AD14-BA36ACD6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F0">
                  <a:alpha val="33000"/>
                </a:srgbClr>
              </a:solidFill>
              <a:round/>
            </a:ln>
            <a:effectLst/>
          </c:spPr>
        </c:dropLines>
        <c:smooth val="0"/>
        <c:axId val="-1185603536"/>
        <c:axId val="-1185608432"/>
      </c:lineChart>
      <c:catAx>
        <c:axId val="-11856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8432"/>
        <c:crosses val="autoZero"/>
        <c:auto val="1"/>
        <c:lblAlgn val="ctr"/>
        <c:lblOffset val="100"/>
        <c:noMultiLvlLbl val="0"/>
      </c:catAx>
      <c:valAx>
        <c:axId val="-118560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3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[5]Dudhani!$E$2:$E$23</c:f>
              <c:numCache>
                <c:formatCode>General</c:formatCode>
                <c:ptCount val="22"/>
                <c:pt idx="0">
                  <c:v>0</c:v>
                </c:pt>
                <c:pt idx="1">
                  <c:v>3.8971941188757926</c:v>
                </c:pt>
                <c:pt idx="2">
                  <c:v>9.3122593999816878</c:v>
                </c:pt>
                <c:pt idx="3">
                  <c:v>16.665999740936073</c:v>
                </c:pt>
                <c:pt idx="4">
                  <c:v>25.298509514970853</c:v>
                </c:pt>
                <c:pt idx="5">
                  <c:v>48.197883065535038</c:v>
                </c:pt>
                <c:pt idx="6">
                  <c:v>69.168612237111091</c:v>
                </c:pt>
                <c:pt idx="7">
                  <c:v>72.488541905380728</c:v>
                </c:pt>
                <c:pt idx="8">
                  <c:v>75.713554773419375</c:v>
                </c:pt>
                <c:pt idx="9">
                  <c:v>81.404344261751362</c:v>
                </c:pt>
                <c:pt idx="10">
                  <c:v>83.862004327558466</c:v>
                </c:pt>
                <c:pt idx="11">
                  <c:v>85.922841536066571</c:v>
                </c:pt>
                <c:pt idx="12">
                  <c:v>106.42242162939723</c:v>
                </c:pt>
                <c:pt idx="13">
                  <c:v>126.42654860385319</c:v>
                </c:pt>
                <c:pt idx="14">
                  <c:v>132.78015616143941</c:v>
                </c:pt>
                <c:pt idx="15">
                  <c:v>137.60428478760616</c:v>
                </c:pt>
                <c:pt idx="16">
                  <c:v>148.54257610762616</c:v>
                </c:pt>
                <c:pt idx="17">
                  <c:v>170.8207328087677</c:v>
                </c:pt>
                <c:pt idx="18">
                  <c:v>195.46214607992982</c:v>
                </c:pt>
                <c:pt idx="19">
                  <c:v>200.37174993350777</c:v>
                </c:pt>
                <c:pt idx="20">
                  <c:v>206.19868480540586</c:v>
                </c:pt>
                <c:pt idx="21">
                  <c:v>216.65625182654233</c:v>
                </c:pt>
              </c:numCache>
            </c:numRef>
          </c:cat>
          <c:val>
            <c:numRef>
              <c:f>[5]Dudhani!$F$2:$F$23</c:f>
              <c:numCache>
                <c:formatCode>General</c:formatCode>
                <c:ptCount val="22"/>
                <c:pt idx="0">
                  <c:v>125.599</c:v>
                </c:pt>
                <c:pt idx="1">
                  <c:v>124.458</c:v>
                </c:pt>
                <c:pt idx="2">
                  <c:v>123.50700000000001</c:v>
                </c:pt>
                <c:pt idx="3">
                  <c:v>122.598</c:v>
                </c:pt>
                <c:pt idx="4">
                  <c:v>121.767</c:v>
                </c:pt>
                <c:pt idx="5">
                  <c:v>121.173</c:v>
                </c:pt>
                <c:pt idx="6">
                  <c:v>121.357</c:v>
                </c:pt>
                <c:pt idx="7">
                  <c:v>121.755</c:v>
                </c:pt>
                <c:pt idx="8">
                  <c:v>121.399</c:v>
                </c:pt>
                <c:pt idx="9">
                  <c:v>121.75700000000001</c:v>
                </c:pt>
                <c:pt idx="10">
                  <c:v>121.754</c:v>
                </c:pt>
                <c:pt idx="11">
                  <c:v>121.532</c:v>
                </c:pt>
                <c:pt idx="12">
                  <c:v>121.14400000000001</c:v>
                </c:pt>
                <c:pt idx="13">
                  <c:v>121.319</c:v>
                </c:pt>
                <c:pt idx="14">
                  <c:v>120.929</c:v>
                </c:pt>
                <c:pt idx="15">
                  <c:v>120.952</c:v>
                </c:pt>
                <c:pt idx="16">
                  <c:v>121.322</c:v>
                </c:pt>
                <c:pt idx="17">
                  <c:v>121.014</c:v>
                </c:pt>
                <c:pt idx="18">
                  <c:v>121.27</c:v>
                </c:pt>
                <c:pt idx="19">
                  <c:v>122.907</c:v>
                </c:pt>
                <c:pt idx="20">
                  <c:v>124.80200000000001</c:v>
                </c:pt>
                <c:pt idx="21">
                  <c:v>126.21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F-4900-A464-53ADEC94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185605712"/>
        <c:axId val="-1185604080"/>
      </c:lineChart>
      <c:catAx>
        <c:axId val="-11856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4080"/>
        <c:crosses val="autoZero"/>
        <c:auto val="1"/>
        <c:lblAlgn val="ctr"/>
        <c:lblOffset val="100"/>
        <c:noMultiLvlLbl val="0"/>
      </c:catAx>
      <c:valAx>
        <c:axId val="-118560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605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302944</xdr:colOff>
      <xdr:row>9</xdr:row>
      <xdr:rowOff>747</xdr:rowOff>
    </xdr:from>
    <xdr:to>
      <xdr:col>22</xdr:col>
      <xdr:colOff>603274</xdr:colOff>
      <xdr:row>24</xdr:row>
      <xdr:rowOff>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1399308</xdr:colOff>
      <xdr:row>14</xdr:row>
      <xdr:rowOff>34636</xdr:rowOff>
    </xdr:from>
    <xdr:to>
      <xdr:col>28</xdr:col>
      <xdr:colOff>55112</xdr:colOff>
      <xdr:row>19</xdr:row>
      <xdr:rowOff>29328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98290" y="2556163"/>
          <a:ext cx="2438095" cy="895238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0.45908</cdr:x>
      <cdr:y>0.90928</cdr:y>
    </cdr:from>
    <cdr:to>
      <cdr:x>0.62728</cdr:x>
      <cdr:y>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336800" y="2494349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0.01447</cdr:x>
      <cdr:y>0.19907</cdr:y>
    </cdr:from>
    <cdr:to>
      <cdr:x>0.06336</cdr:x>
      <cdr:y>0.66541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441545" y="106130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0.06986</cdr:x>
      <cdr:y>0.74352</cdr:y>
    </cdr:from>
    <cdr:to>
      <cdr:x>0.11049</cdr:x>
      <cdr:y>0.81551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355600" y="2039620"/>
          <a:ext cx="206828" cy="1974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418454</xdr:colOff>
      <xdr:row>5</xdr:row>
      <xdr:rowOff>153208</xdr:rowOff>
    </xdr:from>
    <xdr:to>
      <xdr:col>15</xdr:col>
      <xdr:colOff>495241</xdr:colOff>
      <xdr:row>22</xdr:row>
      <xdr:rowOff>64169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5728391" y="1075629"/>
          <a:ext cx="5948197" cy="3047193"/>
          <a:chOff x="5342899" y="882696"/>
          <a:chExt cx="5288867" cy="2735385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aphicFramePr/>
        </xdr:nvGraphicFramePr>
        <xdr:xfrm>
          <a:off x="5342899" y="882696"/>
          <a:ext cx="5288867" cy="27353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V="1">
            <a:off x="8401755" y="2135690"/>
            <a:ext cx="1364177" cy="406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0.00531</cdr:x>
      <cdr:y>0.25185</cdr:y>
    </cdr:from>
    <cdr:to>
      <cdr:x>0.05257</cdr:x>
      <cdr:y>0.71819</cdr:y>
    </cdr:to>
    <cdr:sp macro="" textlink="">
      <cdr:nvSpPr>
        <cdr:cNvPr id="2" name="TextBox 5"/>
        <cdr:cNvSpPr txBox="1"/>
      </cdr:nvSpPr>
      <cdr:spPr>
        <a:xfrm xmlns:a="http://schemas.openxmlformats.org/drawingml/2006/main" rot="16200000">
          <a:off x="-487265" y="120608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0.45393</cdr:x>
      <cdr:y>0.90928</cdr:y>
    </cdr:from>
    <cdr:to>
      <cdr:x>0.61653</cdr:x>
      <cdr:y>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2390140" y="2494349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0.04438</cdr:x>
      <cdr:y>0.77685</cdr:y>
    </cdr:from>
    <cdr:to>
      <cdr:x>0.08366</cdr:x>
      <cdr:y>0.84816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33680" y="2131060"/>
          <a:ext cx="206828" cy="19561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16</xdr:col>
      <xdr:colOff>274320</xdr:colOff>
      <xdr:row>21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5513294" y="896471"/>
          <a:ext cx="6116320" cy="2899185"/>
          <a:chOff x="5657028" y="953621"/>
          <a:chExt cx="4603526" cy="268941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/>
        </xdr:nvGraphicFramePr>
        <xdr:xfrm>
          <a:off x="5657028" y="953621"/>
          <a:ext cx="4603526" cy="26894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CxnSpPr/>
        </xdr:nvCxnSpPr>
        <xdr:spPr>
          <a:xfrm flipV="1">
            <a:off x="7374045" y="2446781"/>
            <a:ext cx="418265" cy="12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0.43927</cdr:x>
      <cdr:y>0.87083</cdr:y>
    </cdr:from>
    <cdr:to>
      <cdr:x>0.63727</cdr:x>
      <cdr:y>0.9875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11680" y="2388870"/>
          <a:ext cx="90678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Distance (m) </a:t>
          </a:r>
        </a:p>
      </cdr:txBody>
    </cdr:sp>
  </cdr:relSizeAnchor>
  <cdr:relSizeAnchor xmlns:cdr="http://schemas.openxmlformats.org/drawingml/2006/chartDrawing">
    <cdr:from>
      <cdr:x>0.00194</cdr:x>
      <cdr:y>0.19028</cdr:y>
    </cdr:from>
    <cdr:to>
      <cdr:x>0.07182</cdr:x>
      <cdr:y>0.75417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604520" y="1135380"/>
          <a:ext cx="154686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above MSL(m) </a:t>
          </a:r>
        </a:p>
      </cdr:txBody>
    </cdr:sp>
  </cdr:relSizeAnchor>
  <cdr:relSizeAnchor xmlns:cdr="http://schemas.openxmlformats.org/drawingml/2006/chartDrawing">
    <cdr:from>
      <cdr:x>0.10869</cdr:x>
      <cdr:y>0.75013</cdr:y>
    </cdr:from>
    <cdr:to>
      <cdr:x>0.12289</cdr:x>
      <cdr:y>0.77151</cdr:y>
    </cdr:to>
    <cdr:grpSp>
      <cdr:nvGrpSpPr>
        <cdr:cNvPr id="12" name="Group 11">
          <a:extLst xmlns:a="http://schemas.openxmlformats.org/drawingml/2006/main">
            <a:ext uri="{FF2B5EF4-FFF2-40B4-BE49-F238E27FC236}">
              <a16:creationId xmlns:a16="http://schemas.microsoft.com/office/drawing/2014/main" id="{98E64BA8-CF81-2CBA-1B93-1A0E52A7BD7D}"/>
            </a:ext>
          </a:extLst>
        </cdr:cNvPr>
        <cdr:cNvGrpSpPr/>
      </cdr:nvGrpSpPr>
      <cdr:grpSpPr>
        <a:xfrm xmlns:a="http://schemas.openxmlformats.org/drawingml/2006/main">
          <a:off x="664783" y="2174766"/>
          <a:ext cx="86852" cy="61984"/>
          <a:chOff x="498862" y="2062086"/>
          <a:chExt cx="65206" cy="58783"/>
        </a:xfrm>
      </cdr:grpSpPr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6E154F63-98DB-B218-C00D-A1A2EF859A9C}"/>
              </a:ext>
            </a:extLst>
          </cdr:cNvPr>
          <cdr:cNvCxnSpPr/>
        </cdr:nvCxnSpPr>
        <cdr:spPr>
          <a:xfrm xmlns:a="http://schemas.openxmlformats.org/drawingml/2006/main" flipV="1">
            <a:off x="498862" y="2062086"/>
            <a:ext cx="65206" cy="1728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646464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7" name="Straight Connector 6">
            <a:extLst xmlns:a="http://schemas.openxmlformats.org/drawingml/2006/main">
              <a:ext uri="{FF2B5EF4-FFF2-40B4-BE49-F238E27FC236}">
                <a16:creationId xmlns:a16="http://schemas.microsoft.com/office/drawing/2014/main" id="{188D58B3-B355-8E74-7AC8-EB4A5A01001F}"/>
              </a:ext>
            </a:extLst>
          </cdr:cNvPr>
          <cdr:cNvCxnSpPr/>
        </cdr:nvCxnSpPr>
        <cdr:spPr>
          <a:xfrm xmlns:a="http://schemas.openxmlformats.org/drawingml/2006/main" flipV="1">
            <a:off x="498862" y="2103580"/>
            <a:ext cx="65206" cy="17289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646464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17</xdr:col>
      <xdr:colOff>328706</xdr:colOff>
      <xdr:row>19</xdr:row>
      <xdr:rowOff>129092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6111240" y="914400"/>
          <a:ext cx="6721886" cy="2689412"/>
          <a:chOff x="5717988" y="3944246"/>
          <a:chExt cx="4595906" cy="2689412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/>
        </xdr:nvGrpSpPr>
        <xdr:grpSpPr>
          <a:xfrm>
            <a:off x="5717988" y="3944246"/>
            <a:ext cx="4595906" cy="2689412"/>
            <a:chOff x="5709856" y="4027652"/>
            <a:chExt cx="4582288" cy="2748988"/>
          </a:xfrm>
        </xdr:grpSpPr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GraphicFramePr/>
          </xdr:nvGraphicFramePr>
          <xdr:xfrm>
            <a:off x="5709856" y="4027652"/>
            <a:ext cx="4582288" cy="27489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pSpPr/>
          </xdr:nvGrpSpPr>
          <xdr:grpSpPr>
            <a:xfrm>
              <a:off x="6310715" y="6060559"/>
              <a:ext cx="99264" cy="78829"/>
              <a:chOff x="6310715" y="6060559"/>
              <a:chExt cx="99264" cy="78829"/>
            </a:xfrm>
          </xdr:grpSpPr>
          <xdr:cxnSp macro="">
            <xdr:nvCxnSpPr>
              <xdr:cNvPr id="7" name="Straight Connector 6">
                <a:extLst>
                  <a:ext uri="{FF2B5EF4-FFF2-40B4-BE49-F238E27FC236}">
                    <a16:creationId xmlns:a16="http://schemas.microsoft.com/office/drawing/2014/main" id="{00000000-0008-0000-0700-000007000000}"/>
                  </a:ext>
                </a:extLst>
              </xdr:cNvPr>
              <xdr:cNvCxnSpPr/>
            </xdr:nvCxnSpPr>
            <xdr:spPr>
              <a:xfrm flipV="1">
                <a:off x="6310715" y="6060559"/>
                <a:ext cx="90506" cy="40874"/>
              </a:xfrm>
              <a:prstGeom prst="line">
                <a:avLst/>
              </a:prstGeom>
              <a:ln>
                <a:solidFill>
                  <a:srgbClr val="646464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Straight Connector 7">
                <a:extLst>
                  <a:ext uri="{FF2B5EF4-FFF2-40B4-BE49-F238E27FC236}">
                    <a16:creationId xmlns:a16="http://schemas.microsoft.com/office/drawing/2014/main" id="{00000000-0008-0000-0700-000008000000}"/>
                  </a:ext>
                </a:extLst>
              </xdr:cNvPr>
              <xdr:cNvCxnSpPr/>
            </xdr:nvCxnSpPr>
            <xdr:spPr>
              <a:xfrm flipV="1">
                <a:off x="6316553" y="6095594"/>
                <a:ext cx="93426" cy="43794"/>
              </a:xfrm>
              <a:prstGeom prst="line">
                <a:avLst/>
              </a:prstGeom>
              <a:ln>
                <a:solidFill>
                  <a:srgbClr val="646464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CxnSpPr/>
        </xdr:nvCxnSpPr>
        <xdr:spPr>
          <a:xfrm>
            <a:off x="7773194" y="5318491"/>
            <a:ext cx="1049854" cy="1286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0.41195</cdr:x>
      <cdr:y>0.88714</cdr:y>
    </cdr:from>
    <cdr:to>
      <cdr:x>0.61514</cdr:x>
      <cdr:y>0.96389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83438" y="2433600"/>
          <a:ext cx="928966" cy="2105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Distance</a:t>
          </a:r>
          <a:r>
            <a:rPr lang="en-IN" sz="1000" b="1" baseline="0"/>
            <a:t> (m)</a:t>
          </a:r>
          <a:endParaRPr lang="en-IN" sz="1000" b="1"/>
        </a:p>
      </cdr:txBody>
    </cdr:sp>
  </cdr:relSizeAnchor>
  <cdr:relSizeAnchor xmlns:cdr="http://schemas.openxmlformats.org/drawingml/2006/chartDrawing">
    <cdr:from>
      <cdr:x>0.02</cdr:x>
      <cdr:y>0.09269</cdr:y>
    </cdr:from>
    <cdr:to>
      <cdr:x>0.07202</cdr:x>
      <cdr:y>0.71214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639282" y="985001"/>
          <a:ext cx="1699260" cy="2378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000" b="1"/>
            <a:t>Elevation above MSL (m)</a:t>
          </a:r>
        </a:p>
      </cdr:txBody>
    </cdr:sp>
  </cdr:relSizeAnchor>
  <cdr:relSizeAnchor xmlns:cdr="http://schemas.openxmlformats.org/drawingml/2006/chartDrawing">
    <cdr:from>
      <cdr:x>0.08118</cdr:x>
      <cdr:y>0.76088</cdr:y>
    </cdr:from>
    <cdr:to>
      <cdr:x>0.12312</cdr:x>
      <cdr:y>0.83813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71168" y="2076025"/>
          <a:ext cx="191728" cy="21077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 b="1">
              <a:solidFill>
                <a:srgbClr val="545454"/>
              </a:solidFill>
            </a:rPr>
            <a:t>0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14</xdr:col>
      <xdr:colOff>1043940</xdr:colOff>
      <xdr:row>20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pSpPr/>
      </xdr:nvGrpSpPr>
      <xdr:grpSpPr>
        <a:xfrm>
          <a:off x="5501640" y="914400"/>
          <a:ext cx="5181600" cy="2743200"/>
          <a:chOff x="5501640" y="914400"/>
          <a:chExt cx="45720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5501640" y="914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CxnSpPr/>
        </xdr:nvCxnSpPr>
        <xdr:spPr>
          <a:xfrm>
            <a:off x="6736080" y="2545080"/>
            <a:ext cx="51816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CxnSpPr/>
        </xdr:nvCxnSpPr>
        <xdr:spPr>
          <a:xfrm>
            <a:off x="8374380" y="2621280"/>
            <a:ext cx="91440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279919</xdr:colOff>
      <xdr:row>18</xdr:row>
      <xdr:rowOff>55984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5897880" y="548640"/>
          <a:ext cx="6657859" cy="2799184"/>
          <a:chOff x="6369542" y="841699"/>
          <a:chExt cx="4547119" cy="279918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GraphicFramePr/>
        </xdr:nvGraphicFramePr>
        <xdr:xfrm>
          <a:off x="6369542" y="841699"/>
          <a:ext cx="4547119" cy="2799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CxnSpPr/>
        </xdr:nvCxnSpPr>
        <xdr:spPr>
          <a:xfrm>
            <a:off x="8446345" y="2506354"/>
            <a:ext cx="6309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CxnSpPr/>
        </xdr:nvCxnSpPr>
        <xdr:spPr>
          <a:xfrm>
            <a:off x="9455191" y="2353298"/>
            <a:ext cx="630957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392546</xdr:colOff>
      <xdr:row>12</xdr:row>
      <xdr:rowOff>73892</xdr:rowOff>
    </xdr:from>
    <xdr:to>
      <xdr:col>15</xdr:col>
      <xdr:colOff>387928</xdr:colOff>
      <xdr:row>12</xdr:row>
      <xdr:rowOff>80818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9063182" y="2290619"/>
          <a:ext cx="603443" cy="6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0.18982</cdr:x>
      <cdr:y>0.60283</cdr:y>
    </cdr:from>
    <cdr:to>
      <cdr:x>0.42291</cdr:x>
      <cdr:y>0.6076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9C8F73D6-4F8E-6DD8-B219-2A0B4DD5889B}"/>
            </a:ext>
          </a:extLst>
        </cdr:cNvPr>
        <cdr:cNvCxnSpPr/>
      </cdr:nvCxnSpPr>
      <cdr:spPr>
        <a:xfrm xmlns:a="http://schemas.openxmlformats.org/drawingml/2006/main" flipV="1">
          <a:off x="1167931" y="1657829"/>
          <a:ext cx="1434164" cy="131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</xdr:row>
      <xdr:rowOff>60960</xdr:rowOff>
    </xdr:from>
    <xdr:to>
      <xdr:col>16</xdr:col>
      <xdr:colOff>7620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170916</xdr:colOff>
      <xdr:row>6</xdr:row>
      <xdr:rowOff>85458</xdr:rowOff>
    </xdr:from>
    <xdr:to>
      <xdr:col>16</xdr:col>
      <xdr:colOff>192298</xdr:colOff>
      <xdr:row>21</xdr:row>
      <xdr:rowOff>78984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5497296" y="1182738"/>
          <a:ext cx="6185962" cy="2736726"/>
          <a:chOff x="7162800" y="754380"/>
          <a:chExt cx="4785662" cy="2770909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aphicFramePr>
            <a:graphicFrameLocks/>
          </xdr:cNvGraphicFramePr>
        </xdr:nvGraphicFramePr>
        <xdr:xfrm>
          <a:off x="7162800" y="754380"/>
          <a:ext cx="4785662" cy="2770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/>
        </xdr:nvCxnSpPr>
        <xdr:spPr>
          <a:xfrm flipV="1">
            <a:off x="10828020" y="2171700"/>
            <a:ext cx="594360" cy="762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9860280" y="2042160"/>
            <a:ext cx="57912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CxnSpPr/>
        </xdr:nvCxnSpPr>
        <xdr:spPr>
          <a:xfrm>
            <a:off x="8991600" y="2087880"/>
            <a:ext cx="32766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0.44872</cdr:x>
      <cdr:y>0.90835</cdr:y>
    </cdr:from>
    <cdr:to>
      <cdr:x>0.62642</cdr:x>
      <cdr:y>0.99994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161915" y="2467964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</cdr:x>
      <cdr:y>0.28307</cdr:y>
    </cdr:from>
    <cdr:to>
      <cdr:x>0.05165</cdr:x>
      <cdr:y>0.75391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515205" y="1284284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0.03129</cdr:x>
      <cdr:y>0.76812</cdr:y>
    </cdr:from>
    <cdr:to>
      <cdr:x>0.07421</cdr:x>
      <cdr:y>0.8388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150735" y="2086964"/>
          <a:ext cx="206828" cy="19201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49850</xdr:colOff>
      <xdr:row>1</xdr:row>
      <xdr:rowOff>99702</xdr:rowOff>
    </xdr:from>
    <xdr:to>
      <xdr:col>16</xdr:col>
      <xdr:colOff>302836</xdr:colOff>
      <xdr:row>16</xdr:row>
      <xdr:rowOff>127410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550635" y="284861"/>
          <a:ext cx="7851622" cy="2805091"/>
          <a:chOff x="6636142" y="-168832"/>
          <a:chExt cx="5129786" cy="277090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6636142" y="-168832"/>
          <a:ext cx="5129786" cy="27709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>
            <a:off x="8073375" y="1160546"/>
            <a:ext cx="1280160" cy="2286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0.42019</cdr:x>
      <cdr:y>0.90841</cdr:y>
    </cdr:from>
    <cdr:to>
      <cdr:x>0.58594</cdr:x>
      <cdr:y>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2150188" y="2542806"/>
          <a:ext cx="848179" cy="2563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0.00993</cdr:x>
      <cdr:y>0.21815</cdr:y>
    </cdr:from>
    <cdr:to>
      <cdr:x>0.0581</cdr:x>
      <cdr:y>0.68899</cdr:y>
    </cdr:to>
    <cdr:sp macro="" textlink="">
      <cdr:nvSpPr>
        <cdr:cNvPr id="3" name="TextBox 5"/>
        <cdr:cNvSpPr txBox="1"/>
      </cdr:nvSpPr>
      <cdr:spPr>
        <a:xfrm xmlns:a="http://schemas.openxmlformats.org/drawingml/2006/main" rot="16200000">
          <a:off x="-484919" y="1146355"/>
          <a:ext cx="1317968" cy="2465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0.04943</cdr:x>
      <cdr:y>0.8237</cdr:y>
    </cdr:from>
    <cdr:to>
      <cdr:x>0.08947</cdr:x>
      <cdr:y>0.89438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52964" y="2305698"/>
          <a:ext cx="204861" cy="1978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0.08223</cdr:x>
      <cdr:y>0.77664</cdr:y>
    </cdr:from>
    <cdr:to>
      <cdr:x>0.11414</cdr:x>
      <cdr:y>0.80164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35AB66C0-9BE6-88DA-BA94-E1E97867B019}"/>
            </a:ext>
          </a:extLst>
        </cdr:cNvPr>
        <cdr:cNvCxnSpPr/>
      </cdr:nvCxnSpPr>
      <cdr:spPr>
        <a:xfrm xmlns:a="http://schemas.openxmlformats.org/drawingml/2006/main" flipV="1">
          <a:off x="420811" y="2173954"/>
          <a:ext cx="163286" cy="699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454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0.08223</cdr:x>
      <cdr:y>0.80719</cdr:y>
    </cdr:from>
    <cdr:to>
      <cdr:x>0.11414</cdr:x>
      <cdr:y>0.83219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92495654-A0BF-E548-12E3-4A36DECC717D}"/>
            </a:ext>
          </a:extLst>
        </cdr:cNvPr>
        <cdr:cNvCxnSpPr/>
      </cdr:nvCxnSpPr>
      <cdr:spPr>
        <a:xfrm xmlns:a="http://schemas.openxmlformats.org/drawingml/2006/main" flipV="1">
          <a:off x="420811" y="2259484"/>
          <a:ext cx="163286" cy="6998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454545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2</xdr:row>
      <xdr:rowOff>76200</xdr:rowOff>
    </xdr:from>
    <xdr:to>
      <xdr:col>18</xdr:col>
      <xdr:colOff>281941</xdr:colOff>
      <xdr:row>20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570221" y="441960"/>
          <a:ext cx="8534400" cy="3246120"/>
          <a:chOff x="7739433" y="155434"/>
          <a:chExt cx="4508149" cy="275896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>
            <a:graphicFrameLocks/>
          </xdr:cNvGraphicFramePr>
        </xdr:nvGraphicFramePr>
        <xdr:xfrm>
          <a:off x="7739433" y="155434"/>
          <a:ext cx="4508149" cy="27589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9003463" y="1645651"/>
            <a:ext cx="578069" cy="375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>
            <a:off x="9655379" y="1635982"/>
            <a:ext cx="669658" cy="525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 flipV="1">
            <a:off x="10325222" y="1638514"/>
            <a:ext cx="408400" cy="450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0.21296</cdr:y>
    </cdr:from>
    <cdr:to>
      <cdr:x>0.05507</cdr:x>
      <cdr:y>0.6793</cdr:y>
    </cdr:to>
    <cdr:sp macro="" textlink="">
      <cdr:nvSpPr>
        <cdr:cNvPr id="2" name="TextBox 5"/>
        <cdr:cNvSpPr txBox="1"/>
      </cdr:nvSpPr>
      <cdr:spPr>
        <a:xfrm xmlns:a="http://schemas.openxmlformats.org/drawingml/2006/main" rot="16200000">
          <a:off x="-515205" y="1099405"/>
          <a:ext cx="127926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Elevation in MSL (m)</a:t>
          </a:r>
        </a:p>
      </cdr:txBody>
    </cdr:sp>
  </cdr:relSizeAnchor>
  <cdr:relSizeAnchor xmlns:cdr="http://schemas.openxmlformats.org/drawingml/2006/chartDrawing">
    <cdr:from>
      <cdr:x>0.42945</cdr:x>
      <cdr:y>0.88241</cdr:y>
    </cdr:from>
    <cdr:to>
      <cdr:x>0.61892</cdr:x>
      <cdr:y>0.97312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940560" y="2420620"/>
          <a:ext cx="856132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 b="1"/>
            <a:t>Distance (m)</a:t>
          </a:r>
        </a:p>
      </cdr:txBody>
    </cdr:sp>
  </cdr:relSizeAnchor>
  <cdr:relSizeAnchor xmlns:cdr="http://schemas.openxmlformats.org/drawingml/2006/chartDrawing">
    <cdr:from>
      <cdr:x>0.05003</cdr:x>
      <cdr:y>0.73796</cdr:y>
    </cdr:from>
    <cdr:to>
      <cdr:x>0.0958</cdr:x>
      <cdr:y>0.80996</cdr:y>
    </cdr:to>
    <cdr:sp macro="" textlink="">
      <cdr:nvSpPr>
        <cdr:cNvPr id="4" name="TextBox 6"/>
        <cdr:cNvSpPr txBox="1"/>
      </cdr:nvSpPr>
      <cdr:spPr>
        <a:xfrm xmlns:a="http://schemas.openxmlformats.org/drawingml/2006/main">
          <a:off x="226060" y="2024380"/>
          <a:ext cx="206828" cy="1974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900" b="1">
              <a:solidFill>
                <a:srgbClr val="454545"/>
              </a:solidFill>
            </a:rPr>
            <a:t>0</a:t>
          </a:r>
        </a:p>
      </cdr:txBody>
    </cdr:sp>
  </cdr:relSizeAnchor>
  <cdr:relSizeAnchor xmlns:cdr="http://schemas.openxmlformats.org/drawingml/2006/chartDrawing">
    <cdr:from>
      <cdr:x>0.10455</cdr:x>
      <cdr:y>0.69306</cdr:y>
    </cdr:from>
    <cdr:to>
      <cdr:x>0.1231</cdr:x>
      <cdr:y>0.7125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414B5912-95AF-5643-7644-975E7E95F8E1}"/>
            </a:ext>
          </a:extLst>
        </cdr:cNvPr>
        <cdr:cNvCxnSpPr/>
      </cdr:nvCxnSpPr>
      <cdr:spPr>
        <a:xfrm xmlns:a="http://schemas.openxmlformats.org/drawingml/2006/main" flipV="1">
          <a:off x="472440" y="1901190"/>
          <a:ext cx="83820" cy="53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59595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0.10455</cdr:x>
      <cdr:y>0.72083</cdr:y>
    </cdr:from>
    <cdr:to>
      <cdr:x>0.1231</cdr:x>
      <cdr:y>0.74028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CCE0791F-D052-AC28-BF33-E725792B822D}"/>
            </a:ext>
          </a:extLst>
        </cdr:cNvPr>
        <cdr:cNvCxnSpPr/>
      </cdr:nvCxnSpPr>
      <cdr:spPr>
        <a:xfrm xmlns:a="http://schemas.openxmlformats.org/drawingml/2006/main" flipV="1">
          <a:off x="472440" y="1977390"/>
          <a:ext cx="83820" cy="533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595959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311603</xdr:colOff>
      <xdr:row>3</xdr:row>
      <xdr:rowOff>182609</xdr:rowOff>
    </xdr:from>
    <xdr:to>
      <xdr:col>17</xdr:col>
      <xdr:colOff>511449</xdr:colOff>
      <xdr:row>19</xdr:row>
      <xdr:rowOff>15494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7207703" y="731249"/>
          <a:ext cx="5076646" cy="2758965"/>
          <a:chOff x="6805314" y="393014"/>
          <a:chExt cx="5076646" cy="275896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6805314" y="393014"/>
          <a:ext cx="5076646" cy="27589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CxnSpPr/>
        </xdr:nvCxnSpPr>
        <xdr:spPr>
          <a:xfrm>
            <a:off x="8416531" y="1600854"/>
            <a:ext cx="1663027" cy="4032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CxnSpPr/>
        </xdr:nvCxnSpPr>
        <xdr:spPr>
          <a:xfrm>
            <a:off x="10655402" y="1705125"/>
            <a:ext cx="32254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CxnSpPr/>
        </xdr:nvCxnSpPr>
        <xdr:spPr>
          <a:xfrm>
            <a:off x="11159370" y="1436527"/>
            <a:ext cx="305719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4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BIRBHUM%20SURVEY\Results\Day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JHARKHAND\Result\Day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GPS%20JHARKHAND\Result\DA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2"/>
      <sheetName val="Sheet1"/>
      <sheetName val="Sheet2"/>
      <sheetName val="DIGULI CS"/>
      <sheetName val="BENIAGRAM CS"/>
      <sheetName val="BANSKULI CS"/>
    </sheetNames>
    <sheetDataSet>
      <sheetData sheetId="0"/>
      <sheetData sheetId="1">
        <row r="52">
          <cell r="E52">
            <v>0</v>
          </cell>
          <cell r="F52">
            <v>84.001000000000005</v>
          </cell>
        </row>
        <row r="53">
          <cell r="E53">
            <v>15.704181354004762</v>
          </cell>
          <cell r="F53">
            <v>84.391000000000005</v>
          </cell>
        </row>
        <row r="54">
          <cell r="E54">
            <v>38.593603474237142</v>
          </cell>
          <cell r="F54">
            <v>83.131</v>
          </cell>
        </row>
        <row r="55">
          <cell r="E55">
            <v>62.584015267702789</v>
          </cell>
          <cell r="F55">
            <v>81.784999999999997</v>
          </cell>
        </row>
        <row r="56">
          <cell r="E56">
            <v>67.335399908005371</v>
          </cell>
          <cell r="F56">
            <v>82.106999999999999</v>
          </cell>
        </row>
        <row r="57">
          <cell r="E57">
            <v>73.855953948832081</v>
          </cell>
          <cell r="F57">
            <v>80.754000000000005</v>
          </cell>
        </row>
        <row r="58">
          <cell r="E58">
            <v>91.147348137765718</v>
          </cell>
          <cell r="F58">
            <v>81.647999999999996</v>
          </cell>
        </row>
        <row r="59">
          <cell r="E59">
            <v>98.306974454843285</v>
          </cell>
          <cell r="F59">
            <v>80.948999999999998</v>
          </cell>
        </row>
        <row r="60">
          <cell r="E60">
            <v>121.98857237373747</v>
          </cell>
          <cell r="F60">
            <v>81.709999999999994</v>
          </cell>
        </row>
        <row r="61">
          <cell r="E61">
            <v>131.03061307273899</v>
          </cell>
          <cell r="F61">
            <v>80.822999999999993</v>
          </cell>
        </row>
        <row r="62">
          <cell r="E62">
            <v>153.73800944490276</v>
          </cell>
          <cell r="F62">
            <v>81.227999999999994</v>
          </cell>
        </row>
        <row r="63">
          <cell r="E63">
            <v>180.52189613056203</v>
          </cell>
          <cell r="F63">
            <v>80.897000000000006</v>
          </cell>
        </row>
        <row r="64">
          <cell r="E64">
            <v>208.87116195887637</v>
          </cell>
          <cell r="F64">
            <v>80.691000000000003</v>
          </cell>
        </row>
        <row r="65">
          <cell r="E65">
            <v>211.46150131901018</v>
          </cell>
          <cell r="F65">
            <v>81.591999999999999</v>
          </cell>
        </row>
        <row r="66">
          <cell r="E66">
            <v>217.6030041481369</v>
          </cell>
          <cell r="F66">
            <v>81.760000000000005</v>
          </cell>
        </row>
        <row r="67">
          <cell r="E67">
            <v>228.28007570353154</v>
          </cell>
          <cell r="F67">
            <v>81.120999999999995</v>
          </cell>
        </row>
        <row r="68">
          <cell r="E68">
            <v>245.49869728022387</v>
          </cell>
          <cell r="F68">
            <v>80.222999999999999</v>
          </cell>
        </row>
        <row r="69">
          <cell r="E69">
            <v>253.14651036638782</v>
          </cell>
          <cell r="F69">
            <v>79.927000000000007</v>
          </cell>
        </row>
        <row r="70">
          <cell r="E70">
            <v>256.94660365443968</v>
          </cell>
          <cell r="F70">
            <v>80.221999999999994</v>
          </cell>
        </row>
        <row r="71">
          <cell r="E71">
            <v>265.52606103848194</v>
          </cell>
          <cell r="F71">
            <v>80.152000000000001</v>
          </cell>
        </row>
        <row r="72">
          <cell r="E72">
            <v>268.23862919431411</v>
          </cell>
          <cell r="F72">
            <v>80.891000000000005</v>
          </cell>
        </row>
        <row r="73">
          <cell r="E73">
            <v>275.68734049211537</v>
          </cell>
          <cell r="F73">
            <v>80.78</v>
          </cell>
        </row>
        <row r="74">
          <cell r="E74">
            <v>278.65127200281535</v>
          </cell>
          <cell r="F74">
            <v>81.926000000000002</v>
          </cell>
        </row>
        <row r="75">
          <cell r="E75">
            <v>289.88788167824833</v>
          </cell>
          <cell r="F75">
            <v>81.644000000000005</v>
          </cell>
        </row>
        <row r="76">
          <cell r="E76">
            <v>299.89071027844682</v>
          </cell>
          <cell r="F76">
            <v>80.903000000000006</v>
          </cell>
        </row>
        <row r="77">
          <cell r="E77">
            <v>335.33559573446541</v>
          </cell>
          <cell r="F77">
            <v>80.557000000000002</v>
          </cell>
        </row>
        <row r="78">
          <cell r="E78">
            <v>343.59386601353987</v>
          </cell>
          <cell r="F78">
            <v>80.594999999999999</v>
          </cell>
        </row>
        <row r="79">
          <cell r="E79">
            <v>354.06565349262956</v>
          </cell>
          <cell r="F79">
            <v>79.930999999999997</v>
          </cell>
        </row>
        <row r="80">
          <cell r="E80">
            <v>357.25515784260068</v>
          </cell>
          <cell r="F80">
            <v>79.947999999999993</v>
          </cell>
        </row>
        <row r="81">
          <cell r="E81">
            <v>370.401688335681</v>
          </cell>
          <cell r="F81">
            <v>80.367999999999995</v>
          </cell>
        </row>
        <row r="82">
          <cell r="E82">
            <v>385.35144452094653</v>
          </cell>
          <cell r="F82">
            <v>80.278999999999996</v>
          </cell>
        </row>
        <row r="83">
          <cell r="E83">
            <v>412.01963336081724</v>
          </cell>
          <cell r="F83">
            <v>80.468000000000004</v>
          </cell>
        </row>
        <row r="84">
          <cell r="E84">
            <v>429.68067763899325</v>
          </cell>
          <cell r="F84">
            <v>80.275999999999996</v>
          </cell>
        </row>
        <row r="85">
          <cell r="E85">
            <v>453.23861884801482</v>
          </cell>
          <cell r="F85">
            <v>80.921999999999997</v>
          </cell>
        </row>
        <row r="86">
          <cell r="E86">
            <v>464.06537279342024</v>
          </cell>
          <cell r="F86">
            <v>80.203999999999994</v>
          </cell>
        </row>
        <row r="87">
          <cell r="E87">
            <v>471.98131581998808</v>
          </cell>
          <cell r="F87">
            <v>79.837999999999994</v>
          </cell>
        </row>
        <row r="88">
          <cell r="E88">
            <v>475.06983164494835</v>
          </cell>
          <cell r="F88">
            <v>79.795000000000002</v>
          </cell>
        </row>
        <row r="89">
          <cell r="E89">
            <v>481.38926967385714</v>
          </cell>
          <cell r="F89">
            <v>80.388000000000005</v>
          </cell>
        </row>
        <row r="90">
          <cell r="E90">
            <v>486.50208690124248</v>
          </cell>
          <cell r="F90">
            <v>79.887</v>
          </cell>
        </row>
        <row r="91">
          <cell r="E91">
            <v>494.51570056789797</v>
          </cell>
          <cell r="F91">
            <v>79.510000000000005</v>
          </cell>
        </row>
        <row r="92">
          <cell r="E92">
            <v>506.74517610848875</v>
          </cell>
          <cell r="F92">
            <v>79.790000000000006</v>
          </cell>
        </row>
        <row r="93">
          <cell r="E93">
            <v>510.59366841075627</v>
          </cell>
          <cell r="F93">
            <v>79.427000000000007</v>
          </cell>
        </row>
        <row r="94">
          <cell r="E94">
            <v>516.53529815362049</v>
          </cell>
          <cell r="F94">
            <v>79.548000000000002</v>
          </cell>
        </row>
        <row r="95">
          <cell r="E95">
            <v>525.3420857631221</v>
          </cell>
          <cell r="F95">
            <v>79.713999999999999</v>
          </cell>
        </row>
        <row r="96">
          <cell r="E96">
            <v>535.02442602774431</v>
          </cell>
          <cell r="F96">
            <v>79.935000000000002</v>
          </cell>
        </row>
        <row r="97">
          <cell r="E97">
            <v>541.97759005572266</v>
          </cell>
          <cell r="F97">
            <v>81.445999999999998</v>
          </cell>
        </row>
        <row r="98">
          <cell r="E98">
            <v>546.71201568093727</v>
          </cell>
          <cell r="F98">
            <v>82.027000000000001</v>
          </cell>
        </row>
        <row r="99">
          <cell r="E99">
            <v>564.37900829418641</v>
          </cell>
          <cell r="F99">
            <v>83.108999999999995</v>
          </cell>
        </row>
        <row r="100">
          <cell r="E100">
            <v>585.23304878996998</v>
          </cell>
          <cell r="F100">
            <v>84.257999999999996</v>
          </cell>
        </row>
        <row r="102">
          <cell r="E102">
            <v>0</v>
          </cell>
          <cell r="F102">
            <v>90.504999999999995</v>
          </cell>
        </row>
        <row r="103">
          <cell r="E103">
            <v>14.917266572511934</v>
          </cell>
          <cell r="F103">
            <v>86.591999999999999</v>
          </cell>
        </row>
        <row r="104">
          <cell r="E104">
            <v>24.833408211616248</v>
          </cell>
          <cell r="F104">
            <v>85.885000000000005</v>
          </cell>
        </row>
        <row r="105">
          <cell r="E105">
            <v>53.913431681338892</v>
          </cell>
          <cell r="F105">
            <v>86.051000000000002</v>
          </cell>
        </row>
        <row r="106">
          <cell r="E106">
            <v>68.809981785109017</v>
          </cell>
          <cell r="F106">
            <v>86.289000000000001</v>
          </cell>
        </row>
        <row r="107">
          <cell r="E107">
            <v>104.38918526145397</v>
          </cell>
          <cell r="F107">
            <v>86.233000000000004</v>
          </cell>
        </row>
        <row r="108">
          <cell r="E108">
            <v>159.2802139729709</v>
          </cell>
          <cell r="F108">
            <v>87.236999999999995</v>
          </cell>
        </row>
        <row r="109">
          <cell r="E109">
            <v>187.94551515712774</v>
          </cell>
          <cell r="F109">
            <v>87.902000000000001</v>
          </cell>
        </row>
        <row r="110">
          <cell r="E110">
            <v>195.86909225367361</v>
          </cell>
          <cell r="F110">
            <v>90.894999999999996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3"/>
      <sheetName val="Sheet1"/>
      <sheetName val="SAINTHIA"/>
      <sheetName val="PANJONA"/>
    </sheetNames>
    <sheetDataSet>
      <sheetData sheetId="0"/>
      <sheetData sheetId="1">
        <row r="2">
          <cell r="E2">
            <v>0</v>
          </cell>
          <cell r="F2">
            <v>37.430999999999997</v>
          </cell>
        </row>
        <row r="3">
          <cell r="E3">
            <v>18.094732327558951</v>
          </cell>
          <cell r="F3">
            <v>36.063000000000002</v>
          </cell>
        </row>
        <row r="4">
          <cell r="E4">
            <v>24.604926257018363</v>
          </cell>
          <cell r="F4">
            <v>35.32</v>
          </cell>
        </row>
        <row r="5">
          <cell r="E5">
            <v>64.068300225675387</v>
          </cell>
          <cell r="F5">
            <v>34.923000000000002</v>
          </cell>
        </row>
        <row r="6">
          <cell r="E6">
            <v>79.505728249856688</v>
          </cell>
          <cell r="F6">
            <v>34.738999999999997</v>
          </cell>
        </row>
        <row r="7">
          <cell r="E7">
            <v>102.41603756687373</v>
          </cell>
          <cell r="F7">
            <v>35.088000000000001</v>
          </cell>
        </row>
        <row r="8">
          <cell r="E8">
            <v>109.62625594080052</v>
          </cell>
          <cell r="F8">
            <v>34.868000000000002</v>
          </cell>
        </row>
        <row r="9">
          <cell r="E9">
            <v>116.44123158297248</v>
          </cell>
          <cell r="F9">
            <v>35.11</v>
          </cell>
        </row>
        <row r="10">
          <cell r="E10">
            <v>128.99012336643946</v>
          </cell>
          <cell r="F10">
            <v>34.444000000000003</v>
          </cell>
        </row>
        <row r="11">
          <cell r="E11">
            <v>132.23961640420035</v>
          </cell>
          <cell r="F11">
            <v>33.9</v>
          </cell>
        </row>
        <row r="12">
          <cell r="E12">
            <v>138.45434511882149</v>
          </cell>
          <cell r="F12">
            <v>33.734999999999999</v>
          </cell>
        </row>
        <row r="13">
          <cell r="E13">
            <v>142.00526683028355</v>
          </cell>
          <cell r="F13">
            <v>33.695999999999998</v>
          </cell>
        </row>
        <row r="14">
          <cell r="E14">
            <v>145.51691516135585</v>
          </cell>
          <cell r="F14">
            <v>33.630000000000003</v>
          </cell>
        </row>
        <row r="15">
          <cell r="E15">
            <v>147.20475994067925</v>
          </cell>
          <cell r="F15">
            <v>33.552999999999997</v>
          </cell>
        </row>
        <row r="16">
          <cell r="E16">
            <v>149.82610863954596</v>
          </cell>
          <cell r="F16">
            <v>33.783999999999999</v>
          </cell>
        </row>
        <row r="17">
          <cell r="E17">
            <v>153.36106832797734</v>
          </cell>
          <cell r="F17">
            <v>34.334000000000003</v>
          </cell>
        </row>
        <row r="18">
          <cell r="E18">
            <v>168.7707180970522</v>
          </cell>
          <cell r="F18">
            <v>34.363999999999997</v>
          </cell>
        </row>
        <row r="19">
          <cell r="E19">
            <v>172.10423410848264</v>
          </cell>
          <cell r="F19">
            <v>33.686</v>
          </cell>
        </row>
        <row r="20">
          <cell r="E20">
            <v>176.01575555181282</v>
          </cell>
          <cell r="F20">
            <v>33.9</v>
          </cell>
        </row>
        <row r="21">
          <cell r="E21">
            <v>180.2344342549774</v>
          </cell>
          <cell r="F21">
            <v>33.728000000000002</v>
          </cell>
        </row>
        <row r="22">
          <cell r="E22">
            <v>186.3749521484896</v>
          </cell>
          <cell r="F22">
            <v>33.597000000000001</v>
          </cell>
        </row>
        <row r="23">
          <cell r="E23">
            <v>189.19211188815052</v>
          </cell>
          <cell r="F23">
            <v>33.710999999999999</v>
          </cell>
        </row>
        <row r="24">
          <cell r="E24">
            <v>191.96227433815307</v>
          </cell>
          <cell r="F24">
            <v>33.606000000000002</v>
          </cell>
        </row>
        <row r="25">
          <cell r="E25">
            <v>195.68047457484226</v>
          </cell>
          <cell r="F25">
            <v>33.594000000000001</v>
          </cell>
        </row>
        <row r="26">
          <cell r="E26">
            <v>199.02934005448134</v>
          </cell>
          <cell r="F26">
            <v>34.298999999999999</v>
          </cell>
        </row>
        <row r="27">
          <cell r="E27">
            <v>203.01911222830043</v>
          </cell>
          <cell r="F27">
            <v>33.607999999999997</v>
          </cell>
        </row>
        <row r="28">
          <cell r="E28">
            <v>205.67074361314943</v>
          </cell>
          <cell r="F28">
            <v>33.597999999999999</v>
          </cell>
        </row>
        <row r="29">
          <cell r="E29">
            <v>208.7711572952534</v>
          </cell>
          <cell r="F29">
            <v>33.609000000000002</v>
          </cell>
        </row>
        <row r="30">
          <cell r="E30">
            <v>212.16189526788295</v>
          </cell>
          <cell r="F30">
            <v>33.732999999999997</v>
          </cell>
        </row>
        <row r="31">
          <cell r="E31">
            <v>215.1624818770326</v>
          </cell>
          <cell r="F31">
            <v>34.466999999999999</v>
          </cell>
        </row>
        <row r="32">
          <cell r="E32">
            <v>227.29683661890206</v>
          </cell>
          <cell r="F32">
            <v>34.773000000000003</v>
          </cell>
        </row>
        <row r="33">
          <cell r="E33">
            <v>243.84572691434283</v>
          </cell>
          <cell r="F33">
            <v>34.735999999999997</v>
          </cell>
        </row>
        <row r="34">
          <cell r="E34">
            <v>256.1807289003138</v>
          </cell>
          <cell r="F34">
            <v>35.893999999999998</v>
          </cell>
        </row>
        <row r="35">
          <cell r="E35">
            <v>270.08414204237579</v>
          </cell>
          <cell r="F35">
            <v>35.786000000000001</v>
          </cell>
        </row>
        <row r="36">
          <cell r="E36">
            <v>275.9569952673736</v>
          </cell>
          <cell r="F36">
            <v>36.182000000000002</v>
          </cell>
        </row>
        <row r="37">
          <cell r="E37">
            <v>287.04464064394051</v>
          </cell>
          <cell r="F37">
            <v>35.167000000000002</v>
          </cell>
        </row>
        <row r="38">
          <cell r="E38">
            <v>323.28710337751892</v>
          </cell>
          <cell r="F38">
            <v>35.637999999999998</v>
          </cell>
        </row>
        <row r="39">
          <cell r="E39">
            <v>337.78736809931871</v>
          </cell>
          <cell r="F39">
            <v>35.219000000000001</v>
          </cell>
        </row>
        <row r="40">
          <cell r="E40">
            <v>374.00879828912889</v>
          </cell>
          <cell r="F40">
            <v>35.475999999999999</v>
          </cell>
        </row>
        <row r="41">
          <cell r="E41">
            <v>395.21635849758684</v>
          </cell>
          <cell r="F41">
            <v>35.228999999999999</v>
          </cell>
        </row>
        <row r="42">
          <cell r="E42">
            <v>421.74547974224134</v>
          </cell>
          <cell r="F42">
            <v>35.954000000000001</v>
          </cell>
        </row>
        <row r="43">
          <cell r="E43">
            <v>427.42074889879552</v>
          </cell>
          <cell r="F43">
            <v>35.131</v>
          </cell>
        </row>
        <row r="44">
          <cell r="E44">
            <v>431.56790949373686</v>
          </cell>
          <cell r="F44">
            <v>35.780999999999999</v>
          </cell>
        </row>
        <row r="45">
          <cell r="E45">
            <v>438.40473126973109</v>
          </cell>
          <cell r="F45">
            <v>36.792000000000002</v>
          </cell>
        </row>
        <row r="46">
          <cell r="E46">
            <v>446.73767006715678</v>
          </cell>
          <cell r="F46">
            <v>38.636000000000003</v>
          </cell>
        </row>
        <row r="47">
          <cell r="E47">
            <v>455.12712231400695</v>
          </cell>
          <cell r="F47">
            <v>40.591000000000001</v>
          </cell>
        </row>
        <row r="49">
          <cell r="E49">
            <v>0</v>
          </cell>
          <cell r="F49">
            <v>31.609000000000002</v>
          </cell>
        </row>
        <row r="50">
          <cell r="E50">
            <v>3.6607082649548257</v>
          </cell>
          <cell r="F50">
            <v>31.597000000000001</v>
          </cell>
        </row>
        <row r="51">
          <cell r="E51">
            <v>5.159016978003379</v>
          </cell>
          <cell r="F51">
            <v>30.471</v>
          </cell>
        </row>
        <row r="52">
          <cell r="E52">
            <v>26.923162562015616</v>
          </cell>
          <cell r="F52">
            <v>30.518000000000001</v>
          </cell>
        </row>
        <row r="53">
          <cell r="E53">
            <v>28.768893040698334</v>
          </cell>
          <cell r="F53">
            <v>29.92</v>
          </cell>
        </row>
        <row r="54">
          <cell r="E54">
            <v>47.703405128526001</v>
          </cell>
          <cell r="F54">
            <v>30.225000000000001</v>
          </cell>
        </row>
        <row r="55">
          <cell r="E55">
            <v>50.255064392652891</v>
          </cell>
          <cell r="F55">
            <v>28.734000000000002</v>
          </cell>
        </row>
        <row r="56">
          <cell r="E56">
            <v>59.193952466442241</v>
          </cell>
          <cell r="F56">
            <v>27.207999999999998</v>
          </cell>
        </row>
        <row r="57">
          <cell r="E57">
            <v>69.444593909900306</v>
          </cell>
          <cell r="F57">
            <v>27.445</v>
          </cell>
        </row>
        <row r="58">
          <cell r="E58">
            <v>72.01186054953989</v>
          </cell>
          <cell r="F58">
            <v>27.97</v>
          </cell>
        </row>
        <row r="59">
          <cell r="E59">
            <v>75.967724298592572</v>
          </cell>
          <cell r="F59">
            <v>26.920999999999999</v>
          </cell>
        </row>
        <row r="60">
          <cell r="E60">
            <v>80.161863662160442</v>
          </cell>
          <cell r="F60">
            <v>26.943000000000001</v>
          </cell>
        </row>
        <row r="61">
          <cell r="E61">
            <v>82.35791124811746</v>
          </cell>
          <cell r="F61">
            <v>26.052</v>
          </cell>
        </row>
        <row r="62">
          <cell r="E62">
            <v>85.145814582348805</v>
          </cell>
          <cell r="F62">
            <v>25.971</v>
          </cell>
        </row>
        <row r="63">
          <cell r="E63">
            <v>87.417389586530476</v>
          </cell>
          <cell r="F63">
            <v>26.131</v>
          </cell>
        </row>
        <row r="64">
          <cell r="E64">
            <v>90.749218663562303</v>
          </cell>
          <cell r="F64">
            <v>26.11</v>
          </cell>
        </row>
        <row r="65">
          <cell r="E65">
            <v>92.1363902462531</v>
          </cell>
          <cell r="F65">
            <v>26.664000000000001</v>
          </cell>
        </row>
        <row r="66">
          <cell r="E66">
            <v>97.73372264691919</v>
          </cell>
          <cell r="F66">
            <v>26.347000000000001</v>
          </cell>
        </row>
        <row r="67">
          <cell r="E67">
            <v>103.38064862456623</v>
          </cell>
          <cell r="F67">
            <v>26.812999999999999</v>
          </cell>
        </row>
        <row r="68">
          <cell r="E68">
            <v>109.85240580514568</v>
          </cell>
          <cell r="F68">
            <v>26.446000000000002</v>
          </cell>
        </row>
        <row r="69">
          <cell r="E69">
            <v>112.18466586747378</v>
          </cell>
          <cell r="F69">
            <v>26.166</v>
          </cell>
        </row>
        <row r="70">
          <cell r="E70">
            <v>113.75081560503743</v>
          </cell>
          <cell r="F70">
            <v>26.05</v>
          </cell>
        </row>
        <row r="71">
          <cell r="E71">
            <v>114.83004681288368</v>
          </cell>
          <cell r="F71">
            <v>26.007000000000001</v>
          </cell>
        </row>
        <row r="72">
          <cell r="E72">
            <v>116.45801026471727</v>
          </cell>
          <cell r="F72">
            <v>26.137</v>
          </cell>
        </row>
        <row r="73">
          <cell r="E73">
            <v>117.49138967221577</v>
          </cell>
          <cell r="F73">
            <v>25.888000000000002</v>
          </cell>
        </row>
        <row r="74">
          <cell r="E74">
            <v>120.02286394602032</v>
          </cell>
          <cell r="F74">
            <v>26.251999999999999</v>
          </cell>
        </row>
        <row r="75">
          <cell r="E75">
            <v>121.38752690799319</v>
          </cell>
          <cell r="F75">
            <v>26.558</v>
          </cell>
        </row>
        <row r="76">
          <cell r="E76">
            <v>124.68973132321672</v>
          </cell>
          <cell r="F76">
            <v>26.553999999999998</v>
          </cell>
        </row>
        <row r="77">
          <cell r="E77">
            <v>126.38858770342124</v>
          </cell>
          <cell r="F77">
            <v>26.11</v>
          </cell>
        </row>
        <row r="78">
          <cell r="E78">
            <v>127.91732083904564</v>
          </cell>
          <cell r="F78">
            <v>26.577000000000002</v>
          </cell>
        </row>
        <row r="79">
          <cell r="E79">
            <v>149.89001885251707</v>
          </cell>
          <cell r="F79">
            <v>26.576000000000001</v>
          </cell>
        </row>
        <row r="80">
          <cell r="E80">
            <v>172.3683252169042</v>
          </cell>
          <cell r="F80">
            <v>26.001000000000001</v>
          </cell>
        </row>
        <row r="81">
          <cell r="E81">
            <v>177.09845555321951</v>
          </cell>
          <cell r="F81">
            <v>26.738</v>
          </cell>
        </row>
        <row r="82">
          <cell r="E82">
            <v>183.29923623015614</v>
          </cell>
          <cell r="F82">
            <v>26.428000000000001</v>
          </cell>
        </row>
        <row r="83">
          <cell r="E83">
            <v>183.36239476078191</v>
          </cell>
          <cell r="F83">
            <v>26.407</v>
          </cell>
        </row>
        <row r="84">
          <cell r="E84">
            <v>190.17555005044946</v>
          </cell>
          <cell r="F84">
            <v>27.337</v>
          </cell>
        </row>
        <row r="85">
          <cell r="E85">
            <v>196.02279051038403</v>
          </cell>
          <cell r="F85">
            <v>26.483000000000001</v>
          </cell>
        </row>
        <row r="86">
          <cell r="E86">
            <v>209.44133070663517</v>
          </cell>
          <cell r="F86">
            <v>25.878</v>
          </cell>
        </row>
        <row r="87">
          <cell r="E87">
            <v>215.70397248158332</v>
          </cell>
          <cell r="F87">
            <v>26.620999999999999</v>
          </cell>
        </row>
        <row r="88">
          <cell r="E88">
            <v>220.7081000778316</v>
          </cell>
          <cell r="F88">
            <v>25.922000000000001</v>
          </cell>
        </row>
        <row r="89">
          <cell r="E89">
            <v>222.00877720922841</v>
          </cell>
          <cell r="F89">
            <v>25.718</v>
          </cell>
        </row>
        <row r="90">
          <cell r="E90">
            <v>223.8430754401804</v>
          </cell>
          <cell r="F90">
            <v>25.597000000000001</v>
          </cell>
        </row>
        <row r="91">
          <cell r="E91">
            <v>225.84973460406147</v>
          </cell>
          <cell r="F91">
            <v>25.675000000000001</v>
          </cell>
        </row>
        <row r="92">
          <cell r="E92">
            <v>228.35503498526279</v>
          </cell>
          <cell r="F92">
            <v>26.053999999999998</v>
          </cell>
        </row>
        <row r="93">
          <cell r="E93">
            <v>243.27610900817075</v>
          </cell>
          <cell r="F93">
            <v>27.113</v>
          </cell>
        </row>
        <row r="94">
          <cell r="E94">
            <v>250.53161133397785</v>
          </cell>
          <cell r="F94">
            <v>27.846</v>
          </cell>
        </row>
        <row r="95">
          <cell r="E95">
            <v>260.67141927109816</v>
          </cell>
          <cell r="F95">
            <v>27.306000000000001</v>
          </cell>
        </row>
        <row r="96">
          <cell r="E96">
            <v>266.9804731621777</v>
          </cell>
          <cell r="F96">
            <v>26.873999999999999</v>
          </cell>
        </row>
        <row r="97">
          <cell r="E97">
            <v>282.64164329733961</v>
          </cell>
          <cell r="F97">
            <v>27.143999999999998</v>
          </cell>
        </row>
        <row r="98">
          <cell r="E98">
            <v>311.83149968629243</v>
          </cell>
          <cell r="F98">
            <v>27.988</v>
          </cell>
        </row>
        <row r="99">
          <cell r="E99">
            <v>341.64697125704754</v>
          </cell>
          <cell r="F99">
            <v>28.65</v>
          </cell>
        </row>
        <row r="100">
          <cell r="E100">
            <v>356.06894130297286</v>
          </cell>
          <cell r="F100">
            <v>30.991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4"/>
      <sheetName val="SUNDARPUR CS"/>
    </sheetNames>
    <sheetDataSet>
      <sheetData sheetId="0"/>
      <sheetData sheetId="1">
        <row r="2">
          <cell r="E2">
            <v>0</v>
          </cell>
          <cell r="F2">
            <v>32.936</v>
          </cell>
        </row>
        <row r="3">
          <cell r="E3">
            <v>56.193112762917082</v>
          </cell>
          <cell r="F3">
            <v>30.003</v>
          </cell>
        </row>
        <row r="4">
          <cell r="E4">
            <v>147.42950559505542</v>
          </cell>
          <cell r="F4">
            <v>28.085000000000001</v>
          </cell>
        </row>
        <row r="5">
          <cell r="E5">
            <v>227.26443637714414</v>
          </cell>
          <cell r="F5">
            <v>27.974</v>
          </cell>
        </row>
        <row r="6">
          <cell r="E6">
            <v>306.65986203893169</v>
          </cell>
          <cell r="F6">
            <v>27.248000000000001</v>
          </cell>
        </row>
        <row r="7">
          <cell r="E7">
            <v>348.01510800592376</v>
          </cell>
          <cell r="F7">
            <v>27.452999999999999</v>
          </cell>
        </row>
        <row r="8">
          <cell r="E8">
            <v>361.68398667243292</v>
          </cell>
          <cell r="F8">
            <v>27.934999999999999</v>
          </cell>
        </row>
        <row r="9">
          <cell r="E9">
            <v>382.54935676284231</v>
          </cell>
          <cell r="F9">
            <v>25.991</v>
          </cell>
        </row>
        <row r="10">
          <cell r="E10">
            <v>386.01215346486543</v>
          </cell>
          <cell r="F10">
            <v>26.818999999999999</v>
          </cell>
        </row>
        <row r="11">
          <cell r="E11">
            <v>395.68824963002754</v>
          </cell>
          <cell r="F11">
            <v>27.117999999999999</v>
          </cell>
        </row>
        <row r="12">
          <cell r="E12">
            <v>421.75500502845568</v>
          </cell>
          <cell r="F12">
            <v>26.635000000000002</v>
          </cell>
        </row>
        <row r="13">
          <cell r="E13">
            <v>424.35661318482255</v>
          </cell>
          <cell r="F13">
            <v>25.809000000000001</v>
          </cell>
        </row>
        <row r="14">
          <cell r="E14">
            <v>429.22596067705791</v>
          </cell>
          <cell r="F14">
            <v>25.231999999999999</v>
          </cell>
        </row>
        <row r="15">
          <cell r="E15">
            <v>465.27250927776777</v>
          </cell>
          <cell r="F15">
            <v>23.567</v>
          </cell>
        </row>
        <row r="16">
          <cell r="E16">
            <v>469.06437662758003</v>
          </cell>
          <cell r="F16">
            <v>24.033000000000001</v>
          </cell>
        </row>
        <row r="17">
          <cell r="E17">
            <v>473.82945060405729</v>
          </cell>
          <cell r="F17">
            <v>26.138000000000002</v>
          </cell>
        </row>
        <row r="18">
          <cell r="E18">
            <v>476.94255532411046</v>
          </cell>
          <cell r="F18">
            <v>26.978999999999999</v>
          </cell>
        </row>
        <row r="19">
          <cell r="E19">
            <v>479.9387217082234</v>
          </cell>
          <cell r="F19">
            <v>27.774999999999999</v>
          </cell>
        </row>
        <row r="20">
          <cell r="E20">
            <v>482.12532866861471</v>
          </cell>
          <cell r="F20">
            <v>30.875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-1"/>
      <sheetName val="GRAPH"/>
      <sheetName val="Sheet2"/>
    </sheetNames>
    <sheetDataSet>
      <sheetData sheetId="0"/>
      <sheetData sheetId="1">
        <row r="1">
          <cell r="F1" t="str">
            <v>Elevation (m)</v>
          </cell>
        </row>
        <row r="2">
          <cell r="E2">
            <v>0</v>
          </cell>
          <cell r="F2">
            <v>59.826000000000001</v>
          </cell>
        </row>
        <row r="3">
          <cell r="E3">
            <v>3.4368015652746418</v>
          </cell>
          <cell r="F3">
            <v>58.347999999999999</v>
          </cell>
        </row>
        <row r="4">
          <cell r="E4">
            <v>12.659468695961994</v>
          </cell>
          <cell r="F4">
            <v>57.192999999999998</v>
          </cell>
        </row>
        <row r="5">
          <cell r="E5">
            <v>22.393324304006235</v>
          </cell>
          <cell r="F5">
            <v>56.433</v>
          </cell>
        </row>
        <row r="6">
          <cell r="E6">
            <v>37.074345555935764</v>
          </cell>
          <cell r="F6">
            <v>55.533000000000001</v>
          </cell>
        </row>
        <row r="7">
          <cell r="E7">
            <v>63.672362399260862</v>
          </cell>
          <cell r="F7">
            <v>55.667000000000002</v>
          </cell>
        </row>
        <row r="8">
          <cell r="E8">
            <v>77.051135511964404</v>
          </cell>
          <cell r="F8">
            <v>54.948</v>
          </cell>
        </row>
        <row r="9">
          <cell r="E9">
            <v>86.983395325544961</v>
          </cell>
          <cell r="F9">
            <v>54.311</v>
          </cell>
        </row>
        <row r="10">
          <cell r="E10">
            <v>93.180411139323098</v>
          </cell>
          <cell r="F10">
            <v>54.09</v>
          </cell>
        </row>
        <row r="11">
          <cell r="E11">
            <v>106.09483625236855</v>
          </cell>
          <cell r="F11">
            <v>53.343000000000004</v>
          </cell>
        </row>
        <row r="12">
          <cell r="E12">
            <v>148.32411785891432</v>
          </cell>
          <cell r="F12">
            <v>53.393999999999998</v>
          </cell>
        </row>
        <row r="13">
          <cell r="E13">
            <v>150.86710075319272</v>
          </cell>
          <cell r="F13">
            <v>53.975000000000001</v>
          </cell>
        </row>
        <row r="14">
          <cell r="E14">
            <v>155.13585994051741</v>
          </cell>
          <cell r="F14">
            <v>55.003</v>
          </cell>
        </row>
        <row r="15">
          <cell r="E15">
            <v>166.26895959858606</v>
          </cell>
          <cell r="F15">
            <v>55.814</v>
          </cell>
        </row>
        <row r="16">
          <cell r="E16">
            <v>176.07994578777507</v>
          </cell>
          <cell r="F16">
            <v>55.923999999999999</v>
          </cell>
        </row>
        <row r="17">
          <cell r="E17">
            <v>181.76978128634084</v>
          </cell>
          <cell r="F17">
            <v>56.058</v>
          </cell>
        </row>
        <row r="18">
          <cell r="E18">
            <v>184.9799241180483</v>
          </cell>
          <cell r="F18">
            <v>55.898000000000003</v>
          </cell>
        </row>
        <row r="19">
          <cell r="E19">
            <v>194.78899588833681</v>
          </cell>
          <cell r="F19">
            <v>56.399000000000001</v>
          </cell>
        </row>
        <row r="20">
          <cell r="E20">
            <v>206.35666756434864</v>
          </cell>
          <cell r="F20">
            <v>56.600999999999999</v>
          </cell>
        </row>
        <row r="21">
          <cell r="E21">
            <v>228.76344093770533</v>
          </cell>
          <cell r="F21">
            <v>56.238999999999997</v>
          </cell>
        </row>
        <row r="22">
          <cell r="E22">
            <v>242.87718346049635</v>
          </cell>
          <cell r="F22">
            <v>57.314999999999998</v>
          </cell>
        </row>
        <row r="23">
          <cell r="E23">
            <v>254.97706907946107</v>
          </cell>
          <cell r="F23">
            <v>58.3</v>
          </cell>
        </row>
        <row r="24">
          <cell r="E24">
            <v>269.88893029789949</v>
          </cell>
          <cell r="F24">
            <v>59.442</v>
          </cell>
        </row>
        <row r="25">
          <cell r="E25">
            <v>304.66657141990726</v>
          </cell>
          <cell r="F25">
            <v>59.539000000000001</v>
          </cell>
        </row>
        <row r="26">
          <cell r="E26">
            <v>338.14470341668488</v>
          </cell>
          <cell r="F26">
            <v>59.676000000000002</v>
          </cell>
        </row>
        <row r="27">
          <cell r="E27">
            <v>371.59917129502242</v>
          </cell>
          <cell r="F27">
            <v>60.235999999999997</v>
          </cell>
        </row>
        <row r="28">
          <cell r="E28">
            <v>377.49235388138692</v>
          </cell>
          <cell r="F28">
            <v>60.680999999999997</v>
          </cell>
        </row>
        <row r="29">
          <cell r="E29">
            <v>379.65602668500298</v>
          </cell>
          <cell r="F29">
            <v>61.470999999999997</v>
          </cell>
        </row>
        <row r="31">
          <cell r="E31">
            <v>0</v>
          </cell>
          <cell r="F31">
            <v>58.963000000000001</v>
          </cell>
        </row>
        <row r="32">
          <cell r="E32">
            <v>36.58351445654241</v>
          </cell>
          <cell r="F32">
            <v>56.198999999999998</v>
          </cell>
        </row>
        <row r="33">
          <cell r="E33">
            <v>55.621748408287374</v>
          </cell>
          <cell r="F33">
            <v>56.076999999999998</v>
          </cell>
        </row>
        <row r="34">
          <cell r="E34">
            <v>68.780815320697656</v>
          </cell>
          <cell r="F34">
            <v>55.198</v>
          </cell>
        </row>
        <row r="35">
          <cell r="E35">
            <v>84.313458238126358</v>
          </cell>
          <cell r="F35">
            <v>53.2</v>
          </cell>
        </row>
        <row r="36">
          <cell r="E36">
            <v>91.447197860347629</v>
          </cell>
          <cell r="F36">
            <v>53.847000000000001</v>
          </cell>
        </row>
        <row r="37">
          <cell r="E37">
            <v>102.7609305778825</v>
          </cell>
          <cell r="F37">
            <v>53.826999999999998</v>
          </cell>
        </row>
        <row r="38">
          <cell r="E38">
            <v>106.79726356708481</v>
          </cell>
          <cell r="F38">
            <v>52.779000000000003</v>
          </cell>
        </row>
        <row r="39">
          <cell r="E39">
            <v>140.91691938315043</v>
          </cell>
          <cell r="F39">
            <v>52.143999999999998</v>
          </cell>
        </row>
        <row r="40">
          <cell r="E40">
            <v>162.64381444436808</v>
          </cell>
          <cell r="F40">
            <v>52.137</v>
          </cell>
        </row>
        <row r="41">
          <cell r="E41">
            <v>164.98407190871467</v>
          </cell>
          <cell r="F41">
            <v>51.247</v>
          </cell>
        </row>
        <row r="42">
          <cell r="E42">
            <v>173.33429591761586</v>
          </cell>
          <cell r="F42">
            <v>51.039000000000001</v>
          </cell>
        </row>
        <row r="43">
          <cell r="E43">
            <v>181.82912452091341</v>
          </cell>
          <cell r="F43">
            <v>51.09</v>
          </cell>
        </row>
        <row r="44">
          <cell r="E44">
            <v>184.71567575027549</v>
          </cell>
          <cell r="F44">
            <v>51.112000000000002</v>
          </cell>
        </row>
        <row r="45">
          <cell r="E45">
            <v>186.98973929398596</v>
          </cell>
          <cell r="F45">
            <v>51.454000000000001</v>
          </cell>
        </row>
        <row r="46">
          <cell r="E46">
            <v>191.23510288268179</v>
          </cell>
          <cell r="F46">
            <v>51.226999999999997</v>
          </cell>
        </row>
        <row r="47">
          <cell r="E47">
            <v>197.15919074509759</v>
          </cell>
          <cell r="F47">
            <v>51.462000000000003</v>
          </cell>
        </row>
        <row r="48">
          <cell r="E48">
            <v>241.26627744302226</v>
          </cell>
          <cell r="F48">
            <v>51.631999999999998</v>
          </cell>
        </row>
        <row r="49">
          <cell r="E49">
            <v>250.22244140991631</v>
          </cell>
          <cell r="F49">
            <v>51.284999999999997</v>
          </cell>
        </row>
        <row r="50">
          <cell r="E50">
            <v>267.52844814166428</v>
          </cell>
          <cell r="F50">
            <v>51.454000000000001</v>
          </cell>
        </row>
        <row r="51">
          <cell r="E51">
            <v>306.855595876839</v>
          </cell>
          <cell r="F51">
            <v>51.734000000000002</v>
          </cell>
        </row>
        <row r="52">
          <cell r="E52">
            <v>324.65640091511682</v>
          </cell>
          <cell r="F52">
            <v>51.610999999999997</v>
          </cell>
        </row>
        <row r="53">
          <cell r="E53">
            <v>330.70170793796132</v>
          </cell>
          <cell r="F53">
            <v>52.051000000000002</v>
          </cell>
        </row>
        <row r="54">
          <cell r="E54">
            <v>332.93320810579263</v>
          </cell>
          <cell r="F54">
            <v>53.232999999999997</v>
          </cell>
        </row>
        <row r="55">
          <cell r="E55">
            <v>339.62071421814466</v>
          </cell>
          <cell r="F55">
            <v>53.557000000000002</v>
          </cell>
        </row>
        <row r="56">
          <cell r="E56">
            <v>348.53107638806887</v>
          </cell>
          <cell r="F56">
            <v>54.345999999999997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 Day1"/>
      <sheetName val="Dudhani"/>
      <sheetName val="Maharo"/>
      <sheetName val="Poljori"/>
    </sheetNames>
    <sheetDataSet>
      <sheetData sheetId="0"/>
      <sheetData sheetId="1">
        <row r="2">
          <cell r="E2">
            <v>0</v>
          </cell>
          <cell r="F2">
            <v>125.599</v>
          </cell>
        </row>
        <row r="3">
          <cell r="E3">
            <v>3.8971941188757926</v>
          </cell>
          <cell r="F3">
            <v>124.458</v>
          </cell>
        </row>
        <row r="4">
          <cell r="E4">
            <v>9.3122593999816878</v>
          </cell>
          <cell r="F4">
            <v>123.50700000000001</v>
          </cell>
        </row>
        <row r="5">
          <cell r="E5">
            <v>16.665999740936073</v>
          </cell>
          <cell r="F5">
            <v>122.598</v>
          </cell>
        </row>
        <row r="6">
          <cell r="E6">
            <v>25.298509514970853</v>
          </cell>
          <cell r="F6">
            <v>121.767</v>
          </cell>
        </row>
        <row r="7">
          <cell r="E7">
            <v>48.197883065535038</v>
          </cell>
          <cell r="F7">
            <v>121.173</v>
          </cell>
        </row>
        <row r="8">
          <cell r="E8">
            <v>69.168612237111091</v>
          </cell>
          <cell r="F8">
            <v>121.357</v>
          </cell>
        </row>
        <row r="9">
          <cell r="E9">
            <v>72.488541905380728</v>
          </cell>
          <cell r="F9">
            <v>121.755</v>
          </cell>
        </row>
        <row r="10">
          <cell r="E10">
            <v>75.713554773419375</v>
          </cell>
          <cell r="F10">
            <v>121.399</v>
          </cell>
        </row>
        <row r="11">
          <cell r="E11">
            <v>81.404344261751362</v>
          </cell>
          <cell r="F11">
            <v>121.75700000000001</v>
          </cell>
        </row>
        <row r="12">
          <cell r="E12">
            <v>83.862004327558466</v>
          </cell>
          <cell r="F12">
            <v>121.754</v>
          </cell>
        </row>
        <row r="13">
          <cell r="E13">
            <v>85.922841536066571</v>
          </cell>
          <cell r="F13">
            <v>121.532</v>
          </cell>
        </row>
        <row r="14">
          <cell r="E14">
            <v>106.42242162939723</v>
          </cell>
          <cell r="F14">
            <v>121.14400000000001</v>
          </cell>
        </row>
        <row r="15">
          <cell r="E15">
            <v>126.42654860385319</v>
          </cell>
          <cell r="F15">
            <v>121.319</v>
          </cell>
        </row>
        <row r="16">
          <cell r="E16">
            <v>132.78015616143941</v>
          </cell>
          <cell r="F16">
            <v>120.929</v>
          </cell>
        </row>
        <row r="17">
          <cell r="E17">
            <v>137.60428478760616</v>
          </cell>
          <cell r="F17">
            <v>120.952</v>
          </cell>
        </row>
        <row r="18">
          <cell r="E18">
            <v>148.54257610762616</v>
          </cell>
          <cell r="F18">
            <v>121.322</v>
          </cell>
        </row>
        <row r="19">
          <cell r="E19">
            <v>170.8207328087677</v>
          </cell>
          <cell r="F19">
            <v>121.014</v>
          </cell>
        </row>
        <row r="20">
          <cell r="E20">
            <v>195.46214607992982</v>
          </cell>
          <cell r="F20">
            <v>121.27</v>
          </cell>
        </row>
        <row r="21">
          <cell r="E21">
            <v>200.37174993350777</v>
          </cell>
          <cell r="F21">
            <v>122.907</v>
          </cell>
        </row>
        <row r="22">
          <cell r="E22">
            <v>206.19868480540586</v>
          </cell>
          <cell r="F22">
            <v>124.80200000000001</v>
          </cell>
        </row>
        <row r="23">
          <cell r="E23">
            <v>216.65625182654233</v>
          </cell>
          <cell r="F23">
            <v>126.21</v>
          </cell>
        </row>
      </sheetData>
      <sheetData sheetId="2">
        <row r="3">
          <cell r="E3">
            <v>1.0440306748335492E-2</v>
          </cell>
          <cell r="F3">
            <v>132.255</v>
          </cell>
        </row>
        <row r="4">
          <cell r="E4">
            <v>8.3144131511065744</v>
          </cell>
          <cell r="F4">
            <v>132.25399999999999</v>
          </cell>
        </row>
        <row r="5">
          <cell r="E5">
            <v>12.272446122002719</v>
          </cell>
          <cell r="F5">
            <v>130.89699999999999</v>
          </cell>
        </row>
        <row r="6">
          <cell r="E6">
            <v>16.293394393143327</v>
          </cell>
          <cell r="F6">
            <v>130.43799999999999</v>
          </cell>
        </row>
        <row r="7">
          <cell r="E7">
            <v>18.337093490394299</v>
          </cell>
          <cell r="F7">
            <v>129.41200000000001</v>
          </cell>
        </row>
        <row r="8">
          <cell r="E8">
            <v>58.033531869696816</v>
          </cell>
          <cell r="F8">
            <v>128.84899999999999</v>
          </cell>
        </row>
        <row r="9">
          <cell r="E9">
            <v>63.111248876277585</v>
          </cell>
          <cell r="F9">
            <v>128.70400000000001</v>
          </cell>
        </row>
        <row r="10">
          <cell r="E10">
            <v>70.469100532829486</v>
          </cell>
          <cell r="F10">
            <v>128.87299999999999</v>
          </cell>
        </row>
        <row r="11">
          <cell r="E11">
            <v>110.65414265061258</v>
          </cell>
          <cell r="F11">
            <v>129.40799999999999</v>
          </cell>
        </row>
        <row r="12">
          <cell r="E12">
            <v>179.27770912735758</v>
          </cell>
          <cell r="F12">
            <v>129.29599999999999</v>
          </cell>
        </row>
        <row r="13">
          <cell r="E13">
            <v>225.29452875885693</v>
          </cell>
          <cell r="F13">
            <v>129.38999999999999</v>
          </cell>
        </row>
        <row r="14">
          <cell r="E14">
            <v>240.79362557123596</v>
          </cell>
          <cell r="F14">
            <v>129.60400000000001</v>
          </cell>
        </row>
        <row r="15">
          <cell r="E15">
            <v>246.5677801414075</v>
          </cell>
          <cell r="F15">
            <v>130.916</v>
          </cell>
        </row>
      </sheetData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 Day2"/>
      <sheetName val="Asanjor"/>
      <sheetName val="Amarpur1"/>
      <sheetName val="Amarpur2"/>
    </sheetNames>
    <sheetDataSet>
      <sheetData sheetId="0"/>
      <sheetData sheetId="1">
        <row r="2">
          <cell r="E2">
            <v>0</v>
          </cell>
          <cell r="F2">
            <v>139.36199999999999</v>
          </cell>
        </row>
        <row r="3">
          <cell r="E3">
            <v>1.4003570973425075</v>
          </cell>
          <cell r="F3">
            <v>139.36099999999999</v>
          </cell>
        </row>
        <row r="4">
          <cell r="E4">
            <v>4.0285385979882111</v>
          </cell>
          <cell r="F4">
            <v>138.01599999999999</v>
          </cell>
        </row>
        <row r="5">
          <cell r="E5">
            <v>10.020416600760907</v>
          </cell>
          <cell r="F5">
            <v>136.46799999999999</v>
          </cell>
        </row>
        <row r="6">
          <cell r="E6">
            <v>14.551714979800096</v>
          </cell>
          <cell r="F6">
            <v>135.43700000000001</v>
          </cell>
        </row>
        <row r="7">
          <cell r="E7">
            <v>31.224808544052742</v>
          </cell>
          <cell r="F7">
            <v>135.46700000000001</v>
          </cell>
        </row>
        <row r="8">
          <cell r="E8">
            <v>45.99421069849204</v>
          </cell>
          <cell r="F8">
            <v>134.94300000000001</v>
          </cell>
        </row>
        <row r="9">
          <cell r="E9">
            <v>67.791217947079005</v>
          </cell>
          <cell r="F9">
            <v>135.00800000000001</v>
          </cell>
        </row>
        <row r="10">
          <cell r="E10">
            <v>88.483794997943022</v>
          </cell>
          <cell r="F10">
            <v>134.88300000000001</v>
          </cell>
        </row>
        <row r="11">
          <cell r="E11">
            <v>104.60937920439618</v>
          </cell>
          <cell r="F11">
            <v>134.822</v>
          </cell>
        </row>
        <row r="12">
          <cell r="E12">
            <v>129.86633897797276</v>
          </cell>
          <cell r="F12">
            <v>134.91399999999999</v>
          </cell>
        </row>
        <row r="13">
          <cell r="E13">
            <v>139.8335245385164</v>
          </cell>
          <cell r="F13">
            <v>135.71899999999999</v>
          </cell>
        </row>
        <row r="14">
          <cell r="E14">
            <v>143.12906849966811</v>
          </cell>
          <cell r="F14">
            <v>136.911</v>
          </cell>
        </row>
        <row r="15">
          <cell r="E15">
            <v>146.82812148675518</v>
          </cell>
          <cell r="F15">
            <v>137.81200000000001</v>
          </cell>
        </row>
      </sheetData>
      <sheetData sheetId="2">
        <row r="3">
          <cell r="E3">
            <v>8.9805344982533203E-2</v>
          </cell>
          <cell r="F3">
            <v>151.47900000000001</v>
          </cell>
        </row>
        <row r="4">
          <cell r="E4">
            <v>3.665325726696675</v>
          </cell>
          <cell r="F4">
            <v>147.31399999999999</v>
          </cell>
        </row>
        <row r="5">
          <cell r="E5">
            <v>17.787770876251059</v>
          </cell>
          <cell r="F5">
            <v>147.191</v>
          </cell>
        </row>
        <row r="6">
          <cell r="E6">
            <v>36.882864303433365</v>
          </cell>
          <cell r="F6">
            <v>147.59200000000001</v>
          </cell>
        </row>
        <row r="7">
          <cell r="E7">
            <v>53.999191391990109</v>
          </cell>
          <cell r="F7">
            <v>148.59299999999999</v>
          </cell>
        </row>
        <row r="8">
          <cell r="E8">
            <v>57.110872609640708</v>
          </cell>
          <cell r="F8">
            <v>148.334</v>
          </cell>
        </row>
        <row r="9">
          <cell r="E9">
            <v>66.25303674059208</v>
          </cell>
          <cell r="F9">
            <v>148.078</v>
          </cell>
        </row>
        <row r="10">
          <cell r="E10">
            <v>76.944297891762389</v>
          </cell>
          <cell r="F10">
            <v>148.05500000000001</v>
          </cell>
        </row>
        <row r="11">
          <cell r="E11">
            <v>82.280762077009626</v>
          </cell>
          <cell r="F11">
            <v>149.10300000000001</v>
          </cell>
        </row>
        <row r="12">
          <cell r="E12">
            <v>85.797339532430684</v>
          </cell>
          <cell r="F12">
            <v>150.767</v>
          </cell>
        </row>
        <row r="13">
          <cell r="E13">
            <v>88.120652899029125</v>
          </cell>
          <cell r="F13">
            <v>151.28399999999999</v>
          </cell>
        </row>
      </sheetData>
      <sheetData sheetId="3">
        <row r="1">
          <cell r="F1" t="str">
            <v>Elevation</v>
          </cell>
        </row>
        <row r="2">
          <cell r="E2">
            <v>0</v>
          </cell>
          <cell r="F2">
            <v>154.79400000000001</v>
          </cell>
        </row>
        <row r="3">
          <cell r="E3">
            <v>5.5674073857535964</v>
          </cell>
          <cell r="F3">
            <v>153.30099999999999</v>
          </cell>
        </row>
        <row r="4">
          <cell r="E4">
            <v>12.841125692040263</v>
          </cell>
          <cell r="F4">
            <v>151.38800000000001</v>
          </cell>
        </row>
        <row r="5">
          <cell r="E5">
            <v>19.860929820463497</v>
          </cell>
          <cell r="F5">
            <v>149.358</v>
          </cell>
        </row>
        <row r="6">
          <cell r="E6">
            <v>22.368654885190526</v>
          </cell>
          <cell r="F6">
            <v>148.25399999999999</v>
          </cell>
        </row>
        <row r="7">
          <cell r="E7">
            <v>39.385796977596883</v>
          </cell>
          <cell r="F7">
            <v>148.26</v>
          </cell>
        </row>
        <row r="8">
          <cell r="E8">
            <v>65.623363880632922</v>
          </cell>
          <cell r="F8">
            <v>148.59200000000001</v>
          </cell>
        </row>
        <row r="9">
          <cell r="E9">
            <v>95.367642557656296</v>
          </cell>
          <cell r="F9">
            <v>148.815</v>
          </cell>
        </row>
        <row r="10">
          <cell r="E10">
            <v>97.618699420252128</v>
          </cell>
          <cell r="F10">
            <v>148.38200000000001</v>
          </cell>
        </row>
        <row r="11">
          <cell r="E11">
            <v>101.4229877902789</v>
          </cell>
          <cell r="F11">
            <v>149.19</v>
          </cell>
        </row>
        <row r="12">
          <cell r="E12">
            <v>110.05334780564498</v>
          </cell>
          <cell r="F12">
            <v>150.637</v>
          </cell>
        </row>
        <row r="13">
          <cell r="E13">
            <v>113.42873193202624</v>
          </cell>
          <cell r="F13">
            <v>152.75299999999999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07C1-5327-471C-8FAF-7281C56F6BFB}">
  <sheetPr codeName="Sheet1"/>
  <dimension ref="B2:AA205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" sqref="B4:B23"/>
    </sheetView>
  </sheetViews>
  <sheetFormatPr defaultRowHeight="14.4" x14ac:dyDescent="0.3"/>
  <cols>
    <col min="2" max="2" width="14.33203125" bestFit="1" customWidth="1"/>
    <col min="8" max="8" width="11.44140625" bestFit="1" customWidth="1"/>
    <col min="9" max="9" width="11.44140625" customWidth="1"/>
    <col min="16" max="16" width="12" bestFit="1" customWidth="1"/>
    <col min="17" max="17" width="9.88671875" bestFit="1" customWidth="1"/>
    <col min="18" max="18" width="11.44140625" bestFit="1" customWidth="1"/>
    <col min="19" max="19" width="14.88671875" bestFit="1" customWidth="1"/>
    <col min="20" max="20" width="14.88671875" customWidth="1"/>
    <col min="27" max="27" width="12.44140625" customWidth="1"/>
  </cols>
  <sheetData>
    <row r="2" spans="2:27" x14ac:dyDescent="0.3">
      <c r="C2" s="78" t="s">
        <v>97</v>
      </c>
      <c r="D2" s="78"/>
      <c r="E2" s="78"/>
      <c r="F2" s="78"/>
      <c r="G2" s="78"/>
      <c r="H2" s="78"/>
      <c r="I2" s="78"/>
      <c r="J2" s="79" t="s">
        <v>98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2:27" x14ac:dyDescent="0.3">
      <c r="C3" s="22" t="s">
        <v>74</v>
      </c>
      <c r="D3" s="2" t="s">
        <v>92</v>
      </c>
      <c r="E3" s="2" t="s">
        <v>93</v>
      </c>
      <c r="F3" s="22" t="s">
        <v>75</v>
      </c>
      <c r="G3" s="22" t="s">
        <v>89</v>
      </c>
      <c r="H3" s="2" t="s">
        <v>96</v>
      </c>
      <c r="I3" s="2" t="s">
        <v>94</v>
      </c>
      <c r="J3" s="2" t="s">
        <v>76</v>
      </c>
      <c r="K3" s="22" t="s">
        <v>77</v>
      </c>
      <c r="L3" s="2" t="s">
        <v>90</v>
      </c>
      <c r="M3" s="2" t="s">
        <v>78</v>
      </c>
      <c r="N3" s="2" t="s">
        <v>129</v>
      </c>
      <c r="O3" s="2" t="s">
        <v>79</v>
      </c>
      <c r="P3" s="2" t="s">
        <v>80</v>
      </c>
      <c r="Q3" s="2" t="s">
        <v>81</v>
      </c>
      <c r="R3" s="22" t="s">
        <v>82</v>
      </c>
      <c r="S3" s="2" t="s">
        <v>91</v>
      </c>
      <c r="T3" s="2" t="s">
        <v>131</v>
      </c>
      <c r="U3" s="22" t="s">
        <v>83</v>
      </c>
      <c r="V3" s="2" t="s">
        <v>84</v>
      </c>
      <c r="W3" s="2" t="s">
        <v>85</v>
      </c>
      <c r="X3" s="2" t="s">
        <v>86</v>
      </c>
      <c r="Y3" s="2" t="s">
        <v>87</v>
      </c>
      <c r="Z3" s="2" t="s">
        <v>88</v>
      </c>
      <c r="AA3" s="32" t="s">
        <v>96</v>
      </c>
    </row>
    <row r="4" spans="2:27" x14ac:dyDescent="0.3">
      <c r="B4" s="58" t="s">
        <v>118</v>
      </c>
      <c r="C4" s="57"/>
      <c r="D4" s="55">
        <v>0.34300000000000003</v>
      </c>
      <c r="E4" s="57"/>
      <c r="F4" s="55">
        <f>DIGULI!$W$28</f>
        <v>1.9638683205382752</v>
      </c>
      <c r="G4" s="63">
        <f>DIGULI!$Y$28</f>
        <v>15.252681160952056</v>
      </c>
      <c r="H4" s="55">
        <f>D4*F4</f>
        <v>0.6736068339446285</v>
      </c>
      <c r="I4" s="57"/>
      <c r="J4" s="56">
        <f>F4/G4</f>
        <v>0.12875561350917877</v>
      </c>
      <c r="K4" s="63">
        <v>1E-3</v>
      </c>
      <c r="L4" s="56">
        <f>9.81*J4*K4</f>
        <v>1.2630925685250438E-3</v>
      </c>
      <c r="M4" s="56">
        <f>POWER(L4,0.5)</f>
        <v>3.5540013625842123E-2</v>
      </c>
      <c r="N4" s="63">
        <v>2</v>
      </c>
      <c r="O4" s="56">
        <f>6.1*N4/1000</f>
        <v>1.2199999999999999E-2</v>
      </c>
      <c r="P4" s="56">
        <f>1.002/1000000</f>
        <v>1.0020000000000001E-6</v>
      </c>
      <c r="Q4" s="56">
        <f>(M4*O4)/P4</f>
        <v>432.72272079368645</v>
      </c>
      <c r="R4" s="56" t="s">
        <v>130</v>
      </c>
      <c r="S4" s="2">
        <f>(D4*4*J4)/P4</f>
        <v>176300.10153153021</v>
      </c>
      <c r="T4" s="2">
        <f>4*(LOG10(O4/(12*J4)))^2</f>
        <v>17.683498259899629</v>
      </c>
      <c r="U4" s="2">
        <f>1/T4</f>
        <v>5.6549896706110006E-2</v>
      </c>
      <c r="V4" s="2">
        <f>(U4/(8*9.81))^0.5</f>
        <v>2.6843331258515752E-2</v>
      </c>
      <c r="W4" s="2">
        <f>J4^(1/6)</f>
        <v>0.71060407791460678</v>
      </c>
      <c r="X4" s="2">
        <f>V4*W4</f>
        <v>1.9074980657113928E-2</v>
      </c>
      <c r="Y4" s="2">
        <f>(1/X4)*J4^(2/3)*K4^(0.5)</f>
        <v>0.422714042705986</v>
      </c>
      <c r="Z4" s="2">
        <f>Y4*F4</f>
        <v>0.83015471711694944</v>
      </c>
      <c r="AA4" s="32">
        <v>0.6736068339446285</v>
      </c>
    </row>
    <row r="5" spans="2:27" x14ac:dyDescent="0.3">
      <c r="B5" s="58" t="s">
        <v>117</v>
      </c>
      <c r="C5" s="57"/>
      <c r="D5" s="55">
        <v>0.51400000000000001</v>
      </c>
      <c r="E5" s="57"/>
      <c r="F5" s="55">
        <f>DIGULI!$W$43</f>
        <v>20.913062500000756</v>
      </c>
      <c r="G5" s="63">
        <f>DIGULI!$Y$43</f>
        <v>97.641993992711008</v>
      </c>
      <c r="H5" s="55">
        <f t="shared" ref="H5:H21" si="0">D5*F5</f>
        <v>10.749314125000389</v>
      </c>
      <c r="I5" s="57"/>
      <c r="J5" s="56">
        <f t="shared" ref="J5:J21" si="1">F5/G5</f>
        <v>0.21418102647065893</v>
      </c>
      <c r="K5" s="63">
        <v>2E-3</v>
      </c>
      <c r="L5" s="56">
        <f t="shared" ref="L5:L21" si="2">9.81*J5*K5</f>
        <v>4.2022317393543285E-3</v>
      </c>
      <c r="M5" s="56">
        <f t="shared" ref="M5:M21" si="3">POWER(L5,0.5)</f>
        <v>6.4824622940317433E-2</v>
      </c>
      <c r="N5" s="63">
        <v>3</v>
      </c>
      <c r="O5" s="56">
        <f t="shared" ref="O5:O21" si="4">6.1*N5/1000</f>
        <v>1.8299999999999997E-2</v>
      </c>
      <c r="P5" s="56">
        <f t="shared" ref="P5:P21" si="5">1.002/1000000</f>
        <v>1.0020000000000001E-6</v>
      </c>
      <c r="Q5" s="56">
        <f t="shared" ref="Q5:Q20" si="6">(M5*O5)/P5</f>
        <v>1183.9227542992103</v>
      </c>
      <c r="R5" s="56" t="s">
        <v>130</v>
      </c>
      <c r="S5" s="2">
        <f t="shared" ref="S5:S21" si="7">(D5*4*J5)/P5</f>
        <v>439477.23595177114</v>
      </c>
      <c r="T5" s="2">
        <f t="shared" ref="T5:T21" si="8">4*(LOG10(O5/(12*J5)))^2</f>
        <v>18.447216590581135</v>
      </c>
      <c r="U5" s="2">
        <f t="shared" ref="U5:U21" si="9">1/T5</f>
        <v>5.4208720057560583E-2</v>
      </c>
      <c r="V5" s="2">
        <f t="shared" ref="V5:V21" si="10">(U5/(8*9.81))^0.5</f>
        <v>2.6281798384425282E-2</v>
      </c>
      <c r="W5" s="2">
        <f t="shared" ref="W5:W21" si="11">J5^(1/6)</f>
        <v>0.77350566595388093</v>
      </c>
      <c r="X5" s="2">
        <f t="shared" ref="X5:X21" si="12">V5*W5</f>
        <v>2.0329119961810509E-2</v>
      </c>
      <c r="Y5" s="2">
        <f t="shared" ref="Y5:Y21" si="13">(1/X5)*J5^(2/3)*K5^(0.5)</f>
        <v>0.78749973490628589</v>
      </c>
      <c r="Z5" s="2">
        <f t="shared" ref="Z5:Z21" si="14">Y5*F5</f>
        <v>16.469031174829183</v>
      </c>
      <c r="AA5" s="32">
        <v>10.749314125000389</v>
      </c>
    </row>
    <row r="6" spans="2:27" x14ac:dyDescent="0.3">
      <c r="B6" s="59" t="s">
        <v>119</v>
      </c>
      <c r="C6" s="57"/>
      <c r="D6" s="55">
        <v>0.14499999999999999</v>
      </c>
      <c r="E6" s="57"/>
      <c r="F6" s="76">
        <f>BENIAGRAM!$P$25</f>
        <v>3.2824238379109327</v>
      </c>
      <c r="G6" s="63">
        <f>BENIAGRAM!$R$25</f>
        <v>21.960876006613184</v>
      </c>
      <c r="H6" s="55">
        <f t="shared" si="0"/>
        <v>0.4759514564970852</v>
      </c>
      <c r="I6" s="57"/>
      <c r="J6" s="56">
        <f t="shared" si="1"/>
        <v>0.14946688997845445</v>
      </c>
      <c r="K6" s="63">
        <v>1E-4</v>
      </c>
      <c r="L6" s="56">
        <f t="shared" si="2"/>
        <v>1.4662701906886382E-4</v>
      </c>
      <c r="M6" s="56">
        <f t="shared" si="3"/>
        <v>1.2108964409430883E-2</v>
      </c>
      <c r="N6" s="63">
        <v>2</v>
      </c>
      <c r="O6" s="56">
        <f t="shared" si="4"/>
        <v>1.2199999999999999E-2</v>
      </c>
      <c r="P6" s="56">
        <f t="shared" si="5"/>
        <v>1.0020000000000001E-6</v>
      </c>
      <c r="Q6" s="56">
        <f t="shared" si="6"/>
        <v>147.43449680145383</v>
      </c>
      <c r="R6" s="56" t="s">
        <v>130</v>
      </c>
      <c r="S6" s="2">
        <f t="shared" si="7"/>
        <v>86517.76066617122</v>
      </c>
      <c r="T6" s="2">
        <f t="shared" si="8"/>
        <v>18.789908680371671</v>
      </c>
      <c r="U6" s="2">
        <f t="shared" si="9"/>
        <v>5.3220056414889381E-2</v>
      </c>
      <c r="V6" s="2">
        <f t="shared" si="10"/>
        <v>2.6041030613612046E-2</v>
      </c>
      <c r="W6" s="2">
        <f t="shared" si="11"/>
        <v>0.72849095909006523</v>
      </c>
      <c r="X6" s="2">
        <f t="shared" si="12"/>
        <v>1.8970655367403989E-2</v>
      </c>
      <c r="Y6" s="2">
        <f t="shared" si="13"/>
        <v>0.14846166638911387</v>
      </c>
      <c r="Z6" s="2">
        <f t="shared" si="14"/>
        <v>0.48731411277160769</v>
      </c>
      <c r="AA6" s="32">
        <v>0.4759514564970852</v>
      </c>
    </row>
    <row r="7" spans="2:27" x14ac:dyDescent="0.3">
      <c r="B7" s="59" t="s">
        <v>120</v>
      </c>
      <c r="C7" s="57"/>
      <c r="D7" s="55">
        <v>0.13700000000000001</v>
      </c>
      <c r="E7" s="57"/>
      <c r="F7" s="55">
        <f>BENIAGRAM!$P$37</f>
        <v>27.235870481928295</v>
      </c>
      <c r="G7" s="63">
        <f>BENIAGRAM!$R$37</f>
        <v>97.595709827739825</v>
      </c>
      <c r="H7" s="55">
        <f t="shared" si="0"/>
        <v>3.7313142560241768</v>
      </c>
      <c r="I7" s="57"/>
      <c r="J7" s="56">
        <f t="shared" si="1"/>
        <v>0.27906831693729828</v>
      </c>
      <c r="K7" s="63">
        <v>1E-4</v>
      </c>
      <c r="L7" s="56">
        <f t="shared" si="2"/>
        <v>2.7376601891548961E-4</v>
      </c>
      <c r="M7" s="56">
        <f t="shared" si="3"/>
        <v>1.6545876190624951E-2</v>
      </c>
      <c r="N7" s="63">
        <v>4</v>
      </c>
      <c r="O7" s="56">
        <f t="shared" si="4"/>
        <v>2.4399999999999998E-2</v>
      </c>
      <c r="P7" s="56">
        <f t="shared" si="5"/>
        <v>1.0020000000000001E-6</v>
      </c>
      <c r="Q7" s="56">
        <f t="shared" si="6"/>
        <v>402.91355194735399</v>
      </c>
      <c r="R7" s="56" t="s">
        <v>130</v>
      </c>
      <c r="S7" s="2">
        <f t="shared" si="7"/>
        <v>152624.18930303337</v>
      </c>
      <c r="T7" s="2">
        <f t="shared" si="8"/>
        <v>18.275658393991552</v>
      </c>
      <c r="U7" s="2">
        <f t="shared" si="9"/>
        <v>5.4717590931157245E-2</v>
      </c>
      <c r="V7" s="2">
        <f t="shared" si="10"/>
        <v>2.6404867161683707E-2</v>
      </c>
      <c r="W7" s="2">
        <f t="shared" si="11"/>
        <v>0.8083853272899244</v>
      </c>
      <c r="X7" s="2">
        <f t="shared" si="12"/>
        <v>2.1345307182544661E-2</v>
      </c>
      <c r="Y7" s="2">
        <f t="shared" si="13"/>
        <v>0.20006507424500697</v>
      </c>
      <c r="Z7" s="2">
        <f t="shared" si="14"/>
        <v>5.4489464500943781</v>
      </c>
      <c r="AA7" s="32">
        <v>3.7313142560241768</v>
      </c>
    </row>
    <row r="8" spans="2:27" x14ac:dyDescent="0.3">
      <c r="B8" s="59" t="s">
        <v>121</v>
      </c>
      <c r="C8" s="57"/>
      <c r="D8" s="55">
        <v>0.111</v>
      </c>
      <c r="E8" s="57"/>
      <c r="F8" s="76">
        <f>BENIAGRAM!$P$58</f>
        <v>24.93970307380264</v>
      </c>
      <c r="G8" s="63">
        <f>BENIAGRAM!$R$58</f>
        <v>63.351943090775578</v>
      </c>
      <c r="H8" s="55">
        <f t="shared" si="0"/>
        <v>2.7683070411920929</v>
      </c>
      <c r="I8" s="57"/>
      <c r="J8" s="56">
        <f t="shared" si="1"/>
        <v>0.39366911032337398</v>
      </c>
      <c r="K8" s="63">
        <v>1E-4</v>
      </c>
      <c r="L8" s="56">
        <f t="shared" si="2"/>
        <v>3.8618939722722989E-4</v>
      </c>
      <c r="M8" s="56">
        <f t="shared" si="3"/>
        <v>1.9651702145799733E-2</v>
      </c>
      <c r="N8" s="63">
        <v>3.5</v>
      </c>
      <c r="O8" s="56">
        <f t="shared" si="4"/>
        <v>2.1349999999999997E-2</v>
      </c>
      <c r="P8" s="56">
        <f t="shared" si="5"/>
        <v>1.0020000000000001E-6</v>
      </c>
      <c r="Q8" s="56">
        <f t="shared" si="6"/>
        <v>418.72638803675073</v>
      </c>
      <c r="R8" s="56" t="s">
        <v>130</v>
      </c>
      <c r="S8" s="2">
        <f t="shared" si="7"/>
        <v>174440.2045744292</v>
      </c>
      <c r="T8" s="2">
        <f t="shared" si="8"/>
        <v>21.99449990283486</v>
      </c>
      <c r="U8" s="2">
        <f t="shared" si="9"/>
        <v>4.546591213338342E-2</v>
      </c>
      <c r="V8" s="2">
        <f t="shared" si="10"/>
        <v>2.406929983111547E-2</v>
      </c>
      <c r="W8" s="2">
        <f t="shared" si="11"/>
        <v>0.85609486046987926</v>
      </c>
      <c r="X8" s="2">
        <f t="shared" si="12"/>
        <v>2.0605603880526489E-2</v>
      </c>
      <c r="Y8" s="2">
        <f t="shared" si="13"/>
        <v>0.26067669876366262</v>
      </c>
      <c r="Z8" s="2">
        <f t="shared" si="14"/>
        <v>6.5011994654248415</v>
      </c>
      <c r="AA8" s="32">
        <v>2.7683070411920929</v>
      </c>
    </row>
    <row r="9" spans="2:27" x14ac:dyDescent="0.3">
      <c r="B9" s="2" t="s">
        <v>109</v>
      </c>
      <c r="C9" s="57"/>
      <c r="D9" s="55">
        <v>0.22500000000000001</v>
      </c>
      <c r="E9" s="57"/>
      <c r="F9" s="55">
        <v>2.1244845009455893</v>
      </c>
      <c r="G9" s="63">
        <v>169.99311125893877</v>
      </c>
      <c r="H9" s="55">
        <f t="shared" si="0"/>
        <v>0.47800901271275759</v>
      </c>
      <c r="I9" s="57"/>
      <c r="J9" s="56">
        <f t="shared" si="1"/>
        <v>1.2497474075343611E-2</v>
      </c>
      <c r="K9" s="63">
        <v>3.0000000000000001E-3</v>
      </c>
      <c r="L9" s="56">
        <f t="shared" si="2"/>
        <v>3.6780066203736253E-4</v>
      </c>
      <c r="M9" s="56">
        <f t="shared" si="3"/>
        <v>1.9178129784662594E-2</v>
      </c>
      <c r="N9" s="63">
        <v>3</v>
      </c>
      <c r="O9" s="56">
        <f t="shared" si="4"/>
        <v>1.8299999999999997E-2</v>
      </c>
      <c r="P9" s="56">
        <f t="shared" si="5"/>
        <v>1.0020000000000001E-6</v>
      </c>
      <c r="Q9" s="56">
        <f t="shared" si="6"/>
        <v>350.2592565462329</v>
      </c>
      <c r="R9" s="56" t="s">
        <v>130</v>
      </c>
      <c r="S9" s="2">
        <f t="shared" si="7"/>
        <v>11225.276115578094</v>
      </c>
      <c r="T9" s="2">
        <f t="shared" si="8"/>
        <v>3.3383119563651777</v>
      </c>
      <c r="U9" s="2">
        <f t="shared" si="9"/>
        <v>0.29955259216961272</v>
      </c>
      <c r="V9" s="2">
        <f t="shared" si="10"/>
        <v>6.1781300197948162E-2</v>
      </c>
      <c r="W9" s="2">
        <f t="shared" si="11"/>
        <v>0.48173001590377068</v>
      </c>
      <c r="X9" s="2">
        <f t="shared" si="12"/>
        <v>2.9761906726913197E-2</v>
      </c>
      <c r="Y9" s="2">
        <f t="shared" si="13"/>
        <v>9.9109367776748752E-2</v>
      </c>
      <c r="Z9" s="2">
        <f t="shared" si="14"/>
        <v>0.21055631574021894</v>
      </c>
      <c r="AA9" s="32">
        <v>0.47800901271275759</v>
      </c>
    </row>
    <row r="10" spans="2:27" x14ac:dyDescent="0.3">
      <c r="B10" s="2" t="s">
        <v>110</v>
      </c>
      <c r="C10" s="57"/>
      <c r="D10" s="55">
        <v>0.105</v>
      </c>
      <c r="E10" s="57"/>
      <c r="F10" s="55">
        <v>44.020071513282979</v>
      </c>
      <c r="G10" s="63">
        <v>591.57688740664867</v>
      </c>
      <c r="H10" s="55">
        <f t="shared" si="0"/>
        <v>4.6221075088947128</v>
      </c>
      <c r="I10" s="57"/>
      <c r="J10" s="56">
        <f t="shared" si="1"/>
        <v>7.4411412024999679E-2</v>
      </c>
      <c r="K10" s="63">
        <v>2.0000000000000001E-4</v>
      </c>
      <c r="L10" s="56">
        <f t="shared" si="2"/>
        <v>1.4599519039304939E-4</v>
      </c>
      <c r="M10" s="56">
        <f t="shared" si="3"/>
        <v>1.2082846949003757E-2</v>
      </c>
      <c r="N10" s="63">
        <v>0.5</v>
      </c>
      <c r="O10" s="56">
        <f t="shared" si="4"/>
        <v>3.0499999999999998E-3</v>
      </c>
      <c r="P10" s="56">
        <f t="shared" si="5"/>
        <v>1.0020000000000001E-6</v>
      </c>
      <c r="Q10" s="56">
        <f t="shared" si="6"/>
        <v>36.77912494457231</v>
      </c>
      <c r="R10" s="56" t="s">
        <v>130</v>
      </c>
      <c r="S10" s="2">
        <f t="shared" si="7"/>
        <v>31190.412226047763</v>
      </c>
      <c r="T10" s="2">
        <f t="shared" si="8"/>
        <v>24.33490243557674</v>
      </c>
      <c r="U10" s="2">
        <f t="shared" si="9"/>
        <v>4.1093240568658963E-2</v>
      </c>
      <c r="V10" s="2">
        <f t="shared" si="10"/>
        <v>2.2882617342887067E-2</v>
      </c>
      <c r="W10" s="2">
        <f t="shared" si="11"/>
        <v>0.64854471452276974</v>
      </c>
      <c r="X10" s="2">
        <f t="shared" si="12"/>
        <v>1.4840400532176473E-2</v>
      </c>
      <c r="Y10" s="2">
        <f t="shared" si="13"/>
        <v>0.16858893710509734</v>
      </c>
      <c r="Z10" s="2">
        <f t="shared" si="14"/>
        <v>7.4212970677147512</v>
      </c>
      <c r="AA10" s="32">
        <v>4.6221075088947128</v>
      </c>
    </row>
    <row r="11" spans="2:27" x14ac:dyDescent="0.3">
      <c r="B11" s="60" t="s">
        <v>124</v>
      </c>
      <c r="C11" s="57"/>
      <c r="D11" s="55">
        <v>0.48299999999999998</v>
      </c>
      <c r="E11" s="57"/>
      <c r="F11" s="55">
        <f>PANJONA!$R$27</f>
        <v>24.977529289579085</v>
      </c>
      <c r="G11" s="63">
        <f>PANJONA!$T$27</f>
        <v>99.77737282990654</v>
      </c>
      <c r="H11" s="55">
        <f t="shared" si="0"/>
        <v>12.064146646866698</v>
      </c>
      <c r="I11" s="57"/>
      <c r="J11" s="56">
        <f t="shared" si="1"/>
        <v>0.25033260128184598</v>
      </c>
      <c r="K11" s="63">
        <v>1E-3</v>
      </c>
      <c r="L11" s="56">
        <f t="shared" si="2"/>
        <v>2.455762818574909E-3</v>
      </c>
      <c r="M11" s="56">
        <f t="shared" si="3"/>
        <v>4.9555653749848855E-2</v>
      </c>
      <c r="N11" s="63">
        <v>0.4</v>
      </c>
      <c r="O11" s="56">
        <f t="shared" si="4"/>
        <v>2.4399999999999999E-3</v>
      </c>
      <c r="P11" s="56">
        <f t="shared" si="5"/>
        <v>1.0020000000000001E-6</v>
      </c>
      <c r="Q11" s="56">
        <f t="shared" si="6"/>
        <v>120.67444625711695</v>
      </c>
      <c r="R11" s="56" t="s">
        <v>130</v>
      </c>
      <c r="S11" s="2">
        <f t="shared" si="7"/>
        <v>482677.23121409817</v>
      </c>
      <c r="T11" s="2">
        <f t="shared" si="8"/>
        <v>38.200034708084182</v>
      </c>
      <c r="U11" s="2">
        <f t="shared" si="9"/>
        <v>2.6177986686184145E-2</v>
      </c>
      <c r="V11" s="2">
        <f t="shared" si="10"/>
        <v>1.8263694081032095E-2</v>
      </c>
      <c r="W11" s="2">
        <f t="shared" si="11"/>
        <v>0.79387641904710526</v>
      </c>
      <c r="X11" s="2">
        <f t="shared" si="12"/>
        <v>1.4499116055621571E-2</v>
      </c>
      <c r="Y11" s="2">
        <f t="shared" si="13"/>
        <v>0.86630352604331085</v>
      </c>
      <c r="Z11" s="2">
        <f t="shared" si="14"/>
        <v>21.638121695412433</v>
      </c>
      <c r="AA11" s="32">
        <v>12.064146646866698</v>
      </c>
    </row>
    <row r="12" spans="2:27" x14ac:dyDescent="0.3">
      <c r="B12" s="60" t="s">
        <v>125</v>
      </c>
      <c r="C12" s="57"/>
      <c r="D12" s="55">
        <v>0.57599999999999996</v>
      </c>
      <c r="E12" s="57"/>
      <c r="F12" s="55">
        <f>PANJONA!$R$90</f>
        <v>1.3989999999999969</v>
      </c>
      <c r="G12" s="63">
        <f>PANJONA!$T$90</f>
        <v>6.1967919440258417</v>
      </c>
      <c r="H12" s="55">
        <f t="shared" si="0"/>
        <v>0.80582399999999821</v>
      </c>
      <c r="I12" s="57"/>
      <c r="J12" s="56">
        <f t="shared" si="1"/>
        <v>0.22576197694497951</v>
      </c>
      <c r="K12" s="63">
        <v>2E-3</v>
      </c>
      <c r="L12" s="56">
        <f t="shared" si="2"/>
        <v>4.4294499876604988E-3</v>
      </c>
      <c r="M12" s="56">
        <f t="shared" si="3"/>
        <v>6.6554113228714115E-2</v>
      </c>
      <c r="N12" s="63">
        <v>0.3</v>
      </c>
      <c r="O12" s="56">
        <f t="shared" si="4"/>
        <v>1.8299999999999998E-3</v>
      </c>
      <c r="P12" s="56">
        <f t="shared" si="5"/>
        <v>1.0020000000000001E-6</v>
      </c>
      <c r="Q12" s="56">
        <f t="shared" si="6"/>
        <v>121.55092535783115</v>
      </c>
      <c r="R12" s="56" t="s">
        <v>130</v>
      </c>
      <c r="S12" s="2">
        <f t="shared" si="7"/>
        <v>519117.36016091087</v>
      </c>
      <c r="T12" s="2">
        <f t="shared" si="8"/>
        <v>40.205261618572884</v>
      </c>
      <c r="U12" s="2">
        <f t="shared" si="9"/>
        <v>2.4872366445143301E-2</v>
      </c>
      <c r="V12" s="2">
        <f t="shared" si="10"/>
        <v>1.780242056421685E-2</v>
      </c>
      <c r="W12" s="2">
        <f t="shared" si="11"/>
        <v>0.78032430322304236</v>
      </c>
      <c r="X12" s="2">
        <f t="shared" si="12"/>
        <v>1.3891661422456073E-2</v>
      </c>
      <c r="Y12" s="2">
        <f t="shared" si="13"/>
        <v>1.1936069556777047</v>
      </c>
      <c r="Z12" s="2">
        <f t="shared" si="14"/>
        <v>1.6698561309931053</v>
      </c>
      <c r="AA12" s="32">
        <v>0.80582399999999821</v>
      </c>
    </row>
    <row r="13" spans="2:27" x14ac:dyDescent="0.3">
      <c r="B13" s="60" t="s">
        <v>126</v>
      </c>
      <c r="C13" s="57"/>
      <c r="D13" s="55">
        <v>0.61</v>
      </c>
      <c r="E13" s="57"/>
      <c r="F13" s="55">
        <f>PANJONA!$R$102</f>
        <v>22.065155555555684</v>
      </c>
      <c r="G13" s="63">
        <f>PANJONA!$T$102</f>
        <v>58.075662944989276</v>
      </c>
      <c r="H13" s="55">
        <f t="shared" si="0"/>
        <v>13.459744888888967</v>
      </c>
      <c r="I13" s="57"/>
      <c r="J13" s="56">
        <f t="shared" si="1"/>
        <v>0.37993807451593542</v>
      </c>
      <c r="K13" s="63">
        <v>2E-3</v>
      </c>
      <c r="L13" s="56">
        <f t="shared" si="2"/>
        <v>7.4543850220026532E-3</v>
      </c>
      <c r="M13" s="56">
        <f t="shared" si="3"/>
        <v>8.6338780521864292E-2</v>
      </c>
      <c r="N13" s="63">
        <v>0.35</v>
      </c>
      <c r="O13" s="56">
        <f t="shared" si="4"/>
        <v>2.1349999999999997E-3</v>
      </c>
      <c r="P13" s="56">
        <f t="shared" si="5"/>
        <v>1.0020000000000001E-6</v>
      </c>
      <c r="Q13" s="56">
        <f t="shared" si="6"/>
        <v>183.96536568281459</v>
      </c>
      <c r="R13" s="56" t="s">
        <v>130</v>
      </c>
      <c r="S13" s="2">
        <f t="shared" si="7"/>
        <v>925198.50480926386</v>
      </c>
      <c r="T13" s="2">
        <f t="shared" si="8"/>
        <v>44.34217936042532</v>
      </c>
      <c r="U13" s="2">
        <f t="shared" si="9"/>
        <v>2.2551891098354176E-2</v>
      </c>
      <c r="V13" s="2">
        <f t="shared" si="10"/>
        <v>1.6951650340467479E-2</v>
      </c>
      <c r="W13" s="2">
        <f t="shared" si="11"/>
        <v>0.85104423912408411</v>
      </c>
      <c r="X13" s="2">
        <f t="shared" si="12"/>
        <v>1.4426604365900667E-2</v>
      </c>
      <c r="Y13" s="2">
        <f t="shared" si="13"/>
        <v>1.6261455720010054</v>
      </c>
      <c r="Z13" s="2">
        <f t="shared" si="14"/>
        <v>35.881155002180257</v>
      </c>
      <c r="AA13" s="32">
        <v>13.459744888888967</v>
      </c>
    </row>
    <row r="14" spans="2:27" x14ac:dyDescent="0.3">
      <c r="B14" s="2" t="s">
        <v>111</v>
      </c>
      <c r="C14" s="57"/>
      <c r="D14" s="55">
        <v>0.60399999999999998</v>
      </c>
      <c r="E14" s="57"/>
      <c r="F14" s="55">
        <v>106.46100000000008</v>
      </c>
      <c r="G14" s="63">
        <v>327.17308111744359</v>
      </c>
      <c r="H14" s="55">
        <f t="shared" si="0"/>
        <v>64.302444000000051</v>
      </c>
      <c r="I14" s="57"/>
      <c r="J14" s="56">
        <f t="shared" si="1"/>
        <v>0.32539657491498925</v>
      </c>
      <c r="K14" s="63">
        <v>5.0000000000000001E-4</v>
      </c>
      <c r="L14" s="56">
        <f t="shared" si="2"/>
        <v>1.5960701999580224E-3</v>
      </c>
      <c r="M14" s="56">
        <f t="shared" si="3"/>
        <v>3.9950847299625857E-2</v>
      </c>
      <c r="N14" s="63">
        <v>0.42</v>
      </c>
      <c r="O14" s="56">
        <f t="shared" si="4"/>
        <v>2.562E-3</v>
      </c>
      <c r="P14" s="56">
        <f t="shared" si="5"/>
        <v>1.0020000000000001E-6</v>
      </c>
      <c r="Q14" s="56">
        <f t="shared" si="6"/>
        <v>102.1497712391631</v>
      </c>
      <c r="R14" s="56" t="s">
        <v>130</v>
      </c>
      <c r="S14" s="2">
        <f t="shared" si="7"/>
        <v>784588.94710041315</v>
      </c>
      <c r="T14" s="2">
        <f t="shared" si="8"/>
        <v>40.526340454668556</v>
      </c>
      <c r="U14" s="2">
        <f t="shared" si="9"/>
        <v>2.467530965739597E-2</v>
      </c>
      <c r="V14" s="2">
        <f t="shared" si="10"/>
        <v>1.7731758532931331E-2</v>
      </c>
      <c r="W14" s="2">
        <f t="shared" si="11"/>
        <v>0.82934550703060572</v>
      </c>
      <c r="X14" s="2">
        <f t="shared" si="12"/>
        <v>1.4705754271038204E-2</v>
      </c>
      <c r="Y14" s="2">
        <f t="shared" si="13"/>
        <v>0.71934906304547153</v>
      </c>
      <c r="Z14" s="2">
        <f t="shared" si="14"/>
        <v>76.582620600883999</v>
      </c>
      <c r="AA14" s="32">
        <v>64.302444000000051</v>
      </c>
    </row>
    <row r="15" spans="2:27" x14ac:dyDescent="0.3">
      <c r="B15" s="61" t="s">
        <v>112</v>
      </c>
      <c r="C15" s="57"/>
      <c r="D15" s="55">
        <v>0.14399999999999999</v>
      </c>
      <c r="E15" s="57"/>
      <c r="F15" s="55">
        <v>12.418846815834746</v>
      </c>
      <c r="G15" s="63">
        <v>288.73262571126867</v>
      </c>
      <c r="H15" s="55">
        <f t="shared" si="0"/>
        <v>1.7883139414802032</v>
      </c>
      <c r="I15" s="57"/>
      <c r="J15" s="56">
        <f t="shared" si="1"/>
        <v>4.3011581338416316E-2</v>
      </c>
      <c r="K15" s="63">
        <v>2E-3</v>
      </c>
      <c r="L15" s="56">
        <f t="shared" si="2"/>
        <v>8.4388722585972825E-4</v>
      </c>
      <c r="M15" s="56">
        <f t="shared" si="3"/>
        <v>2.9049737104829852E-2</v>
      </c>
      <c r="N15" s="63">
        <v>0.55000000000000004</v>
      </c>
      <c r="O15" s="56">
        <f t="shared" si="4"/>
        <v>3.3549999999999999E-3</v>
      </c>
      <c r="P15" s="56">
        <f t="shared" si="5"/>
        <v>1.0020000000000001E-6</v>
      </c>
      <c r="Q15" s="56">
        <f t="shared" si="6"/>
        <v>97.267333320064012</v>
      </c>
      <c r="R15" s="56" t="s">
        <v>130</v>
      </c>
      <c r="S15" s="2">
        <f t="shared" si="7"/>
        <v>24725.220410107577</v>
      </c>
      <c r="T15" s="2">
        <f t="shared" si="8"/>
        <v>19.133173025041181</v>
      </c>
      <c r="U15" s="2">
        <f t="shared" si="9"/>
        <v>5.2265246265803193E-2</v>
      </c>
      <c r="V15" s="2">
        <f t="shared" si="10"/>
        <v>2.5806374970455244E-2</v>
      </c>
      <c r="W15" s="2">
        <f t="shared" si="11"/>
        <v>0.59192166370085997</v>
      </c>
      <c r="X15" s="2">
        <f t="shared" si="12"/>
        <v>1.52753524066001E-2</v>
      </c>
      <c r="Y15" s="2">
        <f t="shared" si="13"/>
        <v>0.35940217368286675</v>
      </c>
      <c r="Z15" s="2">
        <f t="shared" si="14"/>
        <v>4.4633605402455565</v>
      </c>
      <c r="AA15" s="32">
        <v>1.7883139414802032</v>
      </c>
    </row>
    <row r="16" spans="2:27" x14ac:dyDescent="0.3">
      <c r="B16" s="61" t="s">
        <v>113</v>
      </c>
      <c r="C16" s="57"/>
      <c r="D16" s="55">
        <v>0.14399999999999999</v>
      </c>
      <c r="E16" s="57"/>
      <c r="F16" s="55">
        <v>11.47635459352278</v>
      </c>
      <c r="G16" s="63">
        <v>297.33210993869545</v>
      </c>
      <c r="H16" s="55">
        <f t="shared" si="0"/>
        <v>1.6525950614672802</v>
      </c>
      <c r="I16" s="57"/>
      <c r="J16" s="56">
        <f t="shared" si="1"/>
        <v>3.859776394782588E-2</v>
      </c>
      <c r="K16" s="63">
        <v>1E-3</v>
      </c>
      <c r="L16" s="56">
        <f t="shared" si="2"/>
        <v>3.7864406432817189E-4</v>
      </c>
      <c r="M16" s="56">
        <f t="shared" si="3"/>
        <v>1.945877859291718E-2</v>
      </c>
      <c r="N16" s="63">
        <v>0.42</v>
      </c>
      <c r="O16" s="56">
        <f t="shared" si="4"/>
        <v>2.562E-3</v>
      </c>
      <c r="P16" s="56">
        <f t="shared" si="5"/>
        <v>1.0020000000000001E-6</v>
      </c>
      <c r="Q16" s="56">
        <f t="shared" si="6"/>
        <v>49.753882989075656</v>
      </c>
      <c r="R16" s="56" t="s">
        <v>130</v>
      </c>
      <c r="S16" s="2">
        <f t="shared" si="7"/>
        <v>22187.936161624457</v>
      </c>
      <c r="T16" s="2">
        <f t="shared" si="8"/>
        <v>20.379162102381748</v>
      </c>
      <c r="U16" s="2">
        <f t="shared" si="9"/>
        <v>4.9069730883740711E-2</v>
      </c>
      <c r="V16" s="2">
        <f t="shared" si="10"/>
        <v>2.5005027752268167E-2</v>
      </c>
      <c r="W16" s="2">
        <f t="shared" si="11"/>
        <v>0.58133574064796789</v>
      </c>
      <c r="X16" s="2">
        <f t="shared" si="12"/>
        <v>1.4536316328287807E-2</v>
      </c>
      <c r="Y16" s="2">
        <f t="shared" si="13"/>
        <v>0.24845842736439394</v>
      </c>
      <c r="Z16" s="2">
        <f t="shared" si="14"/>
        <v>2.8513970141828082</v>
      </c>
      <c r="AA16" s="32">
        <v>1.6525950614672802</v>
      </c>
    </row>
    <row r="17" spans="2:27" x14ac:dyDescent="0.3">
      <c r="B17" s="2" t="s">
        <v>122</v>
      </c>
      <c r="C17" s="57"/>
      <c r="D17" s="55">
        <v>0.222</v>
      </c>
      <c r="E17" s="57"/>
      <c r="F17" s="55">
        <v>42.027391025641819</v>
      </c>
      <c r="G17" s="63">
        <v>817.72539243700919</v>
      </c>
      <c r="H17" s="55">
        <f t="shared" si="0"/>
        <v>9.3300808076924842</v>
      </c>
      <c r="I17" s="57"/>
      <c r="J17" s="56">
        <f t="shared" si="1"/>
        <v>5.1395482412977977E-2</v>
      </c>
      <c r="K17" s="63">
        <v>2E-3</v>
      </c>
      <c r="L17" s="56">
        <f t="shared" si="2"/>
        <v>1.008379364942628E-3</v>
      </c>
      <c r="M17" s="56">
        <f t="shared" si="3"/>
        <v>3.1754989607030701E-2</v>
      </c>
      <c r="N17" s="63">
        <v>2.5</v>
      </c>
      <c r="O17" s="56">
        <f t="shared" si="4"/>
        <v>1.525E-2</v>
      </c>
      <c r="P17" s="56">
        <f t="shared" si="5"/>
        <v>1.0020000000000001E-6</v>
      </c>
      <c r="Q17" s="56">
        <f t="shared" si="6"/>
        <v>483.29699751219374</v>
      </c>
      <c r="R17" s="56" t="s">
        <v>130</v>
      </c>
      <c r="S17" s="2">
        <f t="shared" si="7"/>
        <v>45548.092198327788</v>
      </c>
      <c r="T17" s="2">
        <f t="shared" si="8"/>
        <v>10.327692212363871</v>
      </c>
      <c r="U17" s="2">
        <f t="shared" si="9"/>
        <v>9.6827052882428349E-2</v>
      </c>
      <c r="V17" s="2">
        <f t="shared" si="10"/>
        <v>3.512520435047959E-2</v>
      </c>
      <c r="W17" s="2">
        <f t="shared" si="11"/>
        <v>0.60975329775387799</v>
      </c>
      <c r="X17" s="2">
        <f t="shared" si="12"/>
        <v>2.1417709186983793E-2</v>
      </c>
      <c r="Y17" s="2">
        <f t="shared" si="13"/>
        <v>0.28864139293492064</v>
      </c>
      <c r="Z17" s="2">
        <f t="shared" si="14"/>
        <v>12.130844687061838</v>
      </c>
      <c r="AA17" s="32">
        <v>9.3300808076924842</v>
      </c>
    </row>
    <row r="18" spans="2:27" x14ac:dyDescent="0.3">
      <c r="B18" s="2" t="s">
        <v>123</v>
      </c>
      <c r="C18" s="57"/>
      <c r="D18" s="55">
        <v>0.371</v>
      </c>
      <c r="E18" s="57"/>
      <c r="F18" s="55">
        <v>32.00897435897523</v>
      </c>
      <c r="G18" s="63">
        <v>587.40054157305985</v>
      </c>
      <c r="H18" s="55">
        <f t="shared" si="0"/>
        <v>11.87532948717981</v>
      </c>
      <c r="I18" s="57"/>
      <c r="J18" s="56">
        <f t="shared" si="1"/>
        <v>5.449258571205115E-2</v>
      </c>
      <c r="K18" s="63">
        <v>2E-3</v>
      </c>
      <c r="L18" s="56">
        <f t="shared" si="2"/>
        <v>1.0691445316704435E-3</v>
      </c>
      <c r="M18" s="56">
        <f t="shared" si="3"/>
        <v>3.269777563796112E-2</v>
      </c>
      <c r="N18" s="63">
        <v>2.2999999999999998</v>
      </c>
      <c r="O18" s="56">
        <f t="shared" si="4"/>
        <v>1.4029999999999997E-2</v>
      </c>
      <c r="P18" s="56">
        <f t="shared" si="5"/>
        <v>1.0020000000000001E-6</v>
      </c>
      <c r="Q18" s="56">
        <f t="shared" si="6"/>
        <v>457.83412395268897</v>
      </c>
      <c r="R18" s="56" t="s">
        <v>130</v>
      </c>
      <c r="S18" s="2">
        <f t="shared" si="7"/>
        <v>80705.586024634627</v>
      </c>
      <c r="T18" s="2">
        <f t="shared" si="8"/>
        <v>11.135048313890431</v>
      </c>
      <c r="U18" s="2">
        <f t="shared" si="9"/>
        <v>8.9806525469004805E-2</v>
      </c>
      <c r="V18" s="2">
        <f t="shared" si="10"/>
        <v>3.3827854188878376E-2</v>
      </c>
      <c r="W18" s="2">
        <f t="shared" si="11"/>
        <v>0.61572894410536017</v>
      </c>
      <c r="X18" s="2">
        <f t="shared" si="12"/>
        <v>2.0828788941068169E-2</v>
      </c>
      <c r="Y18" s="2">
        <f t="shared" si="13"/>
        <v>0.30860947509345393</v>
      </c>
      <c r="Z18" s="2">
        <f t="shared" si="14"/>
        <v>9.8782727752031718</v>
      </c>
      <c r="AA18" s="32">
        <v>11.87532948717981</v>
      </c>
    </row>
    <row r="19" spans="2:27" x14ac:dyDescent="0.3">
      <c r="B19" s="22" t="s">
        <v>127</v>
      </c>
      <c r="C19" s="57"/>
      <c r="D19" s="55">
        <v>0.38</v>
      </c>
      <c r="E19" s="57"/>
      <c r="F19" s="55">
        <v>1.8368496225262092</v>
      </c>
      <c r="G19" s="63">
        <v>100.22686553430134</v>
      </c>
      <c r="H19" s="55">
        <f t="shared" si="0"/>
        <v>0.69800285655995953</v>
      </c>
      <c r="I19" s="57"/>
      <c r="J19" s="56">
        <f t="shared" si="1"/>
        <v>1.8326918763089239E-2</v>
      </c>
      <c r="K19" s="63">
        <v>4.0000000000000001E-3</v>
      </c>
      <c r="L19" s="56">
        <f t="shared" si="2"/>
        <v>7.191482922636218E-4</v>
      </c>
      <c r="M19" s="56">
        <f t="shared" si="3"/>
        <v>2.6816940397137438E-2</v>
      </c>
      <c r="N19" s="63">
        <v>5.5</v>
      </c>
      <c r="O19" s="56">
        <f t="shared" si="4"/>
        <v>3.3549999999999996E-2</v>
      </c>
      <c r="P19" s="56">
        <f t="shared" si="5"/>
        <v>1.0020000000000001E-6</v>
      </c>
      <c r="Q19" s="56">
        <f t="shared" si="6"/>
        <v>897.91252527341408</v>
      </c>
      <c r="R19" s="56" t="s">
        <v>130</v>
      </c>
      <c r="S19" s="2">
        <f t="shared" si="7"/>
        <v>27801.313892111419</v>
      </c>
      <c r="T19" s="2">
        <f t="shared" si="8"/>
        <v>2.6671996721741538</v>
      </c>
      <c r="U19" s="2">
        <f t="shared" si="9"/>
        <v>0.37492506107908119</v>
      </c>
      <c r="V19" s="2">
        <f t="shared" si="10"/>
        <v>6.9118250719741883E-2</v>
      </c>
      <c r="W19" s="2">
        <f t="shared" si="11"/>
        <v>0.51346980438250112</v>
      </c>
      <c r="X19" s="2">
        <f t="shared" si="12"/>
        <v>3.5490134676326529E-2</v>
      </c>
      <c r="Y19" s="2">
        <f t="shared" si="13"/>
        <v>0.12387452003927635</v>
      </c>
      <c r="Z19" s="2">
        <f t="shared" si="14"/>
        <v>0.22753886537476009</v>
      </c>
      <c r="AA19" s="32">
        <v>0.69800285655995953</v>
      </c>
    </row>
    <row r="20" spans="2:27" x14ac:dyDescent="0.3">
      <c r="B20" s="22" t="s">
        <v>128</v>
      </c>
      <c r="C20" s="57"/>
      <c r="D20" s="55">
        <v>0.38</v>
      </c>
      <c r="E20" s="57"/>
      <c r="F20" s="55">
        <v>10.83</v>
      </c>
      <c r="G20" s="63">
        <v>684.003946981735</v>
      </c>
      <c r="H20" s="55">
        <f t="shared" si="0"/>
        <v>4.1154000000000002</v>
      </c>
      <c r="I20" s="57"/>
      <c r="J20" s="56">
        <f t="shared" si="1"/>
        <v>1.5833241968542609E-2</v>
      </c>
      <c r="K20" s="63">
        <v>4.0000000000000001E-3</v>
      </c>
      <c r="L20" s="56">
        <f t="shared" si="2"/>
        <v>6.212964148456121E-4</v>
      </c>
      <c r="M20" s="56">
        <f t="shared" si="3"/>
        <v>2.4925818238236676E-2</v>
      </c>
      <c r="N20" s="63">
        <v>5</v>
      </c>
      <c r="O20" s="56">
        <f t="shared" si="4"/>
        <v>3.0499999999999999E-2</v>
      </c>
      <c r="P20" s="56">
        <f t="shared" si="5"/>
        <v>1.0020000000000001E-6</v>
      </c>
      <c r="Q20" s="56">
        <f t="shared" si="6"/>
        <v>758.72001623375104</v>
      </c>
      <c r="R20" s="56" t="s">
        <v>130</v>
      </c>
      <c r="S20" s="2">
        <f t="shared" si="7"/>
        <v>24018.490810563635</v>
      </c>
      <c r="T20" s="2">
        <f t="shared" si="8"/>
        <v>2.5246111897324188</v>
      </c>
      <c r="U20" s="2">
        <f t="shared" si="9"/>
        <v>0.39610059721948276</v>
      </c>
      <c r="V20" s="2">
        <f t="shared" si="10"/>
        <v>7.1043320442200214E-2</v>
      </c>
      <c r="W20" s="2">
        <f t="shared" si="11"/>
        <v>0.5011045061674072</v>
      </c>
      <c r="X20" s="2">
        <f t="shared" si="12"/>
        <v>3.5600128006681601E-2</v>
      </c>
      <c r="Y20" s="2">
        <f t="shared" si="13"/>
        <v>0.11201899414152468</v>
      </c>
      <c r="Z20" s="2">
        <f t="shared" si="14"/>
        <v>1.2131657065527122</v>
      </c>
      <c r="AA20" s="32">
        <v>4.1154000000000002</v>
      </c>
    </row>
    <row r="21" spans="2:27" x14ac:dyDescent="0.3">
      <c r="B21" s="2" t="s">
        <v>114</v>
      </c>
      <c r="C21" s="57"/>
      <c r="D21" s="55">
        <v>0.14599999999999999</v>
      </c>
      <c r="E21" s="57"/>
      <c r="F21" s="55">
        <v>9.9352191732003501</v>
      </c>
      <c r="G21" s="63">
        <v>627.49166960887953</v>
      </c>
      <c r="H21" s="55">
        <f t="shared" si="0"/>
        <v>1.450541999287251</v>
      </c>
      <c r="I21" s="57"/>
      <c r="J21" s="56">
        <f t="shared" si="1"/>
        <v>1.5833228797113831E-2</v>
      </c>
      <c r="K21" s="63">
        <v>3.0000000000000001E-3</v>
      </c>
      <c r="L21" s="56">
        <f t="shared" si="2"/>
        <v>4.6597192349906008E-4</v>
      </c>
      <c r="M21" s="56">
        <f t="shared" si="3"/>
        <v>2.158638282573206E-2</v>
      </c>
      <c r="N21" s="63">
        <v>6</v>
      </c>
      <c r="O21" s="56">
        <f t="shared" si="4"/>
        <v>3.6599999999999994E-2</v>
      </c>
      <c r="P21" s="56">
        <f t="shared" si="5"/>
        <v>1.0020000000000001E-6</v>
      </c>
      <c r="Q21" s="56">
        <f>(M21*O21)/P21</f>
        <v>788.48464213751822</v>
      </c>
      <c r="R21" s="56" t="s">
        <v>130</v>
      </c>
      <c r="S21" s="2">
        <f t="shared" si="7"/>
        <v>9228.1493188767217</v>
      </c>
      <c r="T21" s="2">
        <f t="shared" si="8"/>
        <v>2.0464426786127179</v>
      </c>
      <c r="U21" s="2">
        <f t="shared" si="9"/>
        <v>0.48865282690346318</v>
      </c>
      <c r="V21" s="2">
        <f t="shared" si="10"/>
        <v>7.8907940892377321E-2</v>
      </c>
      <c r="W21" s="2">
        <f t="shared" si="11"/>
        <v>0.50110443669053673</v>
      </c>
      <c r="X21" s="2">
        <f t="shared" si="12"/>
        <v>3.9541119271284904E-2</v>
      </c>
      <c r="Y21" s="2">
        <f t="shared" si="13"/>
        <v>8.7342307333101152E-2</v>
      </c>
      <c r="Z21" s="2">
        <f t="shared" si="14"/>
        <v>0.8677649664473841</v>
      </c>
      <c r="AA21" s="32">
        <v>1.450541999287251</v>
      </c>
    </row>
    <row r="22" spans="2:27" x14ac:dyDescent="0.3">
      <c r="B22" s="62" t="s">
        <v>115</v>
      </c>
      <c r="C22" s="57"/>
      <c r="D22" s="55"/>
      <c r="E22" s="57"/>
      <c r="F22" s="55"/>
      <c r="G22" s="55"/>
      <c r="H22" s="55"/>
      <c r="I22" s="57"/>
      <c r="J22" s="56"/>
      <c r="K22" s="56"/>
      <c r="L22" s="56"/>
      <c r="M22" s="56"/>
      <c r="N22" s="56"/>
      <c r="O22" s="56"/>
      <c r="P22" s="56"/>
      <c r="Q22" s="56"/>
      <c r="R22" s="56"/>
    </row>
    <row r="23" spans="2:27" x14ac:dyDescent="0.3">
      <c r="B23" s="62" t="s">
        <v>116</v>
      </c>
      <c r="C23" s="57"/>
      <c r="D23" s="55"/>
      <c r="E23" s="57"/>
      <c r="F23" s="55"/>
      <c r="G23" s="55"/>
      <c r="H23" s="55"/>
      <c r="I23" s="57"/>
      <c r="J23" s="56"/>
      <c r="K23" s="56"/>
      <c r="L23" s="56"/>
      <c r="M23" s="56"/>
      <c r="N23" s="56"/>
      <c r="O23" s="56"/>
      <c r="P23" s="56"/>
      <c r="Q23" s="56"/>
      <c r="R23" s="56"/>
    </row>
    <row r="24" spans="2:27" x14ac:dyDescent="0.3">
      <c r="B24" s="2"/>
      <c r="C24" s="57"/>
      <c r="D24" s="55"/>
      <c r="E24" s="57"/>
      <c r="F24" s="55"/>
      <c r="G24" s="55"/>
      <c r="H24" s="55"/>
      <c r="I24" s="57"/>
      <c r="J24" s="56"/>
      <c r="K24" s="56"/>
      <c r="L24" s="56"/>
      <c r="M24" s="56"/>
      <c r="N24" s="56"/>
      <c r="O24" s="56"/>
      <c r="P24" s="56"/>
      <c r="Q24" s="56"/>
      <c r="R24" s="56"/>
    </row>
    <row r="25" spans="2:27" x14ac:dyDescent="0.3">
      <c r="B25" s="2"/>
      <c r="C25" s="57"/>
      <c r="D25" s="55"/>
      <c r="E25" s="57"/>
      <c r="F25" s="55"/>
      <c r="G25" s="55"/>
      <c r="H25" s="55"/>
      <c r="I25" s="57"/>
      <c r="J25" s="56"/>
      <c r="K25" s="56"/>
      <c r="L25" s="56"/>
      <c r="M25" s="56"/>
      <c r="N25" s="56"/>
      <c r="O25" s="56"/>
      <c r="P25" s="56"/>
      <c r="Q25" s="56"/>
      <c r="R25" s="56"/>
    </row>
    <row r="26" spans="2:27" x14ac:dyDescent="0.3">
      <c r="B26" s="2"/>
      <c r="C26" s="57"/>
      <c r="D26" s="55"/>
      <c r="E26" s="57"/>
      <c r="F26" s="55"/>
      <c r="G26" s="55"/>
      <c r="H26" s="55"/>
      <c r="I26" s="57"/>
      <c r="J26" s="56"/>
      <c r="K26" s="56"/>
      <c r="L26" s="56"/>
      <c r="M26" s="56"/>
      <c r="N26" s="56"/>
      <c r="O26" s="56"/>
      <c r="P26" s="56"/>
      <c r="Q26" s="56"/>
      <c r="R26" s="56"/>
    </row>
    <row r="27" spans="2:27" x14ac:dyDescent="0.3">
      <c r="B27" s="2"/>
      <c r="C27" s="57"/>
      <c r="D27" s="55"/>
      <c r="E27" s="57"/>
      <c r="F27" s="55"/>
      <c r="G27" s="55"/>
      <c r="H27" s="55"/>
      <c r="I27" s="57"/>
      <c r="J27" s="56"/>
      <c r="K27" s="56"/>
      <c r="L27" s="56"/>
      <c r="M27" s="56"/>
      <c r="N27" s="56"/>
      <c r="O27" s="56"/>
      <c r="P27" s="56"/>
      <c r="Q27" s="56"/>
      <c r="R27" s="56"/>
    </row>
    <row r="28" spans="2:27" x14ac:dyDescent="0.3">
      <c r="B28" s="2"/>
      <c r="C28" s="57"/>
      <c r="D28" s="55"/>
      <c r="E28" s="57"/>
      <c r="F28" s="55"/>
      <c r="G28" s="55" t="s">
        <v>132</v>
      </c>
      <c r="H28" s="55"/>
      <c r="I28" s="57"/>
      <c r="J28" s="56"/>
      <c r="K28" s="56"/>
      <c r="L28" s="56"/>
      <c r="M28" s="56"/>
      <c r="N28" s="56"/>
      <c r="O28" s="56"/>
      <c r="P28" s="56"/>
      <c r="Q28" s="56"/>
      <c r="R28" s="56"/>
    </row>
    <row r="29" spans="2:27" x14ac:dyDescent="0.3">
      <c r="B29" s="2"/>
      <c r="C29" s="57"/>
      <c r="D29" s="55"/>
      <c r="E29" s="57"/>
      <c r="F29" s="55"/>
      <c r="G29" s="55">
        <v>15.252681160952056</v>
      </c>
      <c r="H29" s="55">
        <f>G29*6</f>
        <v>91.516086965712333</v>
      </c>
      <c r="I29" s="57"/>
      <c r="J29" s="56"/>
      <c r="K29" s="56"/>
      <c r="L29" s="56"/>
      <c r="M29" s="56"/>
      <c r="N29" s="56">
        <v>0.5</v>
      </c>
      <c r="O29" s="56"/>
      <c r="P29" s="56"/>
      <c r="Q29" s="56"/>
      <c r="R29" s="56"/>
    </row>
    <row r="30" spans="2:27" x14ac:dyDescent="0.3">
      <c r="B30" s="2"/>
      <c r="C30" s="57"/>
      <c r="D30" s="55"/>
      <c r="E30" s="57"/>
      <c r="F30" s="55"/>
      <c r="G30" s="55">
        <v>97.641993992711008</v>
      </c>
      <c r="H30" s="55">
        <f t="shared" ref="H30:H46" si="15">G30*6</f>
        <v>585.85196395626599</v>
      </c>
      <c r="I30" s="57"/>
      <c r="J30" s="56"/>
      <c r="K30" s="56"/>
      <c r="L30" s="56"/>
      <c r="M30" s="56"/>
      <c r="N30" s="56">
        <v>0.5</v>
      </c>
      <c r="O30" s="56"/>
      <c r="P30" s="56"/>
      <c r="Q30" s="56"/>
      <c r="R30" s="56"/>
    </row>
    <row r="31" spans="2:27" x14ac:dyDescent="0.3">
      <c r="B31" s="2"/>
      <c r="C31" s="57"/>
      <c r="D31" s="55"/>
      <c r="E31" s="57"/>
      <c r="F31" s="55"/>
      <c r="G31" s="55">
        <v>21.939796299646197</v>
      </c>
      <c r="H31" s="55">
        <f t="shared" si="15"/>
        <v>131.6387777978772</v>
      </c>
      <c r="I31" s="57"/>
      <c r="J31" s="56"/>
      <c r="K31" s="56"/>
      <c r="L31" s="56"/>
      <c r="M31" s="56"/>
      <c r="N31" s="56">
        <v>0.6</v>
      </c>
      <c r="O31" s="56"/>
      <c r="P31" s="56"/>
      <c r="Q31" s="56"/>
      <c r="R31" s="56"/>
    </row>
    <row r="32" spans="2:27" x14ac:dyDescent="0.3">
      <c r="B32" s="2"/>
      <c r="C32" s="57"/>
      <c r="D32" s="55"/>
      <c r="E32" s="57"/>
      <c r="F32" s="55"/>
      <c r="G32" s="55">
        <v>97.595709827739825</v>
      </c>
      <c r="H32" s="55">
        <f t="shared" si="15"/>
        <v>585.57425896643895</v>
      </c>
      <c r="I32" s="57"/>
      <c r="J32" s="56"/>
      <c r="K32" s="56"/>
      <c r="L32" s="56"/>
      <c r="M32" s="56"/>
      <c r="N32" s="56">
        <v>0.6</v>
      </c>
      <c r="O32" s="56"/>
      <c r="P32" s="56"/>
      <c r="Q32" s="56"/>
      <c r="R32" s="56"/>
    </row>
    <row r="33" spans="2:18" x14ac:dyDescent="0.3">
      <c r="B33" s="2"/>
      <c r="C33" s="57"/>
      <c r="D33" s="55"/>
      <c r="E33" s="57"/>
      <c r="F33" s="55"/>
      <c r="G33" s="55">
        <v>80.663136377548426</v>
      </c>
      <c r="H33" s="55">
        <f t="shared" si="15"/>
        <v>483.97881826529056</v>
      </c>
      <c r="I33" s="57"/>
      <c r="J33" s="56"/>
      <c r="K33" s="56"/>
      <c r="L33" s="56"/>
      <c r="M33" s="56"/>
      <c r="N33" s="56">
        <v>0.6</v>
      </c>
      <c r="O33" s="56"/>
      <c r="P33" s="56"/>
      <c r="Q33" s="56"/>
      <c r="R33" s="56"/>
    </row>
    <row r="34" spans="2:18" x14ac:dyDescent="0.3">
      <c r="B34" s="2"/>
      <c r="C34" s="55"/>
      <c r="D34" s="55"/>
      <c r="E34" s="55"/>
      <c r="F34" s="55"/>
      <c r="G34" s="55">
        <v>28.332185209823127</v>
      </c>
      <c r="H34" s="55">
        <f t="shared" si="15"/>
        <v>169.99311125893877</v>
      </c>
      <c r="I34" s="57"/>
      <c r="J34" s="56"/>
      <c r="K34" s="56"/>
      <c r="L34" s="56"/>
      <c r="M34" s="56"/>
      <c r="N34" s="56">
        <v>0.4</v>
      </c>
      <c r="O34" s="56"/>
      <c r="P34" s="56"/>
      <c r="Q34" s="56"/>
      <c r="R34" s="56"/>
    </row>
    <row r="35" spans="2:18" x14ac:dyDescent="0.3">
      <c r="B35" s="2"/>
      <c r="C35" s="55"/>
      <c r="D35" s="55"/>
      <c r="E35" s="55"/>
      <c r="F35" s="55"/>
      <c r="G35" s="55">
        <v>98.596147901108111</v>
      </c>
      <c r="H35" s="55">
        <f t="shared" si="15"/>
        <v>591.57688740664867</v>
      </c>
      <c r="I35" s="55"/>
      <c r="J35" s="56"/>
      <c r="K35" s="56"/>
      <c r="L35" s="56"/>
      <c r="M35" s="56"/>
      <c r="N35" s="56">
        <v>0.1</v>
      </c>
      <c r="O35" s="56"/>
      <c r="P35" s="56"/>
      <c r="Q35" s="56"/>
      <c r="R35" s="56"/>
    </row>
    <row r="36" spans="2:18" x14ac:dyDescent="0.3">
      <c r="B36" s="2"/>
      <c r="C36" s="55"/>
      <c r="D36" s="55"/>
      <c r="E36" s="55"/>
      <c r="F36" s="55"/>
      <c r="G36" s="55">
        <v>99.77737282990654</v>
      </c>
      <c r="H36" s="55">
        <f t="shared" si="15"/>
        <v>598.66423697943924</v>
      </c>
      <c r="I36" s="55"/>
      <c r="J36" s="56"/>
      <c r="K36" s="56"/>
      <c r="L36" s="56"/>
      <c r="M36" s="56"/>
      <c r="N36" s="56">
        <v>0.06</v>
      </c>
      <c r="O36" s="56"/>
      <c r="P36" s="56"/>
      <c r="Q36" s="56"/>
      <c r="R36" s="56"/>
    </row>
    <row r="37" spans="2:18" x14ac:dyDescent="0.3">
      <c r="B37" s="2"/>
      <c r="C37" s="55"/>
      <c r="D37" s="55"/>
      <c r="E37" s="55"/>
      <c r="F37" s="55"/>
      <c r="G37" s="55">
        <v>6.1967919440258417</v>
      </c>
      <c r="H37" s="55">
        <f t="shared" si="15"/>
        <v>37.180751664155054</v>
      </c>
      <c r="I37" s="55"/>
      <c r="J37" s="56"/>
      <c r="K37" s="56"/>
      <c r="L37" s="56"/>
      <c r="M37" s="56"/>
      <c r="N37" s="56">
        <v>0.06</v>
      </c>
      <c r="O37" s="56"/>
      <c r="P37" s="56"/>
      <c r="Q37" s="56"/>
      <c r="R37" s="56"/>
    </row>
    <row r="38" spans="2:18" x14ac:dyDescent="0.3">
      <c r="B38" s="2"/>
      <c r="C38" s="55"/>
      <c r="D38" s="55"/>
      <c r="E38" s="55"/>
      <c r="F38" s="55"/>
      <c r="G38" s="55">
        <v>58.075662944989276</v>
      </c>
      <c r="H38" s="55">
        <f t="shared" si="15"/>
        <v>348.45397766993563</v>
      </c>
      <c r="I38" s="55"/>
      <c r="J38" s="56"/>
      <c r="K38" s="56"/>
      <c r="L38" s="56"/>
      <c r="M38" s="56"/>
      <c r="N38" s="56">
        <v>0.06</v>
      </c>
      <c r="O38" s="56"/>
      <c r="P38" s="56"/>
      <c r="Q38" s="56"/>
      <c r="R38" s="56"/>
    </row>
    <row r="39" spans="2:18" x14ac:dyDescent="0.3">
      <c r="B39" s="2"/>
      <c r="C39" s="55"/>
      <c r="D39" s="55"/>
      <c r="E39" s="55"/>
      <c r="F39" s="55"/>
      <c r="G39" s="55">
        <v>54.528846852907265</v>
      </c>
      <c r="H39" s="55">
        <f t="shared" si="15"/>
        <v>327.17308111744359</v>
      </c>
      <c r="I39" s="55"/>
      <c r="J39" s="56"/>
      <c r="K39" s="56"/>
      <c r="L39" s="56"/>
      <c r="M39" s="56"/>
      <c r="N39" s="56">
        <v>7.0000000000000007E-2</v>
      </c>
      <c r="O39" s="56"/>
      <c r="P39" s="56"/>
      <c r="Q39" s="56"/>
      <c r="R39" s="56"/>
    </row>
    <row r="40" spans="2:18" x14ac:dyDescent="0.3">
      <c r="B40" s="2"/>
      <c r="C40" s="55"/>
      <c r="D40" s="55"/>
      <c r="E40" s="55"/>
      <c r="F40" s="55"/>
      <c r="G40" s="55">
        <v>48.122104285211442</v>
      </c>
      <c r="H40" s="55">
        <f t="shared" si="15"/>
        <v>288.73262571126867</v>
      </c>
      <c r="I40" s="55"/>
      <c r="J40" s="56"/>
      <c r="K40" s="56"/>
      <c r="L40" s="56"/>
      <c r="M40" s="56"/>
      <c r="N40" s="56">
        <v>0.09</v>
      </c>
      <c r="O40" s="56"/>
      <c r="P40" s="56"/>
      <c r="Q40" s="56"/>
      <c r="R40" s="56"/>
    </row>
    <row r="41" spans="2:18" x14ac:dyDescent="0.3">
      <c r="B41" s="2"/>
      <c r="C41" s="55"/>
      <c r="D41" s="55"/>
      <c r="E41" s="55"/>
      <c r="F41" s="55"/>
      <c r="G41" s="55">
        <v>49.55535165644924</v>
      </c>
      <c r="H41" s="55">
        <f t="shared" si="15"/>
        <v>297.33210993869545</v>
      </c>
      <c r="I41" s="55"/>
      <c r="J41" s="56"/>
      <c r="K41" s="56"/>
      <c r="L41" s="56"/>
      <c r="M41" s="56"/>
      <c r="N41" s="56">
        <v>0.09</v>
      </c>
      <c r="O41" s="56"/>
      <c r="P41" s="56"/>
      <c r="Q41" s="56"/>
      <c r="R41" s="56"/>
    </row>
    <row r="42" spans="2:18" x14ac:dyDescent="0.3">
      <c r="B42" s="2"/>
      <c r="C42" s="55"/>
      <c r="D42" s="55"/>
      <c r="E42" s="55"/>
      <c r="F42" s="55"/>
      <c r="G42" s="55">
        <v>136.2875654061682</v>
      </c>
      <c r="H42" s="55">
        <f t="shared" si="15"/>
        <v>817.72539243700919</v>
      </c>
      <c r="I42" s="55"/>
      <c r="J42" s="56"/>
      <c r="K42" s="56"/>
      <c r="L42" s="56"/>
      <c r="M42" s="56"/>
      <c r="N42" s="56">
        <v>0.5</v>
      </c>
      <c r="O42" s="56"/>
      <c r="P42" s="56"/>
      <c r="Q42" s="56"/>
      <c r="R42" s="56"/>
    </row>
    <row r="43" spans="2:18" x14ac:dyDescent="0.3">
      <c r="B43" s="2"/>
      <c r="C43" s="55"/>
      <c r="D43" s="55"/>
      <c r="E43" s="55"/>
      <c r="F43" s="55"/>
      <c r="G43" s="55">
        <v>97.900090262176647</v>
      </c>
      <c r="H43" s="55">
        <f t="shared" si="15"/>
        <v>587.40054157305985</v>
      </c>
      <c r="I43" s="55"/>
      <c r="J43" s="56"/>
      <c r="K43" s="56"/>
      <c r="L43" s="56"/>
      <c r="M43" s="56"/>
      <c r="N43" s="56">
        <v>0.5</v>
      </c>
      <c r="O43" s="56"/>
      <c r="P43" s="56"/>
      <c r="Q43" s="56"/>
      <c r="R43" s="56"/>
    </row>
    <row r="44" spans="2:18" x14ac:dyDescent="0.3">
      <c r="B44" s="2"/>
      <c r="C44" s="55"/>
      <c r="D44" s="55"/>
      <c r="E44" s="55"/>
      <c r="F44" s="55"/>
      <c r="G44" s="55">
        <v>16.704477589050224</v>
      </c>
      <c r="H44" s="55">
        <f t="shared" si="15"/>
        <v>100.22686553430134</v>
      </c>
      <c r="I44" s="55"/>
      <c r="J44" s="56"/>
      <c r="K44" s="56"/>
      <c r="L44" s="56"/>
      <c r="M44" s="56"/>
      <c r="N44" s="56">
        <v>1.5</v>
      </c>
      <c r="O44" s="56"/>
      <c r="P44" s="56"/>
      <c r="Q44" s="56"/>
      <c r="R44" s="56"/>
    </row>
    <row r="45" spans="2:18" x14ac:dyDescent="0.3">
      <c r="B45" s="2"/>
      <c r="C45" s="55"/>
      <c r="D45" s="55"/>
      <c r="E45" s="55"/>
      <c r="F45" s="55"/>
      <c r="G45" s="55">
        <v>114.00065783028916</v>
      </c>
      <c r="H45" s="55">
        <f t="shared" si="15"/>
        <v>684.003946981735</v>
      </c>
      <c r="I45" s="55"/>
      <c r="J45" s="56"/>
      <c r="K45" s="56"/>
      <c r="L45" s="56"/>
      <c r="M45" s="56"/>
      <c r="N45" s="56">
        <v>1.5</v>
      </c>
      <c r="O45" s="56"/>
      <c r="P45" s="56"/>
      <c r="Q45" s="56"/>
      <c r="R45" s="56"/>
    </row>
    <row r="46" spans="2:18" x14ac:dyDescent="0.3">
      <c r="B46" s="2"/>
      <c r="C46" s="55"/>
      <c r="D46" s="55"/>
      <c r="E46" s="55"/>
      <c r="F46" s="55"/>
      <c r="G46" s="55">
        <v>104.58194493481325</v>
      </c>
      <c r="H46" s="55">
        <f t="shared" si="15"/>
        <v>627.49166960887953</v>
      </c>
      <c r="I46" s="55"/>
      <c r="J46" s="56"/>
      <c r="K46" s="56"/>
      <c r="L46" s="56"/>
      <c r="M46" s="56"/>
      <c r="N46" s="56">
        <v>2</v>
      </c>
      <c r="O46" s="56"/>
      <c r="P46" s="56"/>
      <c r="Q46" s="56"/>
      <c r="R46" s="56"/>
    </row>
    <row r="47" spans="2:18" x14ac:dyDescent="0.3">
      <c r="B47" s="2"/>
      <c r="C47" s="55"/>
      <c r="D47" s="55"/>
      <c r="E47" s="55"/>
      <c r="F47" s="55"/>
      <c r="G47" s="55"/>
      <c r="H47" s="55"/>
      <c r="I47" s="55"/>
      <c r="J47" s="56"/>
      <c r="K47" s="56"/>
      <c r="L47" s="56"/>
      <c r="M47" s="56"/>
      <c r="N47" s="56"/>
      <c r="O47" s="56"/>
      <c r="P47" s="56"/>
      <c r="Q47" s="56"/>
      <c r="R47" s="56"/>
    </row>
    <row r="48" spans="2:18" x14ac:dyDescent="0.3">
      <c r="B48" s="2"/>
      <c r="C48" s="55"/>
      <c r="D48" s="55"/>
      <c r="E48" s="55"/>
      <c r="F48" s="55"/>
      <c r="G48" s="55"/>
      <c r="H48" s="55"/>
      <c r="I48" s="55"/>
      <c r="J48" s="56"/>
      <c r="K48" s="56"/>
      <c r="L48" s="56"/>
      <c r="M48" s="56"/>
      <c r="N48" s="56"/>
      <c r="O48" s="56"/>
      <c r="P48" s="56"/>
      <c r="Q48" s="56"/>
      <c r="R48" s="56"/>
    </row>
    <row r="49" spans="2:26" x14ac:dyDescent="0.3">
      <c r="B49" s="2"/>
      <c r="C49" s="55"/>
      <c r="D49" s="55"/>
      <c r="E49" s="55"/>
      <c r="F49" s="55"/>
      <c r="G49" s="55"/>
      <c r="H49" s="55"/>
      <c r="I49" s="55"/>
      <c r="J49" s="56"/>
      <c r="K49" s="56"/>
      <c r="L49" s="56"/>
      <c r="M49" s="56"/>
      <c r="N49" s="56"/>
      <c r="O49" s="56"/>
      <c r="P49" s="56"/>
      <c r="Q49" s="56"/>
      <c r="R49" s="56"/>
    </row>
    <row r="50" spans="2:26" x14ac:dyDescent="0.3">
      <c r="B50" s="2"/>
      <c r="C50" s="55"/>
      <c r="D50" s="55"/>
      <c r="E50" s="55"/>
      <c r="F50" s="55"/>
      <c r="G50" s="55"/>
      <c r="H50" s="55"/>
      <c r="I50" s="55"/>
      <c r="J50" s="56"/>
      <c r="K50" s="56"/>
      <c r="L50" s="56"/>
      <c r="M50" s="56"/>
      <c r="N50" s="56"/>
      <c r="O50" s="56"/>
      <c r="P50" s="56"/>
      <c r="Q50" s="56"/>
      <c r="R50" s="56"/>
    </row>
    <row r="51" spans="2:26" x14ac:dyDescent="0.3">
      <c r="B51" s="2"/>
      <c r="C51" s="55"/>
      <c r="D51" s="55"/>
      <c r="E51" s="55"/>
      <c r="F51" s="55"/>
      <c r="G51" s="55"/>
      <c r="H51" s="55"/>
      <c r="I51" s="55"/>
      <c r="J51" s="56"/>
      <c r="K51" s="56"/>
      <c r="L51" s="56"/>
      <c r="M51" s="56"/>
      <c r="N51" s="56"/>
      <c r="O51" s="56"/>
      <c r="P51" s="56"/>
      <c r="Q51" s="56"/>
      <c r="R51" s="56"/>
    </row>
    <row r="52" spans="2:26" x14ac:dyDescent="0.3">
      <c r="B52" s="2"/>
      <c r="C52" s="55"/>
      <c r="D52" s="55"/>
      <c r="E52" s="55"/>
      <c r="F52" s="55"/>
      <c r="G52" s="55"/>
      <c r="H52" s="55"/>
      <c r="I52" s="55"/>
      <c r="J52" s="56"/>
      <c r="K52" s="56"/>
      <c r="L52" s="56"/>
      <c r="M52" s="56"/>
      <c r="N52" s="56"/>
      <c r="O52" s="56"/>
      <c r="P52" s="56"/>
      <c r="Q52" s="56"/>
      <c r="R52" s="56"/>
    </row>
    <row r="53" spans="2:26" x14ac:dyDescent="0.3">
      <c r="B53" s="2"/>
      <c r="C53" s="55"/>
      <c r="D53" s="55"/>
      <c r="E53" s="55"/>
      <c r="F53" s="55"/>
      <c r="G53" s="55"/>
      <c r="H53" s="55"/>
      <c r="I53" s="55"/>
      <c r="J53" s="56"/>
      <c r="K53" s="56"/>
      <c r="L53" s="56"/>
      <c r="M53" s="56"/>
      <c r="N53" s="56"/>
      <c r="O53" s="56"/>
      <c r="P53" s="56"/>
      <c r="Q53" s="56"/>
      <c r="R53" s="56"/>
    </row>
    <row r="54" spans="2:26" x14ac:dyDescent="0.3">
      <c r="B54" s="2" t="s">
        <v>73</v>
      </c>
      <c r="C54" s="27">
        <v>0.68</v>
      </c>
      <c r="D54" s="27">
        <f>0.867*C54</f>
        <v>0.58956000000000008</v>
      </c>
      <c r="E54" s="27">
        <f>0.7162*C54</f>
        <v>0.487016</v>
      </c>
      <c r="F54" s="27">
        <v>10.773999999999999</v>
      </c>
      <c r="G54" s="27">
        <v>113.123</v>
      </c>
      <c r="H54" s="27">
        <f>D54*F54</f>
        <v>6.3519194400000005</v>
      </c>
      <c r="I54" s="27">
        <f>E54*F54</f>
        <v>5.247110384</v>
      </c>
      <c r="J54" s="28">
        <f>F54/G54</f>
        <v>9.524146283249206E-2</v>
      </c>
      <c r="K54" s="28">
        <v>1E-3</v>
      </c>
      <c r="L54" s="28">
        <f>9.81*J54*K54</f>
        <v>9.3431875038674716E-4</v>
      </c>
      <c r="M54" s="28">
        <f>POWER(L54,0.5)</f>
        <v>3.0566628050649407E-2</v>
      </c>
      <c r="N54" s="28"/>
      <c r="O54" s="28">
        <v>1.5E-3</v>
      </c>
      <c r="P54" s="28">
        <f>1.002/1000000</f>
        <v>1.0020000000000001E-6</v>
      </c>
      <c r="Q54" s="28">
        <f>(M54*O54)/P54</f>
        <v>45.758425225523062</v>
      </c>
      <c r="R54" s="28" t="s">
        <v>99</v>
      </c>
      <c r="S54">
        <f>(D54*4*J54)/P54</f>
        <v>224153.91947115379</v>
      </c>
      <c r="U54">
        <v>7.6999999999999999E-2</v>
      </c>
      <c r="V54">
        <f>POWER((U54/78.48),0.5)</f>
        <v>3.1323181386169359E-2</v>
      </c>
      <c r="W54">
        <f>POWER(J54,(1/6))</f>
        <v>0.67577845698421068</v>
      </c>
      <c r="X54">
        <f>V54*W54</f>
        <v>2.1167531184982078E-2</v>
      </c>
      <c r="Y54">
        <f>(1/X54)*POWER(J54,0.67)*POWER(K54,0.5)</f>
        <v>0.30913149205125556</v>
      </c>
      <c r="Z54">
        <f>Y54*F54</f>
        <v>3.3305826953602273</v>
      </c>
    </row>
    <row r="55" spans="2:26" x14ac:dyDescent="0.3">
      <c r="B55" s="2" t="s">
        <v>95</v>
      </c>
      <c r="C55" s="27">
        <v>0.17</v>
      </c>
      <c r="D55" s="27">
        <f>0.867*C55</f>
        <v>0.14739000000000002</v>
      </c>
      <c r="E55" s="27">
        <f>0.7162*C55</f>
        <v>0.121754</v>
      </c>
      <c r="F55" s="27">
        <v>2.5191271989174551</v>
      </c>
      <c r="G55" s="27">
        <v>21.230962746431175</v>
      </c>
      <c r="H55" s="27">
        <f>D55*F55</f>
        <v>0.37129415784844377</v>
      </c>
      <c r="I55" s="27">
        <f>E55*F55</f>
        <v>0.30671381297699585</v>
      </c>
      <c r="J55" s="28">
        <f>F55/G55</f>
        <v>0.11865346046735015</v>
      </c>
      <c r="K55" s="28">
        <v>2E-3</v>
      </c>
      <c r="L55" s="28">
        <f>9.81*J55*K55</f>
        <v>2.32798089436941E-3</v>
      </c>
      <c r="M55" s="28">
        <f>POWER(L55,0.5)</f>
        <v>4.8249154338386183E-2</v>
      </c>
      <c r="N55" s="28"/>
      <c r="O55" s="28">
        <v>1.5E-3</v>
      </c>
      <c r="P55" s="28">
        <f>1.002/1000000</f>
        <v>1.0020000000000001E-6</v>
      </c>
      <c r="Q55" s="28">
        <f>(M55*O55)/P55</f>
        <v>72.229272961655951</v>
      </c>
      <c r="R55" s="28" t="s">
        <v>100</v>
      </c>
      <c r="S55">
        <f>(D55*4*J55)/P55</f>
        <v>69813.70673965165</v>
      </c>
      <c r="U55">
        <v>3.2669999999999999E-3</v>
      </c>
      <c r="V55">
        <f>POWER((U55/78.48),0.5)</f>
        <v>6.4520105677976442E-3</v>
      </c>
      <c r="W55">
        <f>POWER(J55,(1/6))</f>
        <v>0.7009925484677394</v>
      </c>
      <c r="X55">
        <f>V55*W55</f>
        <v>4.5228113306612569E-3</v>
      </c>
      <c r="Y55">
        <f>(1/X55)*POWER(J55,0.67)*POWER(K55,0.5)</f>
        <v>2.3706879933378349</v>
      </c>
      <c r="Z55">
        <f>Y55*F55</f>
        <v>5.9720646041643821</v>
      </c>
    </row>
    <row r="56" spans="2:26" x14ac:dyDescent="0.3">
      <c r="B56" s="2" t="s">
        <v>101</v>
      </c>
      <c r="C56" s="27">
        <v>0.35611664882475691</v>
      </c>
      <c r="D56" s="27">
        <f>0.867*C56</f>
        <v>0.30875313453106423</v>
      </c>
      <c r="E56" s="27">
        <f>0.7162*C56</f>
        <v>0.25505074388829085</v>
      </c>
      <c r="F56" s="27">
        <v>12.306000000000001</v>
      </c>
      <c r="G56" s="27">
        <v>49.730912426460449</v>
      </c>
      <c r="H56" s="27">
        <f>D56*F56</f>
        <v>3.7995160735392766</v>
      </c>
      <c r="I56" s="27">
        <f>E56*F56</f>
        <v>3.1386544542893073</v>
      </c>
      <c r="J56" s="28">
        <f>F56/G56</f>
        <v>0.24745172367785306</v>
      </c>
      <c r="K56" s="28">
        <v>1E-3</v>
      </c>
      <c r="L56" s="28">
        <f>9.81*J56*K56</f>
        <v>2.4275014092797389E-3</v>
      </c>
      <c r="M56" s="28">
        <f>POWER(L56,0.5)</f>
        <v>4.9269680425995652E-2</v>
      </c>
      <c r="N56" s="28"/>
      <c r="O56" s="28">
        <v>1.5E-3</v>
      </c>
      <c r="P56" s="28">
        <f>1.002/1000000</f>
        <v>1.0020000000000001E-6</v>
      </c>
      <c r="Q56" s="28">
        <f>(M56*O56)/P56</f>
        <v>73.757006625741994</v>
      </c>
      <c r="R56" s="28" t="s">
        <v>102</v>
      </c>
      <c r="S56">
        <f>(D56*4*J56)/P56</f>
        <v>304995.98934391973</v>
      </c>
      <c r="U56">
        <v>2.8400000000000001E-3</v>
      </c>
      <c r="V56">
        <f>POWER((U56/78.48),0.5)</f>
        <v>6.0156100031916538E-3</v>
      </c>
      <c r="W56">
        <f>POWER(J56,(1/6))</f>
        <v>0.79234638447737771</v>
      </c>
      <c r="X56">
        <f>V56*W56</f>
        <v>4.766446836454853E-3</v>
      </c>
      <c r="Y56">
        <f>(1/X56)*POWER(J56,0.67)*POWER(K56,0.5)</f>
        <v>2.6028184133325185</v>
      </c>
      <c r="Z56">
        <f>Y56*F56</f>
        <v>32.030283394469976</v>
      </c>
    </row>
    <row r="57" spans="2:26" x14ac:dyDescent="0.3">
      <c r="C57" s="27"/>
      <c r="D57" s="27"/>
      <c r="E57" s="27"/>
      <c r="F57" s="27"/>
      <c r="G57" s="27"/>
      <c r="H57" s="27"/>
      <c r="I57" s="27"/>
      <c r="J57" s="28"/>
      <c r="K57" s="28"/>
      <c r="L57" s="28"/>
      <c r="M57" s="28"/>
      <c r="N57" s="28"/>
      <c r="O57" s="28"/>
      <c r="P57" s="28"/>
      <c r="Q57" s="28"/>
      <c r="R57" s="28"/>
    </row>
    <row r="58" spans="2:26" x14ac:dyDescent="0.3">
      <c r="C58" s="27"/>
      <c r="D58" s="27"/>
      <c r="E58" s="27"/>
      <c r="F58" s="27"/>
      <c r="G58" s="27"/>
      <c r="H58" s="27"/>
      <c r="I58" s="27"/>
      <c r="J58" s="28"/>
      <c r="K58" s="28"/>
      <c r="L58" s="28"/>
      <c r="M58" s="28"/>
      <c r="N58" s="28"/>
      <c r="O58" s="28"/>
      <c r="P58" s="28"/>
      <c r="Q58" s="28"/>
      <c r="R58" s="28"/>
    </row>
    <row r="59" spans="2:26" x14ac:dyDescent="0.3">
      <c r="C59" s="27"/>
      <c r="D59" s="27"/>
      <c r="E59" s="27"/>
      <c r="F59" s="27"/>
      <c r="G59" s="27"/>
      <c r="H59" s="27"/>
      <c r="I59" s="27"/>
      <c r="J59" s="28"/>
      <c r="K59" s="28"/>
      <c r="L59" s="28"/>
      <c r="M59" s="28"/>
      <c r="N59" s="28"/>
      <c r="O59" s="28"/>
      <c r="P59" s="28"/>
      <c r="Q59" s="28"/>
      <c r="R59" s="28"/>
    </row>
    <row r="60" spans="2:26" x14ac:dyDescent="0.3">
      <c r="C60" s="27"/>
      <c r="D60" s="27"/>
      <c r="E60" s="27"/>
      <c r="F60" s="27"/>
      <c r="G60" s="27"/>
      <c r="H60" s="27"/>
      <c r="I60" s="27"/>
      <c r="J60" s="28"/>
      <c r="K60" s="28"/>
      <c r="L60" s="28"/>
      <c r="M60" s="28"/>
      <c r="N60" s="28"/>
      <c r="O60" s="28"/>
      <c r="P60" s="28"/>
      <c r="Q60" s="28"/>
      <c r="R60" s="28"/>
    </row>
    <row r="61" spans="2:26" x14ac:dyDescent="0.3">
      <c r="C61" s="27"/>
      <c r="D61" s="27"/>
      <c r="E61" s="27"/>
      <c r="F61" s="27"/>
      <c r="G61" s="27"/>
      <c r="H61" s="27"/>
      <c r="I61" s="27"/>
      <c r="J61" s="28"/>
      <c r="K61" s="28"/>
      <c r="L61" s="28"/>
      <c r="M61" s="28"/>
      <c r="N61" s="28"/>
      <c r="O61" s="28"/>
      <c r="P61" s="28"/>
      <c r="Q61" s="28"/>
      <c r="R61" s="28"/>
    </row>
    <row r="62" spans="2:26" x14ac:dyDescent="0.3">
      <c r="C62" s="27"/>
      <c r="D62" s="27"/>
      <c r="E62" s="27"/>
      <c r="F62" s="27"/>
      <c r="G62" s="27"/>
      <c r="H62" s="27"/>
      <c r="I62" s="27"/>
      <c r="J62" s="28"/>
      <c r="K62" s="28"/>
      <c r="L62" s="28"/>
      <c r="M62" s="28"/>
      <c r="N62" s="28"/>
      <c r="O62" s="28"/>
      <c r="P62" s="28"/>
      <c r="Q62" s="28"/>
      <c r="R62" s="28"/>
    </row>
    <row r="63" spans="2:26" x14ac:dyDescent="0.3">
      <c r="C63" s="27"/>
      <c r="D63" s="27"/>
      <c r="E63" s="27"/>
      <c r="F63" s="27"/>
      <c r="G63" s="27"/>
      <c r="H63" s="27"/>
      <c r="I63" s="27"/>
      <c r="J63" s="28"/>
      <c r="K63" s="28"/>
      <c r="L63" s="28"/>
      <c r="M63" s="28"/>
      <c r="N63" s="28"/>
      <c r="O63" s="28"/>
      <c r="P63" s="28"/>
      <c r="Q63" s="28"/>
      <c r="R63" s="28"/>
    </row>
    <row r="64" spans="2:26" x14ac:dyDescent="0.3">
      <c r="C64" s="27"/>
      <c r="D64" s="27"/>
      <c r="E64" s="27"/>
      <c r="F64" s="27"/>
      <c r="G64" s="27"/>
      <c r="H64" s="27"/>
      <c r="I64" s="27"/>
      <c r="J64" s="28"/>
      <c r="K64" s="28"/>
      <c r="L64" s="28"/>
      <c r="M64" s="28"/>
      <c r="N64" s="28"/>
      <c r="O64" s="28"/>
      <c r="P64" s="28"/>
      <c r="Q64" s="28"/>
      <c r="R64" s="28"/>
    </row>
    <row r="65" spans="3:18" x14ac:dyDescent="0.3">
      <c r="C65" s="27"/>
      <c r="D65" s="27"/>
      <c r="E65" s="27"/>
      <c r="F65" s="27"/>
      <c r="G65" s="27"/>
      <c r="H65" s="27"/>
      <c r="I65" s="27"/>
      <c r="J65" s="28"/>
      <c r="K65" s="28"/>
      <c r="L65" s="28"/>
      <c r="M65" s="28"/>
      <c r="N65" s="28"/>
      <c r="O65" s="28"/>
      <c r="P65" s="28"/>
      <c r="Q65" s="28"/>
      <c r="R65" s="28"/>
    </row>
    <row r="66" spans="3:18" x14ac:dyDescent="0.3">
      <c r="C66" s="27"/>
      <c r="D66" s="27"/>
      <c r="E66" s="27"/>
      <c r="F66" s="27"/>
      <c r="G66" s="27"/>
      <c r="H66" s="27"/>
      <c r="I66" s="27"/>
      <c r="J66" s="28"/>
      <c r="K66" s="28"/>
      <c r="L66" s="28"/>
      <c r="M66" s="28"/>
      <c r="N66" s="28"/>
      <c r="O66" s="28"/>
      <c r="P66" s="28"/>
      <c r="Q66" s="28"/>
      <c r="R66" s="28"/>
    </row>
    <row r="67" spans="3:18" x14ac:dyDescent="0.3">
      <c r="C67" s="27"/>
      <c r="D67" s="27"/>
      <c r="E67" s="27"/>
      <c r="F67" s="27"/>
      <c r="G67" s="27"/>
      <c r="H67" s="27"/>
      <c r="I67" s="27"/>
      <c r="J67" s="28"/>
      <c r="K67" s="28"/>
      <c r="L67" s="28"/>
      <c r="M67" s="28"/>
      <c r="N67" s="28"/>
      <c r="O67" s="28"/>
      <c r="P67" s="28"/>
      <c r="Q67" s="28"/>
      <c r="R67" s="28"/>
    </row>
    <row r="68" spans="3:18" x14ac:dyDescent="0.3">
      <c r="C68" s="27"/>
      <c r="D68" s="27"/>
      <c r="E68" s="27"/>
      <c r="F68" s="27"/>
      <c r="G68" s="27"/>
      <c r="H68" s="27"/>
      <c r="I68" s="27"/>
      <c r="J68" s="28"/>
      <c r="K68" s="28"/>
      <c r="L68" s="28"/>
      <c r="M68" s="28"/>
      <c r="N68" s="28"/>
      <c r="O68" s="28"/>
      <c r="P68" s="28"/>
      <c r="Q68" s="28"/>
      <c r="R68" s="28"/>
    </row>
    <row r="69" spans="3:18" x14ac:dyDescent="0.3">
      <c r="C69" s="27"/>
      <c r="D69" s="27"/>
      <c r="E69" s="27"/>
      <c r="F69" s="27"/>
      <c r="G69" s="27"/>
      <c r="H69" s="27"/>
      <c r="I69" s="27"/>
      <c r="J69" s="28"/>
      <c r="K69" s="28"/>
      <c r="L69" s="28"/>
      <c r="M69" s="28"/>
      <c r="N69" s="28"/>
      <c r="O69" s="28"/>
      <c r="P69" s="28"/>
      <c r="Q69" s="28"/>
      <c r="R69" s="28"/>
    </row>
    <row r="70" spans="3:18" x14ac:dyDescent="0.3">
      <c r="C70" s="27"/>
      <c r="D70" s="27"/>
      <c r="E70" s="27"/>
      <c r="F70" s="27"/>
      <c r="G70" s="27"/>
      <c r="H70" s="27"/>
      <c r="I70" s="27"/>
      <c r="J70" s="28"/>
      <c r="K70" s="28"/>
      <c r="L70" s="28"/>
      <c r="M70" s="28"/>
      <c r="N70" s="28"/>
      <c r="O70" s="28"/>
      <c r="P70" s="28"/>
      <c r="Q70" s="28"/>
      <c r="R70" s="28"/>
    </row>
    <row r="71" spans="3:18" x14ac:dyDescent="0.3">
      <c r="C71" s="27"/>
      <c r="D71" s="27"/>
      <c r="E71" s="27"/>
      <c r="F71" s="27"/>
      <c r="G71" s="27"/>
      <c r="H71" s="27"/>
      <c r="I71" s="27"/>
      <c r="J71" s="28"/>
      <c r="K71" s="28"/>
      <c r="L71" s="28"/>
      <c r="M71" s="28"/>
      <c r="N71" s="28"/>
      <c r="O71" s="28"/>
      <c r="P71" s="28"/>
      <c r="Q71" s="28"/>
      <c r="R71" s="28"/>
    </row>
    <row r="72" spans="3:18" x14ac:dyDescent="0.3">
      <c r="C72" s="27"/>
      <c r="D72" s="27"/>
      <c r="E72" s="27"/>
      <c r="F72" s="27"/>
      <c r="G72" s="27"/>
      <c r="H72" s="27"/>
      <c r="I72" s="27"/>
      <c r="J72" s="28"/>
      <c r="K72" s="28"/>
      <c r="L72" s="28"/>
      <c r="M72" s="28"/>
      <c r="N72" s="28"/>
      <c r="O72" s="28"/>
      <c r="P72" s="28"/>
      <c r="Q72" s="28"/>
      <c r="R72" s="28"/>
    </row>
    <row r="73" spans="3:18" x14ac:dyDescent="0.3">
      <c r="C73" s="27"/>
      <c r="D73" s="27"/>
      <c r="E73" s="27"/>
      <c r="F73" s="27"/>
      <c r="G73" s="27"/>
      <c r="H73" s="27"/>
      <c r="I73" s="27"/>
      <c r="J73" s="28"/>
      <c r="K73" s="28"/>
      <c r="L73" s="28"/>
      <c r="M73" s="28"/>
      <c r="N73" s="28"/>
      <c r="O73" s="28"/>
      <c r="P73" s="28"/>
      <c r="Q73" s="28"/>
      <c r="R73" s="28"/>
    </row>
    <row r="74" spans="3:18" x14ac:dyDescent="0.3">
      <c r="C74" s="27"/>
      <c r="D74" s="27"/>
      <c r="E74" s="27"/>
      <c r="F74" s="27"/>
      <c r="G74" s="27"/>
      <c r="H74" s="27"/>
      <c r="I74" s="27"/>
      <c r="J74" s="28"/>
      <c r="K74" s="28"/>
      <c r="L74" s="28"/>
      <c r="M74" s="28"/>
      <c r="N74" s="28"/>
      <c r="O74" s="28"/>
      <c r="P74" s="28"/>
      <c r="Q74" s="28"/>
      <c r="R74" s="28"/>
    </row>
    <row r="75" spans="3:18" x14ac:dyDescent="0.3">
      <c r="C75" s="27"/>
      <c r="D75" s="27"/>
      <c r="E75" s="27"/>
      <c r="F75" s="27"/>
      <c r="G75" s="27"/>
      <c r="H75" s="27"/>
      <c r="I75" s="27"/>
      <c r="J75" s="28"/>
      <c r="K75" s="28"/>
      <c r="L75" s="28"/>
      <c r="M75" s="28"/>
      <c r="N75" s="28"/>
      <c r="O75" s="28"/>
      <c r="P75" s="28"/>
      <c r="Q75" s="28"/>
      <c r="R75" s="28"/>
    </row>
    <row r="76" spans="3:18" x14ac:dyDescent="0.3">
      <c r="C76" s="27"/>
      <c r="D76" s="27"/>
      <c r="E76" s="27"/>
      <c r="F76" s="27"/>
      <c r="G76" s="27"/>
      <c r="H76" s="27"/>
      <c r="I76" s="27"/>
      <c r="J76" s="28"/>
      <c r="K76" s="28"/>
      <c r="L76" s="28"/>
      <c r="M76" s="28"/>
      <c r="N76" s="28"/>
      <c r="O76" s="28"/>
      <c r="P76" s="28"/>
      <c r="Q76" s="28"/>
      <c r="R76" s="28"/>
    </row>
    <row r="77" spans="3:18" x14ac:dyDescent="0.3">
      <c r="C77" s="27"/>
      <c r="D77" s="27"/>
      <c r="E77" s="27"/>
      <c r="F77" s="27"/>
      <c r="G77" s="27"/>
      <c r="H77" s="27"/>
      <c r="I77" s="27"/>
      <c r="J77" s="28"/>
      <c r="K77" s="28"/>
      <c r="L77" s="28"/>
      <c r="M77" s="28"/>
      <c r="N77" s="28"/>
      <c r="O77" s="28"/>
      <c r="P77" s="28"/>
      <c r="Q77" s="28"/>
      <c r="R77" s="28"/>
    </row>
    <row r="78" spans="3:18" x14ac:dyDescent="0.3">
      <c r="C78" s="27"/>
      <c r="D78" s="27"/>
      <c r="E78" s="27"/>
      <c r="F78" s="27"/>
      <c r="G78" s="27"/>
      <c r="H78" s="27"/>
      <c r="I78" s="27"/>
      <c r="J78" s="28"/>
      <c r="K78" s="28"/>
      <c r="L78" s="28"/>
      <c r="M78" s="28"/>
      <c r="N78" s="28"/>
      <c r="O78" s="28"/>
      <c r="P78" s="28"/>
      <c r="Q78" s="28"/>
      <c r="R78" s="28"/>
    </row>
    <row r="79" spans="3:18" x14ac:dyDescent="0.3">
      <c r="C79" s="27"/>
      <c r="D79" s="27"/>
      <c r="E79" s="27"/>
      <c r="F79" s="27"/>
      <c r="G79" s="27"/>
      <c r="H79" s="27"/>
      <c r="I79" s="27"/>
      <c r="J79" s="28"/>
      <c r="K79" s="28"/>
      <c r="L79" s="28"/>
      <c r="M79" s="28"/>
      <c r="N79" s="28"/>
      <c r="O79" s="28"/>
      <c r="P79" s="28"/>
      <c r="Q79" s="28"/>
      <c r="R79" s="28"/>
    </row>
    <row r="80" spans="3:18" x14ac:dyDescent="0.3">
      <c r="C80" s="27"/>
      <c r="D80" s="27"/>
      <c r="E80" s="27"/>
      <c r="F80" s="27"/>
      <c r="G80" s="27"/>
      <c r="H80" s="27"/>
      <c r="I80" s="27"/>
      <c r="J80" s="28"/>
      <c r="K80" s="28"/>
      <c r="L80" s="28"/>
      <c r="M80" s="28"/>
      <c r="N80" s="28"/>
      <c r="O80" s="28"/>
      <c r="P80" s="28"/>
      <c r="Q80" s="28"/>
      <c r="R80" s="28"/>
    </row>
    <row r="81" spans="3:18" x14ac:dyDescent="0.3">
      <c r="C81" s="27"/>
      <c r="D81" s="27"/>
      <c r="E81" s="27"/>
      <c r="F81" s="27"/>
      <c r="G81" s="27"/>
      <c r="H81" s="27"/>
      <c r="I81" s="27"/>
      <c r="J81" s="28"/>
      <c r="K81" s="28"/>
      <c r="L81" s="28"/>
      <c r="M81" s="28"/>
      <c r="N81" s="28"/>
      <c r="O81" s="28"/>
      <c r="P81" s="28"/>
      <c r="Q81" s="28"/>
      <c r="R81" s="28"/>
    </row>
    <row r="82" spans="3:18" x14ac:dyDescent="0.3">
      <c r="C82" s="27"/>
      <c r="D82" s="27"/>
      <c r="E82" s="27"/>
      <c r="F82" s="27"/>
      <c r="G82" s="27"/>
      <c r="H82" s="27"/>
      <c r="I82" s="27"/>
      <c r="J82" s="28"/>
      <c r="K82" s="28"/>
      <c r="L82" s="28"/>
      <c r="M82" s="28"/>
      <c r="N82" s="28"/>
      <c r="O82" s="28"/>
      <c r="P82" s="28"/>
      <c r="Q82" s="28"/>
      <c r="R82" s="28"/>
    </row>
    <row r="83" spans="3:18" x14ac:dyDescent="0.3">
      <c r="C83" s="27"/>
      <c r="D83" s="27"/>
      <c r="E83" s="27"/>
      <c r="F83" s="27"/>
      <c r="G83" s="27"/>
      <c r="H83" s="27"/>
      <c r="I83" s="27"/>
      <c r="J83" s="28"/>
      <c r="K83" s="28"/>
      <c r="L83" s="28"/>
      <c r="M83" s="28"/>
      <c r="N83" s="28"/>
      <c r="O83" s="28"/>
      <c r="P83" s="28"/>
      <c r="Q83" s="28"/>
      <c r="R83" s="28"/>
    </row>
    <row r="84" spans="3:18" x14ac:dyDescent="0.3">
      <c r="C84" s="27"/>
      <c r="D84" s="27"/>
      <c r="E84" s="27"/>
      <c r="F84" s="27"/>
      <c r="G84" s="27"/>
      <c r="H84" s="27"/>
      <c r="I84" s="27"/>
      <c r="J84" s="28"/>
      <c r="K84" s="28"/>
      <c r="L84" s="28"/>
      <c r="M84" s="28"/>
      <c r="N84" s="28"/>
      <c r="O84" s="28"/>
      <c r="P84" s="28"/>
      <c r="Q84" s="28"/>
      <c r="R84" s="28"/>
    </row>
    <row r="85" spans="3:18" x14ac:dyDescent="0.3">
      <c r="C85" s="27"/>
      <c r="D85" s="27"/>
      <c r="E85" s="27"/>
      <c r="F85" s="27"/>
      <c r="G85" s="27"/>
      <c r="H85" s="27"/>
      <c r="I85" s="27"/>
      <c r="J85" s="28"/>
      <c r="K85" s="28"/>
      <c r="L85" s="28"/>
      <c r="M85" s="28"/>
      <c r="N85" s="28"/>
      <c r="O85" s="28"/>
      <c r="P85" s="28"/>
      <c r="Q85" s="28"/>
      <c r="R85" s="28"/>
    </row>
    <row r="86" spans="3:18" x14ac:dyDescent="0.3">
      <c r="C86" s="27"/>
      <c r="D86" s="27"/>
      <c r="E86" s="27"/>
      <c r="F86" s="27"/>
      <c r="G86" s="27"/>
      <c r="H86" s="27"/>
      <c r="I86" s="27"/>
      <c r="J86" s="28"/>
      <c r="K86" s="28"/>
      <c r="L86" s="28"/>
      <c r="M86" s="28"/>
      <c r="N86" s="28"/>
      <c r="O86" s="28"/>
      <c r="P86" s="28"/>
      <c r="Q86" s="28"/>
      <c r="R86" s="28"/>
    </row>
    <row r="87" spans="3:18" x14ac:dyDescent="0.3">
      <c r="C87" s="27"/>
      <c r="D87" s="27"/>
      <c r="E87" s="27"/>
      <c r="F87" s="27"/>
      <c r="G87" s="27"/>
      <c r="H87" s="27"/>
      <c r="I87" s="27"/>
      <c r="J87" s="28"/>
      <c r="K87" s="28"/>
      <c r="L87" s="28"/>
      <c r="M87" s="28"/>
      <c r="N87" s="28"/>
      <c r="O87" s="28"/>
      <c r="P87" s="28"/>
      <c r="Q87" s="28"/>
      <c r="R87" s="28"/>
    </row>
    <row r="88" spans="3:18" x14ac:dyDescent="0.3">
      <c r="C88" s="27"/>
      <c r="D88" s="27"/>
      <c r="E88" s="27"/>
      <c r="F88" s="27"/>
      <c r="G88" s="27"/>
      <c r="H88" s="27"/>
      <c r="I88" s="27"/>
      <c r="J88" s="28"/>
      <c r="K88" s="28"/>
      <c r="L88" s="28"/>
      <c r="M88" s="28"/>
      <c r="N88" s="28"/>
      <c r="O88" s="28"/>
      <c r="P88" s="28"/>
      <c r="Q88" s="28"/>
      <c r="R88" s="28"/>
    </row>
    <row r="89" spans="3:18" x14ac:dyDescent="0.3">
      <c r="C89" s="27"/>
      <c r="D89" s="27"/>
      <c r="E89" s="27"/>
      <c r="F89" s="27"/>
      <c r="G89" s="27"/>
      <c r="H89" s="27"/>
      <c r="I89" s="27"/>
      <c r="J89" s="28"/>
      <c r="K89" s="28"/>
      <c r="L89" s="28"/>
      <c r="M89" s="28"/>
      <c r="N89" s="28"/>
      <c r="O89" s="28"/>
      <c r="P89" s="28"/>
      <c r="Q89" s="28"/>
      <c r="R89" s="28"/>
    </row>
    <row r="90" spans="3:18" x14ac:dyDescent="0.3">
      <c r="C90" s="27"/>
      <c r="D90" s="27"/>
      <c r="E90" s="27"/>
      <c r="F90" s="27"/>
      <c r="G90" s="27"/>
      <c r="H90" s="27"/>
      <c r="I90" s="27"/>
      <c r="J90" s="28"/>
      <c r="K90" s="28"/>
      <c r="L90" s="28"/>
      <c r="M90" s="28"/>
      <c r="N90" s="28"/>
      <c r="O90" s="28"/>
      <c r="P90" s="28"/>
      <c r="Q90" s="28"/>
      <c r="R90" s="28"/>
    </row>
    <row r="91" spans="3:18" x14ac:dyDescent="0.3">
      <c r="C91" s="27"/>
      <c r="D91" s="27"/>
      <c r="E91" s="27"/>
      <c r="F91" s="27"/>
      <c r="G91" s="27"/>
      <c r="H91" s="27"/>
      <c r="I91" s="27"/>
      <c r="J91" s="28"/>
      <c r="K91" s="28"/>
      <c r="L91" s="28"/>
      <c r="M91" s="28"/>
      <c r="N91" s="28"/>
      <c r="O91" s="28"/>
      <c r="P91" s="28"/>
      <c r="Q91" s="28"/>
      <c r="R91" s="28"/>
    </row>
    <row r="92" spans="3:18" x14ac:dyDescent="0.3">
      <c r="C92" s="27"/>
      <c r="D92" s="27"/>
      <c r="E92" s="27"/>
      <c r="F92" s="27"/>
      <c r="G92" s="27"/>
      <c r="H92" s="27"/>
      <c r="I92" s="27"/>
      <c r="J92" s="28"/>
      <c r="K92" s="28"/>
      <c r="L92" s="28"/>
      <c r="M92" s="28"/>
      <c r="N92" s="28"/>
      <c r="O92" s="28"/>
      <c r="P92" s="28"/>
      <c r="Q92" s="28"/>
      <c r="R92" s="28"/>
    </row>
    <row r="93" spans="3:18" x14ac:dyDescent="0.3">
      <c r="C93" s="27"/>
      <c r="D93" s="27"/>
      <c r="E93" s="27"/>
      <c r="F93" s="27"/>
      <c r="G93" s="27"/>
      <c r="H93" s="27"/>
      <c r="I93" s="27"/>
      <c r="J93" s="28"/>
      <c r="K93" s="28"/>
      <c r="L93" s="28"/>
      <c r="M93" s="28"/>
      <c r="N93" s="28"/>
      <c r="O93" s="28"/>
      <c r="P93" s="28"/>
      <c r="Q93" s="28"/>
      <c r="R93" s="28"/>
    </row>
    <row r="94" spans="3:18" x14ac:dyDescent="0.3">
      <c r="C94" s="27"/>
      <c r="D94" s="27"/>
      <c r="E94" s="27"/>
      <c r="F94" s="27"/>
      <c r="G94" s="27"/>
      <c r="H94" s="27"/>
      <c r="I94" s="27"/>
      <c r="J94" s="28"/>
      <c r="K94" s="28"/>
      <c r="L94" s="28"/>
      <c r="M94" s="28"/>
      <c r="N94" s="28"/>
      <c r="O94" s="28"/>
      <c r="P94" s="28"/>
      <c r="Q94" s="28"/>
      <c r="R94" s="28"/>
    </row>
    <row r="95" spans="3:18" x14ac:dyDescent="0.3">
      <c r="C95" s="27"/>
      <c r="D95" s="27"/>
      <c r="E95" s="27"/>
      <c r="F95" s="27"/>
      <c r="G95" s="27"/>
      <c r="H95" s="27"/>
      <c r="I95" s="27"/>
      <c r="J95" s="28"/>
      <c r="K95" s="28"/>
      <c r="L95" s="28"/>
      <c r="M95" s="28"/>
      <c r="N95" s="28"/>
      <c r="O95" s="28"/>
      <c r="P95" s="28"/>
      <c r="Q95" s="28"/>
      <c r="R95" s="28"/>
    </row>
    <row r="96" spans="3:18" x14ac:dyDescent="0.3">
      <c r="C96" s="27"/>
      <c r="D96" s="27"/>
      <c r="E96" s="27"/>
      <c r="F96" s="27"/>
      <c r="G96" s="27"/>
      <c r="H96" s="27"/>
      <c r="I96" s="27"/>
      <c r="J96" s="28"/>
      <c r="K96" s="28"/>
      <c r="L96" s="28"/>
      <c r="M96" s="28"/>
      <c r="N96" s="28"/>
      <c r="O96" s="28"/>
      <c r="P96" s="28"/>
      <c r="Q96" s="28"/>
      <c r="R96" s="28"/>
    </row>
    <row r="97" spans="3:18" x14ac:dyDescent="0.3">
      <c r="C97" s="27"/>
      <c r="D97" s="27"/>
      <c r="E97" s="27"/>
      <c r="F97" s="27"/>
      <c r="G97" s="27"/>
      <c r="H97" s="27"/>
      <c r="I97" s="27"/>
      <c r="J97" s="28"/>
      <c r="K97" s="28"/>
      <c r="L97" s="28"/>
      <c r="M97" s="28"/>
      <c r="N97" s="28"/>
      <c r="O97" s="28"/>
      <c r="P97" s="28"/>
      <c r="Q97" s="28"/>
      <c r="R97" s="28"/>
    </row>
    <row r="98" spans="3:18" x14ac:dyDescent="0.3">
      <c r="C98" s="27"/>
      <c r="D98" s="27"/>
      <c r="E98" s="27"/>
      <c r="F98" s="27"/>
      <c r="G98" s="27"/>
      <c r="H98" s="27"/>
      <c r="I98" s="27"/>
      <c r="J98" s="28"/>
      <c r="K98" s="28"/>
      <c r="L98" s="28"/>
      <c r="M98" s="28"/>
      <c r="N98" s="28"/>
      <c r="O98" s="28"/>
      <c r="P98" s="28"/>
      <c r="Q98" s="28"/>
      <c r="R98" s="28"/>
    </row>
    <row r="99" spans="3:18" x14ac:dyDescent="0.3">
      <c r="C99" s="27"/>
      <c r="D99" s="27"/>
      <c r="E99" s="27"/>
      <c r="F99" s="27"/>
      <c r="G99" s="27"/>
      <c r="H99" s="27"/>
      <c r="I99" s="27"/>
      <c r="J99" s="28"/>
      <c r="K99" s="28"/>
      <c r="L99" s="28"/>
      <c r="M99" s="28"/>
      <c r="N99" s="28"/>
      <c r="O99" s="28"/>
      <c r="P99" s="28"/>
      <c r="Q99" s="28"/>
      <c r="R99" s="28"/>
    </row>
    <row r="100" spans="3:18" x14ac:dyDescent="0.3">
      <c r="C100" s="27"/>
      <c r="D100" s="27"/>
      <c r="E100" s="27"/>
      <c r="F100" s="27"/>
      <c r="G100" s="27"/>
      <c r="H100" s="27"/>
      <c r="I100" s="27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3:18" x14ac:dyDescent="0.3">
      <c r="C101" s="27"/>
      <c r="D101" s="27"/>
      <c r="E101" s="27"/>
      <c r="F101" s="27"/>
      <c r="G101" s="27"/>
      <c r="H101" s="27"/>
      <c r="I101" s="27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3:18" x14ac:dyDescent="0.3">
      <c r="C102" s="27"/>
      <c r="D102" s="27"/>
      <c r="E102" s="27"/>
      <c r="F102" s="27"/>
      <c r="G102" s="27"/>
      <c r="H102" s="27"/>
      <c r="I102" s="27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3:18" x14ac:dyDescent="0.3">
      <c r="C103" s="27"/>
      <c r="D103" s="27"/>
      <c r="E103" s="27"/>
      <c r="F103" s="27"/>
      <c r="G103" s="27"/>
      <c r="H103" s="27"/>
      <c r="I103" s="27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3:18" x14ac:dyDescent="0.3">
      <c r="C104" s="27"/>
      <c r="D104" s="27"/>
      <c r="E104" s="27"/>
      <c r="F104" s="27"/>
      <c r="G104" s="27"/>
      <c r="H104" s="27"/>
      <c r="I104" s="27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3:18" x14ac:dyDescent="0.3">
      <c r="C105" s="27"/>
      <c r="D105" s="27"/>
      <c r="E105" s="27"/>
      <c r="F105" s="27"/>
      <c r="G105" s="27"/>
      <c r="H105" s="27"/>
      <c r="I105" s="27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3:18" x14ac:dyDescent="0.3">
      <c r="C106" s="27"/>
      <c r="D106" s="27"/>
      <c r="E106" s="27"/>
      <c r="F106" s="27"/>
      <c r="G106" s="27"/>
      <c r="H106" s="27"/>
      <c r="I106" s="27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3:18" x14ac:dyDescent="0.3">
      <c r="C107" s="27"/>
      <c r="D107" s="27"/>
      <c r="E107" s="27"/>
      <c r="F107" s="27"/>
      <c r="G107" s="27"/>
      <c r="H107" s="27"/>
      <c r="I107" s="27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3:18" x14ac:dyDescent="0.3">
      <c r="C108" s="27"/>
      <c r="D108" s="27"/>
      <c r="E108" s="27"/>
      <c r="F108" s="27"/>
      <c r="G108" s="27"/>
      <c r="H108" s="27"/>
      <c r="I108" s="27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3:18" x14ac:dyDescent="0.3">
      <c r="C109" s="27"/>
      <c r="D109" s="27"/>
      <c r="E109" s="27"/>
      <c r="F109" s="27"/>
      <c r="G109" s="27"/>
      <c r="H109" s="27"/>
      <c r="I109" s="27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3:18" x14ac:dyDescent="0.3">
      <c r="C110" s="27"/>
      <c r="D110" s="27"/>
      <c r="E110" s="27"/>
      <c r="F110" s="27"/>
      <c r="G110" s="27"/>
      <c r="H110" s="27"/>
      <c r="I110" s="27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3:18" x14ac:dyDescent="0.3">
      <c r="C111" s="27"/>
      <c r="D111" s="27"/>
      <c r="E111" s="27"/>
      <c r="F111" s="27"/>
      <c r="G111" s="27"/>
      <c r="H111" s="27"/>
      <c r="I111" s="27"/>
      <c r="J111" s="28"/>
      <c r="K111" s="28"/>
      <c r="L111" s="28"/>
      <c r="M111" s="28"/>
      <c r="N111" s="28"/>
      <c r="O111" s="28"/>
      <c r="P111" s="28"/>
      <c r="Q111" s="28"/>
      <c r="R111" s="28"/>
    </row>
    <row r="112" spans="3:18" x14ac:dyDescent="0.3">
      <c r="C112" s="27"/>
      <c r="D112" s="27"/>
      <c r="E112" s="27"/>
      <c r="F112" s="27"/>
      <c r="G112" s="27"/>
      <c r="H112" s="27"/>
      <c r="I112" s="27"/>
      <c r="J112" s="28"/>
      <c r="K112" s="28"/>
      <c r="L112" s="28"/>
      <c r="M112" s="28"/>
      <c r="N112" s="28"/>
      <c r="O112" s="28"/>
      <c r="P112" s="28"/>
      <c r="Q112" s="28"/>
      <c r="R112" s="28"/>
    </row>
    <row r="113" spans="3:18" x14ac:dyDescent="0.3">
      <c r="C113" s="27"/>
      <c r="D113" s="27"/>
      <c r="E113" s="27"/>
      <c r="F113" s="27"/>
      <c r="G113" s="27"/>
      <c r="H113" s="27"/>
      <c r="I113" s="27"/>
      <c r="J113" s="28"/>
      <c r="K113" s="28"/>
      <c r="L113" s="28"/>
      <c r="M113" s="28"/>
      <c r="N113" s="28"/>
      <c r="O113" s="28"/>
      <c r="P113" s="28"/>
      <c r="Q113" s="28"/>
      <c r="R113" s="28"/>
    </row>
    <row r="114" spans="3:18" x14ac:dyDescent="0.3">
      <c r="C114" s="27"/>
      <c r="D114" s="27"/>
      <c r="E114" s="27"/>
      <c r="F114" s="27"/>
      <c r="G114" s="27"/>
      <c r="H114" s="27"/>
      <c r="I114" s="27"/>
      <c r="J114" s="28"/>
      <c r="K114" s="28"/>
      <c r="L114" s="28"/>
      <c r="M114" s="28"/>
      <c r="N114" s="28"/>
      <c r="O114" s="28"/>
      <c r="P114" s="28"/>
      <c r="Q114" s="28"/>
      <c r="R114" s="28"/>
    </row>
    <row r="115" spans="3:18" x14ac:dyDescent="0.3">
      <c r="C115" s="27"/>
      <c r="D115" s="27"/>
      <c r="E115" s="27"/>
      <c r="F115" s="27"/>
      <c r="G115" s="27"/>
      <c r="H115" s="27"/>
      <c r="I115" s="27"/>
      <c r="J115" s="28"/>
      <c r="K115" s="28"/>
      <c r="L115" s="28"/>
      <c r="M115" s="28"/>
      <c r="N115" s="28"/>
      <c r="O115" s="28"/>
      <c r="P115" s="28"/>
      <c r="Q115" s="28"/>
      <c r="R115" s="28"/>
    </row>
    <row r="116" spans="3:18" x14ac:dyDescent="0.3">
      <c r="C116" s="27"/>
      <c r="D116" s="27"/>
      <c r="E116" s="27"/>
      <c r="F116" s="27"/>
      <c r="G116" s="27"/>
      <c r="H116" s="27"/>
      <c r="I116" s="27"/>
      <c r="J116" s="28"/>
      <c r="K116" s="28"/>
      <c r="L116" s="28"/>
      <c r="M116" s="28"/>
      <c r="N116" s="28"/>
      <c r="O116" s="28"/>
      <c r="P116" s="28"/>
      <c r="Q116" s="28"/>
      <c r="R116" s="28"/>
    </row>
    <row r="117" spans="3:18" x14ac:dyDescent="0.3">
      <c r="C117" s="27"/>
      <c r="D117" s="27"/>
      <c r="E117" s="27"/>
      <c r="F117" s="27"/>
      <c r="G117" s="27"/>
      <c r="H117" s="27"/>
      <c r="I117" s="27"/>
      <c r="J117" s="28"/>
      <c r="K117" s="28"/>
      <c r="L117" s="28"/>
      <c r="M117" s="28"/>
      <c r="N117" s="28"/>
      <c r="O117" s="28"/>
      <c r="P117" s="28"/>
      <c r="Q117" s="28"/>
      <c r="R117" s="28"/>
    </row>
    <row r="118" spans="3:18" x14ac:dyDescent="0.3">
      <c r="C118" s="27"/>
      <c r="D118" s="27"/>
      <c r="E118" s="27"/>
      <c r="F118" s="27"/>
      <c r="G118" s="27"/>
      <c r="H118" s="27"/>
      <c r="I118" s="27"/>
      <c r="J118" s="28"/>
      <c r="K118" s="28"/>
      <c r="L118" s="28"/>
      <c r="M118" s="28"/>
      <c r="N118" s="28"/>
      <c r="O118" s="28"/>
      <c r="P118" s="28"/>
      <c r="Q118" s="28"/>
      <c r="R118" s="28"/>
    </row>
    <row r="119" spans="3:18" x14ac:dyDescent="0.3">
      <c r="C119" s="27"/>
      <c r="D119" s="27"/>
      <c r="E119" s="27"/>
      <c r="F119" s="27"/>
      <c r="G119" s="27"/>
      <c r="H119" s="27"/>
      <c r="I119" s="27"/>
      <c r="J119" s="28"/>
      <c r="K119" s="28"/>
      <c r="L119" s="28"/>
      <c r="M119" s="28"/>
      <c r="N119" s="28"/>
      <c r="O119" s="28"/>
      <c r="P119" s="28"/>
      <c r="Q119" s="28"/>
      <c r="R119" s="28"/>
    </row>
    <row r="120" spans="3:18" x14ac:dyDescent="0.3">
      <c r="C120" s="27"/>
      <c r="D120" s="27"/>
      <c r="E120" s="27"/>
      <c r="F120" s="27"/>
      <c r="G120" s="27"/>
      <c r="H120" s="27"/>
      <c r="I120" s="27"/>
      <c r="J120" s="28"/>
      <c r="K120" s="28"/>
      <c r="L120" s="28"/>
      <c r="M120" s="28"/>
      <c r="N120" s="28"/>
      <c r="O120" s="28"/>
      <c r="P120" s="28"/>
      <c r="Q120" s="28"/>
      <c r="R120" s="28"/>
    </row>
    <row r="121" spans="3:18" x14ac:dyDescent="0.3">
      <c r="C121" s="27"/>
      <c r="D121" s="27"/>
      <c r="E121" s="27"/>
      <c r="F121" s="27"/>
      <c r="G121" s="27"/>
      <c r="H121" s="27"/>
      <c r="I121" s="27"/>
      <c r="J121" s="28"/>
      <c r="K121" s="28"/>
      <c r="L121" s="28"/>
      <c r="M121" s="28"/>
      <c r="N121" s="28"/>
      <c r="O121" s="28"/>
      <c r="P121" s="28"/>
      <c r="Q121" s="28"/>
      <c r="R121" s="28"/>
    </row>
    <row r="122" spans="3:18" x14ac:dyDescent="0.3">
      <c r="C122" s="27"/>
      <c r="D122" s="27"/>
      <c r="E122" s="27"/>
      <c r="F122" s="27"/>
      <c r="G122" s="27"/>
      <c r="H122" s="27"/>
      <c r="I122" s="27"/>
      <c r="J122" s="28"/>
      <c r="K122" s="28"/>
      <c r="L122" s="28"/>
      <c r="M122" s="28"/>
      <c r="N122" s="28"/>
      <c r="O122" s="28"/>
      <c r="P122" s="28"/>
      <c r="Q122" s="28"/>
      <c r="R122" s="28"/>
    </row>
    <row r="123" spans="3:18" x14ac:dyDescent="0.3">
      <c r="C123" s="27"/>
      <c r="D123" s="27"/>
      <c r="E123" s="27"/>
      <c r="F123" s="27"/>
      <c r="G123" s="27"/>
      <c r="H123" s="27"/>
      <c r="I123" s="27"/>
      <c r="J123" s="28"/>
      <c r="K123" s="28"/>
      <c r="L123" s="28"/>
      <c r="M123" s="28"/>
      <c r="N123" s="28"/>
      <c r="O123" s="28"/>
      <c r="P123" s="28"/>
      <c r="Q123" s="28"/>
      <c r="R123" s="28"/>
    </row>
    <row r="124" spans="3:18" x14ac:dyDescent="0.3">
      <c r="C124" s="27"/>
      <c r="D124" s="27"/>
      <c r="E124" s="27"/>
      <c r="F124" s="27"/>
      <c r="G124" s="27"/>
      <c r="H124" s="27"/>
      <c r="I124" s="27"/>
      <c r="J124" s="28"/>
      <c r="K124" s="28"/>
      <c r="L124" s="28"/>
      <c r="M124" s="28"/>
      <c r="N124" s="28"/>
      <c r="O124" s="28"/>
      <c r="P124" s="28"/>
      <c r="Q124" s="28"/>
      <c r="R124" s="28"/>
    </row>
    <row r="125" spans="3:18" x14ac:dyDescent="0.3">
      <c r="C125" s="27"/>
      <c r="D125" s="27"/>
      <c r="E125" s="27"/>
      <c r="F125" s="27"/>
      <c r="G125" s="27"/>
      <c r="H125" s="27"/>
      <c r="I125" s="27"/>
      <c r="J125" s="28"/>
      <c r="K125" s="28"/>
      <c r="L125" s="28"/>
      <c r="M125" s="28"/>
      <c r="N125" s="28"/>
      <c r="O125" s="28"/>
      <c r="P125" s="28"/>
      <c r="Q125" s="28"/>
      <c r="R125" s="28"/>
    </row>
    <row r="126" spans="3:18" x14ac:dyDescent="0.3">
      <c r="C126" s="27"/>
      <c r="D126" s="27"/>
      <c r="E126" s="27"/>
      <c r="F126" s="27"/>
      <c r="G126" s="27"/>
      <c r="H126" s="27"/>
      <c r="I126" s="27"/>
      <c r="J126" s="28"/>
      <c r="K126" s="28"/>
      <c r="L126" s="28"/>
      <c r="M126" s="28"/>
      <c r="N126" s="28"/>
      <c r="O126" s="28"/>
      <c r="P126" s="28"/>
      <c r="Q126" s="28"/>
      <c r="R126" s="28"/>
    </row>
    <row r="127" spans="3:18" x14ac:dyDescent="0.3">
      <c r="C127" s="27"/>
      <c r="D127" s="27"/>
      <c r="E127" s="27"/>
      <c r="F127" s="27"/>
      <c r="G127" s="27"/>
      <c r="H127" s="27"/>
      <c r="I127" s="27"/>
      <c r="J127" s="28"/>
      <c r="K127" s="28"/>
      <c r="L127" s="28"/>
      <c r="M127" s="28"/>
      <c r="N127" s="28"/>
      <c r="O127" s="28"/>
      <c r="P127" s="28"/>
      <c r="Q127" s="28"/>
      <c r="R127" s="28"/>
    </row>
    <row r="128" spans="3:18" x14ac:dyDescent="0.3">
      <c r="C128" s="27"/>
      <c r="D128" s="27"/>
      <c r="E128" s="27"/>
      <c r="F128" s="27"/>
      <c r="G128" s="27"/>
      <c r="H128" s="27"/>
      <c r="I128" s="27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3:18" x14ac:dyDescent="0.3">
      <c r="C129" s="27"/>
      <c r="D129" s="27"/>
      <c r="E129" s="27"/>
      <c r="F129" s="27"/>
      <c r="G129" s="27"/>
      <c r="H129" s="27"/>
      <c r="I129" s="27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3:18" x14ac:dyDescent="0.3">
      <c r="C130" s="27"/>
      <c r="D130" s="27"/>
      <c r="E130" s="27"/>
      <c r="F130" s="27"/>
      <c r="G130" s="27"/>
      <c r="H130" s="27"/>
      <c r="I130" s="27"/>
      <c r="J130" s="28"/>
      <c r="K130" s="28"/>
      <c r="L130" s="28"/>
      <c r="M130" s="28"/>
      <c r="N130" s="28"/>
      <c r="O130" s="28"/>
      <c r="P130" s="28"/>
      <c r="Q130" s="28"/>
      <c r="R130" s="28"/>
    </row>
    <row r="131" spans="3:18" x14ac:dyDescent="0.3">
      <c r="C131" s="27"/>
      <c r="D131" s="27"/>
      <c r="E131" s="27"/>
      <c r="F131" s="27"/>
      <c r="G131" s="27"/>
      <c r="H131" s="27"/>
      <c r="I131" s="27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3:18" x14ac:dyDescent="0.3">
      <c r="C132" s="27"/>
      <c r="D132" s="27"/>
      <c r="E132" s="27"/>
      <c r="F132" s="27"/>
      <c r="G132" s="27"/>
      <c r="H132" s="27"/>
      <c r="I132" s="27"/>
      <c r="J132" s="28"/>
      <c r="K132" s="28"/>
      <c r="L132" s="28"/>
      <c r="M132" s="28"/>
      <c r="N132" s="28"/>
      <c r="O132" s="28"/>
      <c r="P132" s="28"/>
      <c r="Q132" s="28"/>
      <c r="R132" s="28"/>
    </row>
    <row r="133" spans="3:18" x14ac:dyDescent="0.3">
      <c r="C133" s="27"/>
      <c r="D133" s="27"/>
      <c r="E133" s="27"/>
      <c r="F133" s="27"/>
      <c r="G133" s="27"/>
      <c r="H133" s="27"/>
      <c r="I133" s="27"/>
      <c r="J133" s="28"/>
      <c r="K133" s="28"/>
      <c r="L133" s="28"/>
      <c r="M133" s="28"/>
      <c r="N133" s="28"/>
      <c r="O133" s="28"/>
      <c r="P133" s="28"/>
      <c r="Q133" s="28"/>
      <c r="R133" s="28"/>
    </row>
    <row r="134" spans="3:18" x14ac:dyDescent="0.3">
      <c r="C134" s="27"/>
      <c r="D134" s="27"/>
      <c r="E134" s="27"/>
      <c r="F134" s="27"/>
      <c r="G134" s="27"/>
      <c r="H134" s="27"/>
      <c r="I134" s="27"/>
      <c r="J134" s="28"/>
      <c r="K134" s="28"/>
      <c r="L134" s="28"/>
      <c r="M134" s="28"/>
      <c r="N134" s="28"/>
      <c r="O134" s="28"/>
      <c r="P134" s="28"/>
      <c r="Q134" s="28"/>
      <c r="R134" s="28"/>
    </row>
    <row r="135" spans="3:18" x14ac:dyDescent="0.3">
      <c r="C135" s="27"/>
      <c r="D135" s="27"/>
      <c r="E135" s="27"/>
      <c r="F135" s="27"/>
      <c r="G135" s="27"/>
      <c r="H135" s="27"/>
      <c r="I135" s="27"/>
      <c r="J135" s="28"/>
      <c r="K135" s="28"/>
      <c r="L135" s="28"/>
      <c r="M135" s="28"/>
      <c r="N135" s="28"/>
      <c r="O135" s="28"/>
      <c r="P135" s="28"/>
      <c r="Q135" s="28"/>
      <c r="R135" s="28"/>
    </row>
    <row r="136" spans="3:18" x14ac:dyDescent="0.3">
      <c r="C136" s="27"/>
      <c r="D136" s="27"/>
      <c r="E136" s="27"/>
      <c r="F136" s="27"/>
      <c r="G136" s="27"/>
      <c r="H136" s="27"/>
      <c r="I136" s="27"/>
      <c r="J136" s="28"/>
      <c r="K136" s="28"/>
      <c r="L136" s="28"/>
      <c r="M136" s="28"/>
      <c r="N136" s="28"/>
      <c r="O136" s="28"/>
      <c r="P136" s="28"/>
      <c r="Q136" s="28"/>
      <c r="R136" s="28"/>
    </row>
    <row r="137" spans="3:18" x14ac:dyDescent="0.3">
      <c r="C137" s="27"/>
      <c r="D137" s="27"/>
      <c r="E137" s="27"/>
      <c r="F137" s="27"/>
      <c r="G137" s="27"/>
      <c r="H137" s="27"/>
      <c r="I137" s="27"/>
      <c r="J137" s="28"/>
      <c r="K137" s="28"/>
      <c r="L137" s="28"/>
      <c r="M137" s="28"/>
      <c r="N137" s="28"/>
      <c r="O137" s="28"/>
      <c r="P137" s="28"/>
      <c r="Q137" s="28"/>
      <c r="R137" s="28"/>
    </row>
    <row r="138" spans="3:18" x14ac:dyDescent="0.3">
      <c r="C138" s="27"/>
      <c r="D138" s="27"/>
      <c r="E138" s="27"/>
      <c r="F138" s="27"/>
      <c r="G138" s="27"/>
      <c r="H138" s="27"/>
      <c r="I138" s="27"/>
      <c r="J138" s="28"/>
      <c r="K138" s="28"/>
      <c r="L138" s="28"/>
      <c r="M138" s="28"/>
      <c r="N138" s="28"/>
      <c r="O138" s="28"/>
      <c r="P138" s="28"/>
      <c r="Q138" s="28"/>
      <c r="R138" s="28"/>
    </row>
    <row r="139" spans="3:18" x14ac:dyDescent="0.3">
      <c r="C139" s="27"/>
      <c r="D139" s="27"/>
      <c r="E139" s="27"/>
      <c r="F139" s="27"/>
      <c r="G139" s="27"/>
      <c r="H139" s="27"/>
      <c r="I139" s="27"/>
      <c r="J139" s="28"/>
      <c r="K139" s="28"/>
      <c r="L139" s="28"/>
      <c r="M139" s="28"/>
      <c r="N139" s="28"/>
      <c r="O139" s="28"/>
      <c r="P139" s="28"/>
      <c r="Q139" s="28"/>
      <c r="R139" s="28"/>
    </row>
    <row r="140" spans="3:18" x14ac:dyDescent="0.3">
      <c r="C140" s="27"/>
      <c r="D140" s="27"/>
      <c r="E140" s="27"/>
      <c r="F140" s="27"/>
      <c r="G140" s="27"/>
      <c r="H140" s="27"/>
      <c r="I140" s="27"/>
      <c r="J140" s="28"/>
      <c r="K140" s="28"/>
      <c r="L140" s="28"/>
      <c r="M140" s="28"/>
      <c r="N140" s="28"/>
      <c r="O140" s="28"/>
      <c r="P140" s="28"/>
      <c r="Q140" s="28"/>
      <c r="R140" s="28"/>
    </row>
    <row r="141" spans="3:18" x14ac:dyDescent="0.3">
      <c r="C141" s="27"/>
      <c r="D141" s="27"/>
      <c r="E141" s="27"/>
      <c r="F141" s="27"/>
      <c r="G141" s="27"/>
      <c r="H141" s="27"/>
      <c r="I141" s="27"/>
      <c r="J141" s="28"/>
      <c r="K141" s="28"/>
      <c r="L141" s="28"/>
      <c r="M141" s="28"/>
      <c r="N141" s="28"/>
      <c r="O141" s="28"/>
      <c r="P141" s="28"/>
      <c r="Q141" s="28"/>
      <c r="R141" s="28"/>
    </row>
    <row r="142" spans="3:18" x14ac:dyDescent="0.3">
      <c r="C142" s="27"/>
      <c r="D142" s="27"/>
      <c r="E142" s="27"/>
      <c r="F142" s="27"/>
      <c r="G142" s="27"/>
      <c r="H142" s="27"/>
      <c r="I142" s="27"/>
    </row>
    <row r="143" spans="3:18" x14ac:dyDescent="0.3">
      <c r="C143" s="27"/>
      <c r="D143" s="27"/>
      <c r="E143" s="27"/>
      <c r="F143" s="27"/>
      <c r="G143" s="27"/>
      <c r="H143" s="27"/>
      <c r="I143" s="27"/>
    </row>
    <row r="144" spans="3:18" x14ac:dyDescent="0.3">
      <c r="C144" s="27"/>
      <c r="D144" s="27"/>
      <c r="E144" s="27"/>
      <c r="F144" s="27"/>
      <c r="G144" s="27"/>
      <c r="H144" s="27"/>
      <c r="I144" s="27"/>
    </row>
    <row r="145" spans="3:9" x14ac:dyDescent="0.3">
      <c r="C145" s="27"/>
      <c r="D145" s="27"/>
      <c r="E145" s="27"/>
      <c r="F145" s="27"/>
      <c r="G145" s="27"/>
      <c r="H145" s="27"/>
      <c r="I145" s="27"/>
    </row>
    <row r="146" spans="3:9" x14ac:dyDescent="0.3">
      <c r="C146" s="27"/>
      <c r="D146" s="27"/>
      <c r="E146" s="27"/>
      <c r="F146" s="27"/>
      <c r="G146" s="27"/>
      <c r="H146" s="27"/>
      <c r="I146" s="27"/>
    </row>
    <row r="147" spans="3:9" x14ac:dyDescent="0.3">
      <c r="C147" s="27"/>
      <c r="D147" s="27"/>
      <c r="E147" s="27"/>
      <c r="F147" s="27"/>
      <c r="G147" s="27"/>
      <c r="H147" s="27"/>
      <c r="I147" s="27"/>
    </row>
    <row r="148" spans="3:9" x14ac:dyDescent="0.3">
      <c r="C148" s="27"/>
      <c r="D148" s="27"/>
      <c r="E148" s="27"/>
      <c r="F148" s="27"/>
      <c r="G148" s="27"/>
      <c r="H148" s="27"/>
      <c r="I148" s="27"/>
    </row>
    <row r="149" spans="3:9" x14ac:dyDescent="0.3">
      <c r="C149" s="27"/>
      <c r="D149" s="27"/>
      <c r="E149" s="27"/>
      <c r="F149" s="27"/>
      <c r="G149" s="27"/>
      <c r="H149" s="27"/>
      <c r="I149" s="27"/>
    </row>
    <row r="150" spans="3:9" x14ac:dyDescent="0.3">
      <c r="C150" s="27"/>
      <c r="D150" s="27"/>
      <c r="E150" s="27"/>
      <c r="F150" s="27"/>
      <c r="G150" s="27"/>
      <c r="H150" s="27"/>
      <c r="I150" s="27"/>
    </row>
    <row r="151" spans="3:9" x14ac:dyDescent="0.3">
      <c r="C151" s="27"/>
      <c r="D151" s="27"/>
      <c r="E151" s="27"/>
      <c r="F151" s="27"/>
      <c r="G151" s="27"/>
      <c r="H151" s="27"/>
      <c r="I151" s="27"/>
    </row>
    <row r="152" spans="3:9" x14ac:dyDescent="0.3">
      <c r="C152" s="27"/>
      <c r="D152" s="27"/>
      <c r="E152" s="27"/>
      <c r="F152" s="27"/>
      <c r="G152" s="27"/>
      <c r="H152" s="27"/>
      <c r="I152" s="27"/>
    </row>
    <row r="153" spans="3:9" x14ac:dyDescent="0.3">
      <c r="C153" s="27"/>
      <c r="D153" s="27"/>
      <c r="E153" s="27"/>
      <c r="F153" s="27"/>
      <c r="G153" s="27"/>
      <c r="H153" s="27"/>
      <c r="I153" s="27"/>
    </row>
    <row r="154" spans="3:9" x14ac:dyDescent="0.3">
      <c r="C154" s="27"/>
      <c r="D154" s="27"/>
      <c r="E154" s="27"/>
      <c r="F154" s="27"/>
      <c r="G154" s="27"/>
      <c r="H154" s="27"/>
      <c r="I154" s="27"/>
    </row>
    <row r="155" spans="3:9" x14ac:dyDescent="0.3">
      <c r="C155" s="27"/>
      <c r="D155" s="27"/>
      <c r="E155" s="27"/>
      <c r="F155" s="27"/>
      <c r="G155" s="27"/>
      <c r="H155" s="27"/>
      <c r="I155" s="27"/>
    </row>
    <row r="156" spans="3:9" x14ac:dyDescent="0.3">
      <c r="C156" s="27"/>
      <c r="D156" s="27"/>
      <c r="E156" s="27"/>
      <c r="F156" s="27"/>
      <c r="G156" s="27"/>
      <c r="H156" s="27"/>
      <c r="I156" s="27"/>
    </row>
    <row r="157" spans="3:9" x14ac:dyDescent="0.3">
      <c r="C157" s="27"/>
      <c r="D157" s="27"/>
      <c r="E157" s="27"/>
      <c r="F157" s="27"/>
      <c r="G157" s="27"/>
      <c r="H157" s="27"/>
      <c r="I157" s="27"/>
    </row>
    <row r="158" spans="3:9" x14ac:dyDescent="0.3">
      <c r="C158" s="27"/>
      <c r="D158" s="27"/>
      <c r="E158" s="27"/>
      <c r="F158" s="27"/>
      <c r="G158" s="27"/>
      <c r="H158" s="27"/>
      <c r="I158" s="27"/>
    </row>
    <row r="159" spans="3:9" x14ac:dyDescent="0.3">
      <c r="C159" s="27"/>
      <c r="D159" s="27"/>
      <c r="E159" s="27"/>
      <c r="F159" s="27"/>
      <c r="G159" s="27"/>
      <c r="H159" s="27"/>
      <c r="I159" s="27"/>
    </row>
    <row r="160" spans="3:9" x14ac:dyDescent="0.3">
      <c r="C160" s="27"/>
      <c r="D160" s="27"/>
      <c r="E160" s="27"/>
      <c r="F160" s="27"/>
      <c r="G160" s="27"/>
      <c r="H160" s="27"/>
      <c r="I160" s="27"/>
    </row>
    <row r="161" spans="3:9" x14ac:dyDescent="0.3">
      <c r="C161" s="27"/>
      <c r="D161" s="27"/>
      <c r="E161" s="27"/>
      <c r="F161" s="27"/>
      <c r="G161" s="27"/>
      <c r="H161" s="27"/>
      <c r="I161" s="27"/>
    </row>
    <row r="162" spans="3:9" x14ac:dyDescent="0.3">
      <c r="C162" s="27"/>
      <c r="D162" s="27"/>
      <c r="E162" s="27"/>
      <c r="F162" s="27"/>
      <c r="G162" s="27"/>
      <c r="H162" s="27"/>
      <c r="I162" s="27"/>
    </row>
    <row r="163" spans="3:9" x14ac:dyDescent="0.3">
      <c r="C163" s="27"/>
      <c r="D163" s="27"/>
      <c r="E163" s="27"/>
      <c r="F163" s="27"/>
      <c r="G163" s="27"/>
      <c r="H163" s="27"/>
      <c r="I163" s="27"/>
    </row>
    <row r="164" spans="3:9" x14ac:dyDescent="0.3">
      <c r="C164" s="27"/>
      <c r="D164" s="27"/>
      <c r="E164" s="27"/>
      <c r="F164" s="27"/>
      <c r="G164" s="27"/>
      <c r="H164" s="27"/>
      <c r="I164" s="27"/>
    </row>
    <row r="165" spans="3:9" x14ac:dyDescent="0.3">
      <c r="C165" s="27"/>
      <c r="D165" s="27"/>
      <c r="E165" s="27"/>
      <c r="F165" s="27"/>
      <c r="G165" s="27"/>
      <c r="H165" s="27"/>
      <c r="I165" s="27"/>
    </row>
    <row r="166" spans="3:9" x14ac:dyDescent="0.3">
      <c r="C166" s="27"/>
      <c r="D166" s="27"/>
      <c r="E166" s="27"/>
      <c r="F166" s="27"/>
      <c r="G166" s="27"/>
      <c r="H166" s="27"/>
      <c r="I166" s="27"/>
    </row>
    <row r="167" spans="3:9" x14ac:dyDescent="0.3">
      <c r="C167" s="27"/>
      <c r="D167" s="27"/>
      <c r="E167" s="27"/>
      <c r="F167" s="27"/>
      <c r="G167" s="27"/>
      <c r="H167" s="27"/>
      <c r="I167" s="27"/>
    </row>
    <row r="168" spans="3:9" x14ac:dyDescent="0.3">
      <c r="C168" s="27"/>
      <c r="D168" s="27"/>
      <c r="E168" s="27"/>
      <c r="F168" s="27"/>
      <c r="G168" s="27"/>
      <c r="H168" s="27"/>
      <c r="I168" s="27"/>
    </row>
    <row r="169" spans="3:9" x14ac:dyDescent="0.3">
      <c r="C169" s="27"/>
      <c r="D169" s="27"/>
      <c r="E169" s="27"/>
      <c r="F169" s="27"/>
      <c r="G169" s="27"/>
      <c r="H169" s="27"/>
      <c r="I169" s="27"/>
    </row>
    <row r="170" spans="3:9" x14ac:dyDescent="0.3">
      <c r="C170" s="27"/>
      <c r="D170" s="27"/>
      <c r="E170" s="27"/>
      <c r="F170" s="27"/>
      <c r="G170" s="27"/>
      <c r="H170" s="27"/>
      <c r="I170" s="27"/>
    </row>
    <row r="171" spans="3:9" x14ac:dyDescent="0.3">
      <c r="C171" s="27"/>
      <c r="D171" s="27"/>
      <c r="E171" s="27"/>
      <c r="F171" s="27"/>
      <c r="G171" s="27"/>
      <c r="H171" s="27"/>
      <c r="I171" s="27"/>
    </row>
    <row r="172" spans="3:9" x14ac:dyDescent="0.3">
      <c r="C172" s="27"/>
      <c r="D172" s="27"/>
      <c r="E172" s="27"/>
      <c r="F172" s="27"/>
      <c r="G172" s="27"/>
      <c r="H172" s="27"/>
      <c r="I172" s="27"/>
    </row>
    <row r="173" spans="3:9" x14ac:dyDescent="0.3">
      <c r="C173" s="27"/>
      <c r="D173" s="27"/>
      <c r="E173" s="27"/>
      <c r="F173" s="27"/>
      <c r="G173" s="27"/>
      <c r="H173" s="27"/>
      <c r="I173" s="27"/>
    </row>
    <row r="174" spans="3:9" x14ac:dyDescent="0.3">
      <c r="C174" s="27"/>
      <c r="D174" s="27"/>
      <c r="E174" s="27"/>
      <c r="F174" s="27"/>
      <c r="G174" s="27"/>
      <c r="H174" s="27"/>
      <c r="I174" s="27"/>
    </row>
    <row r="175" spans="3:9" x14ac:dyDescent="0.3">
      <c r="C175" s="27"/>
      <c r="D175" s="27"/>
      <c r="E175" s="27"/>
      <c r="F175" s="27"/>
      <c r="G175" s="27"/>
      <c r="H175" s="27"/>
      <c r="I175" s="27"/>
    </row>
    <row r="176" spans="3:9" x14ac:dyDescent="0.3">
      <c r="C176" s="27"/>
      <c r="D176" s="27"/>
      <c r="E176" s="27"/>
      <c r="F176" s="27"/>
      <c r="G176" s="27"/>
      <c r="H176" s="27"/>
      <c r="I176" s="27"/>
    </row>
    <row r="177" spans="3:9" x14ac:dyDescent="0.3">
      <c r="C177" s="27"/>
      <c r="D177" s="27"/>
      <c r="E177" s="27"/>
      <c r="F177" s="27"/>
      <c r="G177" s="27"/>
      <c r="H177" s="27"/>
      <c r="I177" s="27"/>
    </row>
    <row r="178" spans="3:9" x14ac:dyDescent="0.3">
      <c r="C178" s="27"/>
      <c r="D178" s="27"/>
      <c r="E178" s="27"/>
      <c r="F178" s="27"/>
      <c r="G178" s="27"/>
      <c r="H178" s="27"/>
      <c r="I178" s="27"/>
    </row>
    <row r="179" spans="3:9" x14ac:dyDescent="0.3">
      <c r="C179" s="27"/>
      <c r="D179" s="27"/>
      <c r="E179" s="27"/>
      <c r="F179" s="27"/>
      <c r="G179" s="27"/>
      <c r="H179" s="27"/>
      <c r="I179" s="27"/>
    </row>
    <row r="180" spans="3:9" x14ac:dyDescent="0.3">
      <c r="C180" s="27"/>
      <c r="D180" s="27"/>
      <c r="E180" s="27"/>
      <c r="F180" s="27"/>
      <c r="G180" s="27"/>
      <c r="H180" s="27"/>
      <c r="I180" s="27"/>
    </row>
    <row r="181" spans="3:9" x14ac:dyDescent="0.3">
      <c r="C181" s="27"/>
      <c r="D181" s="27"/>
      <c r="E181" s="27"/>
      <c r="F181" s="27"/>
      <c r="G181" s="27"/>
      <c r="H181" s="27"/>
      <c r="I181" s="27"/>
    </row>
    <row r="182" spans="3:9" x14ac:dyDescent="0.3">
      <c r="C182" s="27"/>
      <c r="D182" s="27"/>
      <c r="E182" s="27"/>
      <c r="F182" s="27"/>
      <c r="G182" s="27"/>
      <c r="H182" s="27"/>
      <c r="I182" s="27"/>
    </row>
    <row r="183" spans="3:9" x14ac:dyDescent="0.3">
      <c r="C183" s="27"/>
      <c r="D183" s="27"/>
      <c r="E183" s="27"/>
      <c r="F183" s="27"/>
      <c r="G183" s="27"/>
      <c r="H183" s="27"/>
      <c r="I183" s="27"/>
    </row>
    <row r="184" spans="3:9" x14ac:dyDescent="0.3">
      <c r="C184" s="27"/>
      <c r="D184" s="27"/>
      <c r="E184" s="27"/>
      <c r="F184" s="27"/>
      <c r="G184" s="27"/>
      <c r="H184" s="27"/>
      <c r="I184" s="27"/>
    </row>
    <row r="185" spans="3:9" x14ac:dyDescent="0.3">
      <c r="C185" s="27"/>
      <c r="D185" s="27"/>
      <c r="E185" s="27"/>
      <c r="F185" s="27"/>
      <c r="G185" s="27"/>
      <c r="H185" s="27"/>
      <c r="I185" s="27"/>
    </row>
    <row r="186" spans="3:9" x14ac:dyDescent="0.3">
      <c r="C186" s="27"/>
      <c r="D186" s="27"/>
      <c r="E186" s="27"/>
      <c r="F186" s="27"/>
      <c r="G186" s="27"/>
      <c r="H186" s="27"/>
      <c r="I186" s="27"/>
    </row>
    <row r="187" spans="3:9" x14ac:dyDescent="0.3">
      <c r="C187" s="27"/>
      <c r="D187" s="27"/>
      <c r="E187" s="27"/>
      <c r="F187" s="27"/>
      <c r="G187" s="27"/>
      <c r="H187" s="27"/>
      <c r="I187" s="27"/>
    </row>
    <row r="188" spans="3:9" x14ac:dyDescent="0.3">
      <c r="C188" s="27"/>
      <c r="D188" s="27"/>
      <c r="E188" s="27"/>
      <c r="F188" s="27"/>
      <c r="G188" s="27"/>
      <c r="H188" s="27"/>
      <c r="I188" s="27"/>
    </row>
    <row r="189" spans="3:9" x14ac:dyDescent="0.3">
      <c r="C189" s="27"/>
      <c r="D189" s="27"/>
      <c r="E189" s="27"/>
      <c r="F189" s="27"/>
      <c r="G189" s="27"/>
      <c r="H189" s="27"/>
      <c r="I189" s="27"/>
    </row>
    <row r="190" spans="3:9" x14ac:dyDescent="0.3">
      <c r="C190" s="27"/>
      <c r="D190" s="27"/>
      <c r="E190" s="27"/>
      <c r="F190" s="27"/>
      <c r="G190" s="27"/>
      <c r="H190" s="27"/>
      <c r="I190" s="27"/>
    </row>
    <row r="191" spans="3:9" x14ac:dyDescent="0.3">
      <c r="C191" s="27"/>
      <c r="D191" s="27"/>
      <c r="E191" s="27"/>
      <c r="F191" s="27"/>
      <c r="G191" s="27"/>
      <c r="H191" s="27"/>
      <c r="I191" s="27"/>
    </row>
    <row r="192" spans="3:9" x14ac:dyDescent="0.3">
      <c r="C192" s="27"/>
      <c r="D192" s="27"/>
      <c r="E192" s="27"/>
      <c r="F192" s="27"/>
      <c r="G192" s="27"/>
      <c r="H192" s="27"/>
      <c r="I192" s="27"/>
    </row>
    <row r="193" spans="3:9" x14ac:dyDescent="0.3">
      <c r="C193" s="27"/>
      <c r="D193" s="27"/>
      <c r="E193" s="27"/>
      <c r="F193" s="27"/>
      <c r="G193" s="27"/>
      <c r="H193" s="27"/>
      <c r="I193" s="27"/>
    </row>
    <row r="194" spans="3:9" x14ac:dyDescent="0.3">
      <c r="C194" s="27"/>
      <c r="D194" s="27"/>
      <c r="E194" s="27"/>
      <c r="F194" s="27"/>
      <c r="G194" s="27"/>
      <c r="H194" s="27"/>
      <c r="I194" s="27"/>
    </row>
    <row r="195" spans="3:9" x14ac:dyDescent="0.3">
      <c r="C195" s="27"/>
      <c r="D195" s="27"/>
      <c r="E195" s="27"/>
      <c r="F195" s="27"/>
      <c r="G195" s="27"/>
      <c r="H195" s="27"/>
      <c r="I195" s="27"/>
    </row>
    <row r="196" spans="3:9" x14ac:dyDescent="0.3">
      <c r="C196" s="27"/>
      <c r="D196" s="27"/>
      <c r="E196" s="27"/>
      <c r="F196" s="27"/>
      <c r="G196" s="27"/>
      <c r="H196" s="27"/>
      <c r="I196" s="27"/>
    </row>
    <row r="197" spans="3:9" x14ac:dyDescent="0.3">
      <c r="C197" s="27"/>
      <c r="D197" s="27"/>
      <c r="E197" s="27"/>
      <c r="F197" s="27"/>
      <c r="G197" s="27"/>
      <c r="H197" s="27"/>
      <c r="I197" s="27"/>
    </row>
    <row r="198" spans="3:9" x14ac:dyDescent="0.3">
      <c r="C198" s="27"/>
      <c r="D198" s="27"/>
      <c r="E198" s="27"/>
      <c r="F198" s="27"/>
      <c r="G198" s="27"/>
      <c r="H198" s="27"/>
      <c r="I198" s="27"/>
    </row>
    <row r="199" spans="3:9" x14ac:dyDescent="0.3">
      <c r="C199" s="27"/>
      <c r="D199" s="27"/>
      <c r="E199" s="27"/>
      <c r="F199" s="27"/>
      <c r="G199" s="27"/>
      <c r="H199" s="27"/>
      <c r="I199" s="27"/>
    </row>
    <row r="200" spans="3:9" x14ac:dyDescent="0.3">
      <c r="C200" s="27"/>
      <c r="D200" s="27"/>
      <c r="E200" s="27"/>
      <c r="F200" s="27"/>
      <c r="G200" s="27"/>
      <c r="H200" s="27"/>
      <c r="I200" s="27"/>
    </row>
    <row r="201" spans="3:9" x14ac:dyDescent="0.3">
      <c r="C201" s="27"/>
      <c r="D201" s="27"/>
      <c r="E201" s="27"/>
      <c r="F201" s="27"/>
      <c r="G201" s="27"/>
      <c r="H201" s="27"/>
      <c r="I201" s="27"/>
    </row>
    <row r="202" spans="3:9" x14ac:dyDescent="0.3">
      <c r="C202" s="27"/>
      <c r="D202" s="27"/>
      <c r="E202" s="27"/>
      <c r="F202" s="27"/>
      <c r="G202" s="27"/>
      <c r="H202" s="27"/>
      <c r="I202" s="27"/>
    </row>
    <row r="203" spans="3:9" x14ac:dyDescent="0.3">
      <c r="C203" s="27"/>
      <c r="D203" s="27"/>
      <c r="E203" s="27"/>
      <c r="F203" s="27"/>
      <c r="G203" s="27"/>
      <c r="H203" s="27"/>
      <c r="I203" s="27"/>
    </row>
    <row r="204" spans="3:9" x14ac:dyDescent="0.3">
      <c r="C204" s="27"/>
      <c r="D204" s="27"/>
      <c r="E204" s="27"/>
      <c r="F204" s="27"/>
      <c r="G204" s="27"/>
      <c r="H204" s="27"/>
      <c r="I204" s="27"/>
    </row>
    <row r="205" spans="3:9" x14ac:dyDescent="0.3">
      <c r="C205" s="27"/>
      <c r="D205" s="27"/>
      <c r="E205" s="27"/>
      <c r="F205" s="27"/>
      <c r="G205" s="27"/>
      <c r="H205" s="27"/>
      <c r="I205" s="27"/>
    </row>
  </sheetData>
  <mergeCells count="2">
    <mergeCell ref="C2:I2"/>
    <mergeCell ref="J2:Z2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U41"/>
  <sheetViews>
    <sheetView topLeftCell="B21" zoomScale="95" zoomScaleNormal="95" workbookViewId="0">
      <selection activeCell="P25" activeCellId="1" sqref="N25 P25"/>
    </sheetView>
  </sheetViews>
  <sheetFormatPr defaultRowHeight="14.4" x14ac:dyDescent="0.3"/>
  <cols>
    <col min="4" max="4" width="12" bestFit="1" customWidth="1"/>
    <col min="5" max="5" width="20.88671875" bestFit="1" customWidth="1"/>
    <col min="9" max="9" width="9.5546875" bestFit="1" customWidth="1"/>
    <col min="14" max="14" width="15.88671875" bestFit="1" customWidth="1"/>
    <col min="15" max="15" width="15.6640625" bestFit="1" customWidth="1"/>
    <col min="16" max="16" width="17.109375" customWidth="1"/>
  </cols>
  <sheetData>
    <row r="1" spans="1:6" x14ac:dyDescent="0.3">
      <c r="A1" t="s">
        <v>44</v>
      </c>
      <c r="B1" t="s">
        <v>1</v>
      </c>
      <c r="C1" t="s">
        <v>2</v>
      </c>
      <c r="D1" t="s">
        <v>3</v>
      </c>
      <c r="E1" t="s">
        <v>45</v>
      </c>
      <c r="F1" t="s">
        <v>5</v>
      </c>
    </row>
    <row r="2" spans="1:6" x14ac:dyDescent="0.3">
      <c r="A2">
        <v>261</v>
      </c>
      <c r="B2">
        <v>2641222.554</v>
      </c>
      <c r="C2">
        <v>599693.21699999995</v>
      </c>
      <c r="D2">
        <v>0</v>
      </c>
      <c r="E2" s="1">
        <v>0</v>
      </c>
      <c r="F2">
        <v>32.936</v>
      </c>
    </row>
    <row r="3" spans="1:6" x14ac:dyDescent="0.3">
      <c r="A3">
        <v>262</v>
      </c>
      <c r="B3">
        <v>2641278.0929999999</v>
      </c>
      <c r="C3">
        <v>599701.76599999995</v>
      </c>
      <c r="D3">
        <f>SQRT((C3-C2)^2+(B3-B2)^2)</f>
        <v>56.193112762917082</v>
      </c>
      <c r="E3" s="1">
        <f>E2+D3</f>
        <v>56.193112762917082</v>
      </c>
      <c r="F3">
        <v>30.003</v>
      </c>
    </row>
    <row r="4" spans="1:6" x14ac:dyDescent="0.3">
      <c r="A4">
        <v>263</v>
      </c>
      <c r="B4">
        <v>2641365.622</v>
      </c>
      <c r="C4">
        <v>599727.51</v>
      </c>
      <c r="D4">
        <f t="shared" ref="D4:D20" si="0">SQRT((C4-C3)^2+(B4-B3)^2)</f>
        <v>91.236392832138336</v>
      </c>
      <c r="E4" s="1">
        <f>E3+D4</f>
        <v>147.42950559505542</v>
      </c>
      <c r="F4">
        <v>28.085000000000001</v>
      </c>
    </row>
    <row r="5" spans="1:6" x14ac:dyDescent="0.3">
      <c r="A5">
        <v>264</v>
      </c>
      <c r="B5">
        <v>2641437.6639999999</v>
      </c>
      <c r="C5">
        <v>599761.91299999994</v>
      </c>
      <c r="D5">
        <f t="shared" si="0"/>
        <v>79.834930782088705</v>
      </c>
      <c r="E5" s="1">
        <f t="shared" ref="E5:E20" si="1">E4+D5</f>
        <v>227.26443637714414</v>
      </c>
      <c r="F5">
        <v>27.974</v>
      </c>
    </row>
    <row r="6" spans="1:6" x14ac:dyDescent="0.3">
      <c r="A6">
        <v>265</v>
      </c>
      <c r="B6">
        <v>2641516.568</v>
      </c>
      <c r="C6">
        <v>599770.73300000001</v>
      </c>
      <c r="D6">
        <f t="shared" si="0"/>
        <v>79.395425661787556</v>
      </c>
      <c r="E6" s="1">
        <f t="shared" si="1"/>
        <v>306.65986203893169</v>
      </c>
      <c r="F6">
        <v>27.248000000000001</v>
      </c>
    </row>
    <row r="7" spans="1:6" x14ac:dyDescent="0.3">
      <c r="A7">
        <v>266</v>
      </c>
      <c r="B7">
        <v>2641556.6809999999</v>
      </c>
      <c r="C7">
        <v>599780.79299999995</v>
      </c>
      <c r="D7">
        <f t="shared" si="0"/>
        <v>41.355245966992072</v>
      </c>
      <c r="E7" s="1">
        <f t="shared" si="1"/>
        <v>348.01510800592376</v>
      </c>
      <c r="F7">
        <v>27.452999999999999</v>
      </c>
    </row>
    <row r="8" spans="1:6" x14ac:dyDescent="0.3">
      <c r="A8">
        <v>267</v>
      </c>
      <c r="B8">
        <v>2641569.8909999998</v>
      </c>
      <c r="C8">
        <v>599784.30500000005</v>
      </c>
      <c r="D8">
        <f t="shared" si="0"/>
        <v>13.668878666509132</v>
      </c>
      <c r="E8" s="1">
        <f t="shared" si="1"/>
        <v>361.68398667243292</v>
      </c>
      <c r="F8">
        <v>27.934999999999999</v>
      </c>
    </row>
    <row r="9" spans="1:6" x14ac:dyDescent="0.3">
      <c r="A9">
        <v>268</v>
      </c>
      <c r="B9">
        <v>2641587.2280000001</v>
      </c>
      <c r="C9">
        <v>599795.91500000004</v>
      </c>
      <c r="D9">
        <f t="shared" si="0"/>
        <v>20.865370090409396</v>
      </c>
      <c r="E9" s="1">
        <f t="shared" si="1"/>
        <v>382.54935676284231</v>
      </c>
      <c r="F9">
        <v>25.991</v>
      </c>
    </row>
    <row r="10" spans="1:6" x14ac:dyDescent="0.3">
      <c r="A10">
        <v>269</v>
      </c>
      <c r="B10">
        <v>2641590.3840000001</v>
      </c>
      <c r="C10">
        <v>599797.34</v>
      </c>
      <c r="D10">
        <f t="shared" si="0"/>
        <v>3.4627967020231316</v>
      </c>
      <c r="E10" s="1">
        <f t="shared" si="1"/>
        <v>386.01215346486543</v>
      </c>
      <c r="F10">
        <v>26.818999999999999</v>
      </c>
    </row>
    <row r="11" spans="1:6" x14ac:dyDescent="0.3">
      <c r="A11">
        <v>270</v>
      </c>
      <c r="B11">
        <v>2641599.0649999999</v>
      </c>
      <c r="C11">
        <v>599801.61399999994</v>
      </c>
      <c r="D11">
        <f t="shared" si="0"/>
        <v>9.6760961651620931</v>
      </c>
      <c r="E11" s="1">
        <f t="shared" si="1"/>
        <v>395.68824963002754</v>
      </c>
      <c r="F11">
        <v>27.117999999999999</v>
      </c>
    </row>
    <row r="12" spans="1:6" x14ac:dyDescent="0.3">
      <c r="A12">
        <v>271</v>
      </c>
      <c r="B12">
        <v>2641620.764</v>
      </c>
      <c r="C12">
        <v>599816.05799999996</v>
      </c>
      <c r="D12">
        <f t="shared" si="0"/>
        <v>26.066755398428114</v>
      </c>
      <c r="E12" s="1">
        <f t="shared" si="1"/>
        <v>421.75500502845568</v>
      </c>
      <c r="F12">
        <v>26.635000000000002</v>
      </c>
    </row>
    <row r="13" spans="1:6" x14ac:dyDescent="0.3">
      <c r="A13">
        <v>272</v>
      </c>
      <c r="B13">
        <v>2641622.9049999998</v>
      </c>
      <c r="C13">
        <v>599817.53599999996</v>
      </c>
      <c r="D13">
        <f t="shared" si="0"/>
        <v>2.6016081563668427</v>
      </c>
      <c r="E13" s="1">
        <f t="shared" si="1"/>
        <v>424.35661318482255</v>
      </c>
      <c r="F13">
        <v>25.809000000000001</v>
      </c>
    </row>
    <row r="14" spans="1:6" x14ac:dyDescent="0.3">
      <c r="A14">
        <v>273</v>
      </c>
      <c r="B14">
        <v>2641627.7289999998</v>
      </c>
      <c r="C14">
        <v>599816.87300000002</v>
      </c>
      <c r="D14">
        <f t="shared" si="0"/>
        <v>4.8693474922353905</v>
      </c>
      <c r="E14" s="1">
        <f t="shared" si="1"/>
        <v>429.22596067705791</v>
      </c>
      <c r="F14">
        <v>25.231999999999999</v>
      </c>
    </row>
    <row r="15" spans="1:6" x14ac:dyDescent="0.3">
      <c r="A15">
        <v>274</v>
      </c>
      <c r="B15">
        <v>2641663.4640000002</v>
      </c>
      <c r="C15">
        <v>599821.60199999996</v>
      </c>
      <c r="D15">
        <f t="shared" si="0"/>
        <v>36.046548600709848</v>
      </c>
      <c r="E15" s="1">
        <f t="shared" si="1"/>
        <v>465.27250927776777</v>
      </c>
      <c r="F15">
        <v>23.567</v>
      </c>
    </row>
    <row r="16" spans="1:6" x14ac:dyDescent="0.3">
      <c r="A16">
        <v>275</v>
      </c>
      <c r="B16">
        <v>2641667.227</v>
      </c>
      <c r="C16">
        <v>599822.06900000002</v>
      </c>
      <c r="D16">
        <f t="shared" si="0"/>
        <v>3.7918673498122719</v>
      </c>
      <c r="E16" s="1">
        <f t="shared" si="1"/>
        <v>469.06437662758003</v>
      </c>
      <c r="F16">
        <v>24.033000000000001</v>
      </c>
    </row>
    <row r="17" spans="1:21" x14ac:dyDescent="0.3">
      <c r="A17">
        <v>276</v>
      </c>
      <c r="B17">
        <v>2641671.5460000001</v>
      </c>
      <c r="C17">
        <v>599824.08200000005</v>
      </c>
      <c r="D17">
        <f t="shared" si="0"/>
        <v>4.7650739764772725</v>
      </c>
      <c r="E17" s="1">
        <f t="shared" si="1"/>
        <v>473.82945060405729</v>
      </c>
      <c r="F17">
        <v>26.138000000000002</v>
      </c>
    </row>
    <row r="18" spans="1:21" x14ac:dyDescent="0.3">
      <c r="A18">
        <v>277</v>
      </c>
      <c r="B18">
        <v>2641674.2599999998</v>
      </c>
      <c r="C18">
        <v>599825.60699999996</v>
      </c>
      <c r="D18">
        <f t="shared" si="0"/>
        <v>3.1131047200531805</v>
      </c>
      <c r="E18" s="1">
        <f t="shared" si="1"/>
        <v>476.94255532411046</v>
      </c>
      <c r="F18">
        <v>26.978999999999999</v>
      </c>
    </row>
    <row r="19" spans="1:21" x14ac:dyDescent="0.3">
      <c r="A19">
        <v>278</v>
      </c>
      <c r="B19">
        <v>2641675.5630000001</v>
      </c>
      <c r="C19">
        <v>599828.30500000005</v>
      </c>
      <c r="D19">
        <f t="shared" si="0"/>
        <v>2.9961663841129642</v>
      </c>
      <c r="E19" s="1">
        <f t="shared" si="1"/>
        <v>479.9387217082234</v>
      </c>
      <c r="F19">
        <v>27.774999999999999</v>
      </c>
      <c r="Q19" t="s">
        <v>59</v>
      </c>
    </row>
    <row r="20" spans="1:21" x14ac:dyDescent="0.3">
      <c r="A20">
        <v>279</v>
      </c>
      <c r="B20">
        <v>2641677.7379999999</v>
      </c>
      <c r="C20">
        <v>599828.07999999996</v>
      </c>
      <c r="D20">
        <f t="shared" si="0"/>
        <v>2.1866069603912952</v>
      </c>
      <c r="E20" s="1">
        <f t="shared" si="1"/>
        <v>482.12532866861471</v>
      </c>
      <c r="F20">
        <v>30.875</v>
      </c>
      <c r="Q20" t="s">
        <v>60</v>
      </c>
    </row>
    <row r="21" spans="1:21" x14ac:dyDescent="0.3">
      <c r="B21" s="82" t="s">
        <v>6</v>
      </c>
      <c r="C21" s="82"/>
      <c r="D21">
        <f>SUM(D2:D20)</f>
        <v>482.12532866861471</v>
      </c>
      <c r="Q21" t="s">
        <v>68</v>
      </c>
    </row>
    <row r="23" spans="1:21" x14ac:dyDescent="0.3">
      <c r="R23" s="83" t="s">
        <v>55</v>
      </c>
      <c r="S23" s="84"/>
      <c r="T23" s="85" t="s">
        <v>56</v>
      </c>
      <c r="U23" s="85"/>
    </row>
    <row r="24" spans="1:21" x14ac:dyDescent="0.3">
      <c r="H24" t="s">
        <v>21</v>
      </c>
      <c r="I24" t="s">
        <v>22</v>
      </c>
      <c r="J24" t="s">
        <v>5</v>
      </c>
      <c r="K24" t="s">
        <v>19</v>
      </c>
      <c r="L24" t="s">
        <v>103</v>
      </c>
      <c r="M24" t="s">
        <v>20</v>
      </c>
      <c r="N24" s="6" t="s">
        <v>23</v>
      </c>
      <c r="O24" s="3" t="s">
        <v>24</v>
      </c>
      <c r="P24" s="3" t="s">
        <v>51</v>
      </c>
      <c r="Q24" s="10" t="s">
        <v>54</v>
      </c>
      <c r="R24" s="8" t="s">
        <v>58</v>
      </c>
      <c r="S24" s="8" t="s">
        <v>57</v>
      </c>
      <c r="T24" s="9" t="s">
        <v>58</v>
      </c>
      <c r="U24" s="9" t="s">
        <v>57</v>
      </c>
    </row>
    <row r="25" spans="1:21" x14ac:dyDescent="0.3">
      <c r="G25" t="s">
        <v>7</v>
      </c>
      <c r="H25">
        <v>422</v>
      </c>
      <c r="I25">
        <f>H26-H25</f>
        <v>2</v>
      </c>
      <c r="J25">
        <v>26.635000000000002</v>
      </c>
      <c r="K25">
        <v>0</v>
      </c>
      <c r="L25" s="4">
        <f t="shared" ref="L25:L26" si="2">SUM(J25+K25)</f>
        <v>26.635000000000002</v>
      </c>
      <c r="M25">
        <f>1/2*2*0.826</f>
        <v>0.82599999999999996</v>
      </c>
      <c r="N25">
        <f>M25+M28+M31+M34+M37+M40</f>
        <v>106.46100000000008</v>
      </c>
      <c r="O25">
        <f>SQRT((I25)^2+(J25-J26)^2)</f>
        <v>2.1638567420233716</v>
      </c>
      <c r="P25">
        <f>O25+O28+O31+O34+O37+O40</f>
        <v>54.528846852907265</v>
      </c>
      <c r="Q25">
        <f>N25/P25</f>
        <v>1.9523794494899354</v>
      </c>
      <c r="R25">
        <f>(1/0.035)*(Q25)^(2/3)*(0.003)^(1/2)</f>
        <v>2.4445676942852952</v>
      </c>
      <c r="S25">
        <f>N25*R25</f>
        <v>260.25112130130702</v>
      </c>
      <c r="T25">
        <v>0.69</v>
      </c>
      <c r="U25">
        <f>N25*T25</f>
        <v>73.458090000000055</v>
      </c>
    </row>
    <row r="26" spans="1:21" x14ac:dyDescent="0.3">
      <c r="H26">
        <v>424</v>
      </c>
      <c r="J26">
        <v>25.809000000000001</v>
      </c>
      <c r="K26">
        <f>J25-J26</f>
        <v>0.82600000000000051</v>
      </c>
      <c r="L26" s="4">
        <f t="shared" si="2"/>
        <v>26.635000000000002</v>
      </c>
    </row>
    <row r="27" spans="1:21" x14ac:dyDescent="0.3">
      <c r="L27" s="4"/>
    </row>
    <row r="28" spans="1:21" x14ac:dyDescent="0.3">
      <c r="G28" t="s">
        <v>8</v>
      </c>
      <c r="H28">
        <v>424</v>
      </c>
      <c r="I28">
        <f>H29-H28</f>
        <v>5</v>
      </c>
      <c r="J28">
        <v>25.809000000000001</v>
      </c>
      <c r="K28">
        <f>K26</f>
        <v>0.82600000000000051</v>
      </c>
      <c r="L28" s="4">
        <f t="shared" ref="L28:L41" si="3">SUM(J28+K28)</f>
        <v>26.635000000000002</v>
      </c>
      <c r="M28">
        <f>1/2*(SUM(K28:K29)*5)</f>
        <v>5.5725000000000069</v>
      </c>
      <c r="O28">
        <f>SQRT((I28)^2+(J28-J29)^2)</f>
        <v>5.0331827902431678</v>
      </c>
    </row>
    <row r="29" spans="1:21" x14ac:dyDescent="0.3">
      <c r="H29">
        <v>429</v>
      </c>
      <c r="J29">
        <v>25.231999999999999</v>
      </c>
      <c r="K29">
        <f>J25-J29</f>
        <v>1.4030000000000022</v>
      </c>
      <c r="L29" s="4">
        <f t="shared" si="3"/>
        <v>26.635000000000002</v>
      </c>
    </row>
    <row r="30" spans="1:21" x14ac:dyDescent="0.3">
      <c r="L30" s="4"/>
    </row>
    <row r="31" spans="1:21" x14ac:dyDescent="0.3">
      <c r="G31" t="s">
        <v>9</v>
      </c>
      <c r="H31">
        <v>429</v>
      </c>
      <c r="I31">
        <f>H32-H31</f>
        <v>36</v>
      </c>
      <c r="J31">
        <v>25.231999999999999</v>
      </c>
      <c r="K31">
        <f>K29</f>
        <v>1.4030000000000022</v>
      </c>
      <c r="L31" s="4">
        <f t="shared" si="3"/>
        <v>26.635000000000002</v>
      </c>
      <c r="M31">
        <f>1/2*(SUM(K31:K32)*36)</f>
        <v>80.478000000000065</v>
      </c>
      <c r="O31">
        <f>SQRT((I31)^2+(J31-J32)^2)</f>
        <v>36.038482556844706</v>
      </c>
    </row>
    <row r="32" spans="1:21" x14ac:dyDescent="0.3">
      <c r="H32">
        <v>465</v>
      </c>
      <c r="J32">
        <v>23.567</v>
      </c>
      <c r="K32">
        <f>J25-J32</f>
        <v>3.0680000000000014</v>
      </c>
      <c r="L32" s="4">
        <f t="shared" si="3"/>
        <v>26.635000000000002</v>
      </c>
    </row>
    <row r="33" spans="7:15" x14ac:dyDescent="0.3">
      <c r="L33" s="4"/>
    </row>
    <row r="34" spans="7:15" x14ac:dyDescent="0.3">
      <c r="G34" t="s">
        <v>10</v>
      </c>
      <c r="H34">
        <v>465</v>
      </c>
      <c r="I34">
        <f>H35-H34</f>
        <v>4</v>
      </c>
      <c r="J34">
        <v>23.567</v>
      </c>
      <c r="K34" s="3">
        <f>K32</f>
        <v>3.0680000000000014</v>
      </c>
      <c r="L34" s="4">
        <f t="shared" si="3"/>
        <v>26.635000000000002</v>
      </c>
      <c r="M34">
        <f>1/2*(SUM(K34:K35)*4)</f>
        <v>11.340000000000003</v>
      </c>
      <c r="O34">
        <f>SQRT((I34)^2+(J35-J34)^2)</f>
        <v>4.0270530167853522</v>
      </c>
    </row>
    <row r="35" spans="7:15" x14ac:dyDescent="0.3">
      <c r="H35">
        <v>469</v>
      </c>
      <c r="J35">
        <v>24.033000000000001</v>
      </c>
      <c r="K35">
        <f>J25-J35</f>
        <v>2.6020000000000003</v>
      </c>
      <c r="L35" s="4">
        <f t="shared" si="3"/>
        <v>26.635000000000002</v>
      </c>
    </row>
    <row r="36" spans="7:15" x14ac:dyDescent="0.3">
      <c r="L36" s="4"/>
    </row>
    <row r="37" spans="7:15" x14ac:dyDescent="0.3">
      <c r="G37" t="s">
        <v>11</v>
      </c>
      <c r="H37">
        <v>469</v>
      </c>
      <c r="I37">
        <f>H38-H37</f>
        <v>5</v>
      </c>
      <c r="J37">
        <v>24.033000000000001</v>
      </c>
      <c r="K37">
        <f>K35</f>
        <v>2.6020000000000003</v>
      </c>
      <c r="L37" s="4">
        <f t="shared" si="3"/>
        <v>26.635000000000002</v>
      </c>
      <c r="M37">
        <f>1/2*(SUM(K37:K38)*5)</f>
        <v>7.7475000000000005</v>
      </c>
      <c r="O37">
        <f>SQRT((I37)^2+(J38-J37)^2)</f>
        <v>5.4250368662341826</v>
      </c>
    </row>
    <row r="38" spans="7:15" x14ac:dyDescent="0.3">
      <c r="H38">
        <v>474</v>
      </c>
      <c r="J38">
        <v>26.138000000000002</v>
      </c>
      <c r="K38">
        <f>J25-J38</f>
        <v>0.49699999999999989</v>
      </c>
      <c r="L38" s="4">
        <f t="shared" si="3"/>
        <v>26.635000000000002</v>
      </c>
    </row>
    <row r="39" spans="7:15" x14ac:dyDescent="0.3">
      <c r="L39" s="4"/>
    </row>
    <row r="40" spans="7:15" x14ac:dyDescent="0.3">
      <c r="G40" t="s">
        <v>12</v>
      </c>
      <c r="H40">
        <v>474</v>
      </c>
      <c r="I40" s="1">
        <v>1.7728894173602612</v>
      </c>
      <c r="J40">
        <v>26.138000000000002</v>
      </c>
      <c r="K40">
        <v>0.49699999999999989</v>
      </c>
      <c r="L40" s="4">
        <f t="shared" si="3"/>
        <v>26.635000000000002</v>
      </c>
      <c r="M40">
        <f>1/2*2*0.497</f>
        <v>0.497</v>
      </c>
      <c r="O40">
        <f>SQRT((I40)^2+(J41-J40)^2)</f>
        <v>1.8412348807764876</v>
      </c>
    </row>
    <row r="41" spans="7:15" x14ac:dyDescent="0.3">
      <c r="H41" s="1">
        <v>475.77288941736026</v>
      </c>
      <c r="J41">
        <v>26.635000000000002</v>
      </c>
      <c r="K41">
        <v>0</v>
      </c>
      <c r="L41" s="4">
        <f t="shared" si="3"/>
        <v>26.635000000000002</v>
      </c>
    </row>
  </sheetData>
  <mergeCells count="3">
    <mergeCell ref="B21:C21"/>
    <mergeCell ref="R23:S23"/>
    <mergeCell ref="T23:U2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V35"/>
  <sheetViews>
    <sheetView topLeftCell="C22" zoomScale="102" zoomScaleNormal="102" workbookViewId="0">
      <selection activeCell="D47" sqref="D47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4" max="14" width="15.88671875" bestFit="1" customWidth="1"/>
    <col min="15" max="15" width="15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1</v>
      </c>
      <c r="B2">
        <v>2647998.0619999999</v>
      </c>
      <c r="C2">
        <v>556155.84699999995</v>
      </c>
      <c r="D2">
        <v>0</v>
      </c>
      <c r="E2">
        <v>0</v>
      </c>
      <c r="F2">
        <v>59.826000000000001</v>
      </c>
    </row>
    <row r="3" spans="1:6" x14ac:dyDescent="0.3">
      <c r="A3">
        <v>2</v>
      </c>
      <c r="B3">
        <v>2648001.1889999998</v>
      </c>
      <c r="C3">
        <v>556154.42099999997</v>
      </c>
      <c r="D3">
        <f t="shared" ref="D3:D29" si="0">SQRT((C3-C2)^2+(B3-B2)^2)</f>
        <v>3.4368015652746418</v>
      </c>
      <c r="E3" s="1">
        <f>E2+D3</f>
        <v>3.4368015652746418</v>
      </c>
      <c r="F3">
        <v>58.347999999999999</v>
      </c>
    </row>
    <row r="4" spans="1:6" x14ac:dyDescent="0.3">
      <c r="A4">
        <v>3</v>
      </c>
      <c r="B4">
        <v>2648010.247</v>
      </c>
      <c r="C4">
        <v>556152.68599999999</v>
      </c>
      <c r="D4">
        <f t="shared" si="0"/>
        <v>9.222667130687352</v>
      </c>
      <c r="E4" s="1">
        <f>E3+D4</f>
        <v>12.659468695961994</v>
      </c>
      <c r="F4">
        <v>57.192999999999998</v>
      </c>
    </row>
    <row r="5" spans="1:6" x14ac:dyDescent="0.3">
      <c r="A5">
        <v>4</v>
      </c>
      <c r="B5">
        <v>2648019.0189999999</v>
      </c>
      <c r="C5">
        <v>556148.46699999995</v>
      </c>
      <c r="D5">
        <f t="shared" si="0"/>
        <v>9.7338556080442427</v>
      </c>
      <c r="E5" s="1">
        <f t="shared" ref="E5:E20" si="1">E4+D5</f>
        <v>22.393324304006235</v>
      </c>
      <c r="F5">
        <v>56.433</v>
      </c>
    </row>
    <row r="6" spans="1:6" x14ac:dyDescent="0.3">
      <c r="A6">
        <v>5</v>
      </c>
      <c r="B6">
        <v>2648033.09</v>
      </c>
      <c r="C6">
        <v>556144.27899999998</v>
      </c>
      <c r="D6">
        <f t="shared" si="0"/>
        <v>14.681021251929531</v>
      </c>
      <c r="E6" s="1">
        <f t="shared" si="1"/>
        <v>37.074345555935764</v>
      </c>
      <c r="F6">
        <v>55.533000000000001</v>
      </c>
    </row>
    <row r="7" spans="1:6" x14ac:dyDescent="0.3">
      <c r="A7">
        <v>6</v>
      </c>
      <c r="B7">
        <v>2648058.2999999998</v>
      </c>
      <c r="C7">
        <v>556135.799</v>
      </c>
      <c r="D7">
        <f t="shared" si="0"/>
        <v>26.598016843325102</v>
      </c>
      <c r="E7" s="1">
        <f t="shared" si="1"/>
        <v>63.672362399260862</v>
      </c>
      <c r="F7">
        <v>55.667000000000002</v>
      </c>
    </row>
    <row r="8" spans="1:6" x14ac:dyDescent="0.3">
      <c r="A8">
        <v>7</v>
      </c>
      <c r="B8">
        <v>2648071.5729999999</v>
      </c>
      <c r="C8">
        <v>556134.12</v>
      </c>
      <c r="D8">
        <f t="shared" si="0"/>
        <v>13.378773112703541</v>
      </c>
      <c r="E8" s="1">
        <f t="shared" si="1"/>
        <v>77.051135511964404</v>
      </c>
      <c r="F8">
        <v>54.948</v>
      </c>
    </row>
    <row r="9" spans="1:6" x14ac:dyDescent="0.3">
      <c r="A9">
        <v>8</v>
      </c>
      <c r="B9">
        <v>2648081.4210000001</v>
      </c>
      <c r="C9">
        <v>556135.41099999996</v>
      </c>
      <c r="D9">
        <f t="shared" si="0"/>
        <v>9.9322598135805631</v>
      </c>
      <c r="E9" s="1">
        <f t="shared" si="1"/>
        <v>86.983395325544961</v>
      </c>
      <c r="F9">
        <v>54.311</v>
      </c>
    </row>
    <row r="10" spans="1:6" x14ac:dyDescent="0.3">
      <c r="A10">
        <v>9</v>
      </c>
      <c r="B10">
        <v>2648087.6179999998</v>
      </c>
      <c r="C10">
        <v>556135.42500000005</v>
      </c>
      <c r="D10">
        <f t="shared" si="0"/>
        <v>6.1970158137781342</v>
      </c>
      <c r="E10" s="1">
        <f t="shared" si="1"/>
        <v>93.180411139323098</v>
      </c>
      <c r="F10">
        <v>54.09</v>
      </c>
    </row>
    <row r="11" spans="1:6" x14ac:dyDescent="0.3">
      <c r="A11">
        <v>10</v>
      </c>
      <c r="B11">
        <v>2648091.9279999998</v>
      </c>
      <c r="C11">
        <v>556147.59900000005</v>
      </c>
      <c r="D11">
        <f t="shared" si="0"/>
        <v>12.914425113045452</v>
      </c>
      <c r="E11" s="1">
        <f t="shared" si="1"/>
        <v>106.09483625236855</v>
      </c>
      <c r="F11">
        <v>53.343000000000004</v>
      </c>
    </row>
    <row r="12" spans="1:6" x14ac:dyDescent="0.3">
      <c r="A12">
        <v>11</v>
      </c>
      <c r="B12">
        <v>2648132.5589999999</v>
      </c>
      <c r="C12">
        <v>556136.09100000001</v>
      </c>
      <c r="D12">
        <f t="shared" si="0"/>
        <v>42.229281606545776</v>
      </c>
      <c r="E12" s="1">
        <f t="shared" si="1"/>
        <v>148.32411785891432</v>
      </c>
      <c r="F12">
        <v>53.393999999999998</v>
      </c>
    </row>
    <row r="13" spans="1:6" x14ac:dyDescent="0.3">
      <c r="A13">
        <v>12</v>
      </c>
      <c r="B13">
        <v>2648133.87</v>
      </c>
      <c r="C13">
        <v>556133.91200000001</v>
      </c>
      <c r="D13">
        <f t="shared" si="0"/>
        <v>2.5429828942783965</v>
      </c>
      <c r="E13" s="1">
        <f t="shared" si="1"/>
        <v>150.86710075319272</v>
      </c>
      <c r="F13">
        <v>53.975000000000001</v>
      </c>
    </row>
    <row r="14" spans="1:6" x14ac:dyDescent="0.3">
      <c r="A14">
        <v>13</v>
      </c>
      <c r="B14">
        <v>2648137.3810000001</v>
      </c>
      <c r="C14">
        <v>556131.48400000005</v>
      </c>
      <c r="D14">
        <f t="shared" si="0"/>
        <v>4.268759187324684</v>
      </c>
      <c r="E14" s="1">
        <f t="shared" si="1"/>
        <v>155.13585994051741</v>
      </c>
      <c r="F14">
        <v>55.003</v>
      </c>
    </row>
    <row r="15" spans="1:6" x14ac:dyDescent="0.3">
      <c r="A15">
        <v>14</v>
      </c>
      <c r="B15">
        <v>2648148.3629999999</v>
      </c>
      <c r="C15">
        <v>556133.31200000003</v>
      </c>
      <c r="D15">
        <f t="shared" si="0"/>
        <v>11.133099658068662</v>
      </c>
      <c r="E15" s="1">
        <f t="shared" si="1"/>
        <v>166.26895959858606</v>
      </c>
      <c r="F15">
        <v>55.814</v>
      </c>
    </row>
    <row r="16" spans="1:6" x14ac:dyDescent="0.3">
      <c r="A16">
        <v>15</v>
      </c>
      <c r="B16">
        <v>2648158.0860000001</v>
      </c>
      <c r="C16">
        <v>556134.62300000002</v>
      </c>
      <c r="D16">
        <f t="shared" si="0"/>
        <v>9.8109861891889967</v>
      </c>
      <c r="E16" s="1">
        <f t="shared" si="1"/>
        <v>176.07994578777507</v>
      </c>
      <c r="F16">
        <v>55.923999999999999</v>
      </c>
    </row>
    <row r="17" spans="1:22" x14ac:dyDescent="0.3">
      <c r="A17">
        <v>16</v>
      </c>
      <c r="B17">
        <v>2648163.7540000002</v>
      </c>
      <c r="C17">
        <v>556135.12100000004</v>
      </c>
      <c r="D17">
        <f t="shared" si="0"/>
        <v>5.6898354985657749</v>
      </c>
      <c r="E17" s="1">
        <f t="shared" si="1"/>
        <v>181.76978128634084</v>
      </c>
      <c r="F17">
        <v>56.058</v>
      </c>
    </row>
    <row r="18" spans="1:22" x14ac:dyDescent="0.3">
      <c r="A18">
        <v>17</v>
      </c>
      <c r="B18">
        <v>2648166.9500000002</v>
      </c>
      <c r="C18">
        <v>556135.42200000002</v>
      </c>
      <c r="D18">
        <f t="shared" si="0"/>
        <v>3.2101428317074507</v>
      </c>
      <c r="E18" s="1">
        <f t="shared" si="1"/>
        <v>184.9799241180483</v>
      </c>
      <c r="F18">
        <v>55.898000000000003</v>
      </c>
    </row>
    <row r="19" spans="1:22" x14ac:dyDescent="0.3">
      <c r="A19">
        <v>18</v>
      </c>
      <c r="B19">
        <v>2648176.7579999999</v>
      </c>
      <c r="C19">
        <v>556135.277</v>
      </c>
      <c r="D19">
        <f t="shared" si="0"/>
        <v>9.8090717702885062</v>
      </c>
      <c r="E19" s="1">
        <f t="shared" si="1"/>
        <v>194.78899588833681</v>
      </c>
      <c r="F19">
        <v>56.399000000000001</v>
      </c>
    </row>
    <row r="20" spans="1:22" x14ac:dyDescent="0.3">
      <c r="A20">
        <v>19</v>
      </c>
      <c r="B20">
        <v>2648188.2960000001</v>
      </c>
      <c r="C20">
        <v>556136.10499999998</v>
      </c>
      <c r="D20">
        <f t="shared" si="0"/>
        <v>11.567671676011832</v>
      </c>
      <c r="E20" s="1">
        <f t="shared" si="1"/>
        <v>206.35666756434864</v>
      </c>
      <c r="F20">
        <v>56.600999999999999</v>
      </c>
    </row>
    <row r="21" spans="1:22" x14ac:dyDescent="0.3">
      <c r="A21">
        <v>20</v>
      </c>
      <c r="B21">
        <v>2648210.5580000002</v>
      </c>
      <c r="C21">
        <v>556138.64800000004</v>
      </c>
      <c r="D21">
        <f t="shared" si="0"/>
        <v>22.406773373356689</v>
      </c>
      <c r="E21" s="1">
        <f>E20+D21</f>
        <v>228.76344093770533</v>
      </c>
      <c r="F21">
        <v>56.238999999999997</v>
      </c>
    </row>
    <row r="22" spans="1:22" x14ac:dyDescent="0.3">
      <c r="A22">
        <v>21</v>
      </c>
      <c r="B22">
        <v>2648224.4500000002</v>
      </c>
      <c r="C22">
        <v>556141.14</v>
      </c>
      <c r="D22">
        <f t="shared" si="0"/>
        <v>14.113742522791034</v>
      </c>
      <c r="E22" s="1">
        <f>E21+D22</f>
        <v>242.87718346049635</v>
      </c>
      <c r="F22">
        <v>57.314999999999998</v>
      </c>
    </row>
    <row r="23" spans="1:22" x14ac:dyDescent="0.3">
      <c r="A23">
        <v>22</v>
      </c>
      <c r="B23">
        <v>2648236.3939999999</v>
      </c>
      <c r="C23">
        <v>556143.076</v>
      </c>
      <c r="D23">
        <f t="shared" si="0"/>
        <v>12.099885618964729</v>
      </c>
      <c r="E23" s="1">
        <f t="shared" ref="E23:E29" si="2">E22+D23</f>
        <v>254.97706907946107</v>
      </c>
      <c r="F23">
        <v>58.3</v>
      </c>
    </row>
    <row r="24" spans="1:22" x14ac:dyDescent="0.3">
      <c r="A24">
        <v>23</v>
      </c>
      <c r="B24">
        <v>2648251.2969999998</v>
      </c>
      <c r="C24">
        <v>556143.59</v>
      </c>
      <c r="D24">
        <f t="shared" si="0"/>
        <v>14.911861218438391</v>
      </c>
      <c r="E24" s="1">
        <f t="shared" si="2"/>
        <v>269.88893029789949</v>
      </c>
      <c r="F24">
        <v>59.442</v>
      </c>
    </row>
    <row r="25" spans="1:22" x14ac:dyDescent="0.3">
      <c r="A25">
        <v>24</v>
      </c>
      <c r="B25">
        <v>2648286.048</v>
      </c>
      <c r="C25">
        <v>556142.22900000005</v>
      </c>
      <c r="D25">
        <f t="shared" si="0"/>
        <v>34.777641122007779</v>
      </c>
      <c r="E25" s="1">
        <f t="shared" si="2"/>
        <v>304.66657141990726</v>
      </c>
      <c r="F25">
        <v>59.539000000000001</v>
      </c>
    </row>
    <row r="26" spans="1:22" x14ac:dyDescent="0.3">
      <c r="A26">
        <v>25</v>
      </c>
      <c r="B26">
        <v>2648319.5189999999</v>
      </c>
      <c r="C26">
        <v>556141.53799999994</v>
      </c>
      <c r="D26">
        <f t="shared" si="0"/>
        <v>33.47813199677762</v>
      </c>
      <c r="E26" s="1">
        <f t="shared" si="2"/>
        <v>338.14470341668488</v>
      </c>
      <c r="F26">
        <v>59.676000000000002</v>
      </c>
      <c r="S26" s="83" t="s">
        <v>55</v>
      </c>
      <c r="T26" s="84"/>
      <c r="U26" s="85" t="s">
        <v>56</v>
      </c>
      <c r="V26" s="85"/>
    </row>
    <row r="27" spans="1:22" x14ac:dyDescent="0.3">
      <c r="A27">
        <v>26</v>
      </c>
      <c r="B27">
        <v>2648352.9330000002</v>
      </c>
      <c r="C27">
        <v>556143.18299999996</v>
      </c>
      <c r="D27">
        <f t="shared" si="0"/>
        <v>33.45446787833751</v>
      </c>
      <c r="E27" s="1">
        <f t="shared" si="2"/>
        <v>371.59917129502242</v>
      </c>
      <c r="F27">
        <v>60.235999999999997</v>
      </c>
      <c r="I27" t="s">
        <v>21</v>
      </c>
      <c r="J27" t="s">
        <v>22</v>
      </c>
      <c r="K27" t="s">
        <v>5</v>
      </c>
      <c r="L27" t="s">
        <v>19</v>
      </c>
      <c r="M27" t="s">
        <v>103</v>
      </c>
      <c r="N27" t="s">
        <v>20</v>
      </c>
      <c r="O27" s="6" t="s">
        <v>23</v>
      </c>
      <c r="P27" s="3" t="s">
        <v>24</v>
      </c>
      <c r="Q27" s="3" t="s">
        <v>51</v>
      </c>
      <c r="R27" s="10" t="s">
        <v>54</v>
      </c>
      <c r="S27" s="8" t="s">
        <v>58</v>
      </c>
      <c r="T27" s="8" t="s">
        <v>57</v>
      </c>
      <c r="U27" s="9" t="s">
        <v>58</v>
      </c>
      <c r="V27" s="9" t="s">
        <v>57</v>
      </c>
    </row>
    <row r="28" spans="1:22" x14ac:dyDescent="0.3">
      <c r="A28">
        <v>27</v>
      </c>
      <c r="B28">
        <v>2648358.7179999999</v>
      </c>
      <c r="C28">
        <v>556142.05900000001</v>
      </c>
      <c r="D28">
        <f t="shared" si="0"/>
        <v>5.8931825863644844</v>
      </c>
      <c r="E28" s="1">
        <f t="shared" si="2"/>
        <v>377.49235388138692</v>
      </c>
      <c r="F28">
        <v>60.680999999999997</v>
      </c>
      <c r="H28" t="s">
        <v>7</v>
      </c>
      <c r="I28">
        <v>100.7791164658635</v>
      </c>
      <c r="J28">
        <f>I29-I28</f>
        <v>5.2208835341365045</v>
      </c>
      <c r="K28">
        <v>53.643000000000001</v>
      </c>
      <c r="L28">
        <f>53.643-K28</f>
        <v>0</v>
      </c>
      <c r="M28">
        <f>K28+L28</f>
        <v>53.643000000000001</v>
      </c>
      <c r="N28">
        <f>0.5*J28*(L28+L29)</f>
        <v>0.78313253012046824</v>
      </c>
      <c r="O28">
        <f>N28+N31+N34</f>
        <v>12.418846815834746</v>
      </c>
      <c r="P28">
        <f>SQRT(J28^2+L29^2)</f>
        <v>5.229495661822245</v>
      </c>
      <c r="Q28">
        <f>P28+P31+P34</f>
        <v>48.122104285211442</v>
      </c>
      <c r="R28">
        <f>O28/Q28</f>
        <v>0.2580694880304979</v>
      </c>
    </row>
    <row r="29" spans="1:22" x14ac:dyDescent="0.3">
      <c r="A29">
        <v>28</v>
      </c>
      <c r="B29">
        <v>2648360.66</v>
      </c>
      <c r="C29">
        <v>556141.10499999998</v>
      </c>
      <c r="D29">
        <f t="shared" si="0"/>
        <v>2.1636728036160573</v>
      </c>
      <c r="E29" s="1">
        <f t="shared" si="2"/>
        <v>379.65602668500298</v>
      </c>
      <c r="F29">
        <v>61.470999999999997</v>
      </c>
      <c r="I29">
        <v>106</v>
      </c>
      <c r="K29">
        <v>53.343000000000004</v>
      </c>
      <c r="L29">
        <f>53.643-K29</f>
        <v>0.29999999999999716</v>
      </c>
      <c r="M29">
        <f t="shared" ref="M29:M35" si="3">K29+L29</f>
        <v>53.643000000000001</v>
      </c>
    </row>
    <row r="30" spans="1:22" x14ac:dyDescent="0.3">
      <c r="B30" s="86" t="s">
        <v>6</v>
      </c>
      <c r="C30" s="86"/>
      <c r="D30" s="2">
        <f>SUM(D3:D29)</f>
        <v>379.65602668500298</v>
      </c>
      <c r="E30" s="2"/>
    </row>
    <row r="31" spans="1:22" x14ac:dyDescent="0.3">
      <c r="E31" s="51"/>
      <c r="H31" t="s">
        <v>8</v>
      </c>
      <c r="I31">
        <v>106</v>
      </c>
      <c r="J31">
        <f>I32-I31</f>
        <v>42</v>
      </c>
      <c r="K31">
        <v>53.343000000000004</v>
      </c>
      <c r="L31" s="3">
        <f t="shared" ref="L31:L34" si="4">53.643-K31</f>
        <v>0.29999999999999716</v>
      </c>
      <c r="M31" s="52">
        <f t="shared" si="3"/>
        <v>53.643000000000001</v>
      </c>
      <c r="N31">
        <f>0.5*J31*(L31+L32)</f>
        <v>11.528999999999989</v>
      </c>
      <c r="P31">
        <f>SQRT(J31^2+(L31-L32)^2)</f>
        <v>42.000030964274302</v>
      </c>
    </row>
    <row r="32" spans="1:22" x14ac:dyDescent="0.3">
      <c r="I32">
        <v>148</v>
      </c>
      <c r="K32">
        <v>53.393999999999998</v>
      </c>
      <c r="L32">
        <f t="shared" si="4"/>
        <v>0.24900000000000233</v>
      </c>
      <c r="M32">
        <f t="shared" si="3"/>
        <v>53.643000000000001</v>
      </c>
    </row>
    <row r="34" spans="8:16" x14ac:dyDescent="0.3">
      <c r="H34" t="s">
        <v>9</v>
      </c>
      <c r="I34">
        <v>148</v>
      </c>
      <c r="J34">
        <f>I35-I34</f>
        <v>0.8571428571428612</v>
      </c>
      <c r="K34">
        <v>53.393999999999998</v>
      </c>
      <c r="L34">
        <f t="shared" si="4"/>
        <v>0.24900000000000233</v>
      </c>
      <c r="M34">
        <f t="shared" si="3"/>
        <v>53.643000000000001</v>
      </c>
      <c r="N34">
        <f>0.5*J34*L34</f>
        <v>0.10671428571428722</v>
      </c>
      <c r="P34">
        <f>SQRT(J34^2+L34^2)</f>
        <v>0.89257765911489662</v>
      </c>
    </row>
    <row r="35" spans="8:16" x14ac:dyDescent="0.3">
      <c r="I35">
        <v>148.85714285714286</v>
      </c>
      <c r="K35">
        <v>53.643000000000001</v>
      </c>
      <c r="L35">
        <v>0</v>
      </c>
      <c r="M35">
        <f t="shared" si="3"/>
        <v>53.643000000000001</v>
      </c>
    </row>
  </sheetData>
  <mergeCells count="3">
    <mergeCell ref="B30:C30"/>
    <mergeCell ref="S26:T26"/>
    <mergeCell ref="U26:V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S49"/>
  <sheetViews>
    <sheetView topLeftCell="D31" zoomScaleNormal="100" workbookViewId="0">
      <selection activeCell="R27" activeCellId="1" sqref="P27 R27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1" max="11" width="9.5546875" bestFit="1" customWidth="1"/>
    <col min="14" max="14" width="16.5546875" bestFit="1" customWidth="1"/>
    <col min="16" max="16" width="15.88671875" bestFit="1" customWidth="1"/>
    <col min="17" max="17" width="15.6640625" bestFit="1" customWidth="1"/>
    <col min="19" max="19" width="14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29</v>
      </c>
      <c r="B2">
        <v>2649544.5759999999</v>
      </c>
      <c r="C2">
        <v>556403.25100000005</v>
      </c>
      <c r="D2">
        <v>0</v>
      </c>
      <c r="E2">
        <v>0</v>
      </c>
      <c r="F2">
        <v>58.963000000000001</v>
      </c>
    </row>
    <row r="3" spans="1:6" x14ac:dyDescent="0.3">
      <c r="A3">
        <v>30</v>
      </c>
      <c r="B3">
        <v>2649576.4929999998</v>
      </c>
      <c r="C3">
        <v>556421.13</v>
      </c>
      <c r="D3">
        <f>SQRT((C3-C2)^2+(B3-B2)^2)</f>
        <v>36.58351445654241</v>
      </c>
      <c r="E3" s="1">
        <f>E2+D3</f>
        <v>36.58351445654241</v>
      </c>
      <c r="F3">
        <v>56.198999999999998</v>
      </c>
    </row>
    <row r="4" spans="1:6" x14ac:dyDescent="0.3">
      <c r="A4">
        <v>31</v>
      </c>
      <c r="B4">
        <v>2649592.2289999998</v>
      </c>
      <c r="C4">
        <v>556431.84600000002</v>
      </c>
      <c r="D4">
        <f t="shared" ref="D4:D27" si="0">SQRT((C4-C3)^2+(B4-B3)^2)</f>
        <v>19.03823395174496</v>
      </c>
      <c r="E4" s="1">
        <f>E3+D4</f>
        <v>55.621748408287374</v>
      </c>
      <c r="F4">
        <v>56.076999999999998</v>
      </c>
    </row>
    <row r="5" spans="1:6" x14ac:dyDescent="0.3">
      <c r="A5">
        <v>32</v>
      </c>
      <c r="B5">
        <v>2649603.56</v>
      </c>
      <c r="C5">
        <v>556438.53700000001</v>
      </c>
      <c r="D5">
        <f t="shared" si="0"/>
        <v>13.159066912410275</v>
      </c>
      <c r="E5" s="1">
        <f t="shared" ref="E5:E26" si="1">E4+D5</f>
        <v>68.780815320697656</v>
      </c>
      <c r="F5">
        <v>55.198</v>
      </c>
    </row>
    <row r="6" spans="1:6" x14ac:dyDescent="0.3">
      <c r="A6">
        <v>33</v>
      </c>
      <c r="B6">
        <v>2649617.58</v>
      </c>
      <c r="C6">
        <v>556445.223</v>
      </c>
      <c r="D6">
        <f t="shared" si="0"/>
        <v>15.532642917428699</v>
      </c>
      <c r="E6" s="1">
        <f t="shared" si="1"/>
        <v>84.313458238126358</v>
      </c>
      <c r="F6">
        <v>53.2</v>
      </c>
    </row>
    <row r="7" spans="1:6" x14ac:dyDescent="0.3">
      <c r="A7">
        <v>34</v>
      </c>
      <c r="B7">
        <v>2649623.5759999999</v>
      </c>
      <c r="C7">
        <v>556449.08799999999</v>
      </c>
      <c r="D7">
        <f t="shared" si="0"/>
        <v>7.1337396222212694</v>
      </c>
      <c r="E7" s="1">
        <f t="shared" si="1"/>
        <v>91.447197860347629</v>
      </c>
      <c r="F7">
        <v>53.847000000000001</v>
      </c>
    </row>
    <row r="8" spans="1:6" x14ac:dyDescent="0.3">
      <c r="A8">
        <v>35</v>
      </c>
      <c r="B8">
        <v>2649634.094</v>
      </c>
      <c r="C8">
        <v>556453.25600000005</v>
      </c>
      <c r="D8">
        <f t="shared" si="0"/>
        <v>11.313732717534883</v>
      </c>
      <c r="E8" s="1">
        <f t="shared" si="1"/>
        <v>102.7609305778825</v>
      </c>
      <c r="F8">
        <v>53.826999999999998</v>
      </c>
    </row>
    <row r="9" spans="1:6" x14ac:dyDescent="0.3">
      <c r="A9">
        <v>36</v>
      </c>
      <c r="B9">
        <v>2649638.074</v>
      </c>
      <c r="C9">
        <v>556453.92799999996</v>
      </c>
      <c r="D9">
        <f t="shared" si="0"/>
        <v>4.0363329892023048</v>
      </c>
      <c r="E9" s="1">
        <f t="shared" si="1"/>
        <v>106.79726356708481</v>
      </c>
      <c r="F9">
        <v>52.779000000000003</v>
      </c>
    </row>
    <row r="10" spans="1:6" x14ac:dyDescent="0.3">
      <c r="A10">
        <v>37</v>
      </c>
      <c r="B10">
        <v>2649668.7620000001</v>
      </c>
      <c r="C10">
        <v>556468.84100000001</v>
      </c>
      <c r="D10">
        <f t="shared" si="0"/>
        <v>34.119655816065617</v>
      </c>
      <c r="E10" s="1">
        <f t="shared" si="1"/>
        <v>140.91691938315043</v>
      </c>
      <c r="F10">
        <v>52.143999999999998</v>
      </c>
    </row>
    <row r="11" spans="1:6" x14ac:dyDescent="0.3">
      <c r="A11">
        <v>38</v>
      </c>
      <c r="B11">
        <v>2649687.1740000001</v>
      </c>
      <c r="C11">
        <v>556480.37600000005</v>
      </c>
      <c r="D11">
        <f t="shared" si="0"/>
        <v>21.726895061217643</v>
      </c>
      <c r="E11" s="1">
        <f t="shared" si="1"/>
        <v>162.64381444436808</v>
      </c>
      <c r="F11">
        <v>52.137</v>
      </c>
    </row>
    <row r="12" spans="1:6" x14ac:dyDescent="0.3">
      <c r="A12">
        <v>39</v>
      </c>
      <c r="B12">
        <v>2649689.287</v>
      </c>
      <c r="C12">
        <v>556481.38199999998</v>
      </c>
      <c r="D12">
        <f t="shared" si="0"/>
        <v>2.3402574643465832</v>
      </c>
      <c r="E12" s="1">
        <f t="shared" si="1"/>
        <v>164.98407190871467</v>
      </c>
      <c r="F12">
        <v>51.247</v>
      </c>
    </row>
    <row r="13" spans="1:6" x14ac:dyDescent="0.3">
      <c r="A13">
        <v>40</v>
      </c>
      <c r="B13">
        <v>2649697.0079999999</v>
      </c>
      <c r="C13">
        <v>556484.56200000003</v>
      </c>
      <c r="D13">
        <f t="shared" si="0"/>
        <v>8.3502240089012041</v>
      </c>
      <c r="E13" s="1">
        <f t="shared" si="1"/>
        <v>173.33429591761586</v>
      </c>
      <c r="F13">
        <v>51.039000000000001</v>
      </c>
    </row>
    <row r="14" spans="1:6" x14ac:dyDescent="0.3">
      <c r="A14">
        <v>41</v>
      </c>
      <c r="B14">
        <v>2649704.9</v>
      </c>
      <c r="C14">
        <v>556487.70499999996</v>
      </c>
      <c r="D14">
        <f t="shared" si="0"/>
        <v>8.4948286032975595</v>
      </c>
      <c r="E14" s="1">
        <f t="shared" si="1"/>
        <v>181.82912452091341</v>
      </c>
      <c r="F14">
        <v>51.09</v>
      </c>
    </row>
    <row r="15" spans="1:6" x14ac:dyDescent="0.3">
      <c r="A15">
        <v>42</v>
      </c>
      <c r="B15">
        <v>2649707.5329999998</v>
      </c>
      <c r="C15">
        <v>556488.88800000004</v>
      </c>
      <c r="D15">
        <f t="shared" si="0"/>
        <v>2.8865512293620723</v>
      </c>
      <c r="E15" s="1">
        <f t="shared" si="1"/>
        <v>184.71567575027549</v>
      </c>
      <c r="F15">
        <v>51.112000000000002</v>
      </c>
    </row>
    <row r="16" spans="1:6" x14ac:dyDescent="0.3">
      <c r="A16">
        <v>43</v>
      </c>
      <c r="B16">
        <v>2649709.804</v>
      </c>
      <c r="C16">
        <v>556488.77</v>
      </c>
      <c r="D16">
        <f t="shared" si="0"/>
        <v>2.2740635437104761</v>
      </c>
      <c r="E16" s="1">
        <f t="shared" si="1"/>
        <v>186.98973929398596</v>
      </c>
      <c r="F16">
        <v>51.454000000000001</v>
      </c>
    </row>
    <row r="17" spans="1:19" x14ac:dyDescent="0.3">
      <c r="A17">
        <v>44</v>
      </c>
      <c r="B17">
        <v>2649713.878</v>
      </c>
      <c r="C17">
        <v>556489.96400000004</v>
      </c>
      <c r="D17">
        <f t="shared" si="0"/>
        <v>4.2453635886958354</v>
      </c>
      <c r="E17" s="1">
        <f t="shared" si="1"/>
        <v>191.23510288268179</v>
      </c>
      <c r="F17">
        <v>51.226999999999997</v>
      </c>
    </row>
    <row r="18" spans="1:19" x14ac:dyDescent="0.3">
      <c r="A18">
        <v>45</v>
      </c>
      <c r="B18">
        <v>2649719.3420000002</v>
      </c>
      <c r="C18">
        <v>556492.25300000003</v>
      </c>
      <c r="D18">
        <f t="shared" si="0"/>
        <v>5.9240878624158011</v>
      </c>
      <c r="E18" s="1">
        <f t="shared" si="1"/>
        <v>197.15919074509759</v>
      </c>
      <c r="F18">
        <v>51.462000000000003</v>
      </c>
    </row>
    <row r="19" spans="1:19" x14ac:dyDescent="0.3">
      <c r="A19">
        <v>46</v>
      </c>
      <c r="B19">
        <v>2649757.2779999999</v>
      </c>
      <c r="C19">
        <v>556514.75399999996</v>
      </c>
      <c r="D19">
        <f t="shared" si="0"/>
        <v>44.107086697924679</v>
      </c>
      <c r="E19" s="1">
        <f t="shared" si="1"/>
        <v>241.26627744302226</v>
      </c>
      <c r="F19">
        <v>51.631999999999998</v>
      </c>
    </row>
    <row r="20" spans="1:19" x14ac:dyDescent="0.3">
      <c r="A20">
        <v>47</v>
      </c>
      <c r="B20">
        <v>2649762.5460000001</v>
      </c>
      <c r="C20">
        <v>556521.99699999997</v>
      </c>
      <c r="D20">
        <f t="shared" si="0"/>
        <v>8.9561639668940476</v>
      </c>
      <c r="E20" s="1">
        <f t="shared" si="1"/>
        <v>250.22244140991631</v>
      </c>
      <c r="F20">
        <v>51.284999999999997</v>
      </c>
    </row>
    <row r="21" spans="1:19" x14ac:dyDescent="0.3">
      <c r="A21">
        <v>48</v>
      </c>
      <c r="B21">
        <v>2649775.284</v>
      </c>
      <c r="C21">
        <v>556533.71200000006</v>
      </c>
      <c r="D21">
        <f t="shared" si="0"/>
        <v>17.306006731747985</v>
      </c>
      <c r="E21" s="1">
        <f t="shared" si="1"/>
        <v>267.52844814166428</v>
      </c>
      <c r="F21">
        <v>51.454000000000001</v>
      </c>
    </row>
    <row r="22" spans="1:19" x14ac:dyDescent="0.3">
      <c r="A22">
        <v>49</v>
      </c>
      <c r="B22">
        <v>2649806.9789999998</v>
      </c>
      <c r="C22">
        <v>556556.99399999995</v>
      </c>
      <c r="D22">
        <f t="shared" si="0"/>
        <v>39.327147735174698</v>
      </c>
      <c r="E22" s="1">
        <f t="shared" si="1"/>
        <v>306.855595876839</v>
      </c>
      <c r="F22">
        <v>51.734000000000002</v>
      </c>
    </row>
    <row r="23" spans="1:19" x14ac:dyDescent="0.3">
      <c r="A23">
        <v>50</v>
      </c>
      <c r="B23">
        <v>2649821.4070000001</v>
      </c>
      <c r="C23">
        <v>556567.42000000004</v>
      </c>
      <c r="D23">
        <f t="shared" si="0"/>
        <v>17.800805038277797</v>
      </c>
      <c r="E23" s="1">
        <f t="shared" si="1"/>
        <v>324.65640091511682</v>
      </c>
      <c r="F23">
        <v>51.610999999999997</v>
      </c>
    </row>
    <row r="24" spans="1:19" x14ac:dyDescent="0.3">
      <c r="A24">
        <v>51</v>
      </c>
      <c r="B24">
        <v>2649826.8760000002</v>
      </c>
      <c r="C24">
        <v>556569.99600000004</v>
      </c>
      <c r="D24">
        <f t="shared" si="0"/>
        <v>6.0453070228444989</v>
      </c>
      <c r="E24" s="1">
        <f t="shared" si="1"/>
        <v>330.70170793796132</v>
      </c>
      <c r="F24">
        <v>52.051000000000002</v>
      </c>
    </row>
    <row r="25" spans="1:19" x14ac:dyDescent="0.3">
      <c r="A25">
        <v>52</v>
      </c>
      <c r="B25">
        <v>2649828.639</v>
      </c>
      <c r="C25">
        <v>556571.36399999994</v>
      </c>
      <c r="D25">
        <f t="shared" si="0"/>
        <v>2.2315001678313129</v>
      </c>
      <c r="E25" s="1">
        <f t="shared" si="1"/>
        <v>332.93320810579263</v>
      </c>
      <c r="F25">
        <v>53.232999999999997</v>
      </c>
    </row>
    <row r="26" spans="1:19" x14ac:dyDescent="0.3">
      <c r="A26">
        <v>53</v>
      </c>
      <c r="B26">
        <v>2649834.8760000002</v>
      </c>
      <c r="C26">
        <v>556573.777</v>
      </c>
      <c r="D26">
        <f t="shared" si="0"/>
        <v>6.6875061123520503</v>
      </c>
      <c r="E26" s="1">
        <f t="shared" si="1"/>
        <v>339.62071421814466</v>
      </c>
      <c r="F26">
        <v>53.557000000000002</v>
      </c>
      <c r="J26" t="s">
        <v>21</v>
      </c>
      <c r="K26" t="s">
        <v>22</v>
      </c>
      <c r="L26" t="s">
        <v>5</v>
      </c>
      <c r="M26" t="s">
        <v>19</v>
      </c>
      <c r="N26" t="s">
        <v>106</v>
      </c>
      <c r="O26" t="s">
        <v>20</v>
      </c>
      <c r="P26" s="6" t="s">
        <v>23</v>
      </c>
      <c r="Q26" s="3" t="s">
        <v>24</v>
      </c>
      <c r="R26" t="s">
        <v>107</v>
      </c>
      <c r="S26" t="s">
        <v>108</v>
      </c>
    </row>
    <row r="27" spans="1:19" x14ac:dyDescent="0.3">
      <c r="A27">
        <v>54</v>
      </c>
      <c r="B27">
        <v>2649843.3530000001</v>
      </c>
      <c r="C27">
        <v>556576.522</v>
      </c>
      <c r="D27">
        <f t="shared" si="0"/>
        <v>8.9103621699242144</v>
      </c>
      <c r="E27" s="1">
        <f>E26+D27</f>
        <v>348.53107638806887</v>
      </c>
      <c r="F27">
        <v>54.345999999999997</v>
      </c>
      <c r="I27" t="s">
        <v>7</v>
      </c>
      <c r="J27">
        <v>164.37078651685394</v>
      </c>
      <c r="K27">
        <f>J28-J27</f>
        <v>0.62921348314606007</v>
      </c>
      <c r="L27">
        <v>51.527000000000001</v>
      </c>
      <c r="M27">
        <f t="shared" ref="M27:M49" si="2">51.527-L27</f>
        <v>0</v>
      </c>
      <c r="N27" s="52">
        <f t="shared" ref="N27:N49" si="3">L27+M27</f>
        <v>51.527000000000001</v>
      </c>
      <c r="O27" s="53">
        <f>0.5*K27*M28</f>
        <v>8.8089887640448769E-2</v>
      </c>
      <c r="P27" s="53">
        <f>O27+O30+O33+O36+O39+O42+O45+O48</f>
        <v>11.47635459352278</v>
      </c>
      <c r="Q27">
        <f>SQRT(K27^2+(M28-M27)^2)</f>
        <v>0.68870139202182379</v>
      </c>
      <c r="R27">
        <f>Q27+Q30+Q33+Q36+Q39+Q42+Q45+Q48</f>
        <v>49.55535165644924</v>
      </c>
      <c r="S27">
        <f>P27/R27</f>
        <v>0.23158658368695528</v>
      </c>
    </row>
    <row r="28" spans="1:19" x14ac:dyDescent="0.3">
      <c r="D28" s="2">
        <f>SUM(D2:D27)</f>
        <v>348.53107638806887</v>
      </c>
      <c r="J28">
        <v>165</v>
      </c>
      <c r="L28">
        <v>51.247</v>
      </c>
      <c r="M28">
        <f t="shared" si="2"/>
        <v>0.28000000000000114</v>
      </c>
      <c r="N28">
        <f t="shared" si="3"/>
        <v>51.527000000000001</v>
      </c>
      <c r="O28" s="53"/>
    </row>
    <row r="29" spans="1:19" x14ac:dyDescent="0.3">
      <c r="O29" s="53"/>
    </row>
    <row r="30" spans="1:19" x14ac:dyDescent="0.3">
      <c r="I30" t="s">
        <v>8</v>
      </c>
      <c r="J30">
        <v>165</v>
      </c>
      <c r="K30">
        <f>J31-J30</f>
        <v>8</v>
      </c>
      <c r="L30">
        <v>51.247</v>
      </c>
      <c r="M30">
        <f t="shared" si="2"/>
        <v>0.28000000000000114</v>
      </c>
      <c r="N30">
        <f t="shared" si="3"/>
        <v>51.527000000000001</v>
      </c>
      <c r="O30" s="53">
        <f>0.5*K30*(M31+M30)</f>
        <v>3.0720000000000027</v>
      </c>
      <c r="Q30">
        <f>SQRT(K30^2+(M31-M30)^2)</f>
        <v>8.0027035431783915</v>
      </c>
    </row>
    <row r="31" spans="1:19" x14ac:dyDescent="0.3">
      <c r="J31">
        <v>173</v>
      </c>
      <c r="L31">
        <v>51.039000000000001</v>
      </c>
      <c r="M31">
        <f t="shared" si="2"/>
        <v>0.48799999999999955</v>
      </c>
      <c r="N31">
        <f t="shared" si="3"/>
        <v>51.527000000000001</v>
      </c>
      <c r="O31" s="53"/>
    </row>
    <row r="32" spans="1:19" x14ac:dyDescent="0.3">
      <c r="O32" s="53"/>
    </row>
    <row r="33" spans="9:17" x14ac:dyDescent="0.3">
      <c r="I33" t="s">
        <v>9</v>
      </c>
      <c r="J33">
        <v>173</v>
      </c>
      <c r="K33">
        <f>J34-J33</f>
        <v>9</v>
      </c>
      <c r="L33">
        <v>51.039000000000001</v>
      </c>
      <c r="M33">
        <f t="shared" si="2"/>
        <v>0.48799999999999955</v>
      </c>
      <c r="N33">
        <f t="shared" si="3"/>
        <v>51.527000000000001</v>
      </c>
      <c r="O33" s="53">
        <f>0.5*K33*SUM(M33:M34)</f>
        <v>4.1624999999999872</v>
      </c>
      <c r="Q33">
        <f t="shared" ref="Q33:Q48" si="4">SQRT(K33^2+(M34-M33)^2)</f>
        <v>9.0001444988400046</v>
      </c>
    </row>
    <row r="34" spans="9:17" x14ac:dyDescent="0.3">
      <c r="J34">
        <v>182</v>
      </c>
      <c r="L34">
        <v>51.09</v>
      </c>
      <c r="M34">
        <f t="shared" si="2"/>
        <v>0.43699999999999761</v>
      </c>
      <c r="N34">
        <f t="shared" si="3"/>
        <v>51.527000000000001</v>
      </c>
      <c r="O34" s="53"/>
    </row>
    <row r="35" spans="9:17" x14ac:dyDescent="0.3">
      <c r="O35" s="53"/>
    </row>
    <row r="36" spans="9:17" x14ac:dyDescent="0.3">
      <c r="I36" t="s">
        <v>10</v>
      </c>
      <c r="J36">
        <v>182</v>
      </c>
      <c r="K36">
        <f>J37-J36</f>
        <v>3</v>
      </c>
      <c r="L36">
        <v>51.09</v>
      </c>
      <c r="M36">
        <f t="shared" si="2"/>
        <v>0.43699999999999761</v>
      </c>
      <c r="N36">
        <f t="shared" si="3"/>
        <v>51.527000000000001</v>
      </c>
      <c r="O36" s="53">
        <f>0.5*K36*(M36+M37)</f>
        <v>1.2779999999999951</v>
      </c>
      <c r="Q36">
        <f>SQRT(K36^2+(M37-M36)^2)</f>
        <v>3.0000806655821775</v>
      </c>
    </row>
    <row r="37" spans="9:17" x14ac:dyDescent="0.3">
      <c r="J37">
        <v>185</v>
      </c>
      <c r="L37">
        <v>51.112000000000002</v>
      </c>
      <c r="M37">
        <f t="shared" si="2"/>
        <v>0.41499999999999915</v>
      </c>
      <c r="N37">
        <f t="shared" si="3"/>
        <v>51.527000000000001</v>
      </c>
      <c r="O37" s="53"/>
    </row>
    <row r="38" spans="9:17" x14ac:dyDescent="0.3">
      <c r="O38" s="53"/>
    </row>
    <row r="39" spans="9:17" x14ac:dyDescent="0.3">
      <c r="I39" t="s">
        <v>11</v>
      </c>
      <c r="J39">
        <v>185</v>
      </c>
      <c r="K39">
        <f>J40-J39</f>
        <v>2</v>
      </c>
      <c r="L39">
        <v>51.112000000000002</v>
      </c>
      <c r="M39">
        <f t="shared" si="2"/>
        <v>0.41499999999999915</v>
      </c>
      <c r="N39">
        <f t="shared" si="3"/>
        <v>51.527000000000001</v>
      </c>
      <c r="O39" s="53">
        <f>0.5*K39*(M39+M40)</f>
        <v>0.48799999999999955</v>
      </c>
      <c r="Q39">
        <f t="shared" si="4"/>
        <v>2.0290303102713865</v>
      </c>
    </row>
    <row r="40" spans="9:17" x14ac:dyDescent="0.3">
      <c r="J40">
        <v>187</v>
      </c>
      <c r="L40">
        <v>51.454000000000001</v>
      </c>
      <c r="M40">
        <f t="shared" si="2"/>
        <v>7.3000000000000398E-2</v>
      </c>
      <c r="N40">
        <f t="shared" si="3"/>
        <v>51.527000000000001</v>
      </c>
      <c r="O40" s="53"/>
    </row>
    <row r="41" spans="9:17" x14ac:dyDescent="0.3">
      <c r="O41" s="53"/>
    </row>
    <row r="42" spans="9:17" x14ac:dyDescent="0.3">
      <c r="I42" t="s">
        <v>12</v>
      </c>
      <c r="J42">
        <v>187</v>
      </c>
      <c r="K42">
        <f>J43-J42</f>
        <v>4</v>
      </c>
      <c r="L42">
        <v>51.454000000000001</v>
      </c>
      <c r="M42">
        <f t="shared" si="2"/>
        <v>7.3000000000000398E-2</v>
      </c>
      <c r="N42">
        <f t="shared" si="3"/>
        <v>51.527000000000001</v>
      </c>
      <c r="O42" s="53">
        <f>0.5*K42*(M42+M43)</f>
        <v>0.74600000000000932</v>
      </c>
      <c r="Q42">
        <f>SQRT(K42^2+(M43-M42)^2)</f>
        <v>4.0064359473227578</v>
      </c>
    </row>
    <row r="43" spans="9:17" x14ac:dyDescent="0.3">
      <c r="J43">
        <v>191</v>
      </c>
      <c r="L43">
        <v>51.226999999999997</v>
      </c>
      <c r="M43">
        <f>51.527-L43</f>
        <v>0.30000000000000426</v>
      </c>
      <c r="N43">
        <f t="shared" si="3"/>
        <v>51.527000000000001</v>
      </c>
      <c r="O43" s="53"/>
    </row>
    <row r="44" spans="9:17" x14ac:dyDescent="0.3">
      <c r="O44" s="53"/>
    </row>
    <row r="45" spans="9:17" x14ac:dyDescent="0.3">
      <c r="I45" t="s">
        <v>13</v>
      </c>
      <c r="J45">
        <v>191</v>
      </c>
      <c r="K45">
        <f>J46-J45</f>
        <v>6</v>
      </c>
      <c r="L45">
        <v>51.226999999999997</v>
      </c>
      <c r="M45">
        <f t="shared" si="2"/>
        <v>0.30000000000000426</v>
      </c>
      <c r="N45">
        <f>L45+M45</f>
        <v>51.527000000000001</v>
      </c>
      <c r="O45" s="53">
        <f>0.5*K45*(M45+M46)</f>
        <v>1.095000000000006</v>
      </c>
      <c r="Q45">
        <f t="shared" si="4"/>
        <v>6.0046003197548465</v>
      </c>
    </row>
    <row r="46" spans="9:17" x14ac:dyDescent="0.3">
      <c r="J46">
        <v>197</v>
      </c>
      <c r="L46">
        <v>51.462000000000003</v>
      </c>
      <c r="M46">
        <f t="shared" si="2"/>
        <v>6.4999999999997726E-2</v>
      </c>
      <c r="N46">
        <f t="shared" si="3"/>
        <v>51.527000000000001</v>
      </c>
      <c r="O46" s="53"/>
    </row>
    <row r="47" spans="9:17" x14ac:dyDescent="0.3">
      <c r="O47" s="53"/>
    </row>
    <row r="48" spans="9:17" x14ac:dyDescent="0.3">
      <c r="I48" t="s">
        <v>14</v>
      </c>
      <c r="J48">
        <v>197</v>
      </c>
      <c r="K48">
        <f>J49-J48</f>
        <v>16.823529411764639</v>
      </c>
      <c r="L48">
        <v>51.462000000000003</v>
      </c>
      <c r="M48">
        <f t="shared" si="2"/>
        <v>6.4999999999997726E-2</v>
      </c>
      <c r="N48">
        <f t="shared" si="3"/>
        <v>51.527000000000001</v>
      </c>
      <c r="O48" s="53">
        <f>0.5*K48*M48</f>
        <v>0.54676470588233161</v>
      </c>
      <c r="Q48">
        <f t="shared" si="4"/>
        <v>16.823654979477851</v>
      </c>
    </row>
    <row r="49" spans="10:15" x14ac:dyDescent="0.3">
      <c r="J49">
        <v>213.82352941176464</v>
      </c>
      <c r="L49">
        <v>51.527000000000001</v>
      </c>
      <c r="M49">
        <f t="shared" si="2"/>
        <v>0</v>
      </c>
      <c r="N49">
        <f t="shared" si="3"/>
        <v>51.527000000000001</v>
      </c>
      <c r="O49" s="5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U51"/>
  <sheetViews>
    <sheetView topLeftCell="B22" zoomScaleNormal="100" workbookViewId="0">
      <selection activeCell="G29" sqref="G29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1.6640625" bestFit="1" customWidth="1"/>
    <col min="14" max="14" width="15.88671875" bestFit="1" customWidth="1"/>
    <col min="15" max="15" width="15.6640625" bestFit="1" customWidth="1"/>
    <col min="16" max="16" width="24" bestFit="1" customWidth="1"/>
  </cols>
  <sheetData>
    <row r="1" spans="1:6" x14ac:dyDescent="0.3">
      <c r="A1" t="s">
        <v>48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280</v>
      </c>
      <c r="B2">
        <v>2685771.102</v>
      </c>
      <c r="C2">
        <v>521497.46100000001</v>
      </c>
      <c r="D2">
        <v>0</v>
      </c>
      <c r="E2" s="1">
        <v>0</v>
      </c>
      <c r="F2">
        <v>125.599</v>
      </c>
    </row>
    <row r="3" spans="1:6" x14ac:dyDescent="0.3">
      <c r="A3">
        <v>281</v>
      </c>
      <c r="B3">
        <v>2685772.5430000001</v>
      </c>
      <c r="C3">
        <v>521493.84</v>
      </c>
      <c r="D3">
        <f>SQRT((C3-C2)^2+(B3-B2)^2)</f>
        <v>3.8971941188757926</v>
      </c>
      <c r="E3" s="1">
        <f>E2+D3</f>
        <v>3.8971941188757926</v>
      </c>
      <c r="F3">
        <v>124.458</v>
      </c>
    </row>
    <row r="4" spans="1:6" x14ac:dyDescent="0.3">
      <c r="A4">
        <v>282</v>
      </c>
      <c r="B4">
        <v>2685776.3569999998</v>
      </c>
      <c r="C4">
        <v>521489.99599999998</v>
      </c>
      <c r="D4">
        <f t="shared" ref="D4:D23" si="0">SQRT((C4-C3)^2+(B4-B3)^2)</f>
        <v>5.4150652811058952</v>
      </c>
      <c r="E4" s="1">
        <f>E3+D4</f>
        <v>9.3122593999816878</v>
      </c>
      <c r="F4">
        <v>123.50700000000001</v>
      </c>
    </row>
    <row r="5" spans="1:6" x14ac:dyDescent="0.3">
      <c r="A5">
        <v>283</v>
      </c>
      <c r="B5">
        <v>2685781.2930000001</v>
      </c>
      <c r="C5">
        <v>521484.54499999998</v>
      </c>
      <c r="D5">
        <f t="shared" si="0"/>
        <v>7.3537403409543867</v>
      </c>
      <c r="E5" s="1">
        <f t="shared" ref="E5:E23" si="1">E4+D5</f>
        <v>16.665999740936073</v>
      </c>
      <c r="F5">
        <v>122.598</v>
      </c>
    </row>
    <row r="6" spans="1:6" x14ac:dyDescent="0.3">
      <c r="A6">
        <v>284</v>
      </c>
      <c r="B6">
        <v>2685786.693</v>
      </c>
      <c r="C6">
        <v>521477.81</v>
      </c>
      <c r="D6">
        <f t="shared" si="0"/>
        <v>8.63250977403478</v>
      </c>
      <c r="E6" s="1">
        <f t="shared" si="1"/>
        <v>25.298509514970853</v>
      </c>
      <c r="F6">
        <v>121.767</v>
      </c>
    </row>
    <row r="7" spans="1:6" x14ac:dyDescent="0.3">
      <c r="A7">
        <v>285</v>
      </c>
      <c r="B7">
        <v>2685804.49</v>
      </c>
      <c r="C7">
        <v>521463.4</v>
      </c>
      <c r="D7">
        <f t="shared" si="0"/>
        <v>22.899373550564185</v>
      </c>
      <c r="E7" s="1">
        <f t="shared" si="1"/>
        <v>48.197883065535038</v>
      </c>
      <c r="F7">
        <v>121.173</v>
      </c>
    </row>
    <row r="8" spans="1:6" x14ac:dyDescent="0.3">
      <c r="A8">
        <v>286</v>
      </c>
      <c r="B8">
        <v>2685820.7289999998</v>
      </c>
      <c r="C8">
        <v>521450.13099999999</v>
      </c>
      <c r="D8">
        <f t="shared" si="0"/>
        <v>20.970729171576046</v>
      </c>
      <c r="E8" s="1">
        <f t="shared" si="1"/>
        <v>69.168612237111091</v>
      </c>
      <c r="F8">
        <v>121.357</v>
      </c>
    </row>
    <row r="9" spans="1:6" x14ac:dyDescent="0.3">
      <c r="A9">
        <v>287</v>
      </c>
      <c r="B9">
        <v>2685823.4360000002</v>
      </c>
      <c r="C9">
        <v>521448.20899999997</v>
      </c>
      <c r="D9">
        <f t="shared" si="0"/>
        <v>3.3199296682696433</v>
      </c>
      <c r="E9" s="1">
        <f t="shared" si="1"/>
        <v>72.488541905380728</v>
      </c>
      <c r="F9">
        <v>121.755</v>
      </c>
    </row>
    <row r="10" spans="1:6" x14ac:dyDescent="0.3">
      <c r="A10">
        <v>288</v>
      </c>
      <c r="B10">
        <v>2685825.588</v>
      </c>
      <c r="C10">
        <v>521445.80699999997</v>
      </c>
      <c r="D10">
        <f t="shared" si="0"/>
        <v>3.2250128680386476</v>
      </c>
      <c r="E10" s="1">
        <f t="shared" si="1"/>
        <v>75.713554773419375</v>
      </c>
      <c r="F10">
        <v>121.399</v>
      </c>
    </row>
    <row r="11" spans="1:6" x14ac:dyDescent="0.3">
      <c r="A11">
        <v>289</v>
      </c>
      <c r="B11">
        <v>2685829.85</v>
      </c>
      <c r="C11">
        <v>521442.03600000002</v>
      </c>
      <c r="D11">
        <f t="shared" si="0"/>
        <v>5.6907894883319861</v>
      </c>
      <c r="E11" s="1">
        <f t="shared" si="1"/>
        <v>81.404344261751362</v>
      </c>
      <c r="F11">
        <v>121.75700000000001</v>
      </c>
    </row>
    <row r="12" spans="1:6" x14ac:dyDescent="0.3">
      <c r="A12">
        <v>290</v>
      </c>
      <c r="B12">
        <v>2685831.6919999998</v>
      </c>
      <c r="C12">
        <v>521440.40899999999</v>
      </c>
      <c r="D12">
        <f t="shared" si="0"/>
        <v>2.4576600658070999</v>
      </c>
      <c r="E12" s="1">
        <f t="shared" si="1"/>
        <v>83.862004327558466</v>
      </c>
      <c r="F12">
        <v>121.754</v>
      </c>
    </row>
    <row r="13" spans="1:6" x14ac:dyDescent="0.3">
      <c r="A13">
        <v>291</v>
      </c>
      <c r="B13">
        <v>2685833.1749999998</v>
      </c>
      <c r="C13">
        <v>521438.978</v>
      </c>
      <c r="D13">
        <f t="shared" si="0"/>
        <v>2.0608372085080995</v>
      </c>
      <c r="E13" s="1">
        <f t="shared" si="1"/>
        <v>85.922841536066571</v>
      </c>
      <c r="F13">
        <v>121.532</v>
      </c>
    </row>
    <row r="14" spans="1:6" x14ac:dyDescent="0.3">
      <c r="A14">
        <v>292</v>
      </c>
      <c r="B14">
        <v>2685849.7749999999</v>
      </c>
      <c r="C14">
        <v>521426.95</v>
      </c>
      <c r="D14">
        <f t="shared" si="0"/>
        <v>20.499580093330671</v>
      </c>
      <c r="E14" s="1">
        <f t="shared" si="1"/>
        <v>106.42242162939723</v>
      </c>
      <c r="F14">
        <v>121.14400000000001</v>
      </c>
    </row>
    <row r="15" spans="1:6" x14ac:dyDescent="0.3">
      <c r="A15">
        <v>293</v>
      </c>
      <c r="B15">
        <v>2685865.8650000002</v>
      </c>
      <c r="C15">
        <v>521415.06400000001</v>
      </c>
      <c r="D15">
        <f t="shared" si="0"/>
        <v>20.004126974455961</v>
      </c>
      <c r="E15" s="1">
        <f t="shared" si="1"/>
        <v>126.42654860385319</v>
      </c>
      <c r="F15">
        <v>121.319</v>
      </c>
    </row>
    <row r="16" spans="1:6" x14ac:dyDescent="0.3">
      <c r="A16">
        <v>294</v>
      </c>
      <c r="B16">
        <v>2685870.9419999998</v>
      </c>
      <c r="C16">
        <v>521411.24400000001</v>
      </c>
      <c r="D16">
        <f t="shared" si="0"/>
        <v>6.3536075575862245</v>
      </c>
      <c r="E16" s="1">
        <f t="shared" si="1"/>
        <v>132.78015616143941</v>
      </c>
      <c r="F16">
        <v>120.929</v>
      </c>
    </row>
    <row r="17" spans="1:21" x14ac:dyDescent="0.3">
      <c r="A17">
        <v>295</v>
      </c>
      <c r="B17">
        <v>2685875.321</v>
      </c>
      <c r="C17">
        <v>521409.22</v>
      </c>
      <c r="D17">
        <f t="shared" si="0"/>
        <v>4.824128626166754</v>
      </c>
      <c r="E17" s="1">
        <f t="shared" si="1"/>
        <v>137.60428478760616</v>
      </c>
      <c r="F17">
        <v>120.952</v>
      </c>
    </row>
    <row r="18" spans="1:21" x14ac:dyDescent="0.3">
      <c r="A18">
        <v>296</v>
      </c>
      <c r="B18">
        <v>2685885.7420000001</v>
      </c>
      <c r="C18">
        <v>521405.89600000001</v>
      </c>
      <c r="D18">
        <f t="shared" si="0"/>
        <v>10.938291320020008</v>
      </c>
      <c r="E18" s="1">
        <f t="shared" si="1"/>
        <v>148.54257610762616</v>
      </c>
      <c r="F18">
        <v>121.322</v>
      </c>
    </row>
    <row r="19" spans="1:21" x14ac:dyDescent="0.3">
      <c r="A19">
        <v>297</v>
      </c>
      <c r="B19">
        <v>2685904.9210000001</v>
      </c>
      <c r="C19">
        <v>521394.56099999999</v>
      </c>
      <c r="D19">
        <f t="shared" si="0"/>
        <v>22.278156701141544</v>
      </c>
      <c r="E19" s="1">
        <f t="shared" si="1"/>
        <v>170.8207328087677</v>
      </c>
      <c r="F19">
        <v>121.014</v>
      </c>
    </row>
    <row r="20" spans="1:21" x14ac:dyDescent="0.3">
      <c r="A20">
        <v>298</v>
      </c>
      <c r="B20">
        <v>2685926.5490000001</v>
      </c>
      <c r="C20">
        <v>521382.75300000003</v>
      </c>
      <c r="D20">
        <f t="shared" si="0"/>
        <v>24.641413271162111</v>
      </c>
      <c r="E20" s="1">
        <f t="shared" si="1"/>
        <v>195.46214607992982</v>
      </c>
      <c r="F20">
        <v>121.27</v>
      </c>
    </row>
    <row r="21" spans="1:21" x14ac:dyDescent="0.3">
      <c r="A21">
        <v>299</v>
      </c>
      <c r="B21">
        <v>2685929.4</v>
      </c>
      <c r="C21">
        <v>521378.75599999999</v>
      </c>
      <c r="D21">
        <f t="shared" si="0"/>
        <v>4.9096038535779361</v>
      </c>
      <c r="E21" s="1">
        <f t="shared" si="1"/>
        <v>200.37174993350777</v>
      </c>
      <c r="F21">
        <v>122.907</v>
      </c>
    </row>
    <row r="22" spans="1:21" x14ac:dyDescent="0.3">
      <c r="A22">
        <v>300</v>
      </c>
      <c r="B22">
        <v>2685932.4270000001</v>
      </c>
      <c r="C22">
        <v>521373.777</v>
      </c>
      <c r="D22">
        <f t="shared" si="0"/>
        <v>5.8269348718980893</v>
      </c>
      <c r="E22" s="1">
        <f t="shared" si="1"/>
        <v>206.19868480540586</v>
      </c>
      <c r="F22">
        <v>124.80200000000001</v>
      </c>
    </row>
    <row r="23" spans="1:21" x14ac:dyDescent="0.3">
      <c r="A23">
        <v>301</v>
      </c>
      <c r="B23">
        <v>2685940.3650000002</v>
      </c>
      <c r="C23">
        <v>521366.96899999998</v>
      </c>
      <c r="D23">
        <f t="shared" si="0"/>
        <v>10.45756702113647</v>
      </c>
      <c r="E23" s="1">
        <f t="shared" si="1"/>
        <v>216.65625182654233</v>
      </c>
      <c r="F23">
        <v>126.21</v>
      </c>
      <c r="Q23" t="s">
        <v>59</v>
      </c>
    </row>
    <row r="24" spans="1:21" x14ac:dyDescent="0.3">
      <c r="C24">
        <f>SUM(D2:D23)</f>
        <v>216.65625182654233</v>
      </c>
      <c r="Q24" t="s">
        <v>60</v>
      </c>
    </row>
    <row r="25" spans="1:21" x14ac:dyDescent="0.3">
      <c r="B25" s="2" t="s">
        <v>6</v>
      </c>
      <c r="C25" s="2" t="s">
        <v>49</v>
      </c>
      <c r="Q25" t="s">
        <v>69</v>
      </c>
    </row>
    <row r="27" spans="1:21" x14ac:dyDescent="0.3">
      <c r="R27" s="83" t="s">
        <v>55</v>
      </c>
      <c r="S27" s="84"/>
      <c r="T27" s="85" t="s">
        <v>56</v>
      </c>
      <c r="U27" s="85"/>
    </row>
    <row r="28" spans="1:21" ht="15" thickBot="1" x14ac:dyDescent="0.35">
      <c r="H28" t="s">
        <v>21</v>
      </c>
      <c r="I28" t="s">
        <v>22</v>
      </c>
      <c r="J28" t="s">
        <v>5</v>
      </c>
      <c r="K28" t="s">
        <v>19</v>
      </c>
      <c r="L28" t="s">
        <v>103</v>
      </c>
      <c r="M28" t="s">
        <v>20</v>
      </c>
      <c r="N28" s="6" t="s">
        <v>23</v>
      </c>
      <c r="O28" s="3" t="s">
        <v>24</v>
      </c>
      <c r="P28" s="3" t="s">
        <v>51</v>
      </c>
      <c r="Q28" s="10" t="s">
        <v>54</v>
      </c>
      <c r="R28" s="29" t="s">
        <v>58</v>
      </c>
      <c r="S28" s="29" t="s">
        <v>57</v>
      </c>
      <c r="T28" s="30" t="s">
        <v>58</v>
      </c>
      <c r="U28" s="30" t="s">
        <v>57</v>
      </c>
    </row>
    <row r="29" spans="1:21" x14ac:dyDescent="0.3">
      <c r="H29" s="36">
        <v>32.283333333333317</v>
      </c>
      <c r="I29" s="38">
        <f>H30-H29</f>
        <v>15.716666666666683</v>
      </c>
      <c r="J29" s="38">
        <v>121.58</v>
      </c>
      <c r="K29" s="38">
        <f t="shared" ref="K29:K35" si="2">121.58-J29</f>
        <v>0</v>
      </c>
      <c r="L29" s="48">
        <f>SUM(J29+K29)</f>
        <v>121.58</v>
      </c>
      <c r="M29" s="38">
        <f>1/2*I29*K30</f>
        <v>3.221916666666643</v>
      </c>
      <c r="N29" s="38">
        <f>M29+M32+M35+M38+M41+M44+M47+M50</f>
        <v>58.063010256411005</v>
      </c>
      <c r="O29" s="38">
        <f>SQRT((I29)^2+(J29-J30)^2)</f>
        <v>15.722013583225008</v>
      </c>
      <c r="P29" s="38">
        <f>O29+O32+O35+O38+O41+O44+O47+O50</f>
        <v>152.94130441690999</v>
      </c>
      <c r="Q29" s="38">
        <f>N29/P29</f>
        <v>0.379642441770565</v>
      </c>
      <c r="R29" s="38">
        <f>(1/0.035)*(Q29)^(2/3)*(0.02)^(1/2)</f>
        <v>2.1185080836550099</v>
      </c>
      <c r="S29" s="38">
        <f>N29*R29</f>
        <v>123.00695658955046</v>
      </c>
      <c r="T29" s="38">
        <v>0.53</v>
      </c>
      <c r="U29" s="39">
        <f>N29*T29</f>
        <v>30.773395435897832</v>
      </c>
    </row>
    <row r="30" spans="1:21" x14ac:dyDescent="0.3">
      <c r="H30" s="40">
        <v>48</v>
      </c>
      <c r="I30" s="11"/>
      <c r="J30" s="11">
        <v>121.17</v>
      </c>
      <c r="K30" s="11">
        <f t="shared" si="2"/>
        <v>0.40999999999999659</v>
      </c>
      <c r="L30" s="31">
        <f t="shared" ref="L30:L51" si="3">SUM(J30+K30)</f>
        <v>121.58</v>
      </c>
      <c r="M30" s="11"/>
      <c r="N30" s="11"/>
      <c r="O30" s="11"/>
      <c r="P30" s="11"/>
      <c r="Q30" s="11"/>
      <c r="R30" s="11"/>
      <c r="S30" s="11"/>
      <c r="T30" s="11"/>
      <c r="U30" s="41"/>
    </row>
    <row r="31" spans="1:21" x14ac:dyDescent="0.3">
      <c r="H31" s="40"/>
      <c r="I31" s="11"/>
      <c r="J31" s="11"/>
      <c r="K31" s="11"/>
      <c r="L31" s="31"/>
      <c r="M31" s="11"/>
      <c r="N31" s="11"/>
      <c r="O31" s="11"/>
      <c r="P31" s="11"/>
      <c r="Q31" s="11"/>
      <c r="R31" s="11"/>
      <c r="S31" s="11"/>
      <c r="T31" s="11"/>
      <c r="U31" s="41"/>
    </row>
    <row r="32" spans="1:21" x14ac:dyDescent="0.3">
      <c r="H32" s="40">
        <v>48</v>
      </c>
      <c r="I32" s="11">
        <f>H33-H32</f>
        <v>21</v>
      </c>
      <c r="J32" s="11">
        <v>121.17</v>
      </c>
      <c r="K32" s="11">
        <f>121.58-J32</f>
        <v>0.40999999999999659</v>
      </c>
      <c r="L32" s="31">
        <f t="shared" si="3"/>
        <v>121.58</v>
      </c>
      <c r="M32" s="11">
        <f>1/2*(SUM(K32:K33)*I32)</f>
        <v>6.6149999999999523</v>
      </c>
      <c r="N32" s="11"/>
      <c r="O32" s="11">
        <f>SQRT((I32)^2+(J33-J32)^2)</f>
        <v>21.000859506220216</v>
      </c>
      <c r="P32" s="11"/>
      <c r="Q32" s="11"/>
      <c r="R32" s="11"/>
      <c r="S32" s="11"/>
      <c r="T32" s="11"/>
      <c r="U32" s="41"/>
    </row>
    <row r="33" spans="8:21" x14ac:dyDescent="0.3">
      <c r="H33" s="40">
        <v>69</v>
      </c>
      <c r="I33" s="11"/>
      <c r="J33" s="11">
        <v>121.36</v>
      </c>
      <c r="K33" s="12">
        <f t="shared" si="2"/>
        <v>0.21999999999999886</v>
      </c>
      <c r="L33" s="31">
        <f>J33+K33</f>
        <v>121.58</v>
      </c>
      <c r="M33" s="11"/>
      <c r="N33" s="11"/>
      <c r="O33" s="11"/>
      <c r="P33" s="11"/>
      <c r="Q33" s="11"/>
      <c r="R33" s="11"/>
      <c r="S33" s="11"/>
      <c r="T33" s="11"/>
      <c r="U33" s="41"/>
    </row>
    <row r="34" spans="8:21" x14ac:dyDescent="0.3">
      <c r="H34" s="40"/>
      <c r="I34" s="11"/>
      <c r="J34" s="11"/>
      <c r="K34" s="11"/>
      <c r="L34" s="31"/>
      <c r="M34" s="11"/>
      <c r="N34" s="11"/>
      <c r="O34" s="11"/>
      <c r="P34" s="11"/>
      <c r="Q34" s="11"/>
      <c r="R34" s="11"/>
      <c r="S34" s="11"/>
      <c r="T34" s="11"/>
      <c r="U34" s="41"/>
    </row>
    <row r="35" spans="8:21" x14ac:dyDescent="0.3">
      <c r="H35" s="40">
        <v>69</v>
      </c>
      <c r="I35" s="11">
        <f>H36-H35</f>
        <v>1.6499999999999631</v>
      </c>
      <c r="J35" s="11">
        <v>121.36</v>
      </c>
      <c r="K35" s="11">
        <f t="shared" si="2"/>
        <v>0.21999999999999886</v>
      </c>
      <c r="L35" s="31">
        <f t="shared" si="3"/>
        <v>121.58</v>
      </c>
      <c r="M35" s="11">
        <f>1/2*I35*K35</f>
        <v>0.181499999999995</v>
      </c>
      <c r="N35" s="11"/>
      <c r="O35" s="11">
        <f>SQRT((I35)^2+(J36-J35)^2)</f>
        <v>1.6646020545463345</v>
      </c>
      <c r="P35" s="11"/>
      <c r="Q35" s="11"/>
      <c r="R35" s="11"/>
      <c r="S35" s="11"/>
      <c r="T35" s="11"/>
      <c r="U35" s="41"/>
    </row>
    <row r="36" spans="8:21" ht="15" thickBot="1" x14ac:dyDescent="0.35">
      <c r="H36" s="42">
        <v>70.649999999999963</v>
      </c>
      <c r="I36" s="43"/>
      <c r="J36" s="43">
        <v>121.58</v>
      </c>
      <c r="K36" s="43">
        <f>121.58-J36</f>
        <v>0</v>
      </c>
      <c r="L36" s="54">
        <f t="shared" si="3"/>
        <v>121.58</v>
      </c>
      <c r="M36" s="43"/>
      <c r="N36" s="43"/>
      <c r="O36" s="43"/>
      <c r="P36" s="43"/>
      <c r="Q36" s="43"/>
      <c r="R36" s="43"/>
      <c r="S36" s="43"/>
      <c r="T36" s="43"/>
      <c r="U36" s="44"/>
    </row>
    <row r="37" spans="8:21" ht="15" thickBot="1" x14ac:dyDescent="0.35">
      <c r="L37" s="4"/>
    </row>
    <row r="38" spans="8:21" ht="15" thickBot="1" x14ac:dyDescent="0.35">
      <c r="H38" s="36">
        <v>119.34102564102524</v>
      </c>
      <c r="I38" s="38">
        <f>H39-H38</f>
        <v>13.65897435897476</v>
      </c>
      <c r="J38" s="38">
        <v>121.691</v>
      </c>
      <c r="K38" s="31">
        <f t="shared" ref="K38:K51" si="4">121.691-J38</f>
        <v>0</v>
      </c>
      <c r="L38" s="48">
        <f t="shared" si="3"/>
        <v>121.691</v>
      </c>
      <c r="M38" s="38">
        <f>0.5*I38*(K38+K39)</f>
        <v>5.1972397435898667</v>
      </c>
      <c r="N38" s="38">
        <f>M38+M41+M44+M47+M50</f>
        <v>48.044593589744409</v>
      </c>
      <c r="O38" s="38">
        <f>SQRT((I38)^2+(J38-J39)^2)</f>
        <v>13.68015721909401</v>
      </c>
      <c r="P38" s="38">
        <f>O38+O41+O44+O47+O50</f>
        <v>114.55382927291843</v>
      </c>
      <c r="Q38" s="38">
        <f>N38/P38</f>
        <v>0.41940626424002558</v>
      </c>
      <c r="R38" s="38"/>
      <c r="S38" s="38"/>
      <c r="T38" s="38"/>
      <c r="U38" s="39"/>
    </row>
    <row r="39" spans="8:21" ht="15" thickBot="1" x14ac:dyDescent="0.35">
      <c r="H39" s="40">
        <v>133</v>
      </c>
      <c r="I39" s="11"/>
      <c r="J39" s="11">
        <v>120.93</v>
      </c>
      <c r="K39" s="31">
        <f t="shared" si="4"/>
        <v>0.76099999999999568</v>
      </c>
      <c r="L39" s="31">
        <f t="shared" si="3"/>
        <v>121.691</v>
      </c>
      <c r="M39" s="38"/>
      <c r="N39" s="11"/>
      <c r="O39" s="11"/>
      <c r="P39" s="11"/>
      <c r="Q39" s="11"/>
      <c r="R39" s="11"/>
      <c r="S39" s="11"/>
      <c r="T39" s="11"/>
      <c r="U39" s="41"/>
    </row>
    <row r="40" spans="8:21" ht="15" thickBot="1" x14ac:dyDescent="0.35">
      <c r="H40" s="40"/>
      <c r="I40" s="11"/>
      <c r="J40" s="11"/>
      <c r="K40" s="31"/>
      <c r="L40" s="31"/>
      <c r="M40" s="38"/>
      <c r="N40" s="11"/>
      <c r="O40" s="11"/>
      <c r="P40" s="11"/>
      <c r="Q40" s="11"/>
      <c r="R40" s="11"/>
      <c r="S40" s="11"/>
      <c r="T40" s="11"/>
      <c r="U40" s="41"/>
    </row>
    <row r="41" spans="8:21" ht="15" thickBot="1" x14ac:dyDescent="0.35">
      <c r="H41" s="40">
        <v>133</v>
      </c>
      <c r="I41" s="11">
        <f>H42-H41</f>
        <v>5</v>
      </c>
      <c r="J41" s="11">
        <v>120.93</v>
      </c>
      <c r="K41" s="31">
        <f t="shared" si="4"/>
        <v>0.76099999999999568</v>
      </c>
      <c r="L41" s="31">
        <f t="shared" si="3"/>
        <v>121.691</v>
      </c>
      <c r="M41" s="38">
        <f t="shared" ref="M41:M50" si="5">0.5*I41*(K41+K42)</f>
        <v>3.7549999999999883</v>
      </c>
      <c r="N41" s="11"/>
      <c r="O41" s="11">
        <f>SQRT((I41)^2+(J42-J41)^2)</f>
        <v>5.0000399998400011</v>
      </c>
      <c r="P41" s="11"/>
      <c r="Q41" s="11"/>
      <c r="R41" s="11"/>
      <c r="S41" s="11"/>
      <c r="T41" s="11"/>
      <c r="U41" s="41"/>
    </row>
    <row r="42" spans="8:21" ht="15" thickBot="1" x14ac:dyDescent="0.35">
      <c r="H42" s="40">
        <v>138</v>
      </c>
      <c r="I42" s="11"/>
      <c r="J42" s="11">
        <v>120.95</v>
      </c>
      <c r="K42" s="31">
        <f t="shared" si="4"/>
        <v>0.74099999999999966</v>
      </c>
      <c r="L42" s="31">
        <f t="shared" si="3"/>
        <v>121.691</v>
      </c>
      <c r="M42" s="38"/>
      <c r="N42" s="11"/>
      <c r="O42" s="11"/>
      <c r="P42" s="11"/>
      <c r="Q42" s="11"/>
      <c r="R42" s="11"/>
      <c r="S42" s="11"/>
      <c r="T42" s="11"/>
      <c r="U42" s="41"/>
    </row>
    <row r="43" spans="8:21" ht="15" thickBot="1" x14ac:dyDescent="0.35">
      <c r="H43" s="40"/>
      <c r="I43" s="11"/>
      <c r="J43" s="11"/>
      <c r="K43" s="31"/>
      <c r="L43" s="31"/>
      <c r="M43" s="38"/>
      <c r="N43" s="11"/>
      <c r="O43" s="11"/>
      <c r="P43" s="11"/>
      <c r="Q43" s="11"/>
      <c r="R43" s="11"/>
      <c r="S43" s="11"/>
      <c r="T43" s="11"/>
      <c r="U43" s="41"/>
    </row>
    <row r="44" spans="8:21" ht="15" thickBot="1" x14ac:dyDescent="0.35">
      <c r="H44" s="40">
        <v>138</v>
      </c>
      <c r="I44" s="11">
        <f>H45-H44</f>
        <v>11</v>
      </c>
      <c r="J44" s="11">
        <v>120.95</v>
      </c>
      <c r="K44" s="31">
        <f t="shared" si="4"/>
        <v>0.74099999999999966</v>
      </c>
      <c r="L44" s="31">
        <f t="shared" si="3"/>
        <v>121.691</v>
      </c>
      <c r="M44" s="38">
        <f t="shared" si="5"/>
        <v>6.1160000000000494</v>
      </c>
      <c r="N44" s="11"/>
      <c r="O44" s="11">
        <f>SQRT((I44)^2+(J45-J44)^2)</f>
        <v>11.006220968161596</v>
      </c>
      <c r="P44" s="11"/>
      <c r="Q44" s="11"/>
      <c r="R44" s="11"/>
      <c r="S44" s="11"/>
      <c r="T44" s="11"/>
      <c r="U44" s="41"/>
    </row>
    <row r="45" spans="8:21" ht="15" thickBot="1" x14ac:dyDescent="0.35">
      <c r="H45" s="40">
        <v>149</v>
      </c>
      <c r="I45" s="11"/>
      <c r="J45" s="11">
        <v>121.32</v>
      </c>
      <c r="K45" s="12">
        <f t="shared" si="4"/>
        <v>0.37100000000000932</v>
      </c>
      <c r="L45" s="31">
        <f t="shared" si="3"/>
        <v>121.691</v>
      </c>
      <c r="M45" s="38"/>
      <c r="N45" s="11"/>
      <c r="O45" s="11"/>
      <c r="P45" s="11"/>
      <c r="Q45" s="11"/>
      <c r="R45" s="11"/>
      <c r="S45" s="11"/>
      <c r="T45" s="11"/>
      <c r="U45" s="41"/>
    </row>
    <row r="46" spans="8:21" ht="15" thickBot="1" x14ac:dyDescent="0.35">
      <c r="H46" s="40"/>
      <c r="I46" s="11"/>
      <c r="J46" s="11"/>
      <c r="K46" s="31"/>
      <c r="L46" s="31"/>
      <c r="M46" s="38"/>
      <c r="N46" s="11"/>
      <c r="O46" s="11"/>
      <c r="P46" s="11"/>
      <c r="Q46" s="11"/>
      <c r="R46" s="11"/>
      <c r="S46" s="11"/>
      <c r="T46" s="11"/>
      <c r="U46" s="41"/>
    </row>
    <row r="47" spans="8:21" ht="15" thickBot="1" x14ac:dyDescent="0.35">
      <c r="H47" s="40">
        <v>149</v>
      </c>
      <c r="I47" s="11">
        <f>H48-H47</f>
        <v>22</v>
      </c>
      <c r="J47" s="11">
        <v>121.32</v>
      </c>
      <c r="K47" s="31">
        <f>121.691-J47</f>
        <v>0.37100000000000932</v>
      </c>
      <c r="L47" s="31">
        <f t="shared" si="3"/>
        <v>121.691</v>
      </c>
      <c r="M47" s="38">
        <f t="shared" si="5"/>
        <v>11.572000000000074</v>
      </c>
      <c r="N47" s="11"/>
      <c r="O47" s="11">
        <f>SQRT((I47)^2+(J47-J48)^2)</f>
        <v>22.002183982505009</v>
      </c>
      <c r="P47" s="11"/>
      <c r="Q47" s="11"/>
      <c r="R47" s="11"/>
      <c r="S47" s="11"/>
      <c r="T47" s="11"/>
      <c r="U47" s="41"/>
    </row>
    <row r="48" spans="8:21" ht="15" thickBot="1" x14ac:dyDescent="0.35">
      <c r="H48" s="40">
        <v>171</v>
      </c>
      <c r="I48" s="11"/>
      <c r="J48" s="11">
        <v>121.01</v>
      </c>
      <c r="K48" s="31">
        <f t="shared" si="4"/>
        <v>0.68099999999999739</v>
      </c>
      <c r="L48" s="31">
        <f t="shared" si="3"/>
        <v>121.691</v>
      </c>
      <c r="M48" s="38"/>
      <c r="N48" s="11"/>
      <c r="O48" s="11"/>
      <c r="P48" s="11"/>
      <c r="Q48" s="11"/>
      <c r="R48" s="11"/>
      <c r="S48" s="11"/>
      <c r="T48" s="11"/>
      <c r="U48" s="41"/>
    </row>
    <row r="49" spans="8:21" ht="15" thickBot="1" x14ac:dyDescent="0.35">
      <c r="H49" s="40"/>
      <c r="I49" s="11"/>
      <c r="J49" s="11"/>
      <c r="K49" s="31"/>
      <c r="L49" s="31"/>
      <c r="M49" s="38"/>
      <c r="N49" s="11"/>
      <c r="O49" s="11"/>
      <c r="P49" s="11"/>
      <c r="Q49" s="11"/>
      <c r="R49" s="11"/>
      <c r="S49" s="11"/>
      <c r="T49" s="11"/>
      <c r="U49" s="41"/>
    </row>
    <row r="50" spans="8:21" ht="15" thickBot="1" x14ac:dyDescent="0.35">
      <c r="H50" s="40">
        <v>171</v>
      </c>
      <c r="I50" s="11">
        <f>H51-H50</f>
        <v>62.86153846154042</v>
      </c>
      <c r="J50" s="11">
        <v>121.01</v>
      </c>
      <c r="K50" s="31">
        <f t="shared" si="4"/>
        <v>0.68099999999999739</v>
      </c>
      <c r="L50" s="31">
        <f t="shared" si="3"/>
        <v>121.691</v>
      </c>
      <c r="M50" s="38">
        <f t="shared" si="5"/>
        <v>21.404353846154432</v>
      </c>
      <c r="N50" s="11"/>
      <c r="O50" s="11">
        <f>SQRT((I50)^2+(J51-J50)^2)</f>
        <v>62.865227103317821</v>
      </c>
      <c r="P50" s="11"/>
      <c r="Q50" s="11"/>
      <c r="R50" s="11"/>
      <c r="S50" s="11"/>
      <c r="T50" s="11"/>
      <c r="U50" s="41"/>
    </row>
    <row r="51" spans="8:21" ht="15" thickBot="1" x14ac:dyDescent="0.35">
      <c r="H51" s="42">
        <v>233.86153846154042</v>
      </c>
      <c r="I51" s="43"/>
      <c r="J51" s="43">
        <v>121.691</v>
      </c>
      <c r="K51" s="31">
        <f t="shared" si="4"/>
        <v>0</v>
      </c>
      <c r="L51" s="54">
        <f t="shared" si="3"/>
        <v>121.691</v>
      </c>
      <c r="M51" s="38"/>
      <c r="N51" s="43"/>
      <c r="O51" s="43"/>
      <c r="P51" s="43"/>
      <c r="Q51" s="43"/>
      <c r="R51" s="43"/>
      <c r="S51" s="43"/>
      <c r="T51" s="43"/>
      <c r="U51" s="44"/>
    </row>
  </sheetData>
  <mergeCells count="2">
    <mergeCell ref="R27:S27"/>
    <mergeCell ref="T27:U2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T40"/>
  <sheetViews>
    <sheetView topLeftCell="A25" workbookViewId="0">
      <selection activeCell="O36" activeCellId="3" sqref="M30 O30 M36 O36"/>
    </sheetView>
  </sheetViews>
  <sheetFormatPr defaultRowHeight="14.4" x14ac:dyDescent="0.3"/>
  <cols>
    <col min="5" max="5" width="12.109375" bestFit="1" customWidth="1"/>
    <col min="6" max="6" width="11.6640625" bestFit="1" customWidth="1"/>
    <col min="14" max="14" width="15.6640625" bestFit="1" customWidth="1"/>
    <col min="15" max="15" width="24" bestFit="1" customWidth="1"/>
  </cols>
  <sheetData>
    <row r="1" spans="1:6" x14ac:dyDescent="0.3">
      <c r="A1" t="s">
        <v>48</v>
      </c>
      <c r="B1" t="s">
        <v>1</v>
      </c>
      <c r="C1" t="s">
        <v>2</v>
      </c>
      <c r="D1" t="s">
        <v>3</v>
      </c>
      <c r="E1" t="s">
        <v>46</v>
      </c>
      <c r="F1" t="s">
        <v>47</v>
      </c>
    </row>
    <row r="2" spans="1:6" x14ac:dyDescent="0.3">
      <c r="A2">
        <v>302</v>
      </c>
      <c r="B2">
        <v>2690970.2050000001</v>
      </c>
      <c r="C2">
        <v>520216.11599999998</v>
      </c>
      <c r="D2">
        <v>0</v>
      </c>
      <c r="E2" s="1">
        <v>0</v>
      </c>
      <c r="F2">
        <v>132.24600000000001</v>
      </c>
    </row>
    <row r="3" spans="1:6" x14ac:dyDescent="0.3">
      <c r="A3">
        <v>303</v>
      </c>
      <c r="B3">
        <v>2690970.1949999998</v>
      </c>
      <c r="C3">
        <v>520216.11900000001</v>
      </c>
      <c r="D3">
        <f>SQRT((C3-C2)^2+(B3-B2)^2)</f>
        <v>1.0440306748335492E-2</v>
      </c>
      <c r="E3" s="1">
        <f>E2+D3</f>
        <v>1.0440306748335492E-2</v>
      </c>
      <c r="F3">
        <v>132.255</v>
      </c>
    </row>
    <row r="4" spans="1:6" x14ac:dyDescent="0.3">
      <c r="A4">
        <v>304</v>
      </c>
      <c r="B4">
        <v>2690967.9759999998</v>
      </c>
      <c r="C4">
        <v>520224.12099999998</v>
      </c>
      <c r="D4">
        <f t="shared" ref="D4:D15" si="0">SQRT((C4-C3)^2+(B4-B3)^2)</f>
        <v>8.3039728443582383</v>
      </c>
      <c r="E4" s="1">
        <f>E3+D4</f>
        <v>8.3144131511065744</v>
      </c>
      <c r="F4">
        <v>132.25399999999999</v>
      </c>
    </row>
    <row r="5" spans="1:6" x14ac:dyDescent="0.3">
      <c r="A5">
        <v>305</v>
      </c>
      <c r="B5">
        <v>2690965.8760000002</v>
      </c>
      <c r="C5">
        <v>520227.47600000002</v>
      </c>
      <c r="D5">
        <f t="shared" si="0"/>
        <v>3.9580329708961455</v>
      </c>
      <c r="E5" s="1">
        <f t="shared" ref="E5:E15" si="1">E4+D5</f>
        <v>12.272446122002719</v>
      </c>
      <c r="F5">
        <v>130.89699999999999</v>
      </c>
    </row>
    <row r="6" spans="1:6" x14ac:dyDescent="0.3">
      <c r="A6">
        <v>306</v>
      </c>
      <c r="B6">
        <v>2690967.1189999999</v>
      </c>
      <c r="C6">
        <v>520231.3</v>
      </c>
      <c r="D6">
        <f t="shared" si="0"/>
        <v>4.0209482711406066</v>
      </c>
      <c r="E6" s="1">
        <f t="shared" si="1"/>
        <v>16.293394393143327</v>
      </c>
      <c r="F6">
        <v>130.43799999999999</v>
      </c>
    </row>
    <row r="7" spans="1:6" x14ac:dyDescent="0.3">
      <c r="A7">
        <v>307</v>
      </c>
      <c r="B7">
        <v>2690967.014</v>
      </c>
      <c r="C7">
        <v>520233.34100000001</v>
      </c>
      <c r="D7">
        <f t="shared" si="0"/>
        <v>2.0436990972509714</v>
      </c>
      <c r="E7" s="1">
        <f t="shared" si="1"/>
        <v>18.337093490394299</v>
      </c>
      <c r="F7">
        <v>129.41200000000001</v>
      </c>
    </row>
    <row r="8" spans="1:6" x14ac:dyDescent="0.3">
      <c r="A8">
        <v>308</v>
      </c>
      <c r="B8">
        <v>2690957.9679999999</v>
      </c>
      <c r="C8">
        <v>520271.99300000002</v>
      </c>
      <c r="D8">
        <f t="shared" si="0"/>
        <v>39.696438379302514</v>
      </c>
      <c r="E8" s="1">
        <f t="shared" si="1"/>
        <v>58.033531869696816</v>
      </c>
      <c r="F8">
        <v>128.84899999999999</v>
      </c>
    </row>
    <row r="9" spans="1:6" x14ac:dyDescent="0.3">
      <c r="A9">
        <v>309</v>
      </c>
      <c r="B9">
        <v>2690956.1290000002</v>
      </c>
      <c r="C9">
        <v>520276.72600000002</v>
      </c>
      <c r="D9">
        <f t="shared" si="0"/>
        <v>5.0777170065807713</v>
      </c>
      <c r="E9" s="1">
        <f t="shared" si="1"/>
        <v>63.111248876277585</v>
      </c>
      <c r="F9">
        <v>128.70400000000001</v>
      </c>
    </row>
    <row r="10" spans="1:6" x14ac:dyDescent="0.3">
      <c r="A10">
        <v>310</v>
      </c>
      <c r="B10">
        <v>2690953.4840000002</v>
      </c>
      <c r="C10">
        <v>520283.592</v>
      </c>
      <c r="D10">
        <f t="shared" si="0"/>
        <v>7.3578516565519028</v>
      </c>
      <c r="E10" s="1">
        <f t="shared" si="1"/>
        <v>70.469100532829486</v>
      </c>
      <c r="F10">
        <v>128.87299999999999</v>
      </c>
    </row>
    <row r="11" spans="1:6" x14ac:dyDescent="0.3">
      <c r="A11">
        <v>311</v>
      </c>
      <c r="B11">
        <v>2690933.3149999999</v>
      </c>
      <c r="C11">
        <v>520318.34899999999</v>
      </c>
      <c r="D11">
        <f t="shared" si="0"/>
        <v>40.185042117783098</v>
      </c>
      <c r="E11" s="1">
        <f t="shared" si="1"/>
        <v>110.65414265061258</v>
      </c>
      <c r="F11">
        <v>129.40799999999999</v>
      </c>
    </row>
    <row r="12" spans="1:6" x14ac:dyDescent="0.3">
      <c r="A12">
        <v>312</v>
      </c>
      <c r="B12">
        <v>2690897.4410000001</v>
      </c>
      <c r="C12">
        <v>520376.84899999999</v>
      </c>
      <c r="D12">
        <f t="shared" si="0"/>
        <v>68.623566476744998</v>
      </c>
      <c r="E12" s="1">
        <f t="shared" si="1"/>
        <v>179.27770912735758</v>
      </c>
      <c r="F12">
        <v>129.29599999999999</v>
      </c>
    </row>
    <row r="13" spans="1:6" x14ac:dyDescent="0.3">
      <c r="A13">
        <v>313</v>
      </c>
      <c r="B13">
        <v>2690876.0010000002</v>
      </c>
      <c r="C13">
        <v>520417.56599999999</v>
      </c>
      <c r="D13">
        <f t="shared" si="0"/>
        <v>46.016819631499359</v>
      </c>
      <c r="E13" s="1">
        <f t="shared" si="1"/>
        <v>225.29452875885693</v>
      </c>
      <c r="F13">
        <v>129.38999999999999</v>
      </c>
    </row>
    <row r="14" spans="1:6" x14ac:dyDescent="0.3">
      <c r="A14">
        <v>314</v>
      </c>
      <c r="B14">
        <v>2690872.3420000002</v>
      </c>
      <c r="C14">
        <v>520432.62699999998</v>
      </c>
      <c r="D14">
        <f t="shared" si="0"/>
        <v>15.499096812379044</v>
      </c>
      <c r="E14" s="1">
        <f t="shared" si="1"/>
        <v>240.79362557123596</v>
      </c>
      <c r="F14">
        <v>129.60400000000001</v>
      </c>
    </row>
    <row r="15" spans="1:6" x14ac:dyDescent="0.3">
      <c r="A15">
        <v>315</v>
      </c>
      <c r="B15">
        <v>2690872.5610000002</v>
      </c>
      <c r="C15">
        <v>520438.397</v>
      </c>
      <c r="D15">
        <f t="shared" si="0"/>
        <v>5.7741545701715413</v>
      </c>
      <c r="E15" s="1">
        <f t="shared" si="1"/>
        <v>246.5677801414075</v>
      </c>
      <c r="F15">
        <v>130.916</v>
      </c>
    </row>
    <row r="16" spans="1:6" x14ac:dyDescent="0.3">
      <c r="D16">
        <f>SUM(D2:D15)</f>
        <v>246.5677801414075</v>
      </c>
    </row>
    <row r="17" spans="3:20" x14ac:dyDescent="0.3">
      <c r="C17" s="2" t="s">
        <v>6</v>
      </c>
      <c r="D17" s="2" t="s">
        <v>50</v>
      </c>
    </row>
    <row r="24" spans="3:20" x14ac:dyDescent="0.3">
      <c r="P24" t="s">
        <v>59</v>
      </c>
    </row>
    <row r="25" spans="3:20" x14ac:dyDescent="0.3">
      <c r="P25" t="s">
        <v>60</v>
      </c>
    </row>
    <row r="26" spans="3:20" x14ac:dyDescent="0.3">
      <c r="P26" t="s">
        <v>70</v>
      </c>
    </row>
    <row r="28" spans="3:20" x14ac:dyDescent="0.3">
      <c r="Q28" s="83" t="s">
        <v>55</v>
      </c>
      <c r="R28" s="84"/>
      <c r="S28" s="85" t="s">
        <v>56</v>
      </c>
      <c r="T28" s="85"/>
    </row>
    <row r="29" spans="3:20" ht="15" thickBot="1" x14ac:dyDescent="0.35">
      <c r="G29" t="s">
        <v>21</v>
      </c>
      <c r="H29" t="s">
        <v>22</v>
      </c>
      <c r="I29" t="s">
        <v>5</v>
      </c>
      <c r="J29" t="s">
        <v>19</v>
      </c>
      <c r="K29" s="4" t="s">
        <v>103</v>
      </c>
      <c r="L29" t="s">
        <v>20</v>
      </c>
      <c r="M29" s="6" t="s">
        <v>23</v>
      </c>
      <c r="N29" s="3" t="s">
        <v>24</v>
      </c>
      <c r="O29" s="3" t="s">
        <v>51</v>
      </c>
      <c r="P29" s="10" t="s">
        <v>54</v>
      </c>
      <c r="Q29" s="29" t="s">
        <v>58</v>
      </c>
      <c r="R29" s="29" t="s">
        <v>57</v>
      </c>
      <c r="S29" s="30" t="s">
        <v>58</v>
      </c>
      <c r="T29" s="30" t="s">
        <v>57</v>
      </c>
    </row>
    <row r="30" spans="3:20" x14ac:dyDescent="0.3">
      <c r="F30" s="36" t="s">
        <v>7</v>
      </c>
      <c r="G30" s="38">
        <v>55.413793103447382</v>
      </c>
      <c r="H30" s="38">
        <f>G31-G30</f>
        <v>7.5862068965526177</v>
      </c>
      <c r="I30" s="38">
        <v>128.92400000000001</v>
      </c>
      <c r="J30" s="38">
        <f>128.924-I30</f>
        <v>0</v>
      </c>
      <c r="K30" s="48">
        <f>SUM(I30:J30)</f>
        <v>128.92400000000001</v>
      </c>
      <c r="L30" s="38">
        <f>1/2*H30*J31</f>
        <v>0.83448275862078791</v>
      </c>
      <c r="M30" s="38">
        <f>L30+L33</f>
        <v>1.8368496225262092</v>
      </c>
      <c r="N30" s="38">
        <f>SQRT((H30)^2+(I30-I31)^2)</f>
        <v>7.5893962261369978</v>
      </c>
      <c r="O30" s="38">
        <f>N30+N33</f>
        <v>16.704477589050224</v>
      </c>
      <c r="P30" s="38">
        <f>M30/O30</f>
        <v>0.10996151257853541</v>
      </c>
      <c r="Q30" s="38">
        <f>(1/0.035)*(P30)^(2/3)*(0.03)^(1/2)</f>
        <v>1.1358466978577388</v>
      </c>
      <c r="R30" s="38">
        <f>M30*Q30</f>
        <v>2.0863795782076289</v>
      </c>
      <c r="S30" s="38">
        <v>0.42</v>
      </c>
      <c r="T30" s="39">
        <f>M30*S30</f>
        <v>0.77147684146100781</v>
      </c>
    </row>
    <row r="31" spans="3:20" x14ac:dyDescent="0.3">
      <c r="F31" s="40"/>
      <c r="G31" s="11">
        <v>63</v>
      </c>
      <c r="H31" s="11"/>
      <c r="I31" s="11">
        <v>128.70400000000001</v>
      </c>
      <c r="J31" s="11">
        <v>0.22</v>
      </c>
      <c r="K31" s="31">
        <f t="shared" ref="K31:K40" si="2">SUM(I31:J31)</f>
        <v>128.92400000000001</v>
      </c>
      <c r="L31" s="11"/>
      <c r="M31" s="11"/>
      <c r="N31" s="11"/>
      <c r="O31" s="11"/>
      <c r="P31" s="11"/>
      <c r="Q31" s="11"/>
      <c r="R31" s="11"/>
      <c r="S31" s="11"/>
      <c r="T31" s="41"/>
    </row>
    <row r="32" spans="3:20" x14ac:dyDescent="0.3">
      <c r="F32" s="40"/>
      <c r="G32" s="11"/>
      <c r="H32" s="11"/>
      <c r="I32" s="11"/>
      <c r="J32" s="11"/>
      <c r="K32" s="31"/>
      <c r="L32" s="11"/>
      <c r="M32" s="11"/>
      <c r="N32" s="11"/>
      <c r="O32" s="11"/>
      <c r="P32" s="11"/>
      <c r="Q32" s="11"/>
      <c r="R32" s="11"/>
      <c r="S32" s="11"/>
      <c r="T32" s="41"/>
    </row>
    <row r="33" spans="6:20" x14ac:dyDescent="0.3">
      <c r="F33" s="40" t="s">
        <v>8</v>
      </c>
      <c r="G33" s="11">
        <v>63</v>
      </c>
      <c r="H33" s="11">
        <f>G34-G33</f>
        <v>9.1124260355038302</v>
      </c>
      <c r="I33" s="11">
        <v>128.70400000000001</v>
      </c>
      <c r="J33" s="11">
        <v>0.22</v>
      </c>
      <c r="K33" s="31">
        <f t="shared" si="2"/>
        <v>128.92400000000001</v>
      </c>
      <c r="L33" s="11">
        <f>1/2*H33*J33</f>
        <v>1.0023668639054213</v>
      </c>
      <c r="M33" s="11"/>
      <c r="N33" s="11">
        <f>SQRT((H33)^2+(I34-I33)^2)</f>
        <v>9.1150813629132266</v>
      </c>
      <c r="O33" s="11"/>
      <c r="P33" s="11"/>
      <c r="Q33" s="11"/>
      <c r="R33" s="11"/>
      <c r="S33" s="11"/>
      <c r="T33" s="41"/>
    </row>
    <row r="34" spans="6:20" ht="15" thickBot="1" x14ac:dyDescent="0.35">
      <c r="F34" s="42"/>
      <c r="G34" s="43">
        <v>72.11242603550383</v>
      </c>
      <c r="H34" s="43"/>
      <c r="I34" s="43">
        <v>128.92400000000001</v>
      </c>
      <c r="J34" s="43">
        <f>128.924-I34</f>
        <v>0</v>
      </c>
      <c r="K34" s="54">
        <f t="shared" si="2"/>
        <v>128.92400000000001</v>
      </c>
      <c r="L34" s="43"/>
      <c r="M34" s="43"/>
      <c r="N34" s="43"/>
      <c r="O34" s="43"/>
      <c r="P34" s="43"/>
      <c r="Q34" s="43"/>
      <c r="R34" s="43"/>
      <c r="S34" s="43"/>
      <c r="T34" s="44"/>
    </row>
    <row r="35" spans="6:20" ht="15" thickBot="1" x14ac:dyDescent="0.35">
      <c r="K35" s="4"/>
    </row>
    <row r="36" spans="6:20" x14ac:dyDescent="0.3">
      <c r="F36" s="36" t="s">
        <v>9</v>
      </c>
      <c r="G36" s="38">
        <v>111</v>
      </c>
      <c r="H36" s="38">
        <f>G37-G36</f>
        <v>68</v>
      </c>
      <c r="I36" s="38">
        <v>129.48599999999999</v>
      </c>
      <c r="J36" s="38">
        <f>129.486-I36</f>
        <v>0</v>
      </c>
      <c r="K36" s="48">
        <f t="shared" si="2"/>
        <v>129.48599999999999</v>
      </c>
      <c r="L36" s="38">
        <f>1/2*H36*J37</f>
        <v>6.46</v>
      </c>
      <c r="M36" s="38">
        <f>L36+L39</f>
        <v>10.83</v>
      </c>
      <c r="N36" s="38">
        <f>SQRT((H36)^2+(I36-I37)^2)</f>
        <v>68.000265440658396</v>
      </c>
      <c r="O36" s="38">
        <f>N36+N39</f>
        <v>114.00065783028916</v>
      </c>
      <c r="P36" s="38">
        <f>M36/O36</f>
        <v>9.4999451811255659E-2</v>
      </c>
      <c r="Q36" s="38"/>
      <c r="R36" s="38"/>
      <c r="S36" s="38"/>
      <c r="T36" s="39"/>
    </row>
    <row r="37" spans="6:20" x14ac:dyDescent="0.3">
      <c r="F37" s="40"/>
      <c r="G37" s="11">
        <v>179</v>
      </c>
      <c r="H37" s="11"/>
      <c r="I37" s="11">
        <v>129.29599999999999</v>
      </c>
      <c r="J37" s="11">
        <v>0.19</v>
      </c>
      <c r="K37" s="31">
        <f t="shared" si="2"/>
        <v>129.48599999999999</v>
      </c>
      <c r="L37" s="11"/>
      <c r="M37" s="11"/>
      <c r="N37" s="11"/>
      <c r="O37" s="11"/>
      <c r="P37" s="11"/>
      <c r="Q37" s="11"/>
      <c r="R37" s="11"/>
      <c r="S37" s="11"/>
      <c r="T37" s="41"/>
    </row>
    <row r="38" spans="6:20" x14ac:dyDescent="0.3">
      <c r="F38" s="40"/>
      <c r="G38" s="11"/>
      <c r="H38" s="11"/>
      <c r="I38" s="11"/>
      <c r="J38" s="11"/>
      <c r="K38" s="31"/>
      <c r="L38" s="11"/>
      <c r="M38" s="11"/>
      <c r="N38" s="11"/>
      <c r="O38" s="11"/>
      <c r="P38" s="11"/>
      <c r="Q38" s="11"/>
      <c r="R38" s="11"/>
      <c r="S38" s="11"/>
      <c r="T38" s="41"/>
    </row>
    <row r="39" spans="6:20" x14ac:dyDescent="0.3">
      <c r="F39" s="40" t="s">
        <v>10</v>
      </c>
      <c r="G39" s="11">
        <v>179</v>
      </c>
      <c r="H39" s="11">
        <f>G40-G39</f>
        <v>46</v>
      </c>
      <c r="I39" s="11">
        <v>129.29599999999999</v>
      </c>
      <c r="J39" s="11">
        <v>0.19</v>
      </c>
      <c r="K39" s="31">
        <f t="shared" si="2"/>
        <v>129.48599999999999</v>
      </c>
      <c r="L39" s="11">
        <f>1/2*H39*J39</f>
        <v>4.37</v>
      </c>
      <c r="M39" s="11"/>
      <c r="N39" s="11">
        <f>SQRT((H39)^2+(I40-I39)^2)</f>
        <v>46.000392389630761</v>
      </c>
      <c r="O39" s="11"/>
      <c r="P39" s="11"/>
      <c r="Q39" s="11"/>
      <c r="R39" s="11"/>
      <c r="S39" s="11"/>
      <c r="T39" s="41"/>
    </row>
    <row r="40" spans="6:20" ht="15" thickBot="1" x14ac:dyDescent="0.35">
      <c r="F40" s="42"/>
      <c r="G40" s="43">
        <v>225</v>
      </c>
      <c r="H40" s="43"/>
      <c r="I40" s="43">
        <v>129.48599999999999</v>
      </c>
      <c r="J40" s="43">
        <f>129.486-I40</f>
        <v>0</v>
      </c>
      <c r="K40" s="54">
        <f t="shared" si="2"/>
        <v>129.48599999999999</v>
      </c>
      <c r="L40" s="43"/>
      <c r="M40" s="43"/>
      <c r="N40" s="43"/>
      <c r="O40" s="43"/>
      <c r="P40" s="43"/>
      <c r="Q40" s="43"/>
      <c r="R40" s="43"/>
      <c r="S40" s="43"/>
      <c r="T40" s="44"/>
    </row>
  </sheetData>
  <mergeCells count="2">
    <mergeCell ref="Q28:R28"/>
    <mergeCell ref="S28:T2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T32"/>
  <sheetViews>
    <sheetView topLeftCell="A13" zoomScale="102" zoomScaleNormal="102" workbookViewId="0">
      <selection activeCell="O28" activeCellId="1" sqref="M28 O28"/>
    </sheetView>
  </sheetViews>
  <sheetFormatPr defaultRowHeight="14.4" x14ac:dyDescent="0.3"/>
  <cols>
    <col min="1" max="1" width="7.21875" bestFit="1" customWidth="1"/>
    <col min="2" max="2" width="12" bestFit="1" customWidth="1"/>
    <col min="3" max="3" width="11" bestFit="1" customWidth="1"/>
    <col min="4" max="4" width="12" bestFit="1" customWidth="1"/>
    <col min="5" max="5" width="13.5546875" customWidth="1"/>
    <col min="6" max="6" width="8.5546875" bestFit="1" customWidth="1"/>
  </cols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347</v>
      </c>
      <c r="B2">
        <v>2694535.4079999998</v>
      </c>
      <c r="C2">
        <v>517983.777</v>
      </c>
      <c r="D2">
        <v>0</v>
      </c>
      <c r="E2" s="1">
        <v>0</v>
      </c>
      <c r="F2">
        <v>139.36199999999999</v>
      </c>
    </row>
    <row r="3" spans="1:6" x14ac:dyDescent="0.3">
      <c r="A3">
        <v>348</v>
      </c>
      <c r="B3">
        <v>2694536.6779999998</v>
      </c>
      <c r="C3">
        <v>517984.36700000003</v>
      </c>
      <c r="D3">
        <f>SQRT((C3-C2)^2+(B3-B2)^2)</f>
        <v>1.4003570973425075</v>
      </c>
      <c r="E3" s="1">
        <f>E2+D3</f>
        <v>1.4003570973425075</v>
      </c>
      <c r="F3">
        <v>139.36099999999999</v>
      </c>
    </row>
    <row r="4" spans="1:6" x14ac:dyDescent="0.3">
      <c r="A4">
        <v>349</v>
      </c>
      <c r="B4">
        <v>2694537.611</v>
      </c>
      <c r="C4">
        <v>517986.82400000002</v>
      </c>
      <c r="D4">
        <f t="shared" ref="D4:D15" si="0">SQRT((C4-C3)^2+(B4-B3)^2)</f>
        <v>2.6281815006457037</v>
      </c>
      <c r="E4" s="1">
        <f>E3+D4</f>
        <v>4.0285385979882111</v>
      </c>
      <c r="F4">
        <v>138.01599999999999</v>
      </c>
    </row>
    <row r="5" spans="1:6" x14ac:dyDescent="0.3">
      <c r="A5">
        <v>350</v>
      </c>
      <c r="B5">
        <v>2694535.19</v>
      </c>
      <c r="C5">
        <v>517992.30499999999</v>
      </c>
      <c r="D5">
        <f t="shared" si="0"/>
        <v>5.9918780027726966</v>
      </c>
      <c r="E5" s="1">
        <f t="shared" ref="E5:E15" si="1">E4+D5</f>
        <v>10.020416600760907</v>
      </c>
      <c r="F5">
        <v>136.46799999999999</v>
      </c>
    </row>
    <row r="6" spans="1:6" x14ac:dyDescent="0.3">
      <c r="A6">
        <v>351</v>
      </c>
      <c r="B6">
        <v>2694535.8429999999</v>
      </c>
      <c r="C6">
        <v>517996.78899999999</v>
      </c>
      <c r="D6">
        <f t="shared" si="0"/>
        <v>4.5312983790391899</v>
      </c>
      <c r="E6" s="1">
        <f t="shared" si="1"/>
        <v>14.551714979800096</v>
      </c>
      <c r="F6">
        <v>135.43700000000001</v>
      </c>
    </row>
    <row r="7" spans="1:6" x14ac:dyDescent="0.3">
      <c r="A7">
        <v>352</v>
      </c>
      <c r="B7">
        <v>2694539.0180000002</v>
      </c>
      <c r="C7">
        <v>518013.15700000001</v>
      </c>
      <c r="D7">
        <f t="shared" si="0"/>
        <v>16.673093564252646</v>
      </c>
      <c r="E7" s="1">
        <f t="shared" si="1"/>
        <v>31.224808544052742</v>
      </c>
      <c r="F7">
        <v>135.46700000000001</v>
      </c>
    </row>
    <row r="8" spans="1:6" x14ac:dyDescent="0.3">
      <c r="A8">
        <v>353</v>
      </c>
      <c r="B8">
        <v>2694543.4840000002</v>
      </c>
      <c r="C8">
        <v>518027.23499999999</v>
      </c>
      <c r="D8">
        <f t="shared" si="0"/>
        <v>14.769402154439298</v>
      </c>
      <c r="E8" s="1">
        <f t="shared" si="1"/>
        <v>45.99421069849204</v>
      </c>
      <c r="F8">
        <v>134.94300000000001</v>
      </c>
    </row>
    <row r="9" spans="1:6" x14ac:dyDescent="0.3">
      <c r="A9">
        <v>354</v>
      </c>
      <c r="B9">
        <v>2694552.0529999998</v>
      </c>
      <c r="C9">
        <v>518047.277</v>
      </c>
      <c r="D9">
        <f t="shared" si="0"/>
        <v>21.797007248586961</v>
      </c>
      <c r="E9" s="1">
        <f t="shared" si="1"/>
        <v>67.791217947079005</v>
      </c>
      <c r="F9">
        <v>135.00800000000001</v>
      </c>
    </row>
    <row r="10" spans="1:6" x14ac:dyDescent="0.3">
      <c r="A10">
        <v>355</v>
      </c>
      <c r="B10">
        <v>2694566.0970000001</v>
      </c>
      <c r="C10">
        <v>518062.47399999999</v>
      </c>
      <c r="D10">
        <f t="shared" si="0"/>
        <v>20.692577050864013</v>
      </c>
      <c r="E10" s="1">
        <f t="shared" si="1"/>
        <v>88.483794997943022</v>
      </c>
      <c r="F10">
        <v>134.88300000000001</v>
      </c>
    </row>
    <row r="11" spans="1:6" x14ac:dyDescent="0.3">
      <c r="A11">
        <v>356</v>
      </c>
      <c r="B11">
        <v>2694574.872</v>
      </c>
      <c r="C11">
        <v>518076.00300000003</v>
      </c>
      <c r="D11">
        <f t="shared" si="0"/>
        <v>16.125584206453151</v>
      </c>
      <c r="E11" s="1">
        <f t="shared" si="1"/>
        <v>104.60937920439618</v>
      </c>
      <c r="F11">
        <v>134.822</v>
      </c>
    </row>
    <row r="12" spans="1:6" x14ac:dyDescent="0.3">
      <c r="A12">
        <v>357</v>
      </c>
      <c r="B12">
        <v>2694585.3280000002</v>
      </c>
      <c r="C12">
        <v>518098.99400000001</v>
      </c>
      <c r="D12">
        <f t="shared" si="0"/>
        <v>25.256959773576572</v>
      </c>
      <c r="E12" s="1">
        <f t="shared" si="1"/>
        <v>129.86633897797276</v>
      </c>
      <c r="F12">
        <v>134.91399999999999</v>
      </c>
    </row>
    <row r="13" spans="1:6" x14ac:dyDescent="0.3">
      <c r="A13">
        <v>358</v>
      </c>
      <c r="B13">
        <v>2694587.34</v>
      </c>
      <c r="C13">
        <v>518108.75599999999</v>
      </c>
      <c r="D13">
        <f t="shared" si="0"/>
        <v>9.9671855605436352</v>
      </c>
      <c r="E13" s="1">
        <f t="shared" si="1"/>
        <v>139.8335245385164</v>
      </c>
      <c r="F13">
        <v>135.71899999999999</v>
      </c>
    </row>
    <row r="14" spans="1:6" x14ac:dyDescent="0.3">
      <c r="A14">
        <v>359</v>
      </c>
      <c r="B14">
        <v>2694589.0469999998</v>
      </c>
      <c r="C14">
        <v>518111.57500000001</v>
      </c>
      <c r="D14">
        <f t="shared" si="0"/>
        <v>3.2955439611517181</v>
      </c>
      <c r="E14" s="1">
        <f t="shared" si="1"/>
        <v>143.12906849966811</v>
      </c>
      <c r="F14">
        <v>136.911</v>
      </c>
    </row>
    <row r="15" spans="1:6" x14ac:dyDescent="0.3">
      <c r="A15">
        <v>360</v>
      </c>
      <c r="B15">
        <v>2694590.95</v>
      </c>
      <c r="C15">
        <v>518114.74699999997</v>
      </c>
      <c r="D15">
        <f t="shared" si="0"/>
        <v>3.6990529870870743</v>
      </c>
      <c r="E15" s="1">
        <f t="shared" si="1"/>
        <v>146.82812148675518</v>
      </c>
      <c r="F15">
        <v>137.81200000000001</v>
      </c>
    </row>
    <row r="16" spans="1:6" x14ac:dyDescent="0.3">
      <c r="D16">
        <f>SUM(D2:D15)</f>
        <v>146.82812148675518</v>
      </c>
    </row>
    <row r="17" spans="3:20" x14ac:dyDescent="0.3">
      <c r="C17" s="2" t="s">
        <v>6</v>
      </c>
      <c r="D17" s="2">
        <v>146.83000000000001</v>
      </c>
    </row>
    <row r="22" spans="3:20" x14ac:dyDescent="0.3">
      <c r="P22" t="s">
        <v>59</v>
      </c>
    </row>
    <row r="23" spans="3:20" x14ac:dyDescent="0.3">
      <c r="P23" t="s">
        <v>60</v>
      </c>
    </row>
    <row r="24" spans="3:20" x14ac:dyDescent="0.3">
      <c r="P24" t="s">
        <v>71</v>
      </c>
    </row>
    <row r="26" spans="3:20" x14ac:dyDescent="0.3">
      <c r="Q26" s="83" t="s">
        <v>55</v>
      </c>
      <c r="R26" s="84"/>
      <c r="S26" s="85" t="s">
        <v>56</v>
      </c>
      <c r="T26" s="85"/>
    </row>
    <row r="27" spans="3:20" x14ac:dyDescent="0.3">
      <c r="G27" t="s">
        <v>21</v>
      </c>
      <c r="H27" t="s">
        <v>22</v>
      </c>
      <c r="I27" t="s">
        <v>5</v>
      </c>
      <c r="J27" t="s">
        <v>19</v>
      </c>
      <c r="K27" t="s">
        <v>103</v>
      </c>
      <c r="L27" t="s">
        <v>20</v>
      </c>
      <c r="M27" s="6" t="s">
        <v>23</v>
      </c>
      <c r="N27" s="3" t="s">
        <v>24</v>
      </c>
      <c r="O27" s="3" t="s">
        <v>51</v>
      </c>
      <c r="P27" s="10" t="s">
        <v>54</v>
      </c>
      <c r="Q27" s="8" t="s">
        <v>58</v>
      </c>
      <c r="R27" s="8" t="s">
        <v>57</v>
      </c>
      <c r="S27" s="9" t="s">
        <v>58</v>
      </c>
      <c r="T27" s="9" t="s">
        <v>57</v>
      </c>
    </row>
    <row r="28" spans="3:20" x14ac:dyDescent="0.3">
      <c r="F28" t="s">
        <v>7</v>
      </c>
      <c r="G28">
        <v>52.049180327875604</v>
      </c>
      <c r="H28">
        <f>G29-G28</f>
        <v>52.950819672124396</v>
      </c>
      <c r="I28">
        <v>135.012</v>
      </c>
      <c r="J28">
        <f>135.012-I28</f>
        <v>0</v>
      </c>
      <c r="K28" s="4">
        <v>135.012</v>
      </c>
      <c r="L28">
        <f>1/2*H28*J29</f>
        <v>5.0303278688517574</v>
      </c>
      <c r="M28">
        <f>L28+L31</f>
        <v>9.9352191732003501</v>
      </c>
      <c r="N28">
        <f>SQRT((H28)^2+(I28-I29)^2)</f>
        <v>52.951160553380092</v>
      </c>
      <c r="O28">
        <f>N31+N28</f>
        <v>104.58194493481325</v>
      </c>
      <c r="P28">
        <f>L28/O28</f>
        <v>4.809939107545954E-2</v>
      </c>
      <c r="Q28">
        <f>(1/0.035)*(P28)^(2/3)*(0.012)^(1/2)</f>
        <v>0.41395102685531776</v>
      </c>
      <c r="R28">
        <f>M28*Q28</f>
        <v>4.1126941787789262</v>
      </c>
      <c r="S28">
        <v>0.2</v>
      </c>
      <c r="T28">
        <f>M28*S28</f>
        <v>1.9870438346400701</v>
      </c>
    </row>
    <row r="29" spans="3:20" x14ac:dyDescent="0.3">
      <c r="G29">
        <v>105</v>
      </c>
      <c r="I29">
        <v>134.822</v>
      </c>
      <c r="J29">
        <f>135.012-I29</f>
        <v>0.18999999999999773</v>
      </c>
      <c r="K29" s="4">
        <f t="shared" ref="K29:K32" si="2">SUM(I29+J29)</f>
        <v>135.012</v>
      </c>
    </row>
    <row r="30" spans="3:20" x14ac:dyDescent="0.3">
      <c r="K30" s="4"/>
    </row>
    <row r="31" spans="3:20" x14ac:dyDescent="0.3">
      <c r="F31" t="s">
        <v>8</v>
      </c>
      <c r="G31">
        <v>105</v>
      </c>
      <c r="H31">
        <f>G32-G31</f>
        <v>51.63043478261676</v>
      </c>
      <c r="I31">
        <v>134.822</v>
      </c>
      <c r="J31">
        <f t="shared" ref="J31:J32" si="3">135.012-I31</f>
        <v>0.18999999999999773</v>
      </c>
      <c r="K31" s="4">
        <f t="shared" si="2"/>
        <v>135.012</v>
      </c>
      <c r="L31">
        <f>1/2*H31*0.19</f>
        <v>4.9048913043485927</v>
      </c>
      <c r="N31">
        <f>SQRT((H31)^2+(I32-I31)^2)</f>
        <v>51.630784381433159</v>
      </c>
    </row>
    <row r="32" spans="3:20" x14ac:dyDescent="0.3">
      <c r="G32">
        <v>156.63043478261676</v>
      </c>
      <c r="I32">
        <v>135.012</v>
      </c>
      <c r="J32">
        <f t="shared" si="3"/>
        <v>0</v>
      </c>
      <c r="K32" s="4">
        <f t="shared" si="2"/>
        <v>135.012</v>
      </c>
    </row>
  </sheetData>
  <mergeCells count="2">
    <mergeCell ref="Q26:R26"/>
    <mergeCell ref="S26:T2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R44"/>
  <sheetViews>
    <sheetView topLeftCell="A25" workbookViewId="0">
      <selection activeCell="B43" sqref="B43"/>
    </sheetView>
  </sheetViews>
  <sheetFormatPr defaultRowHeight="14.4" x14ac:dyDescent="0.3"/>
  <cols>
    <col min="4" max="4" width="12" bestFit="1" customWidth="1"/>
    <col min="5" max="5" width="21" bestFit="1" customWidth="1"/>
    <col min="11" max="11" width="15.88671875" bestFit="1" customWidth="1"/>
    <col min="12" max="12" width="15.6640625" bestFit="1" customWidth="1"/>
    <col min="13" max="13" width="18" customWidth="1"/>
  </cols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361</v>
      </c>
      <c r="B2">
        <v>2702534.6579999998</v>
      </c>
      <c r="C2">
        <v>514428.26500000001</v>
      </c>
      <c r="D2">
        <v>0</v>
      </c>
      <c r="E2" s="1">
        <v>0</v>
      </c>
      <c r="F2">
        <v>151.40799999999999</v>
      </c>
    </row>
    <row r="3" spans="1:6" x14ac:dyDescent="0.3">
      <c r="A3">
        <v>362</v>
      </c>
      <c r="B3">
        <v>2702534.6460000002</v>
      </c>
      <c r="C3">
        <v>514428.35399999999</v>
      </c>
      <c r="D3">
        <f>SQRT((C3-C2)^2+(B3-B2)^2)</f>
        <v>8.9805344982533203E-2</v>
      </c>
      <c r="E3" s="1">
        <f>E2+D3</f>
        <v>8.9805344982533203E-2</v>
      </c>
      <c r="F3">
        <v>151.47900000000001</v>
      </c>
    </row>
    <row r="4" spans="1:6" x14ac:dyDescent="0.3">
      <c r="A4">
        <v>363</v>
      </c>
      <c r="B4">
        <v>2702534.7069999999</v>
      </c>
      <c r="C4">
        <v>514431.929</v>
      </c>
      <c r="D4">
        <f t="shared" ref="D4:D13" si="0">SQRT((C4-C3)^2+(B4-B3)^2)</f>
        <v>3.5755203817141417</v>
      </c>
      <c r="E4" s="1">
        <f>E3+D4</f>
        <v>3.665325726696675</v>
      </c>
      <c r="F4">
        <v>147.31399999999999</v>
      </c>
    </row>
    <row r="5" spans="1:6" x14ac:dyDescent="0.3">
      <c r="A5">
        <v>364</v>
      </c>
      <c r="B5">
        <v>2702542.6910000001</v>
      </c>
      <c r="C5">
        <v>514443.57799999998</v>
      </c>
      <c r="D5">
        <f t="shared" si="0"/>
        <v>14.122445149554386</v>
      </c>
      <c r="E5" s="1">
        <f t="shared" ref="E5:E13" si="1">E4+D5</f>
        <v>17.787770876251059</v>
      </c>
      <c r="F5">
        <v>147.191</v>
      </c>
    </row>
    <row r="6" spans="1:6" x14ac:dyDescent="0.3">
      <c r="A6">
        <v>365</v>
      </c>
      <c r="B6">
        <v>2702553.4389999998</v>
      </c>
      <c r="C6">
        <v>514459.36099999998</v>
      </c>
      <c r="D6">
        <f t="shared" si="0"/>
        <v>19.095093427182302</v>
      </c>
      <c r="E6" s="1">
        <f t="shared" si="1"/>
        <v>36.882864303433365</v>
      </c>
      <c r="F6">
        <v>147.59200000000001</v>
      </c>
    </row>
    <row r="7" spans="1:6" x14ac:dyDescent="0.3">
      <c r="A7">
        <v>366</v>
      </c>
      <c r="B7">
        <v>2702561.0359999998</v>
      </c>
      <c r="C7">
        <v>514474.69900000002</v>
      </c>
      <c r="D7">
        <f t="shared" si="0"/>
        <v>17.116327088556748</v>
      </c>
      <c r="E7" s="1">
        <f t="shared" si="1"/>
        <v>53.999191391990109</v>
      </c>
      <c r="F7">
        <v>148.59299999999999</v>
      </c>
    </row>
    <row r="8" spans="1:6" x14ac:dyDescent="0.3">
      <c r="A8">
        <v>367</v>
      </c>
      <c r="B8">
        <v>2702562.02</v>
      </c>
      <c r="C8">
        <v>514477.65100000001</v>
      </c>
      <c r="D8">
        <f t="shared" si="0"/>
        <v>3.1116812176505979</v>
      </c>
      <c r="E8" s="1">
        <f t="shared" si="1"/>
        <v>57.110872609640708</v>
      </c>
      <c r="F8">
        <v>148.334</v>
      </c>
    </row>
    <row r="9" spans="1:6" x14ac:dyDescent="0.3">
      <c r="A9">
        <v>368</v>
      </c>
      <c r="B9">
        <v>2702566.5269999998</v>
      </c>
      <c r="C9">
        <v>514485.60499999998</v>
      </c>
      <c r="D9">
        <f t="shared" si="0"/>
        <v>9.1421641309513717</v>
      </c>
      <c r="E9" s="1">
        <f t="shared" si="1"/>
        <v>66.25303674059208</v>
      </c>
      <c r="F9">
        <v>148.078</v>
      </c>
    </row>
    <row r="10" spans="1:6" x14ac:dyDescent="0.3">
      <c r="A10">
        <v>369</v>
      </c>
      <c r="B10">
        <v>2702568.5350000001</v>
      </c>
      <c r="C10">
        <v>514496.10600000003</v>
      </c>
      <c r="D10">
        <f t="shared" si="0"/>
        <v>10.691261151170311</v>
      </c>
      <c r="E10" s="1">
        <f t="shared" si="1"/>
        <v>76.944297891762389</v>
      </c>
      <c r="F10">
        <v>148.05500000000001</v>
      </c>
    </row>
    <row r="11" spans="1:6" x14ac:dyDescent="0.3">
      <c r="A11">
        <v>370</v>
      </c>
      <c r="B11">
        <v>2702565.0060000001</v>
      </c>
      <c r="C11">
        <v>514500.109</v>
      </c>
      <c r="D11">
        <f t="shared" si="0"/>
        <v>5.3364641852472303</v>
      </c>
      <c r="E11" s="1">
        <f t="shared" si="1"/>
        <v>82.280762077009626</v>
      </c>
      <c r="F11">
        <v>149.10300000000001</v>
      </c>
    </row>
    <row r="12" spans="1:6" x14ac:dyDescent="0.3">
      <c r="A12">
        <v>371</v>
      </c>
      <c r="B12">
        <v>2702568.452</v>
      </c>
      <c r="C12">
        <v>514500.81</v>
      </c>
      <c r="D12">
        <f t="shared" si="0"/>
        <v>3.5165774554210563</v>
      </c>
      <c r="E12" s="1">
        <f t="shared" si="1"/>
        <v>85.797339532430684</v>
      </c>
      <c r="F12">
        <v>150.767</v>
      </c>
    </row>
    <row r="13" spans="1:6" x14ac:dyDescent="0.3">
      <c r="A13">
        <v>372</v>
      </c>
      <c r="B13">
        <v>2702569.4789999998</v>
      </c>
      <c r="C13">
        <v>514502.89399999997</v>
      </c>
      <c r="D13">
        <f t="shared" si="0"/>
        <v>2.3233133665984367</v>
      </c>
      <c r="E13" s="1">
        <f t="shared" si="1"/>
        <v>88.120652899029125</v>
      </c>
      <c r="F13">
        <v>151.28399999999999</v>
      </c>
    </row>
    <row r="14" spans="1:6" x14ac:dyDescent="0.3">
      <c r="D14">
        <f>SUM(D2:D13)</f>
        <v>88.120652899029125</v>
      </c>
    </row>
    <row r="23" spans="5:18" x14ac:dyDescent="0.3">
      <c r="N23" t="s">
        <v>59</v>
      </c>
    </row>
    <row r="24" spans="5:18" x14ac:dyDescent="0.3">
      <c r="N24" t="s">
        <v>60</v>
      </c>
    </row>
    <row r="25" spans="5:18" x14ac:dyDescent="0.3">
      <c r="N25" t="s">
        <v>61</v>
      </c>
    </row>
    <row r="27" spans="5:18" x14ac:dyDescent="0.3">
      <c r="O27" s="83" t="s">
        <v>55</v>
      </c>
      <c r="P27" s="84"/>
      <c r="Q27" s="85" t="s">
        <v>56</v>
      </c>
      <c r="R27" s="85"/>
    </row>
    <row r="28" spans="5:18" x14ac:dyDescent="0.3">
      <c r="F28" t="s">
        <v>21</v>
      </c>
      <c r="G28" t="s">
        <v>22</v>
      </c>
      <c r="H28" t="s">
        <v>5</v>
      </c>
      <c r="I28" t="s">
        <v>19</v>
      </c>
      <c r="J28" t="s">
        <v>20</v>
      </c>
      <c r="K28" s="6" t="s">
        <v>23</v>
      </c>
      <c r="L28" s="3" t="s">
        <v>24</v>
      </c>
      <c r="M28" s="3" t="s">
        <v>51</v>
      </c>
      <c r="N28" s="10" t="s">
        <v>54</v>
      </c>
      <c r="O28" s="8" t="s">
        <v>58</v>
      </c>
      <c r="P28" s="8" t="s">
        <v>57</v>
      </c>
      <c r="Q28" s="9" t="s">
        <v>58</v>
      </c>
      <c r="R28" s="9" t="s">
        <v>57</v>
      </c>
    </row>
    <row r="29" spans="5:18" x14ac:dyDescent="0.3">
      <c r="E29" t="s">
        <v>7</v>
      </c>
    </row>
    <row r="32" spans="5:18" x14ac:dyDescent="0.3">
      <c r="E32" t="s">
        <v>8</v>
      </c>
    </row>
    <row r="35" spans="5:5" x14ac:dyDescent="0.3">
      <c r="E35" t="s">
        <v>9</v>
      </c>
    </row>
    <row r="38" spans="5:5" x14ac:dyDescent="0.3">
      <c r="E38" t="s">
        <v>10</v>
      </c>
    </row>
    <row r="41" spans="5:5" x14ac:dyDescent="0.3">
      <c r="E41" t="s">
        <v>11</v>
      </c>
    </row>
    <row r="44" spans="5:5" x14ac:dyDescent="0.3">
      <c r="E44" t="s">
        <v>12</v>
      </c>
    </row>
  </sheetData>
  <mergeCells count="2">
    <mergeCell ref="O27:P27"/>
    <mergeCell ref="Q27:R2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S46"/>
  <sheetViews>
    <sheetView workbookViewId="0">
      <selection activeCell="G24" sqref="G24"/>
    </sheetView>
  </sheetViews>
  <sheetFormatPr defaultRowHeight="14.4" x14ac:dyDescent="0.3"/>
  <sheetData>
    <row r="1" spans="1:6" x14ac:dyDescent="0.3">
      <c r="A1" t="s">
        <v>48</v>
      </c>
      <c r="B1" t="s">
        <v>1</v>
      </c>
      <c r="C1" t="s">
        <v>2</v>
      </c>
      <c r="D1" t="s">
        <v>64</v>
      </c>
      <c r="E1" t="s">
        <v>65</v>
      </c>
      <c r="F1" t="s">
        <v>5</v>
      </c>
    </row>
    <row r="2" spans="1:6" x14ac:dyDescent="0.3">
      <c r="A2">
        <v>373</v>
      </c>
      <c r="B2">
        <v>2702543.78</v>
      </c>
      <c r="C2">
        <v>513658.58299999998</v>
      </c>
      <c r="D2">
        <v>0</v>
      </c>
      <c r="E2" s="1">
        <v>0</v>
      </c>
      <c r="F2">
        <v>154.79400000000001</v>
      </c>
    </row>
    <row r="3" spans="1:6" x14ac:dyDescent="0.3">
      <c r="A3">
        <v>374</v>
      </c>
      <c r="B3">
        <v>2702538.6469999999</v>
      </c>
      <c r="C3">
        <v>513656.42700000003</v>
      </c>
      <c r="D3">
        <f>SQRT((C3-C2)^2+(B3-B2)^2)</f>
        <v>5.5674073857535964</v>
      </c>
      <c r="E3" s="1">
        <f>E2+D3</f>
        <v>5.5674073857535964</v>
      </c>
      <c r="F3">
        <v>153.30099999999999</v>
      </c>
    </row>
    <row r="4" spans="1:6" x14ac:dyDescent="0.3">
      <c r="A4">
        <v>375</v>
      </c>
      <c r="B4">
        <v>2702531.69</v>
      </c>
      <c r="C4">
        <v>513654.304</v>
      </c>
      <c r="D4">
        <f t="shared" ref="D4:D13" si="0">SQRT((C4-C3)^2+(B4-B3)^2)</f>
        <v>7.2737183062866668</v>
      </c>
      <c r="E4" s="1">
        <f>E3+D4</f>
        <v>12.841125692040263</v>
      </c>
      <c r="F4">
        <v>151.38800000000001</v>
      </c>
    </row>
    <row r="5" spans="1:6" x14ac:dyDescent="0.3">
      <c r="A5">
        <v>376</v>
      </c>
      <c r="B5">
        <v>2702524.8029999998</v>
      </c>
      <c r="C5">
        <v>513652.94500000001</v>
      </c>
      <c r="D5">
        <f t="shared" si="0"/>
        <v>7.0198041284232335</v>
      </c>
      <c r="E5" s="1">
        <f t="shared" ref="E5:E13" si="1">E4+D5</f>
        <v>19.860929820463497</v>
      </c>
      <c r="F5">
        <v>149.358</v>
      </c>
    </row>
    <row r="6" spans="1:6" x14ac:dyDescent="0.3">
      <c r="A6">
        <v>377</v>
      </c>
      <c r="B6">
        <v>2702522.2969999998</v>
      </c>
      <c r="C6">
        <v>513652.85200000001</v>
      </c>
      <c r="D6">
        <f t="shared" si="0"/>
        <v>2.5077250647270293</v>
      </c>
      <c r="E6" s="1">
        <f t="shared" si="1"/>
        <v>22.368654885190526</v>
      </c>
      <c r="F6">
        <v>148.25399999999999</v>
      </c>
    </row>
    <row r="7" spans="1:6" x14ac:dyDescent="0.3">
      <c r="A7">
        <v>378</v>
      </c>
      <c r="B7">
        <v>2702506.466</v>
      </c>
      <c r="C7">
        <v>513646.61</v>
      </c>
      <c r="D7">
        <f t="shared" si="0"/>
        <v>17.017142092406353</v>
      </c>
      <c r="E7" s="1">
        <f t="shared" si="1"/>
        <v>39.385796977596883</v>
      </c>
      <c r="F7">
        <v>148.26</v>
      </c>
    </row>
    <row r="8" spans="1:6" x14ac:dyDescent="0.3">
      <c r="A8">
        <v>379</v>
      </c>
      <c r="B8">
        <v>2702481.3250000002</v>
      </c>
      <c r="C8">
        <v>513639.10399999999</v>
      </c>
      <c r="D8">
        <f t="shared" si="0"/>
        <v>26.237566903036047</v>
      </c>
      <c r="E8" s="1">
        <f t="shared" si="1"/>
        <v>65.623363880632922</v>
      </c>
      <c r="F8">
        <v>148.59200000000001</v>
      </c>
    </row>
    <row r="9" spans="1:6" x14ac:dyDescent="0.3">
      <c r="A9">
        <v>380</v>
      </c>
      <c r="B9">
        <v>2702452.4</v>
      </c>
      <c r="C9">
        <v>513632.17099999997</v>
      </c>
      <c r="D9">
        <f t="shared" si="0"/>
        <v>29.744278677023381</v>
      </c>
      <c r="E9" s="1">
        <f t="shared" si="1"/>
        <v>95.367642557656296</v>
      </c>
      <c r="F9">
        <v>148.815</v>
      </c>
    </row>
    <row r="10" spans="1:6" x14ac:dyDescent="0.3">
      <c r="A10">
        <v>381</v>
      </c>
      <c r="B10">
        <v>2702450.1490000002</v>
      </c>
      <c r="C10">
        <v>513632.15500000003</v>
      </c>
      <c r="D10">
        <f t="shared" si="0"/>
        <v>2.2510568625958274</v>
      </c>
      <c r="E10" s="1">
        <f t="shared" si="1"/>
        <v>97.618699420252128</v>
      </c>
      <c r="F10">
        <v>148.38200000000001</v>
      </c>
    </row>
    <row r="11" spans="1:6" x14ac:dyDescent="0.3">
      <c r="A11">
        <v>382</v>
      </c>
      <c r="B11">
        <v>2702446.3459999999</v>
      </c>
      <c r="C11">
        <v>513632.25400000002</v>
      </c>
      <c r="D11">
        <f t="shared" si="0"/>
        <v>3.8042883700267707</v>
      </c>
      <c r="E11" s="1">
        <f t="shared" si="1"/>
        <v>101.4229877902789</v>
      </c>
      <c r="F11">
        <v>149.19</v>
      </c>
    </row>
    <row r="12" spans="1:6" x14ac:dyDescent="0.3">
      <c r="A12">
        <v>383</v>
      </c>
      <c r="B12">
        <v>2702438.0610000002</v>
      </c>
      <c r="C12">
        <v>513629.837</v>
      </c>
      <c r="D12">
        <f t="shared" si="0"/>
        <v>8.6303600153660831</v>
      </c>
      <c r="E12" s="1">
        <f t="shared" si="1"/>
        <v>110.05334780564498</v>
      </c>
      <c r="F12">
        <v>150.637</v>
      </c>
    </row>
    <row r="13" spans="1:6" x14ac:dyDescent="0.3">
      <c r="A13">
        <v>384</v>
      </c>
      <c r="B13">
        <v>2702435.4240000001</v>
      </c>
      <c r="C13">
        <v>513627.73</v>
      </c>
      <c r="D13">
        <f t="shared" si="0"/>
        <v>3.3753841263812703</v>
      </c>
      <c r="E13" s="1">
        <f t="shared" si="1"/>
        <v>113.42873193202624</v>
      </c>
      <c r="F13">
        <v>152.75299999999999</v>
      </c>
    </row>
    <row r="14" spans="1:6" x14ac:dyDescent="0.3">
      <c r="D14">
        <f>SUM(D2:D13)</f>
        <v>113.42873193202624</v>
      </c>
    </row>
    <row r="25" spans="6:19" x14ac:dyDescent="0.3">
      <c r="O25" t="s">
        <v>59</v>
      </c>
    </row>
    <row r="26" spans="6:19" x14ac:dyDescent="0.3">
      <c r="O26" t="s">
        <v>60</v>
      </c>
    </row>
    <row r="27" spans="6:19" x14ac:dyDescent="0.3">
      <c r="O27" t="s">
        <v>61</v>
      </c>
    </row>
    <row r="29" spans="6:19" x14ac:dyDescent="0.3">
      <c r="P29" s="83" t="s">
        <v>55</v>
      </c>
      <c r="Q29" s="84"/>
      <c r="R29" s="85" t="s">
        <v>56</v>
      </c>
      <c r="S29" s="85"/>
    </row>
    <row r="30" spans="6:19" x14ac:dyDescent="0.3">
      <c r="G30" t="s">
        <v>21</v>
      </c>
      <c r="H30" t="s">
        <v>22</v>
      </c>
      <c r="I30" t="s">
        <v>5</v>
      </c>
      <c r="J30" t="s">
        <v>19</v>
      </c>
      <c r="K30" t="s">
        <v>20</v>
      </c>
      <c r="L30" s="6" t="s">
        <v>23</v>
      </c>
      <c r="M30" s="3" t="s">
        <v>24</v>
      </c>
      <c r="N30" s="3" t="s">
        <v>51</v>
      </c>
      <c r="O30" s="10" t="s">
        <v>54</v>
      </c>
      <c r="P30" s="8" t="s">
        <v>58</v>
      </c>
      <c r="Q30" s="8" t="s">
        <v>57</v>
      </c>
      <c r="R30" s="9" t="s">
        <v>58</v>
      </c>
      <c r="S30" s="9" t="s">
        <v>57</v>
      </c>
    </row>
    <row r="31" spans="6:19" x14ac:dyDescent="0.3">
      <c r="F31" t="s">
        <v>7</v>
      </c>
    </row>
    <row r="34" spans="6:6" x14ac:dyDescent="0.3">
      <c r="F34" t="s">
        <v>8</v>
      </c>
    </row>
    <row r="37" spans="6:6" x14ac:dyDescent="0.3">
      <c r="F37" t="s">
        <v>9</v>
      </c>
    </row>
    <row r="40" spans="6:6" x14ac:dyDescent="0.3">
      <c r="F40" t="s">
        <v>10</v>
      </c>
    </row>
    <row r="43" spans="6:6" x14ac:dyDescent="0.3">
      <c r="F43" t="s">
        <v>11</v>
      </c>
    </row>
    <row r="46" spans="6:6" x14ac:dyDescent="0.3">
      <c r="F46" t="s">
        <v>12</v>
      </c>
    </row>
  </sheetData>
  <mergeCells count="2">
    <mergeCell ref="P29:Q29"/>
    <mergeCell ref="R29:S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724E-6C7C-4DFC-8D0D-CE6644594614}">
  <dimension ref="A3:AB37"/>
  <sheetViews>
    <sheetView tabSelected="1" workbookViewId="0">
      <selection activeCell="L3" sqref="L3"/>
    </sheetView>
  </sheetViews>
  <sheetFormatPr defaultRowHeight="14.4" x14ac:dyDescent="0.3"/>
  <cols>
    <col min="1" max="1" width="14.21875" bestFit="1" customWidth="1"/>
    <col min="2" max="2" width="13.5546875" bestFit="1" customWidth="1"/>
    <col min="3" max="3" width="13.5546875" customWidth="1"/>
    <col min="4" max="4" width="9.6640625" bestFit="1" customWidth="1"/>
    <col min="5" max="5" width="7.6640625" bestFit="1" customWidth="1"/>
  </cols>
  <sheetData>
    <row r="3" spans="2:12" x14ac:dyDescent="0.3">
      <c r="D3" t="s">
        <v>86</v>
      </c>
      <c r="E3" t="s">
        <v>174</v>
      </c>
      <c r="F3" t="s">
        <v>193</v>
      </c>
      <c r="G3" t="s">
        <v>194</v>
      </c>
      <c r="I3" t="s">
        <v>195</v>
      </c>
      <c r="J3" t="s">
        <v>190</v>
      </c>
      <c r="K3" t="s">
        <v>166</v>
      </c>
    </row>
    <row r="4" spans="2:12" x14ac:dyDescent="0.3">
      <c r="B4" s="58" t="s">
        <v>118</v>
      </c>
      <c r="C4" s="58"/>
      <c r="D4">
        <v>0.21983261702177204</v>
      </c>
      <c r="E4">
        <f>83988/2</f>
        <v>41994</v>
      </c>
      <c r="F4">
        <v>2.39</v>
      </c>
      <c r="G4">
        <f>TAN(3.14/180*F4)</f>
        <v>4.1716396079183329E-2</v>
      </c>
      <c r="H4">
        <f>6.99*(D4*E4/G4^0.5)^0.6</f>
        <v>4340.6299775252501</v>
      </c>
      <c r="I4">
        <v>2.06</v>
      </c>
      <c r="J4">
        <v>0.27</v>
      </c>
      <c r="K4">
        <v>2886</v>
      </c>
      <c r="L4">
        <f>1/3.6*I4*J4*K4</f>
        <v>445.88700000000006</v>
      </c>
    </row>
    <row r="5" spans="2:12" x14ac:dyDescent="0.3">
      <c r="B5" s="58" t="s">
        <v>117</v>
      </c>
      <c r="C5" s="58"/>
    </row>
    <row r="6" spans="2:12" x14ac:dyDescent="0.3">
      <c r="B6" s="59" t="s">
        <v>119</v>
      </c>
      <c r="C6" s="59"/>
    </row>
    <row r="7" spans="2:12" x14ac:dyDescent="0.3">
      <c r="B7" s="59" t="s">
        <v>120</v>
      </c>
      <c r="C7" s="59"/>
    </row>
    <row r="8" spans="2:12" x14ac:dyDescent="0.3">
      <c r="B8" s="59" t="s">
        <v>121</v>
      </c>
      <c r="C8" s="59"/>
    </row>
    <row r="9" spans="2:12" x14ac:dyDescent="0.3">
      <c r="B9" s="2" t="s">
        <v>109</v>
      </c>
      <c r="C9" s="2"/>
    </row>
    <row r="10" spans="2:12" x14ac:dyDescent="0.3">
      <c r="B10" s="2" t="s">
        <v>110</v>
      </c>
      <c r="C10" s="2"/>
    </row>
    <row r="11" spans="2:12" x14ac:dyDescent="0.3">
      <c r="B11" s="60" t="s">
        <v>124</v>
      </c>
      <c r="C11" s="60"/>
    </row>
    <row r="12" spans="2:12" x14ac:dyDescent="0.3">
      <c r="B12" s="60" t="s">
        <v>125</v>
      </c>
      <c r="C12" s="60"/>
    </row>
    <row r="13" spans="2:12" x14ac:dyDescent="0.3">
      <c r="B13" s="60" t="s">
        <v>126</v>
      </c>
      <c r="C13" s="60"/>
    </row>
    <row r="14" spans="2:12" x14ac:dyDescent="0.3">
      <c r="B14" s="2" t="s">
        <v>111</v>
      </c>
      <c r="C14" s="2"/>
    </row>
    <row r="15" spans="2:12" x14ac:dyDescent="0.3">
      <c r="B15" s="61" t="s">
        <v>112</v>
      </c>
      <c r="C15" s="61"/>
    </row>
    <row r="16" spans="2:12" x14ac:dyDescent="0.3">
      <c r="B16" s="61" t="s">
        <v>113</v>
      </c>
      <c r="C16" s="61"/>
    </row>
    <row r="17" spans="1:28" x14ac:dyDescent="0.3">
      <c r="B17" s="2" t="s">
        <v>122</v>
      </c>
      <c r="C17" s="2"/>
    </row>
    <row r="18" spans="1:28" x14ac:dyDescent="0.3">
      <c r="B18" s="2" t="s">
        <v>123</v>
      </c>
      <c r="C18" s="2"/>
    </row>
    <row r="19" spans="1:28" x14ac:dyDescent="0.3">
      <c r="B19" s="22" t="s">
        <v>127</v>
      </c>
      <c r="C19" s="22"/>
    </row>
    <row r="20" spans="1:28" x14ac:dyDescent="0.3">
      <c r="B20" s="22" t="s">
        <v>128</v>
      </c>
      <c r="C20" s="22"/>
    </row>
    <row r="21" spans="1:28" x14ac:dyDescent="0.3">
      <c r="B21" s="2" t="s">
        <v>114</v>
      </c>
      <c r="C21" s="2"/>
    </row>
    <row r="22" spans="1:28" x14ac:dyDescent="0.3">
      <c r="B22" s="62" t="s">
        <v>115</v>
      </c>
      <c r="C22" s="62"/>
    </row>
    <row r="23" spans="1:28" x14ac:dyDescent="0.3">
      <c r="B23" s="62" t="s">
        <v>116</v>
      </c>
      <c r="C23" s="62"/>
    </row>
    <row r="26" spans="1:28" x14ac:dyDescent="0.3">
      <c r="B26" s="3" t="s">
        <v>73</v>
      </c>
    </row>
    <row r="27" spans="1:28" x14ac:dyDescent="0.3">
      <c r="A27" t="s">
        <v>175</v>
      </c>
      <c r="B27" t="s">
        <v>188</v>
      </c>
      <c r="C27" t="s">
        <v>189</v>
      </c>
      <c r="D27" t="s">
        <v>86</v>
      </c>
      <c r="E27" t="s">
        <v>190</v>
      </c>
      <c r="F27" t="s">
        <v>191</v>
      </c>
      <c r="G27" t="s">
        <v>192</v>
      </c>
      <c r="R27" t="s">
        <v>95</v>
      </c>
      <c r="S27" t="s">
        <v>101</v>
      </c>
      <c r="T27" t="s">
        <v>183</v>
      </c>
      <c r="U27" t="s">
        <v>184</v>
      </c>
      <c r="V27" t="s">
        <v>153</v>
      </c>
      <c r="W27" t="s">
        <v>185</v>
      </c>
      <c r="X27" t="s">
        <v>145</v>
      </c>
      <c r="Y27" t="s">
        <v>154</v>
      </c>
      <c r="Z27" t="s">
        <v>186</v>
      </c>
      <c r="AA27" t="s">
        <v>156</v>
      </c>
      <c r="AB27" t="s">
        <v>187</v>
      </c>
    </row>
    <row r="28" spans="1:28" x14ac:dyDescent="0.3">
      <c r="A28" t="s">
        <v>176</v>
      </c>
      <c r="B28">
        <v>530568</v>
      </c>
      <c r="C28">
        <f>B28/28859416</f>
        <v>1.8384571607408827E-2</v>
      </c>
      <c r="D28">
        <v>0</v>
      </c>
      <c r="E28">
        <v>1</v>
      </c>
      <c r="F28">
        <f>C28*D28</f>
        <v>0</v>
      </c>
      <c r="G28">
        <f>C28*E28</f>
        <v>1.8384571607408827E-2</v>
      </c>
      <c r="AB28">
        <v>102.99</v>
      </c>
    </row>
    <row r="29" spans="1:28" x14ac:dyDescent="0.3">
      <c r="A29" t="s">
        <v>177</v>
      </c>
      <c r="B29">
        <v>4191497</v>
      </c>
      <c r="C29">
        <f t="shared" ref="C29:C34" si="0">B29/28859416</f>
        <v>0.14523845527574086</v>
      </c>
      <c r="D29">
        <v>0.4</v>
      </c>
      <c r="E29">
        <v>0.1</v>
      </c>
      <c r="F29">
        <f t="shared" ref="F29:F34" si="1">C29*D29</f>
        <v>5.8095382110296349E-2</v>
      </c>
      <c r="G29">
        <f t="shared" ref="G29:G34" si="2">C29*E29</f>
        <v>1.4523845527574087E-2</v>
      </c>
      <c r="AB29">
        <v>480.45</v>
      </c>
    </row>
    <row r="30" spans="1:28" x14ac:dyDescent="0.3">
      <c r="A30" t="s">
        <v>178</v>
      </c>
      <c r="B30">
        <v>1277</v>
      </c>
      <c r="C30">
        <f t="shared" si="0"/>
        <v>4.4248989653844694E-5</v>
      </c>
      <c r="D30">
        <v>6.0000000000000001E-3</v>
      </c>
      <c r="E30">
        <v>0.2</v>
      </c>
      <c r="F30">
        <f t="shared" si="1"/>
        <v>2.6549393792306815E-7</v>
      </c>
      <c r="G30">
        <f t="shared" si="2"/>
        <v>8.8497979307689385E-6</v>
      </c>
      <c r="AB30">
        <v>2.75</v>
      </c>
    </row>
    <row r="31" spans="1:28" x14ac:dyDescent="0.3">
      <c r="A31" t="s">
        <v>179</v>
      </c>
      <c r="B31">
        <v>18288215</v>
      </c>
      <c r="C31">
        <f t="shared" si="0"/>
        <v>0.63370010675198696</v>
      </c>
      <c r="D31">
        <v>0.17</v>
      </c>
      <c r="E31">
        <v>0.3</v>
      </c>
      <c r="F31">
        <f t="shared" si="1"/>
        <v>0.10772901814783779</v>
      </c>
      <c r="G31">
        <f t="shared" si="2"/>
        <v>0.19011003202559609</v>
      </c>
      <c r="AB31">
        <v>4289.8599999999997</v>
      </c>
    </row>
    <row r="32" spans="1:28" x14ac:dyDescent="0.3">
      <c r="A32" t="s">
        <v>180</v>
      </c>
      <c r="B32">
        <v>1427963</v>
      </c>
      <c r="C32">
        <f t="shared" si="0"/>
        <v>4.9479968686823049E-2</v>
      </c>
      <c r="D32">
        <v>1.0999999999999999E-2</v>
      </c>
      <c r="E32">
        <v>0.6</v>
      </c>
      <c r="F32">
        <f t="shared" si="1"/>
        <v>5.4427965555505354E-4</v>
      </c>
      <c r="G32">
        <f t="shared" si="2"/>
        <v>2.9687981212093827E-2</v>
      </c>
      <c r="AB32">
        <v>448.34</v>
      </c>
    </row>
    <row r="33" spans="1:28" x14ac:dyDescent="0.3">
      <c r="A33" t="s">
        <v>181</v>
      </c>
      <c r="B33">
        <v>12222</v>
      </c>
      <c r="C33">
        <f t="shared" si="0"/>
        <v>4.235012933040641E-4</v>
      </c>
      <c r="D33">
        <v>0.02</v>
      </c>
      <c r="E33">
        <v>0.25</v>
      </c>
      <c r="F33">
        <f t="shared" si="1"/>
        <v>8.4700258660812819E-6</v>
      </c>
      <c r="G33">
        <f t="shared" si="2"/>
        <v>1.0587532332601602E-4</v>
      </c>
      <c r="AB33">
        <v>2.2200000000000002</v>
      </c>
    </row>
    <row r="34" spans="1:28" x14ac:dyDescent="0.3">
      <c r="A34" t="s">
        <v>182</v>
      </c>
      <c r="B34">
        <v>4407674</v>
      </c>
      <c r="C34">
        <f t="shared" si="0"/>
        <v>0.15272914739508242</v>
      </c>
      <c r="D34">
        <v>0.35</v>
      </c>
      <c r="E34">
        <v>0.11</v>
      </c>
      <c r="F34">
        <f t="shared" si="1"/>
        <v>5.3455201588278843E-2</v>
      </c>
      <c r="G34">
        <f t="shared" si="2"/>
        <v>1.6800206213459068E-2</v>
      </c>
      <c r="AB34">
        <v>495.81</v>
      </c>
    </row>
    <row r="35" spans="1:28" x14ac:dyDescent="0.3">
      <c r="B35">
        <f>SUM(B28:B34)</f>
        <v>28859416</v>
      </c>
      <c r="F35" s="2">
        <f>SUM(F28:F34)</f>
        <v>0.21983261702177204</v>
      </c>
      <c r="G35" s="2">
        <f>SUM(G28:G34)</f>
        <v>0.26962136170738871</v>
      </c>
    </row>
    <row r="37" spans="1:28" x14ac:dyDescent="0.3">
      <c r="B37" t="s">
        <v>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3DF1-CAF1-4219-8058-1F83FB6541A5}">
  <dimension ref="B1:AB20"/>
  <sheetViews>
    <sheetView topLeftCell="J1" workbookViewId="0">
      <selection activeCell="O23" sqref="O23"/>
    </sheetView>
  </sheetViews>
  <sheetFormatPr defaultRowHeight="14.4" x14ac:dyDescent="0.3"/>
  <cols>
    <col min="2" max="2" width="13.5546875" bestFit="1" customWidth="1"/>
    <col min="8" max="8" width="14.21875" bestFit="1" customWidth="1"/>
    <col min="15" max="15" width="13.5546875" bestFit="1" customWidth="1"/>
    <col min="20" max="20" width="11.33203125" bestFit="1" customWidth="1"/>
    <col min="21" max="21" width="9.88671875" bestFit="1" customWidth="1"/>
    <col min="27" max="27" width="13.6640625" bestFit="1" customWidth="1"/>
  </cols>
  <sheetData>
    <row r="1" spans="2:28" x14ac:dyDescent="0.3">
      <c r="AA1" s="80" t="s">
        <v>173</v>
      </c>
      <c r="AB1" s="80"/>
    </row>
    <row r="2" spans="2:28" x14ac:dyDescent="0.3">
      <c r="C2" t="s">
        <v>158</v>
      </c>
      <c r="D2" t="s">
        <v>86</v>
      </c>
      <c r="E2" t="s">
        <v>159</v>
      </c>
      <c r="F2" t="s">
        <v>160</v>
      </c>
      <c r="G2" t="s">
        <v>161</v>
      </c>
      <c r="H2" t="s">
        <v>163</v>
      </c>
      <c r="I2" t="s">
        <v>162</v>
      </c>
      <c r="J2" t="s">
        <v>165</v>
      </c>
      <c r="K2" t="s">
        <v>166</v>
      </c>
      <c r="L2" t="s">
        <v>164</v>
      </c>
      <c r="M2" t="s">
        <v>167</v>
      </c>
      <c r="P2" t="s">
        <v>158</v>
      </c>
      <c r="Q2" t="s">
        <v>86</v>
      </c>
      <c r="R2" t="s">
        <v>159</v>
      </c>
      <c r="S2" t="s">
        <v>160</v>
      </c>
      <c r="T2" t="s">
        <v>171</v>
      </c>
      <c r="U2" t="s">
        <v>172</v>
      </c>
      <c r="V2" t="s">
        <v>162</v>
      </c>
      <c r="W2" t="s">
        <v>165</v>
      </c>
      <c r="X2" t="s">
        <v>166</v>
      </c>
      <c r="Y2" t="s">
        <v>164</v>
      </c>
      <c r="Z2" t="s">
        <v>168</v>
      </c>
      <c r="AA2" t="s">
        <v>170</v>
      </c>
      <c r="AB2" t="s">
        <v>163</v>
      </c>
    </row>
    <row r="3" spans="2:28" x14ac:dyDescent="0.3">
      <c r="B3" s="58" t="s">
        <v>118</v>
      </c>
      <c r="C3" s="63">
        <v>1E-3</v>
      </c>
      <c r="D3">
        <v>1.9074980657113928E-2</v>
      </c>
      <c r="E3">
        <v>112.85</v>
      </c>
      <c r="F3">
        <f>C3^0.5/(D3*E3^0.67)</f>
        <v>6.9881118291222483E-2</v>
      </c>
      <c r="G3">
        <v>1.6E-2</v>
      </c>
      <c r="H3">
        <v>184</v>
      </c>
      <c r="I3">
        <f>0.665*F3^0.6*(G3*H3)^0.4</f>
        <v>0.20749740768523245</v>
      </c>
      <c r="J3">
        <v>1.9638683205382752</v>
      </c>
      <c r="K3">
        <f>J3+J4</f>
        <v>22.87693082053903</v>
      </c>
      <c r="L3">
        <f>I3*K3</f>
        <v>4.7469038410562465</v>
      </c>
      <c r="M3">
        <v>0.6736068339446285</v>
      </c>
      <c r="O3" s="58" t="s">
        <v>118</v>
      </c>
      <c r="P3" s="63">
        <v>1E-3</v>
      </c>
      <c r="Q3">
        <v>1.9074980657113928E-2</v>
      </c>
      <c r="R3">
        <v>112.85</v>
      </c>
      <c r="S3">
        <f>P3^0.5/(Q3*R3^0.67)</f>
        <v>6.9881118291222483E-2</v>
      </c>
      <c r="T3">
        <v>1.24E-3</v>
      </c>
      <c r="U3">
        <v>2886</v>
      </c>
      <c r="V3">
        <f>0.665*S3^0.6*(T3*U3)^0.4</f>
        <v>0.22434932015957468</v>
      </c>
      <c r="W3">
        <v>1.9638683205382752</v>
      </c>
      <c r="X3">
        <f>W3+W4</f>
        <v>22.87693082053903</v>
      </c>
      <c r="Y3">
        <f>V3*X3</f>
        <v>5.1324238769255519</v>
      </c>
      <c r="AA3" s="77">
        <v>1.6E-2</v>
      </c>
      <c r="AB3" s="77">
        <v>1063</v>
      </c>
    </row>
    <row r="4" spans="2:28" x14ac:dyDescent="0.3">
      <c r="B4" s="58" t="s">
        <v>117</v>
      </c>
      <c r="C4" s="63">
        <v>2E-3</v>
      </c>
      <c r="D4">
        <v>2.0329119961810509E-2</v>
      </c>
      <c r="E4">
        <v>112.85</v>
      </c>
      <c r="F4">
        <f>C4^0.5/(D4*E4^0.67)</f>
        <v>9.2730023897839506E-2</v>
      </c>
      <c r="G4">
        <v>1.6E-2</v>
      </c>
      <c r="H4">
        <v>184</v>
      </c>
      <c r="I4">
        <f>0.665*F4^0.6*(G4*H4)^0.4</f>
        <v>0.24588327590324269</v>
      </c>
      <c r="J4">
        <v>20.913062500000756</v>
      </c>
      <c r="K4">
        <f>J4+J5</f>
        <v>24.195486337911689</v>
      </c>
      <c r="L4">
        <f>I4*K4</f>
        <v>5.9492654428378788</v>
      </c>
      <c r="M4">
        <v>10.749314125000389</v>
      </c>
      <c r="O4" s="58" t="s">
        <v>117</v>
      </c>
      <c r="P4" s="63">
        <v>2E-3</v>
      </c>
      <c r="Q4">
        <v>2.0329119961810509E-2</v>
      </c>
      <c r="R4">
        <v>112.85</v>
      </c>
      <c r="S4">
        <f>P4^0.5/(Q4*R4^0.67)</f>
        <v>9.2730023897839506E-2</v>
      </c>
      <c r="T4">
        <v>1.24E-3</v>
      </c>
      <c r="U4">
        <v>2886</v>
      </c>
      <c r="V4">
        <f t="shared" ref="V4:V20" si="0">0.665*S4^0.6*(T4*U4)^0.4</f>
        <v>0.2658526986090517</v>
      </c>
      <c r="W4">
        <v>20.913062500000756</v>
      </c>
      <c r="X4">
        <v>22.87693082053903</v>
      </c>
      <c r="Y4" s="3">
        <f>V4*X4</f>
        <v>6.0818937945328884</v>
      </c>
      <c r="Z4" t="s">
        <v>169</v>
      </c>
      <c r="AA4" s="77">
        <v>1.6E-2</v>
      </c>
      <c r="AB4" s="77">
        <v>1063</v>
      </c>
    </row>
    <row r="5" spans="2:28" x14ac:dyDescent="0.3">
      <c r="B5" s="59" t="s">
        <v>119</v>
      </c>
      <c r="C5" s="63">
        <v>1E-4</v>
      </c>
      <c r="D5">
        <v>1.8970655367403989E-2</v>
      </c>
      <c r="J5">
        <v>3.2824238379109327</v>
      </c>
      <c r="M5">
        <v>0.4759514564970852</v>
      </c>
      <c r="O5" s="59" t="s">
        <v>119</v>
      </c>
      <c r="P5" s="63">
        <v>1E-4</v>
      </c>
      <c r="Q5">
        <v>1.8970655367403989E-2</v>
      </c>
      <c r="R5">
        <v>183</v>
      </c>
      <c r="S5">
        <f t="shared" ref="S5:S20" si="1">P5^0.5/(Q5*R5^0.67)</f>
        <v>1.6072203973289498E-2</v>
      </c>
      <c r="T5">
        <v>1.24E-3</v>
      </c>
      <c r="U5">
        <v>2807</v>
      </c>
      <c r="V5">
        <f t="shared" si="0"/>
        <v>9.1861291226205649E-2</v>
      </c>
      <c r="W5">
        <v>3.2824238379109327</v>
      </c>
      <c r="X5">
        <f>W5+W6+W7</f>
        <v>55.457997393641868</v>
      </c>
      <c r="Y5">
        <f t="shared" ref="Y5:Y20" si="2">V5*X5</f>
        <v>5.0944432493994896</v>
      </c>
      <c r="AA5" s="77">
        <v>2.8000000000000001E-2</v>
      </c>
      <c r="AB5" s="77">
        <v>880</v>
      </c>
    </row>
    <row r="6" spans="2:28" x14ac:dyDescent="0.3">
      <c r="B6" s="59" t="s">
        <v>120</v>
      </c>
      <c r="C6" s="63">
        <v>1E-4</v>
      </c>
      <c r="D6">
        <v>2.1345307182544661E-2</v>
      </c>
      <c r="J6">
        <v>27.235870481928295</v>
      </c>
      <c r="M6">
        <v>3.7313142560241768</v>
      </c>
      <c r="O6" s="59" t="s">
        <v>120</v>
      </c>
      <c r="P6" s="63">
        <v>1E-4</v>
      </c>
      <c r="Q6">
        <v>2.1345307182544661E-2</v>
      </c>
      <c r="R6">
        <v>183</v>
      </c>
      <c r="S6">
        <f t="shared" si="1"/>
        <v>1.4284181528257948E-2</v>
      </c>
      <c r="T6">
        <v>1.24E-3</v>
      </c>
      <c r="U6">
        <v>2807</v>
      </c>
      <c r="V6">
        <f t="shared" si="0"/>
        <v>8.5585560824110188E-2</v>
      </c>
      <c r="W6">
        <v>27.235870481928295</v>
      </c>
      <c r="X6">
        <v>55.457997393641868</v>
      </c>
      <c r="Y6" s="3">
        <f t="shared" si="2"/>
        <v>4.7464038091168801</v>
      </c>
      <c r="Z6" t="s">
        <v>72</v>
      </c>
      <c r="AA6" s="77">
        <v>2.8000000000000001E-2</v>
      </c>
      <c r="AB6" s="77">
        <v>880</v>
      </c>
    </row>
    <row r="7" spans="2:28" x14ac:dyDescent="0.3">
      <c r="B7" s="59" t="s">
        <v>121</v>
      </c>
      <c r="C7" s="63">
        <v>1E-4</v>
      </c>
      <c r="D7">
        <v>2.0605603880526489E-2</v>
      </c>
      <c r="J7">
        <v>24.93970307380264</v>
      </c>
      <c r="M7">
        <v>2.7683070411920929</v>
      </c>
      <c r="O7" s="59" t="s">
        <v>121</v>
      </c>
      <c r="P7" s="63">
        <v>1E-4</v>
      </c>
      <c r="Q7">
        <v>2.0605603880526489E-2</v>
      </c>
      <c r="R7">
        <v>183</v>
      </c>
      <c r="S7">
        <f t="shared" si="1"/>
        <v>1.4796957387890237E-2</v>
      </c>
      <c r="T7">
        <v>1.24E-3</v>
      </c>
      <c r="U7">
        <v>2807</v>
      </c>
      <c r="V7">
        <f t="shared" si="0"/>
        <v>8.7415961400455114E-2</v>
      </c>
      <c r="W7">
        <v>24.93970307380264</v>
      </c>
      <c r="X7">
        <v>55.457997393641868</v>
      </c>
      <c r="Y7">
        <f t="shared" si="2"/>
        <v>4.8479141595091377</v>
      </c>
      <c r="AA7" s="77">
        <v>2.8000000000000001E-2</v>
      </c>
      <c r="AB7" s="77">
        <v>880</v>
      </c>
    </row>
    <row r="8" spans="2:28" x14ac:dyDescent="0.3">
      <c r="B8" s="2" t="s">
        <v>109</v>
      </c>
      <c r="C8" s="63">
        <v>3.0000000000000001E-3</v>
      </c>
      <c r="D8">
        <v>2.9761906726913197E-2</v>
      </c>
      <c r="J8">
        <v>2.1244845009455893</v>
      </c>
      <c r="M8">
        <v>0.47800901271275759</v>
      </c>
      <c r="O8" s="2" t="s">
        <v>109</v>
      </c>
      <c r="P8" s="63">
        <v>3.0000000000000001E-3</v>
      </c>
      <c r="Q8">
        <v>2.9761906726913197E-2</v>
      </c>
      <c r="R8">
        <v>28</v>
      </c>
      <c r="S8">
        <f t="shared" si="1"/>
        <v>0.1973803865116221</v>
      </c>
      <c r="T8">
        <v>1.24E-3</v>
      </c>
      <c r="U8">
        <v>811.46</v>
      </c>
      <c r="V8">
        <f t="shared" si="0"/>
        <v>0.25181382102749422</v>
      </c>
      <c r="W8">
        <v>2.1244845009455893</v>
      </c>
      <c r="X8">
        <v>2.12</v>
      </c>
      <c r="Y8" s="3">
        <f t="shared" si="2"/>
        <v>0.53384530057828783</v>
      </c>
      <c r="Z8" t="s">
        <v>72</v>
      </c>
      <c r="AA8" s="77">
        <v>2.8000000000000001E-2</v>
      </c>
      <c r="AB8" s="77">
        <v>880</v>
      </c>
    </row>
    <row r="9" spans="2:28" x14ac:dyDescent="0.3">
      <c r="B9" s="2" t="s">
        <v>110</v>
      </c>
      <c r="C9" s="63">
        <v>2.0000000000000001E-4</v>
      </c>
      <c r="D9">
        <v>1.4840400532176473E-2</v>
      </c>
      <c r="J9">
        <v>44.020071513282979</v>
      </c>
      <c r="M9">
        <v>4.6221075088947128</v>
      </c>
      <c r="O9" s="2" t="s">
        <v>110</v>
      </c>
      <c r="P9" s="63">
        <v>2.0000000000000001E-4</v>
      </c>
      <c r="Q9">
        <v>1.4840400532176473E-2</v>
      </c>
      <c r="R9">
        <v>98</v>
      </c>
      <c r="S9">
        <f t="shared" si="1"/>
        <v>4.4151748245829021E-2</v>
      </c>
      <c r="T9">
        <v>7.2900000000000005E-4</v>
      </c>
      <c r="U9">
        <v>3168</v>
      </c>
      <c r="V9">
        <f t="shared" si="0"/>
        <v>0.14295372243352139</v>
      </c>
      <c r="W9">
        <v>44.020071513282979</v>
      </c>
      <c r="X9">
        <v>44.020071513282979</v>
      </c>
      <c r="Y9" s="3">
        <f t="shared" si="2"/>
        <v>6.2928330846136165</v>
      </c>
      <c r="Z9" t="s">
        <v>72</v>
      </c>
      <c r="AA9" s="77">
        <v>1.6E-2</v>
      </c>
      <c r="AB9" s="77">
        <v>184</v>
      </c>
    </row>
    <row r="10" spans="2:28" x14ac:dyDescent="0.3">
      <c r="B10" s="60" t="s">
        <v>124</v>
      </c>
      <c r="C10" s="63">
        <v>1E-3</v>
      </c>
      <c r="D10">
        <v>1.4499116055621571E-2</v>
      </c>
      <c r="J10">
        <v>24.977529289579085</v>
      </c>
      <c r="M10">
        <v>12.064146646866698</v>
      </c>
      <c r="O10" s="60" t="s">
        <v>124</v>
      </c>
      <c r="P10" s="63">
        <v>1E-3</v>
      </c>
      <c r="Q10">
        <v>1.4499116055621571E-2</v>
      </c>
      <c r="R10">
        <v>164</v>
      </c>
      <c r="S10">
        <f t="shared" si="1"/>
        <v>7.1567046667162695E-2</v>
      </c>
      <c r="T10">
        <v>2.5000000000000001E-4</v>
      </c>
      <c r="U10">
        <v>3205</v>
      </c>
      <c r="V10">
        <f t="shared" si="0"/>
        <v>0.12507102807627823</v>
      </c>
      <c r="W10">
        <v>24.977529289579085</v>
      </c>
      <c r="X10">
        <f>W10+W11+W12</f>
        <v>48.441684845134766</v>
      </c>
      <c r="Y10" s="3">
        <f t="shared" si="2"/>
        <v>6.0586513253280723</v>
      </c>
      <c r="Z10" t="s">
        <v>72</v>
      </c>
      <c r="AA10" s="77">
        <v>4.2000000000000003E-2</v>
      </c>
      <c r="AB10" s="77">
        <v>800</v>
      </c>
    </row>
    <row r="11" spans="2:28" x14ac:dyDescent="0.3">
      <c r="B11" s="60" t="s">
        <v>125</v>
      </c>
      <c r="C11" s="63">
        <v>2E-3</v>
      </c>
      <c r="D11">
        <v>1.3891661422456073E-2</v>
      </c>
      <c r="J11">
        <v>1.3989999999999969</v>
      </c>
      <c r="M11">
        <v>0.80582399999999821</v>
      </c>
      <c r="O11" s="60" t="s">
        <v>125</v>
      </c>
      <c r="P11" s="63">
        <v>2E-3</v>
      </c>
      <c r="Q11">
        <v>1.3891661422456073E-2</v>
      </c>
      <c r="R11">
        <v>164</v>
      </c>
      <c r="S11">
        <f t="shared" si="1"/>
        <v>0.10563684692768469</v>
      </c>
      <c r="T11">
        <v>2.5000000000000001E-4</v>
      </c>
      <c r="U11">
        <v>3205</v>
      </c>
      <c r="V11">
        <f t="shared" si="0"/>
        <v>0.15798582420141227</v>
      </c>
      <c r="W11">
        <v>1.3989999999999969</v>
      </c>
      <c r="X11">
        <v>48.441684845134766</v>
      </c>
      <c r="Y11" s="4">
        <f t="shared" si="2"/>
        <v>7.6530995059636782</v>
      </c>
      <c r="AA11" s="77">
        <v>4.2000000000000003E-2</v>
      </c>
      <c r="AB11" s="77">
        <v>800</v>
      </c>
    </row>
    <row r="12" spans="2:28" x14ac:dyDescent="0.3">
      <c r="B12" s="60" t="s">
        <v>126</v>
      </c>
      <c r="C12" s="63">
        <v>2E-3</v>
      </c>
      <c r="D12">
        <v>1.4426604365900667E-2</v>
      </c>
      <c r="J12">
        <v>22.065155555555684</v>
      </c>
      <c r="M12">
        <v>13.459744888888967</v>
      </c>
      <c r="O12" s="60" t="s">
        <v>126</v>
      </c>
      <c r="P12" s="63">
        <v>2E-3</v>
      </c>
      <c r="Q12">
        <v>1.4426604365900667E-2</v>
      </c>
      <c r="R12">
        <v>164</v>
      </c>
      <c r="S12">
        <f t="shared" si="1"/>
        <v>0.10171980003304118</v>
      </c>
      <c r="T12">
        <v>2.5000000000000001E-4</v>
      </c>
      <c r="U12">
        <v>3205</v>
      </c>
      <c r="V12">
        <f t="shared" si="0"/>
        <v>0.15444439826498063</v>
      </c>
      <c r="W12">
        <v>22.065155555555684</v>
      </c>
      <c r="X12">
        <v>48.441684845134766</v>
      </c>
      <c r="Y12" s="4">
        <f t="shared" si="2"/>
        <v>7.48154686684867</v>
      </c>
      <c r="AA12" s="77">
        <v>4.2000000000000003E-2</v>
      </c>
      <c r="AB12" s="77">
        <v>800</v>
      </c>
    </row>
    <row r="13" spans="2:28" x14ac:dyDescent="0.3">
      <c r="B13" s="2" t="s">
        <v>111</v>
      </c>
      <c r="C13" s="63">
        <v>5.0000000000000001E-4</v>
      </c>
      <c r="D13">
        <v>1.4705754271038204E-2</v>
      </c>
      <c r="J13">
        <v>106.46100000000008</v>
      </c>
      <c r="M13">
        <v>64.302444000000051</v>
      </c>
      <c r="O13" s="2" t="s">
        <v>111</v>
      </c>
      <c r="P13" s="63">
        <v>5.0000000000000001E-4</v>
      </c>
      <c r="Q13">
        <v>1.4705754271038204E-2</v>
      </c>
      <c r="R13">
        <v>54</v>
      </c>
      <c r="S13">
        <f t="shared" si="1"/>
        <v>0.10502528732159398</v>
      </c>
      <c r="U13">
        <v>1293</v>
      </c>
      <c r="V13">
        <f t="shared" si="0"/>
        <v>0</v>
      </c>
      <c r="W13">
        <v>106.46100000000008</v>
      </c>
      <c r="X13">
        <v>106.46100000000008</v>
      </c>
      <c r="Y13" s="4">
        <f t="shared" si="2"/>
        <v>0</v>
      </c>
      <c r="Z13" t="s">
        <v>72</v>
      </c>
      <c r="AA13" s="77">
        <v>4.9000000000000002E-2</v>
      </c>
      <c r="AB13" s="77">
        <v>1200</v>
      </c>
    </row>
    <row r="14" spans="2:28" x14ac:dyDescent="0.3">
      <c r="B14" s="61" t="s">
        <v>112</v>
      </c>
      <c r="C14" s="63">
        <v>2E-3</v>
      </c>
      <c r="D14">
        <v>1.52753524066001E-2</v>
      </c>
      <c r="J14">
        <v>12.418846815834746</v>
      </c>
      <c r="M14">
        <v>1.7883139414802032</v>
      </c>
      <c r="O14" s="61" t="s">
        <v>112</v>
      </c>
      <c r="P14" s="63">
        <v>2E-3</v>
      </c>
      <c r="Q14">
        <v>1.52753524066001E-2</v>
      </c>
      <c r="R14">
        <v>48</v>
      </c>
      <c r="S14">
        <f t="shared" si="1"/>
        <v>0.21882257810783143</v>
      </c>
      <c r="U14">
        <v>1560</v>
      </c>
      <c r="V14">
        <f t="shared" si="0"/>
        <v>0</v>
      </c>
      <c r="W14">
        <v>12.418846815834746</v>
      </c>
      <c r="X14">
        <f>W14+W15</f>
        <v>23.895201409357526</v>
      </c>
      <c r="Y14" s="4">
        <f t="shared" si="2"/>
        <v>0</v>
      </c>
      <c r="AA14" s="77">
        <v>1.6E-2</v>
      </c>
      <c r="AB14" s="77">
        <v>92</v>
      </c>
    </row>
    <row r="15" spans="2:28" x14ac:dyDescent="0.3">
      <c r="B15" s="61" t="s">
        <v>113</v>
      </c>
      <c r="C15" s="63">
        <v>1E-3</v>
      </c>
      <c r="D15">
        <v>1.4536316328287807E-2</v>
      </c>
      <c r="J15">
        <v>11.47635459352278</v>
      </c>
      <c r="M15">
        <v>1.6525950614672802</v>
      </c>
      <c r="O15" s="61" t="s">
        <v>113</v>
      </c>
      <c r="P15" s="63">
        <v>1E-3</v>
      </c>
      <c r="Q15">
        <v>1.4536316328287807E-2</v>
      </c>
      <c r="R15">
        <v>49</v>
      </c>
      <c r="S15">
        <f t="shared" si="1"/>
        <v>0.16036672538169272</v>
      </c>
      <c r="U15">
        <v>1560</v>
      </c>
      <c r="V15">
        <f t="shared" si="0"/>
        <v>0</v>
      </c>
      <c r="W15">
        <v>11.47635459352278</v>
      </c>
      <c r="X15">
        <v>23.895201409357526</v>
      </c>
      <c r="Y15" s="3">
        <f t="shared" si="2"/>
        <v>0</v>
      </c>
      <c r="Z15" t="s">
        <v>72</v>
      </c>
      <c r="AA15" s="77">
        <v>1.6E-2</v>
      </c>
      <c r="AB15" s="77">
        <v>92</v>
      </c>
    </row>
    <row r="16" spans="2:28" x14ac:dyDescent="0.3">
      <c r="B16" s="2" t="s">
        <v>122</v>
      </c>
      <c r="C16" s="63">
        <v>2E-3</v>
      </c>
      <c r="D16">
        <v>2.1417709186983793E-2</v>
      </c>
      <c r="J16">
        <v>42.027391025641819</v>
      </c>
      <c r="M16">
        <v>9.3300808076924842</v>
      </c>
      <c r="O16" s="2" t="s">
        <v>122</v>
      </c>
      <c r="P16" s="63">
        <v>2E-3</v>
      </c>
      <c r="Q16">
        <v>2.1417709186983793E-2</v>
      </c>
      <c r="R16">
        <v>152</v>
      </c>
      <c r="S16">
        <f t="shared" si="1"/>
        <v>7.2095270653329241E-2</v>
      </c>
      <c r="T16">
        <v>2E-3</v>
      </c>
      <c r="U16">
        <v>1385</v>
      </c>
      <c r="V16">
        <f t="shared" si="0"/>
        <v>0.20632773889813791</v>
      </c>
      <c r="W16">
        <v>42.027391025641819</v>
      </c>
      <c r="X16">
        <f>W16+W17</f>
        <v>74.036365384617056</v>
      </c>
      <c r="Y16" s="3">
        <f t="shared" si="2"/>
        <v>15.275755866044404</v>
      </c>
      <c r="Z16" t="s">
        <v>72</v>
      </c>
      <c r="AA16" s="77">
        <v>0.05</v>
      </c>
      <c r="AB16" s="77">
        <f>73+382+50</f>
        <v>505</v>
      </c>
    </row>
    <row r="17" spans="2:28" x14ac:dyDescent="0.3">
      <c r="B17" s="2" t="s">
        <v>123</v>
      </c>
      <c r="C17" s="63">
        <v>2E-3</v>
      </c>
      <c r="D17">
        <v>2.0828788941068169E-2</v>
      </c>
      <c r="J17">
        <v>32.00897435897523</v>
      </c>
      <c r="M17">
        <v>11.87532948717981</v>
      </c>
      <c r="O17" s="2" t="s">
        <v>123</v>
      </c>
      <c r="P17" s="63">
        <v>2E-3</v>
      </c>
      <c r="Q17">
        <v>2.0828788941068169E-2</v>
      </c>
      <c r="R17">
        <v>152</v>
      </c>
      <c r="S17">
        <f t="shared" si="1"/>
        <v>7.4133716798356772E-2</v>
      </c>
      <c r="T17">
        <v>2E-3</v>
      </c>
      <c r="U17">
        <v>1385</v>
      </c>
      <c r="V17">
        <f t="shared" si="0"/>
        <v>0.20980847046517248</v>
      </c>
      <c r="W17">
        <v>32.00897435897523</v>
      </c>
      <c r="X17">
        <v>74.036365384617056</v>
      </c>
      <c r="Y17" s="4">
        <f t="shared" si="2"/>
        <v>15.533456580147146</v>
      </c>
      <c r="AA17" s="77">
        <v>0.05</v>
      </c>
      <c r="AB17" s="77">
        <v>505</v>
      </c>
    </row>
    <row r="18" spans="2:28" x14ac:dyDescent="0.3">
      <c r="B18" s="22" t="s">
        <v>127</v>
      </c>
      <c r="C18" s="63">
        <v>4.0000000000000001E-3</v>
      </c>
      <c r="D18">
        <v>3.5490134676326529E-2</v>
      </c>
      <c r="J18">
        <v>1.8368496225262092</v>
      </c>
      <c r="M18">
        <v>0.69800285655995953</v>
      </c>
      <c r="O18" s="22" t="s">
        <v>127</v>
      </c>
      <c r="P18" s="63">
        <v>4.0000000000000001E-3</v>
      </c>
      <c r="Q18">
        <v>3.5490134676326529E-2</v>
      </c>
      <c r="R18">
        <v>131</v>
      </c>
      <c r="S18">
        <f t="shared" si="1"/>
        <v>6.7975213479245414E-2</v>
      </c>
      <c r="U18">
        <v>917</v>
      </c>
      <c r="V18">
        <f t="shared" si="0"/>
        <v>0</v>
      </c>
      <c r="W18">
        <v>1.8368496225262092</v>
      </c>
      <c r="X18">
        <f>W18+W19</f>
        <v>12.666849622526209</v>
      </c>
      <c r="Y18" s="4">
        <f t="shared" si="2"/>
        <v>0</v>
      </c>
      <c r="Z18" t="s">
        <v>169</v>
      </c>
      <c r="AA18" s="77">
        <v>0.05</v>
      </c>
      <c r="AB18" s="77">
        <v>383</v>
      </c>
    </row>
    <row r="19" spans="2:28" x14ac:dyDescent="0.3">
      <c r="B19" s="22" t="s">
        <v>128</v>
      </c>
      <c r="C19" s="63">
        <v>4.0000000000000001E-3</v>
      </c>
      <c r="D19">
        <v>3.5600128006681601E-2</v>
      </c>
      <c r="J19">
        <v>10.83</v>
      </c>
      <c r="M19">
        <v>4.1154000000000002</v>
      </c>
      <c r="O19" s="22" t="s">
        <v>128</v>
      </c>
      <c r="P19" s="63">
        <v>4.0000000000000001E-3</v>
      </c>
      <c r="Q19">
        <v>3.5600128006681601E-2</v>
      </c>
      <c r="R19">
        <v>131</v>
      </c>
      <c r="S19">
        <f t="shared" si="1"/>
        <v>6.776519119756215E-2</v>
      </c>
      <c r="U19">
        <v>917</v>
      </c>
      <c r="V19">
        <f t="shared" si="0"/>
        <v>0</v>
      </c>
      <c r="W19">
        <v>10.83</v>
      </c>
      <c r="X19">
        <v>12.666849622526209</v>
      </c>
      <c r="Y19" s="4">
        <f t="shared" si="2"/>
        <v>0</v>
      </c>
      <c r="AA19" s="77">
        <v>0.05</v>
      </c>
      <c r="AB19" s="77">
        <v>383</v>
      </c>
    </row>
    <row r="20" spans="2:28" x14ac:dyDescent="0.3">
      <c r="B20" s="2" t="s">
        <v>114</v>
      </c>
      <c r="C20" s="63">
        <v>3.0000000000000001E-3</v>
      </c>
      <c r="D20">
        <v>3.9541119271284904E-2</v>
      </c>
      <c r="J20">
        <v>9.9352191732003501</v>
      </c>
      <c r="M20">
        <v>1.450541999287251</v>
      </c>
      <c r="O20" s="2" t="s">
        <v>114</v>
      </c>
      <c r="P20" s="63">
        <v>3.0000000000000001E-3</v>
      </c>
      <c r="Q20">
        <v>3.9541119271284904E-2</v>
      </c>
      <c r="R20">
        <v>104</v>
      </c>
      <c r="S20">
        <f t="shared" si="1"/>
        <v>6.1673604514622365E-2</v>
      </c>
      <c r="U20">
        <v>684</v>
      </c>
      <c r="V20">
        <f t="shared" si="0"/>
        <v>0</v>
      </c>
      <c r="W20">
        <v>9.9352191732003501</v>
      </c>
      <c r="X20">
        <v>9.9352191732003501</v>
      </c>
      <c r="Y20" s="4">
        <f t="shared" si="2"/>
        <v>0</v>
      </c>
      <c r="AA20" s="77">
        <v>0.05</v>
      </c>
      <c r="AB20" s="77">
        <v>383</v>
      </c>
    </row>
  </sheetData>
  <mergeCells count="1">
    <mergeCell ref="A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9ED7-B751-4EE6-ABCB-1C4E777417C0}">
  <dimension ref="A1:X116"/>
  <sheetViews>
    <sheetView topLeftCell="A94" workbookViewId="0">
      <selection activeCell="D20" sqref="D20"/>
    </sheetView>
  </sheetViews>
  <sheetFormatPr defaultRowHeight="14.4" x14ac:dyDescent="0.3"/>
  <cols>
    <col min="3" max="3" width="10.5546875" bestFit="1" customWidth="1"/>
    <col min="4" max="4" width="11.21875" bestFit="1" customWidth="1"/>
    <col min="9" max="9" width="11.33203125" bestFit="1" customWidth="1"/>
  </cols>
  <sheetData>
    <row r="1" spans="1:24" x14ac:dyDescent="0.3">
      <c r="A1" s="64" t="s">
        <v>133</v>
      </c>
      <c r="B1" s="64"/>
      <c r="C1" s="64" t="s">
        <v>134</v>
      </c>
      <c r="D1" s="64" t="s">
        <v>135</v>
      </c>
      <c r="E1" s="64" t="s">
        <v>136</v>
      </c>
      <c r="F1" s="64" t="s">
        <v>137</v>
      </c>
      <c r="G1" s="64" t="s">
        <v>138</v>
      </c>
      <c r="H1" s="64" t="s">
        <v>139</v>
      </c>
      <c r="I1" s="64" t="s">
        <v>140</v>
      </c>
      <c r="J1" s="64" t="s">
        <v>141</v>
      </c>
      <c r="K1" s="64" t="s">
        <v>142</v>
      </c>
      <c r="L1" s="64" t="s">
        <v>143</v>
      </c>
      <c r="M1" s="64" t="s">
        <v>144</v>
      </c>
    </row>
    <row r="2" spans="1:24" s="66" customFormat="1" x14ac:dyDescent="0.3">
      <c r="A2" s="65" t="s">
        <v>145</v>
      </c>
      <c r="B2" s="65" t="s">
        <v>146</v>
      </c>
      <c r="C2" s="65">
        <v>5</v>
      </c>
      <c r="D2" s="65">
        <v>0</v>
      </c>
      <c r="E2" s="65">
        <v>25.58</v>
      </c>
      <c r="F2" s="65"/>
      <c r="G2" s="65"/>
      <c r="H2" s="65"/>
      <c r="I2" s="65">
        <f>0.867*E2</f>
        <v>22.177859999999999</v>
      </c>
      <c r="J2" s="65">
        <f>I2*C2</f>
        <v>110.88929999999999</v>
      </c>
      <c r="K2" s="65">
        <f>J2</f>
        <v>110.88929999999999</v>
      </c>
      <c r="L2" s="65">
        <f>C2</f>
        <v>5</v>
      </c>
      <c r="M2" s="65">
        <f>K2/L2</f>
        <v>22.177859999999999</v>
      </c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 spans="1:24" x14ac:dyDescent="0.3">
      <c r="A3" s="67"/>
      <c r="B3" s="67"/>
      <c r="C3" s="67"/>
      <c r="D3" s="67"/>
      <c r="E3" s="67"/>
      <c r="F3" s="68"/>
      <c r="G3" s="68"/>
      <c r="H3" s="68"/>
      <c r="I3" s="65">
        <f t="shared" ref="I3:I66" si="0">0.867*E3</f>
        <v>0</v>
      </c>
      <c r="J3" s="65">
        <f t="shared" ref="J3:J66" si="1">I3*C3</f>
        <v>0</v>
      </c>
      <c r="K3" s="2"/>
      <c r="L3" s="2"/>
      <c r="M3" s="65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66" customFormat="1" x14ac:dyDescent="0.3">
      <c r="A4" s="65"/>
      <c r="B4" s="69" t="s">
        <v>147</v>
      </c>
      <c r="C4" s="65">
        <v>18</v>
      </c>
      <c r="D4" s="65">
        <v>0</v>
      </c>
      <c r="E4" s="65">
        <v>43.34</v>
      </c>
      <c r="F4" s="65">
        <f>0.606*E4</f>
        <v>26.264040000000001</v>
      </c>
      <c r="G4" s="65">
        <f>0.7162*E4</f>
        <v>31.040108</v>
      </c>
      <c r="H4" s="65">
        <f>0.867*E4</f>
        <v>37.575780000000002</v>
      </c>
      <c r="I4" s="65">
        <f t="shared" si="0"/>
        <v>37.575780000000002</v>
      </c>
      <c r="J4" s="65">
        <f t="shared" si="1"/>
        <v>676.36404000000005</v>
      </c>
      <c r="K4" s="65">
        <f>J4+J8+J10+J12+J15+J17</f>
        <v>3408.0382800000002</v>
      </c>
      <c r="L4" s="65">
        <f>C4+C8+C10+C12+C15+C17</f>
        <v>92</v>
      </c>
      <c r="M4" s="65">
        <f>K4/L4</f>
        <v>37.04389434782609</v>
      </c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</row>
    <row r="5" spans="1:24" x14ac:dyDescent="0.3">
      <c r="A5" s="67"/>
      <c r="B5" s="70"/>
      <c r="C5" s="67"/>
      <c r="D5" s="67">
        <v>9</v>
      </c>
      <c r="E5" s="67">
        <v>36.39</v>
      </c>
      <c r="F5" s="68">
        <f>0.606*E5</f>
        <v>22.052340000000001</v>
      </c>
      <c r="G5" s="68">
        <f t="shared" ref="G5:G68" si="2">0.7162*E5</f>
        <v>26.062517999999997</v>
      </c>
      <c r="H5" s="68">
        <f t="shared" ref="H5:H68" si="3">0.867*E5</f>
        <v>31.550129999999999</v>
      </c>
      <c r="I5" s="65">
        <f t="shared" si="0"/>
        <v>31.550129999999999</v>
      </c>
      <c r="J5" s="65">
        <f t="shared" si="1"/>
        <v>0</v>
      </c>
      <c r="K5" s="2"/>
      <c r="L5" s="2"/>
      <c r="M5" s="65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3">
      <c r="A6" s="56"/>
      <c r="B6" s="69"/>
      <c r="C6" s="56"/>
      <c r="D6" s="56"/>
      <c r="E6" s="56"/>
      <c r="F6" s="68">
        <f t="shared" ref="F6:F69" si="4">0.606*E6</f>
        <v>0</v>
      </c>
      <c r="G6" s="68">
        <f t="shared" si="2"/>
        <v>0</v>
      </c>
      <c r="H6" s="68">
        <f t="shared" si="3"/>
        <v>0</v>
      </c>
      <c r="I6" s="65">
        <f t="shared" si="0"/>
        <v>0</v>
      </c>
      <c r="J6" s="65">
        <f t="shared" si="1"/>
        <v>0</v>
      </c>
      <c r="K6" s="2"/>
      <c r="L6" s="2"/>
      <c r="M6" s="65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x14ac:dyDescent="0.3">
      <c r="A7" s="56"/>
      <c r="B7" s="69"/>
      <c r="C7" s="56">
        <v>22</v>
      </c>
      <c r="D7" s="56">
        <v>11</v>
      </c>
      <c r="E7" s="56">
        <v>46.65</v>
      </c>
      <c r="F7" s="68">
        <f t="shared" si="4"/>
        <v>28.2699</v>
      </c>
      <c r="G7" s="68">
        <f t="shared" si="2"/>
        <v>33.410729999999994</v>
      </c>
      <c r="H7" s="68">
        <f t="shared" si="3"/>
        <v>40.445549999999997</v>
      </c>
      <c r="I7" s="65">
        <f t="shared" si="0"/>
        <v>40.445549999999997</v>
      </c>
      <c r="J7" s="65">
        <f t="shared" si="1"/>
        <v>889.80209999999988</v>
      </c>
      <c r="K7" s="2"/>
      <c r="L7" s="2"/>
      <c r="M7" s="65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66" customFormat="1" x14ac:dyDescent="0.3">
      <c r="A8" s="65"/>
      <c r="B8" s="69"/>
      <c r="C8" s="65">
        <v>22</v>
      </c>
      <c r="D8" s="65">
        <v>0</v>
      </c>
      <c r="E8" s="65">
        <v>49.24</v>
      </c>
      <c r="F8" s="65">
        <f t="shared" si="4"/>
        <v>29.83944</v>
      </c>
      <c r="G8" s="65">
        <f t="shared" si="2"/>
        <v>35.265687999999997</v>
      </c>
      <c r="H8" s="65">
        <f t="shared" si="3"/>
        <v>42.691079999999999</v>
      </c>
      <c r="I8" s="65">
        <f t="shared" si="0"/>
        <v>42.691079999999999</v>
      </c>
      <c r="J8" s="65">
        <f t="shared" si="1"/>
        <v>939.20375999999999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</row>
    <row r="9" spans="1:24" x14ac:dyDescent="0.3">
      <c r="A9" s="67"/>
      <c r="B9" s="70"/>
      <c r="C9" s="67"/>
      <c r="D9" s="67"/>
      <c r="E9" s="67"/>
      <c r="F9" s="68">
        <f t="shared" si="4"/>
        <v>0</v>
      </c>
      <c r="G9" s="68">
        <f t="shared" si="2"/>
        <v>0</v>
      </c>
      <c r="H9" s="68">
        <f t="shared" si="3"/>
        <v>0</v>
      </c>
      <c r="I9" s="65">
        <f t="shared" si="0"/>
        <v>0</v>
      </c>
      <c r="J9" s="65">
        <f t="shared" si="1"/>
        <v>0</v>
      </c>
      <c r="K9" s="2"/>
      <c r="L9" s="2"/>
      <c r="M9" s="65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s="66" customFormat="1" x14ac:dyDescent="0.3">
      <c r="A10" s="65"/>
      <c r="B10" s="69"/>
      <c r="C10" s="65">
        <v>12</v>
      </c>
      <c r="D10" s="65">
        <v>0</v>
      </c>
      <c r="E10" s="65">
        <v>30.49</v>
      </c>
      <c r="F10" s="65">
        <f t="shared" si="4"/>
        <v>18.476939999999999</v>
      </c>
      <c r="G10" s="65">
        <f t="shared" si="2"/>
        <v>21.836937999999996</v>
      </c>
      <c r="H10" s="65">
        <f t="shared" si="3"/>
        <v>26.434829999999998</v>
      </c>
      <c r="I10" s="65">
        <f t="shared" si="0"/>
        <v>26.434829999999998</v>
      </c>
      <c r="J10" s="65">
        <f t="shared" si="1"/>
        <v>317.21795999999995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</row>
    <row r="11" spans="1:24" x14ac:dyDescent="0.3">
      <c r="A11" s="67"/>
      <c r="B11" s="70"/>
      <c r="C11" s="67"/>
      <c r="D11" s="67"/>
      <c r="E11" s="67"/>
      <c r="F11" s="68">
        <f t="shared" si="4"/>
        <v>0</v>
      </c>
      <c r="G11" s="68">
        <f t="shared" si="2"/>
        <v>0</v>
      </c>
      <c r="H11" s="68">
        <f t="shared" si="3"/>
        <v>0</v>
      </c>
      <c r="I11" s="65">
        <f t="shared" si="0"/>
        <v>0</v>
      </c>
      <c r="J11" s="65">
        <f t="shared" si="1"/>
        <v>0</v>
      </c>
      <c r="K11" s="2"/>
      <c r="L11" s="2"/>
      <c r="M11" s="6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s="66" customFormat="1" x14ac:dyDescent="0.3">
      <c r="A12" s="65"/>
      <c r="B12" s="69"/>
      <c r="C12" s="65">
        <v>13</v>
      </c>
      <c r="D12" s="65">
        <v>0</v>
      </c>
      <c r="E12" s="65">
        <v>26.82</v>
      </c>
      <c r="F12" s="65">
        <f t="shared" si="4"/>
        <v>16.25292</v>
      </c>
      <c r="G12" s="65">
        <f t="shared" si="2"/>
        <v>19.208483999999999</v>
      </c>
      <c r="H12" s="65">
        <f t="shared" si="3"/>
        <v>23.252939999999999</v>
      </c>
      <c r="I12" s="65">
        <f t="shared" si="0"/>
        <v>23.252939999999999</v>
      </c>
      <c r="J12" s="65">
        <f t="shared" si="1"/>
        <v>302.28821999999997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 spans="1:24" x14ac:dyDescent="0.3">
      <c r="A13" s="67"/>
      <c r="B13" s="70"/>
      <c r="C13" s="67"/>
      <c r="D13" s="67"/>
      <c r="E13" s="67"/>
      <c r="F13" s="68">
        <f t="shared" si="4"/>
        <v>0</v>
      </c>
      <c r="G13" s="68">
        <f t="shared" si="2"/>
        <v>0</v>
      </c>
      <c r="H13" s="68">
        <f t="shared" si="3"/>
        <v>0</v>
      </c>
      <c r="I13" s="65">
        <f t="shared" si="0"/>
        <v>0</v>
      </c>
      <c r="J13" s="65">
        <f t="shared" si="1"/>
        <v>0</v>
      </c>
      <c r="K13" s="2"/>
      <c r="L13" s="2"/>
      <c r="M13" s="6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x14ac:dyDescent="0.3">
      <c r="A14" s="56"/>
      <c r="B14" s="69"/>
      <c r="C14" s="56">
        <v>22</v>
      </c>
      <c r="D14" s="56">
        <v>11</v>
      </c>
      <c r="E14" s="56">
        <v>50.05</v>
      </c>
      <c r="F14" s="68">
        <f t="shared" si="4"/>
        <v>30.330299999999998</v>
      </c>
      <c r="G14" s="68">
        <f t="shared" si="2"/>
        <v>35.845809999999993</v>
      </c>
      <c r="H14" s="68">
        <f t="shared" si="3"/>
        <v>43.393349999999998</v>
      </c>
      <c r="I14" s="65">
        <f t="shared" si="0"/>
        <v>43.393349999999998</v>
      </c>
      <c r="J14" s="65">
        <f t="shared" si="1"/>
        <v>954.65369999999996</v>
      </c>
      <c r="K14" s="2"/>
      <c r="L14" s="2"/>
      <c r="M14" s="6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s="66" customFormat="1" x14ac:dyDescent="0.3">
      <c r="A15" s="65"/>
      <c r="B15" s="69"/>
      <c r="C15" s="65">
        <v>22</v>
      </c>
      <c r="D15" s="65">
        <v>0</v>
      </c>
      <c r="E15" s="65">
        <v>53.6</v>
      </c>
      <c r="F15" s="65">
        <f t="shared" si="4"/>
        <v>32.4816</v>
      </c>
      <c r="G15" s="65">
        <f t="shared" si="2"/>
        <v>38.38832</v>
      </c>
      <c r="H15" s="65">
        <f t="shared" si="3"/>
        <v>46.471200000000003</v>
      </c>
      <c r="I15" s="65">
        <f t="shared" si="0"/>
        <v>46.471200000000003</v>
      </c>
      <c r="J15" s="65">
        <f t="shared" si="1"/>
        <v>1022.3664000000001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 spans="1:24" x14ac:dyDescent="0.3">
      <c r="A16" s="67"/>
      <c r="B16" s="70"/>
      <c r="C16" s="67"/>
      <c r="D16" s="67"/>
      <c r="E16" s="67"/>
      <c r="F16" s="68">
        <f t="shared" si="4"/>
        <v>0</v>
      </c>
      <c r="G16" s="68">
        <f t="shared" si="2"/>
        <v>0</v>
      </c>
      <c r="H16" s="68">
        <f t="shared" si="3"/>
        <v>0</v>
      </c>
      <c r="I16" s="65">
        <f t="shared" si="0"/>
        <v>0</v>
      </c>
      <c r="J16" s="65">
        <f t="shared" si="1"/>
        <v>0</v>
      </c>
      <c r="K16" s="2"/>
      <c r="L16" s="2"/>
      <c r="M16" s="6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s="66" customFormat="1" x14ac:dyDescent="0.3">
      <c r="A17" s="65"/>
      <c r="B17" s="69"/>
      <c r="C17" s="65">
        <v>5</v>
      </c>
      <c r="D17" s="65">
        <v>0</v>
      </c>
      <c r="E17" s="65">
        <v>34.74</v>
      </c>
      <c r="F17" s="65">
        <f t="shared" si="4"/>
        <v>21.052440000000001</v>
      </c>
      <c r="G17" s="65">
        <f t="shared" si="2"/>
        <v>24.880787999999999</v>
      </c>
      <c r="H17" s="65">
        <f t="shared" si="3"/>
        <v>30.119580000000003</v>
      </c>
      <c r="I17" s="65">
        <f t="shared" si="0"/>
        <v>30.119580000000003</v>
      </c>
      <c r="J17" s="65">
        <f t="shared" si="1"/>
        <v>150.59790000000001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 spans="1:24" x14ac:dyDescent="0.3">
      <c r="A18" s="67"/>
      <c r="B18" s="67"/>
      <c r="C18" s="67"/>
      <c r="D18" s="67"/>
      <c r="E18" s="67"/>
      <c r="F18" s="68">
        <f t="shared" si="4"/>
        <v>0</v>
      </c>
      <c r="G18" s="68">
        <f t="shared" si="2"/>
        <v>0</v>
      </c>
      <c r="H18" s="68">
        <f t="shared" si="3"/>
        <v>0</v>
      </c>
      <c r="I18" s="65">
        <f t="shared" si="0"/>
        <v>0</v>
      </c>
      <c r="J18" s="65">
        <f t="shared" si="1"/>
        <v>0</v>
      </c>
      <c r="K18" s="2"/>
      <c r="L18" s="2"/>
      <c r="M18" s="6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s="66" customFormat="1" x14ac:dyDescent="0.3">
      <c r="A19" s="65" t="s">
        <v>148</v>
      </c>
      <c r="B19" s="65"/>
      <c r="C19" s="65">
        <v>12</v>
      </c>
      <c r="D19" s="65">
        <v>0</v>
      </c>
      <c r="E19" s="65">
        <v>20.58</v>
      </c>
      <c r="F19" s="65">
        <f t="shared" si="4"/>
        <v>12.471479999999998</v>
      </c>
      <c r="G19" s="65">
        <f t="shared" si="2"/>
        <v>14.739395999999997</v>
      </c>
      <c r="H19" s="65">
        <f t="shared" si="3"/>
        <v>17.842859999999998</v>
      </c>
      <c r="I19" s="65">
        <f t="shared" si="0"/>
        <v>17.842859999999998</v>
      </c>
      <c r="J19" s="65">
        <f t="shared" si="1"/>
        <v>214.11431999999996</v>
      </c>
      <c r="K19" s="65">
        <f>SUM(J19,J21)</f>
        <v>453.79647</v>
      </c>
      <c r="L19" s="65">
        <f>C19+C21</f>
        <v>31</v>
      </c>
      <c r="M19" s="65">
        <f t="shared" ref="M19:M33" si="5">K19/L19</f>
        <v>14.638595806451614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 spans="1:24" x14ac:dyDescent="0.3">
      <c r="A20" s="67"/>
      <c r="B20" s="67"/>
      <c r="C20" s="67"/>
      <c r="D20" s="67"/>
      <c r="E20" s="67"/>
      <c r="F20" s="68">
        <f t="shared" si="4"/>
        <v>0</v>
      </c>
      <c r="G20" s="68">
        <f t="shared" si="2"/>
        <v>0</v>
      </c>
      <c r="H20" s="68">
        <f t="shared" si="3"/>
        <v>0</v>
      </c>
      <c r="I20" s="65">
        <f t="shared" si="0"/>
        <v>0</v>
      </c>
      <c r="J20" s="65">
        <f t="shared" si="1"/>
        <v>0</v>
      </c>
      <c r="K20" s="2"/>
      <c r="L20" s="2"/>
      <c r="M20" s="6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s="66" customFormat="1" x14ac:dyDescent="0.3">
      <c r="A21" s="65"/>
      <c r="B21" s="65"/>
      <c r="C21" s="65">
        <v>19</v>
      </c>
      <c r="D21" s="65">
        <v>0</v>
      </c>
      <c r="E21" s="65">
        <v>14.55</v>
      </c>
      <c r="F21" s="65">
        <f t="shared" si="4"/>
        <v>8.8172999999999995</v>
      </c>
      <c r="G21" s="65">
        <f t="shared" si="2"/>
        <v>10.42071</v>
      </c>
      <c r="H21" s="65">
        <f t="shared" si="3"/>
        <v>12.614850000000001</v>
      </c>
      <c r="I21" s="65">
        <f t="shared" si="0"/>
        <v>12.614850000000001</v>
      </c>
      <c r="J21" s="65">
        <f t="shared" si="1"/>
        <v>239.68215000000001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spans="1:24" x14ac:dyDescent="0.3">
      <c r="A22" s="67"/>
      <c r="B22" s="67"/>
      <c r="C22" s="67"/>
      <c r="D22" s="67">
        <v>9.5</v>
      </c>
      <c r="E22" s="67">
        <v>12.53</v>
      </c>
      <c r="F22" s="68">
        <f t="shared" si="4"/>
        <v>7.5931799999999994</v>
      </c>
      <c r="G22" s="68">
        <f t="shared" si="2"/>
        <v>8.9739859999999982</v>
      </c>
      <c r="H22" s="68">
        <f t="shared" si="3"/>
        <v>10.86351</v>
      </c>
      <c r="I22" s="65">
        <f t="shared" si="0"/>
        <v>10.86351</v>
      </c>
      <c r="J22" s="65">
        <f t="shared" si="1"/>
        <v>0</v>
      </c>
      <c r="K22" s="2"/>
      <c r="L22" s="2"/>
      <c r="M22" s="6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3">
      <c r="A23" s="56"/>
      <c r="B23" s="56"/>
      <c r="C23" s="56"/>
      <c r="D23" s="56"/>
      <c r="E23" s="56"/>
      <c r="F23" s="68">
        <f t="shared" si="4"/>
        <v>0</v>
      </c>
      <c r="G23" s="68">
        <f t="shared" si="2"/>
        <v>0</v>
      </c>
      <c r="H23" s="68">
        <f t="shared" si="3"/>
        <v>0</v>
      </c>
      <c r="I23" s="65">
        <f t="shared" si="0"/>
        <v>0</v>
      </c>
      <c r="J23" s="65">
        <f t="shared" si="1"/>
        <v>0</v>
      </c>
      <c r="K23" s="2"/>
      <c r="L23" s="2"/>
      <c r="M23" s="6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s="66" customFormat="1" x14ac:dyDescent="0.3">
      <c r="A24" s="65" t="s">
        <v>149</v>
      </c>
      <c r="B24" s="65"/>
      <c r="C24" s="65">
        <v>12</v>
      </c>
      <c r="D24" s="65">
        <v>0</v>
      </c>
      <c r="E24" s="65">
        <v>12.42</v>
      </c>
      <c r="F24" s="65">
        <f t="shared" si="4"/>
        <v>7.5265199999999997</v>
      </c>
      <c r="G24" s="65">
        <f t="shared" si="2"/>
        <v>8.8952039999999997</v>
      </c>
      <c r="H24" s="65">
        <f t="shared" si="3"/>
        <v>10.768140000000001</v>
      </c>
      <c r="I24" s="65">
        <f t="shared" si="0"/>
        <v>10.768140000000001</v>
      </c>
      <c r="J24" s="65">
        <f t="shared" si="1"/>
        <v>129.21768</v>
      </c>
      <c r="K24" s="65">
        <f>J24+J26+J29+J31</f>
        <v>1037.92038</v>
      </c>
      <c r="L24" s="65">
        <f>C24+C26+C29+C31</f>
        <v>91</v>
      </c>
      <c r="M24" s="65">
        <f t="shared" si="5"/>
        <v>11.405718461538461</v>
      </c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 spans="1:24" x14ac:dyDescent="0.3">
      <c r="A25" s="71"/>
      <c r="B25" s="71"/>
      <c r="C25" s="71"/>
      <c r="D25" s="71"/>
      <c r="E25" s="71"/>
      <c r="F25" s="68">
        <f t="shared" si="4"/>
        <v>0</v>
      </c>
      <c r="G25" s="68">
        <f t="shared" si="2"/>
        <v>0</v>
      </c>
      <c r="H25" s="68">
        <f t="shared" si="3"/>
        <v>0</v>
      </c>
      <c r="I25" s="65">
        <f t="shared" si="0"/>
        <v>0</v>
      </c>
      <c r="J25" s="65">
        <f t="shared" si="1"/>
        <v>0</v>
      </c>
      <c r="K25" s="2"/>
      <c r="L25" s="2"/>
      <c r="M25" s="6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s="66" customFormat="1" x14ac:dyDescent="0.3">
      <c r="A26" s="65"/>
      <c r="B26" s="65"/>
      <c r="C26" s="65">
        <v>28</v>
      </c>
      <c r="D26" s="65">
        <v>0</v>
      </c>
      <c r="E26" s="65">
        <v>12.68</v>
      </c>
      <c r="F26" s="65">
        <f t="shared" si="4"/>
        <v>7.6840799999999998</v>
      </c>
      <c r="G26" s="65">
        <f t="shared" si="2"/>
        <v>9.081415999999999</v>
      </c>
      <c r="H26" s="65">
        <f t="shared" si="3"/>
        <v>10.99356</v>
      </c>
      <c r="I26" s="65">
        <f t="shared" si="0"/>
        <v>10.99356</v>
      </c>
      <c r="J26" s="65">
        <f t="shared" si="1"/>
        <v>307.81968000000001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 spans="1:24" x14ac:dyDescent="0.3">
      <c r="A27" s="67"/>
      <c r="B27" s="67"/>
      <c r="C27" s="67"/>
      <c r="D27" s="67">
        <v>12</v>
      </c>
      <c r="E27" s="67">
        <v>11.02</v>
      </c>
      <c r="F27" s="68">
        <f t="shared" si="4"/>
        <v>6.6781199999999998</v>
      </c>
      <c r="G27" s="68">
        <f t="shared" si="2"/>
        <v>7.892523999999999</v>
      </c>
      <c r="H27" s="68">
        <f t="shared" si="3"/>
        <v>9.5543399999999998</v>
      </c>
      <c r="I27" s="65">
        <f t="shared" si="0"/>
        <v>9.5543399999999998</v>
      </c>
      <c r="J27" s="65">
        <f t="shared" si="1"/>
        <v>0</v>
      </c>
      <c r="K27" s="2"/>
      <c r="L27" s="2"/>
      <c r="M27" s="6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3">
      <c r="A28" s="72"/>
      <c r="B28" s="72"/>
      <c r="C28" s="72"/>
      <c r="D28" s="72"/>
      <c r="E28" s="72"/>
      <c r="F28" s="68">
        <f t="shared" si="4"/>
        <v>0</v>
      </c>
      <c r="G28" s="68">
        <f t="shared" si="2"/>
        <v>0</v>
      </c>
      <c r="H28" s="68">
        <f t="shared" si="3"/>
        <v>0</v>
      </c>
      <c r="I28" s="65">
        <f t="shared" si="0"/>
        <v>0</v>
      </c>
      <c r="J28" s="65">
        <f t="shared" si="1"/>
        <v>0</v>
      </c>
      <c r="K28" s="2"/>
      <c r="L28" s="2"/>
      <c r="M28" s="6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s="66" customFormat="1" x14ac:dyDescent="0.3">
      <c r="A29" s="65"/>
      <c r="B29" s="65"/>
      <c r="C29" s="65">
        <v>30</v>
      </c>
      <c r="D29" s="65">
        <v>0</v>
      </c>
      <c r="E29" s="65">
        <v>15.71</v>
      </c>
      <c r="F29" s="65">
        <f t="shared" si="4"/>
        <v>9.5202600000000004</v>
      </c>
      <c r="G29" s="65">
        <f t="shared" si="2"/>
        <v>11.251502</v>
      </c>
      <c r="H29" s="65">
        <f t="shared" si="3"/>
        <v>13.620570000000001</v>
      </c>
      <c r="I29" s="65">
        <f t="shared" si="0"/>
        <v>13.620570000000001</v>
      </c>
      <c r="J29" s="65">
        <f t="shared" si="1"/>
        <v>408.61710000000005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 spans="1:24" x14ac:dyDescent="0.3">
      <c r="A30" s="71"/>
      <c r="B30" s="71"/>
      <c r="C30" s="71"/>
      <c r="D30" s="71"/>
      <c r="E30" s="71"/>
      <c r="F30" s="68">
        <f t="shared" si="4"/>
        <v>0</v>
      </c>
      <c r="G30" s="68">
        <f t="shared" si="2"/>
        <v>0</v>
      </c>
      <c r="H30" s="68">
        <f t="shared" si="3"/>
        <v>0</v>
      </c>
      <c r="I30" s="65">
        <f t="shared" si="0"/>
        <v>0</v>
      </c>
      <c r="J30" s="65">
        <f t="shared" si="1"/>
        <v>0</v>
      </c>
      <c r="K30" s="2"/>
      <c r="L30" s="2"/>
      <c r="M30" s="6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s="66" customFormat="1" x14ac:dyDescent="0.3">
      <c r="A31" s="65"/>
      <c r="B31" s="65"/>
      <c r="C31" s="65">
        <v>21</v>
      </c>
      <c r="D31" s="65">
        <v>0</v>
      </c>
      <c r="E31" s="65">
        <v>10.56</v>
      </c>
      <c r="F31" s="65">
        <f t="shared" si="4"/>
        <v>6.3993599999999997</v>
      </c>
      <c r="G31" s="65">
        <f t="shared" si="2"/>
        <v>7.563072</v>
      </c>
      <c r="H31" s="65">
        <f t="shared" si="3"/>
        <v>9.155520000000001</v>
      </c>
      <c r="I31" s="65">
        <f t="shared" si="0"/>
        <v>9.155520000000001</v>
      </c>
      <c r="J31" s="65">
        <f t="shared" si="1"/>
        <v>192.26592000000002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 spans="1:24" x14ac:dyDescent="0.3">
      <c r="A32" s="71"/>
      <c r="B32" s="71"/>
      <c r="C32" s="71"/>
      <c r="D32" s="71"/>
      <c r="E32" s="71"/>
      <c r="F32" s="68">
        <f t="shared" si="4"/>
        <v>0</v>
      </c>
      <c r="G32" s="68">
        <f t="shared" si="2"/>
        <v>0</v>
      </c>
      <c r="H32" s="68">
        <f t="shared" si="3"/>
        <v>0</v>
      </c>
      <c r="I32" s="65">
        <f t="shared" si="0"/>
        <v>0</v>
      </c>
      <c r="J32" s="65">
        <f t="shared" si="1"/>
        <v>0</v>
      </c>
      <c r="K32" s="2"/>
      <c r="L32" s="2"/>
      <c r="M32" s="6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s="66" customFormat="1" x14ac:dyDescent="0.3">
      <c r="A33" s="65" t="s">
        <v>101</v>
      </c>
      <c r="B33" s="65"/>
      <c r="C33" s="65">
        <v>8</v>
      </c>
      <c r="D33" s="65">
        <v>0</v>
      </c>
      <c r="E33" s="65">
        <v>7.84</v>
      </c>
      <c r="F33" s="65">
        <f t="shared" si="4"/>
        <v>4.7510399999999997</v>
      </c>
      <c r="G33" s="65">
        <f t="shared" si="2"/>
        <v>5.6150079999999996</v>
      </c>
      <c r="H33" s="65">
        <f t="shared" si="3"/>
        <v>6.7972799999999998</v>
      </c>
      <c r="I33" s="65">
        <f t="shared" si="0"/>
        <v>6.7972799999999998</v>
      </c>
      <c r="J33" s="65">
        <f t="shared" si="1"/>
        <v>54.378239999999998</v>
      </c>
      <c r="K33" s="65">
        <f>J33+J35+J37+J39+J42+J45+J47+J49+J51+J53</f>
        <v>1904.560575</v>
      </c>
      <c r="L33" s="65">
        <f>C33+C35+C37+C39+C42+C45+C47+C49+C51+C53</f>
        <v>84.5</v>
      </c>
      <c r="M33" s="65">
        <f t="shared" si="5"/>
        <v>22.539178402366865</v>
      </c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</row>
    <row r="34" spans="1:24" x14ac:dyDescent="0.3">
      <c r="A34" s="71"/>
      <c r="B34" s="71"/>
      <c r="C34" s="71"/>
      <c r="D34" s="71"/>
      <c r="E34" s="71"/>
      <c r="F34" s="68">
        <f t="shared" si="4"/>
        <v>0</v>
      </c>
      <c r="G34" s="68">
        <f t="shared" si="2"/>
        <v>0</v>
      </c>
      <c r="H34" s="68">
        <f t="shared" si="3"/>
        <v>0</v>
      </c>
      <c r="I34" s="65">
        <f t="shared" si="0"/>
        <v>0</v>
      </c>
      <c r="J34" s="65">
        <f t="shared" si="1"/>
        <v>0</v>
      </c>
      <c r="K34" s="2"/>
      <c r="L34" s="2"/>
      <c r="M34" s="6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s="66" customFormat="1" x14ac:dyDescent="0.3">
      <c r="A35" s="65"/>
      <c r="B35" s="65"/>
      <c r="C35" s="65">
        <v>5</v>
      </c>
      <c r="D35" s="65">
        <v>0</v>
      </c>
      <c r="E35" s="65">
        <v>4.47</v>
      </c>
      <c r="F35" s="65">
        <f t="shared" si="4"/>
        <v>2.7088199999999998</v>
      </c>
      <c r="G35" s="65">
        <f t="shared" si="2"/>
        <v>3.2014139999999998</v>
      </c>
      <c r="H35" s="65">
        <f t="shared" si="3"/>
        <v>3.8754899999999997</v>
      </c>
      <c r="I35" s="65">
        <f t="shared" si="0"/>
        <v>3.8754899999999997</v>
      </c>
      <c r="J35" s="65">
        <f t="shared" si="1"/>
        <v>19.37745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 spans="1:24" x14ac:dyDescent="0.3">
      <c r="A36" s="71"/>
      <c r="B36" s="71"/>
      <c r="C36" s="71"/>
      <c r="D36" s="71"/>
      <c r="E36" s="71"/>
      <c r="F36" s="68">
        <f t="shared" si="4"/>
        <v>0</v>
      </c>
      <c r="G36" s="68">
        <f t="shared" si="2"/>
        <v>0</v>
      </c>
      <c r="H36" s="68">
        <f t="shared" si="3"/>
        <v>0</v>
      </c>
      <c r="I36" s="65">
        <f t="shared" si="0"/>
        <v>0</v>
      </c>
      <c r="J36" s="65">
        <f t="shared" si="1"/>
        <v>0</v>
      </c>
      <c r="K36" s="2"/>
      <c r="L36" s="2"/>
      <c r="M36" s="6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s="66" customFormat="1" x14ac:dyDescent="0.3">
      <c r="A37" s="65"/>
      <c r="B37" s="65"/>
      <c r="C37" s="65">
        <v>4</v>
      </c>
      <c r="D37" s="65">
        <v>0</v>
      </c>
      <c r="E37" s="65">
        <v>23.86</v>
      </c>
      <c r="F37" s="65">
        <f t="shared" si="4"/>
        <v>14.459159999999999</v>
      </c>
      <c r="G37" s="65">
        <f t="shared" si="2"/>
        <v>17.088531999999997</v>
      </c>
      <c r="H37" s="65">
        <f t="shared" si="3"/>
        <v>20.686619999999998</v>
      </c>
      <c r="I37" s="65">
        <f t="shared" si="0"/>
        <v>20.686619999999998</v>
      </c>
      <c r="J37" s="65">
        <f t="shared" si="1"/>
        <v>82.746479999999991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</row>
    <row r="38" spans="1:24" x14ac:dyDescent="0.3">
      <c r="A38" s="71"/>
      <c r="B38" s="71"/>
      <c r="C38" s="71"/>
      <c r="D38" s="71"/>
      <c r="E38" s="71"/>
      <c r="F38" s="68">
        <f t="shared" si="4"/>
        <v>0</v>
      </c>
      <c r="G38" s="68">
        <f t="shared" si="2"/>
        <v>0</v>
      </c>
      <c r="H38" s="68">
        <f t="shared" si="3"/>
        <v>0</v>
      </c>
      <c r="I38" s="65">
        <f t="shared" si="0"/>
        <v>0</v>
      </c>
      <c r="J38" s="65">
        <f t="shared" si="1"/>
        <v>0</v>
      </c>
      <c r="K38" s="2"/>
      <c r="L38" s="2"/>
      <c r="M38" s="6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s="66" customFormat="1" x14ac:dyDescent="0.3">
      <c r="A39" s="65"/>
      <c r="B39" s="65"/>
      <c r="C39" s="65">
        <v>7</v>
      </c>
      <c r="D39" s="65">
        <v>0</v>
      </c>
      <c r="E39" s="65">
        <v>29.72</v>
      </c>
      <c r="F39" s="65">
        <f t="shared" si="4"/>
        <v>18.01032</v>
      </c>
      <c r="G39" s="65">
        <f t="shared" si="2"/>
        <v>21.285463999999997</v>
      </c>
      <c r="H39" s="65">
        <f t="shared" si="3"/>
        <v>25.767239999999997</v>
      </c>
      <c r="I39" s="65">
        <f t="shared" si="0"/>
        <v>25.767239999999997</v>
      </c>
      <c r="J39" s="65">
        <f t="shared" si="1"/>
        <v>180.37067999999999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</row>
    <row r="40" spans="1:24" x14ac:dyDescent="0.3">
      <c r="A40" s="67"/>
      <c r="B40" s="67"/>
      <c r="C40" s="67"/>
      <c r="D40" s="67"/>
      <c r="E40" s="67"/>
      <c r="F40" s="68">
        <f t="shared" si="4"/>
        <v>0</v>
      </c>
      <c r="G40" s="68">
        <f t="shared" si="2"/>
        <v>0</v>
      </c>
      <c r="H40" s="68">
        <f t="shared" si="3"/>
        <v>0</v>
      </c>
      <c r="I40" s="65">
        <f t="shared" si="0"/>
        <v>0</v>
      </c>
      <c r="J40" s="65">
        <f t="shared" si="1"/>
        <v>0</v>
      </c>
      <c r="K40" s="2"/>
      <c r="L40" s="2"/>
      <c r="M40" s="6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3">
      <c r="A41" s="72"/>
      <c r="B41" s="72"/>
      <c r="C41" s="72">
        <v>15</v>
      </c>
      <c r="D41" s="72">
        <v>5</v>
      </c>
      <c r="E41" s="72">
        <v>35.47</v>
      </c>
      <c r="F41" s="68">
        <f t="shared" si="4"/>
        <v>21.494819999999997</v>
      </c>
      <c r="G41" s="68">
        <f t="shared" si="2"/>
        <v>25.403613999999997</v>
      </c>
      <c r="H41" s="68">
        <f t="shared" si="3"/>
        <v>30.752489999999998</v>
      </c>
      <c r="I41" s="65">
        <f t="shared" si="0"/>
        <v>30.752489999999998</v>
      </c>
      <c r="J41" s="65">
        <f t="shared" si="1"/>
        <v>461.28734999999995</v>
      </c>
      <c r="K41" s="2"/>
      <c r="L41" s="2"/>
      <c r="M41" s="6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s="66" customFormat="1" x14ac:dyDescent="0.3">
      <c r="A42" s="65"/>
      <c r="B42" s="65"/>
      <c r="C42" s="65">
        <v>15</v>
      </c>
      <c r="D42" s="65">
        <v>0</v>
      </c>
      <c r="E42" s="65">
        <v>39.54</v>
      </c>
      <c r="F42" s="65">
        <f t="shared" si="4"/>
        <v>23.96124</v>
      </c>
      <c r="G42" s="65">
        <f t="shared" si="2"/>
        <v>28.318547999999996</v>
      </c>
      <c r="H42" s="65">
        <f t="shared" si="3"/>
        <v>34.281179999999999</v>
      </c>
      <c r="I42" s="65">
        <f t="shared" si="0"/>
        <v>34.281179999999999</v>
      </c>
      <c r="J42" s="65">
        <f t="shared" si="1"/>
        <v>514.21770000000004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</row>
    <row r="43" spans="1:24" x14ac:dyDescent="0.3">
      <c r="A43" s="67"/>
      <c r="B43" s="67"/>
      <c r="C43" s="67"/>
      <c r="D43" s="67"/>
      <c r="E43" s="67"/>
      <c r="F43" s="68">
        <f t="shared" si="4"/>
        <v>0</v>
      </c>
      <c r="G43" s="68">
        <f t="shared" si="2"/>
        <v>0</v>
      </c>
      <c r="H43" s="68">
        <f t="shared" si="3"/>
        <v>0</v>
      </c>
      <c r="I43" s="65">
        <f t="shared" si="0"/>
        <v>0</v>
      </c>
      <c r="J43" s="65">
        <f t="shared" si="1"/>
        <v>0</v>
      </c>
      <c r="K43" s="2"/>
      <c r="L43" s="2"/>
      <c r="M43" s="6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3">
      <c r="A44" s="72"/>
      <c r="B44" s="72"/>
      <c r="C44" s="72">
        <v>12</v>
      </c>
      <c r="D44" s="72">
        <v>5</v>
      </c>
      <c r="E44" s="72">
        <v>21.35</v>
      </c>
      <c r="F44" s="68">
        <f t="shared" si="4"/>
        <v>12.9381</v>
      </c>
      <c r="G44" s="68">
        <f t="shared" si="2"/>
        <v>15.29087</v>
      </c>
      <c r="H44" s="68">
        <f t="shared" si="3"/>
        <v>18.510450000000002</v>
      </c>
      <c r="I44" s="65">
        <f t="shared" si="0"/>
        <v>18.510450000000002</v>
      </c>
      <c r="J44" s="65">
        <f t="shared" si="1"/>
        <v>222.12540000000001</v>
      </c>
      <c r="K44" s="2"/>
      <c r="L44" s="2"/>
      <c r="M44" s="6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s="66" customFormat="1" x14ac:dyDescent="0.3">
      <c r="A45" s="65"/>
      <c r="B45" s="65"/>
      <c r="C45" s="65">
        <v>12</v>
      </c>
      <c r="D45" s="65">
        <v>0</v>
      </c>
      <c r="E45" s="65">
        <v>30.45</v>
      </c>
      <c r="F45" s="65">
        <f t="shared" si="4"/>
        <v>18.4527</v>
      </c>
      <c r="G45" s="65">
        <f t="shared" si="2"/>
        <v>21.80829</v>
      </c>
      <c r="H45" s="65">
        <f t="shared" si="3"/>
        <v>26.40015</v>
      </c>
      <c r="I45" s="65">
        <f t="shared" si="0"/>
        <v>26.40015</v>
      </c>
      <c r="J45" s="65">
        <f t="shared" si="1"/>
        <v>316.80180000000001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</row>
    <row r="46" spans="1:24" x14ac:dyDescent="0.3">
      <c r="A46" s="71"/>
      <c r="B46" s="71"/>
      <c r="C46" s="71"/>
      <c r="D46" s="71"/>
      <c r="E46" s="71"/>
      <c r="F46" s="68">
        <f t="shared" si="4"/>
        <v>0</v>
      </c>
      <c r="G46" s="68">
        <f t="shared" si="2"/>
        <v>0</v>
      </c>
      <c r="H46" s="68">
        <f t="shared" si="3"/>
        <v>0</v>
      </c>
      <c r="I46" s="65">
        <f t="shared" si="0"/>
        <v>0</v>
      </c>
      <c r="J46" s="65">
        <f t="shared" si="1"/>
        <v>0</v>
      </c>
      <c r="K46" s="2"/>
      <c r="L46" s="2"/>
      <c r="M46" s="65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s="66" customFormat="1" x14ac:dyDescent="0.3">
      <c r="A47" s="65"/>
      <c r="B47" s="65"/>
      <c r="C47" s="65">
        <v>10</v>
      </c>
      <c r="D47" s="65">
        <v>0</v>
      </c>
      <c r="E47" s="65">
        <v>17.68</v>
      </c>
      <c r="F47" s="65">
        <f t="shared" si="4"/>
        <v>10.714079999999999</v>
      </c>
      <c r="G47" s="65">
        <f t="shared" si="2"/>
        <v>12.662415999999999</v>
      </c>
      <c r="H47" s="65">
        <f t="shared" si="3"/>
        <v>15.32856</v>
      </c>
      <c r="I47" s="65">
        <f t="shared" si="0"/>
        <v>15.32856</v>
      </c>
      <c r="J47" s="65">
        <f t="shared" si="1"/>
        <v>153.28559999999999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</row>
    <row r="48" spans="1:24" x14ac:dyDescent="0.3">
      <c r="A48" s="71"/>
      <c r="B48" s="71"/>
      <c r="C48" s="71"/>
      <c r="D48" s="71"/>
      <c r="E48" s="71"/>
      <c r="F48" s="68">
        <f t="shared" si="4"/>
        <v>0</v>
      </c>
      <c r="G48" s="68">
        <f t="shared" si="2"/>
        <v>0</v>
      </c>
      <c r="H48" s="68">
        <f t="shared" si="3"/>
        <v>0</v>
      </c>
      <c r="I48" s="65">
        <f t="shared" si="0"/>
        <v>0</v>
      </c>
      <c r="J48" s="65">
        <f t="shared" si="1"/>
        <v>0</v>
      </c>
      <c r="K48" s="2"/>
      <c r="L48" s="2"/>
      <c r="M48" s="65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s="66" customFormat="1" x14ac:dyDescent="0.3">
      <c r="A49" s="65"/>
      <c r="B49" s="65"/>
      <c r="C49" s="65">
        <v>9</v>
      </c>
      <c r="D49" s="65">
        <v>0</v>
      </c>
      <c r="E49" s="65">
        <v>32.31</v>
      </c>
      <c r="F49" s="65">
        <f t="shared" si="4"/>
        <v>19.57986</v>
      </c>
      <c r="G49" s="65">
        <f t="shared" si="2"/>
        <v>23.140422000000001</v>
      </c>
      <c r="H49" s="65">
        <f t="shared" si="3"/>
        <v>28.012770000000003</v>
      </c>
      <c r="I49" s="65">
        <f t="shared" si="0"/>
        <v>28.012770000000003</v>
      </c>
      <c r="J49" s="65">
        <f t="shared" si="1"/>
        <v>252.11493000000002</v>
      </c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</row>
    <row r="50" spans="1:24" x14ac:dyDescent="0.3">
      <c r="A50" s="71"/>
      <c r="B50" s="71"/>
      <c r="C50" s="71"/>
      <c r="D50" s="71"/>
      <c r="E50" s="71"/>
      <c r="F50" s="68">
        <f t="shared" si="4"/>
        <v>0</v>
      </c>
      <c r="G50" s="68">
        <f t="shared" si="2"/>
        <v>0</v>
      </c>
      <c r="H50" s="68">
        <f t="shared" si="3"/>
        <v>0</v>
      </c>
      <c r="I50" s="65">
        <f t="shared" si="0"/>
        <v>0</v>
      </c>
      <c r="J50" s="65">
        <f t="shared" si="1"/>
        <v>0</v>
      </c>
      <c r="K50" s="2"/>
      <c r="L50" s="2"/>
      <c r="M50" s="6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s="66" customFormat="1" x14ac:dyDescent="0.3">
      <c r="A51" s="65"/>
      <c r="B51" s="65"/>
      <c r="C51" s="65">
        <v>6</v>
      </c>
      <c r="D51" s="65">
        <v>0</v>
      </c>
      <c r="E51" s="65">
        <v>23.32</v>
      </c>
      <c r="F51" s="65">
        <f t="shared" si="4"/>
        <v>14.131919999999999</v>
      </c>
      <c r="G51" s="65">
        <f t="shared" si="2"/>
        <v>16.701784</v>
      </c>
      <c r="H51" s="65">
        <f t="shared" si="3"/>
        <v>20.218440000000001</v>
      </c>
      <c r="I51" s="65">
        <f t="shared" si="0"/>
        <v>20.218440000000001</v>
      </c>
      <c r="J51" s="65">
        <f t="shared" si="1"/>
        <v>121.31064000000001</v>
      </c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</row>
    <row r="52" spans="1:24" x14ac:dyDescent="0.3">
      <c r="A52" s="71"/>
      <c r="B52" s="71"/>
      <c r="C52" s="71"/>
      <c r="D52" s="71"/>
      <c r="E52" s="71"/>
      <c r="F52" s="68">
        <f t="shared" si="4"/>
        <v>0</v>
      </c>
      <c r="G52" s="68">
        <f t="shared" si="2"/>
        <v>0</v>
      </c>
      <c r="H52" s="68">
        <f t="shared" si="3"/>
        <v>0</v>
      </c>
      <c r="I52" s="65">
        <f t="shared" si="0"/>
        <v>0</v>
      </c>
      <c r="J52" s="65">
        <f t="shared" si="1"/>
        <v>0</v>
      </c>
      <c r="K52" s="2"/>
      <c r="L52" s="2"/>
      <c r="M52" s="6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s="66" customFormat="1" x14ac:dyDescent="0.3">
      <c r="A53" s="65"/>
      <c r="B53" s="65"/>
      <c r="C53" s="65">
        <v>8.5</v>
      </c>
      <c r="D53" s="65">
        <v>0</v>
      </c>
      <c r="E53" s="65">
        <v>28.49</v>
      </c>
      <c r="F53" s="65">
        <f t="shared" si="4"/>
        <v>17.264939999999999</v>
      </c>
      <c r="G53" s="65">
        <f t="shared" si="2"/>
        <v>20.404537999999999</v>
      </c>
      <c r="H53" s="65">
        <f t="shared" si="3"/>
        <v>24.70083</v>
      </c>
      <c r="I53" s="65">
        <f t="shared" si="0"/>
        <v>24.70083</v>
      </c>
      <c r="J53" s="65">
        <f t="shared" si="1"/>
        <v>209.957055</v>
      </c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</row>
    <row r="54" spans="1:24" x14ac:dyDescent="0.3">
      <c r="A54" s="67"/>
      <c r="B54" s="67"/>
      <c r="C54" s="67"/>
      <c r="D54" s="67"/>
      <c r="E54" s="67"/>
      <c r="F54" s="68">
        <f t="shared" si="4"/>
        <v>0</v>
      </c>
      <c r="G54" s="68">
        <f t="shared" si="2"/>
        <v>0</v>
      </c>
      <c r="H54" s="68">
        <f t="shared" si="3"/>
        <v>0</v>
      </c>
      <c r="I54" s="65">
        <f t="shared" si="0"/>
        <v>0</v>
      </c>
      <c r="J54" s="65">
        <f t="shared" si="1"/>
        <v>0</v>
      </c>
      <c r="K54" s="2"/>
      <c r="L54" s="2"/>
      <c r="M54" s="6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3">
      <c r="A55" s="56" t="s">
        <v>95</v>
      </c>
      <c r="B55" s="69" t="s">
        <v>146</v>
      </c>
      <c r="C55" s="56">
        <v>37</v>
      </c>
      <c r="D55" s="56">
        <v>15</v>
      </c>
      <c r="E55" s="56">
        <v>14.43</v>
      </c>
      <c r="F55" s="68">
        <f t="shared" si="4"/>
        <v>8.7445799999999991</v>
      </c>
      <c r="G55" s="68">
        <f t="shared" si="2"/>
        <v>10.334765999999998</v>
      </c>
      <c r="H55" s="68">
        <f t="shared" si="3"/>
        <v>12.510809999999999</v>
      </c>
      <c r="I55" s="65">
        <f t="shared" si="0"/>
        <v>12.510809999999999</v>
      </c>
      <c r="J55" s="65">
        <f t="shared" si="1"/>
        <v>462.89997</v>
      </c>
      <c r="K55" s="2">
        <f>J57</f>
        <v>536.36087999999995</v>
      </c>
      <c r="L55" s="2">
        <f>C57</f>
        <v>37</v>
      </c>
      <c r="M55" s="65">
        <f>K55/L55</f>
        <v>14.496239999999998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3">
      <c r="A56" s="72"/>
      <c r="B56" s="73"/>
      <c r="C56" s="72">
        <v>37</v>
      </c>
      <c r="D56" s="72">
        <v>25</v>
      </c>
      <c r="E56" s="72">
        <v>15.66</v>
      </c>
      <c r="F56" s="68">
        <f t="shared" si="4"/>
        <v>9.48996</v>
      </c>
      <c r="G56" s="68">
        <f t="shared" si="2"/>
        <v>11.215691999999999</v>
      </c>
      <c r="H56" s="68">
        <f t="shared" si="3"/>
        <v>13.577220000000001</v>
      </c>
      <c r="I56" s="65">
        <f t="shared" si="0"/>
        <v>13.577220000000001</v>
      </c>
      <c r="J56" s="65">
        <f t="shared" si="1"/>
        <v>502.35714000000002</v>
      </c>
      <c r="K56" s="2"/>
      <c r="L56" s="2"/>
      <c r="M56" s="6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s="66" customFormat="1" x14ac:dyDescent="0.3">
      <c r="A57" s="65"/>
      <c r="B57" s="69"/>
      <c r="C57" s="65">
        <v>37</v>
      </c>
      <c r="D57" s="65">
        <v>0</v>
      </c>
      <c r="E57" s="65">
        <v>16.72</v>
      </c>
      <c r="F57" s="65">
        <f t="shared" si="4"/>
        <v>10.132319999999998</v>
      </c>
      <c r="G57" s="65">
        <f t="shared" si="2"/>
        <v>11.974863999999998</v>
      </c>
      <c r="H57" s="65">
        <f t="shared" si="3"/>
        <v>14.496239999999998</v>
      </c>
      <c r="I57" s="65">
        <f t="shared" si="0"/>
        <v>14.496239999999998</v>
      </c>
      <c r="J57" s="65">
        <f t="shared" si="1"/>
        <v>536.36087999999995</v>
      </c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</row>
    <row r="58" spans="1:24" x14ac:dyDescent="0.3">
      <c r="A58" s="67"/>
      <c r="B58" s="70"/>
      <c r="C58" s="67"/>
      <c r="D58" s="67"/>
      <c r="E58" s="67"/>
      <c r="F58" s="68">
        <f t="shared" si="4"/>
        <v>0</v>
      </c>
      <c r="G58" s="68">
        <f t="shared" si="2"/>
        <v>0</v>
      </c>
      <c r="H58" s="68">
        <f t="shared" si="3"/>
        <v>0</v>
      </c>
      <c r="I58" s="65">
        <f t="shared" si="0"/>
        <v>0</v>
      </c>
      <c r="J58" s="65">
        <f t="shared" si="1"/>
        <v>0</v>
      </c>
      <c r="K58" s="2"/>
      <c r="L58" s="2"/>
      <c r="M58" s="6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3">
      <c r="A59" s="72"/>
      <c r="B59" s="73" t="s">
        <v>147</v>
      </c>
      <c r="C59" s="72">
        <v>32</v>
      </c>
      <c r="D59" s="72">
        <v>12</v>
      </c>
      <c r="E59" s="72">
        <v>14.12</v>
      </c>
      <c r="F59" s="68">
        <f t="shared" si="4"/>
        <v>8.5567199999999985</v>
      </c>
      <c r="G59" s="68">
        <f t="shared" si="2"/>
        <v>10.112743999999999</v>
      </c>
      <c r="H59" s="68">
        <f t="shared" si="3"/>
        <v>12.242039999999999</v>
      </c>
      <c r="I59" s="65">
        <f t="shared" si="0"/>
        <v>12.242039999999999</v>
      </c>
      <c r="J59" s="65">
        <f t="shared" si="1"/>
        <v>391.74527999999998</v>
      </c>
      <c r="K59" s="2">
        <f>J60+J63</f>
        <v>846.50411999999994</v>
      </c>
      <c r="L59" s="2">
        <f>C60+C63</f>
        <v>62</v>
      </c>
      <c r="M59" s="65">
        <f>K59/L59</f>
        <v>13.653292258064516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s="66" customFormat="1" x14ac:dyDescent="0.3">
      <c r="A60" s="65"/>
      <c r="B60" s="69"/>
      <c r="C60" s="65">
        <v>32</v>
      </c>
      <c r="D60" s="65">
        <v>0</v>
      </c>
      <c r="E60" s="65">
        <v>16.88</v>
      </c>
      <c r="F60" s="65">
        <f t="shared" si="4"/>
        <v>10.229279999999999</v>
      </c>
      <c r="G60" s="65">
        <f t="shared" si="2"/>
        <v>12.089455999999998</v>
      </c>
      <c r="H60" s="65">
        <f t="shared" si="3"/>
        <v>14.63496</v>
      </c>
      <c r="I60" s="65">
        <f t="shared" si="0"/>
        <v>14.63496</v>
      </c>
      <c r="J60" s="65">
        <f t="shared" si="1"/>
        <v>468.31871999999998</v>
      </c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</row>
    <row r="61" spans="1:24" x14ac:dyDescent="0.3">
      <c r="A61" s="67"/>
      <c r="B61" s="70"/>
      <c r="C61" s="67"/>
      <c r="D61" s="67"/>
      <c r="E61" s="67"/>
      <c r="F61" s="68">
        <f t="shared" si="4"/>
        <v>0</v>
      </c>
      <c r="G61" s="68">
        <f t="shared" si="2"/>
        <v>0</v>
      </c>
      <c r="H61" s="68">
        <f t="shared" si="3"/>
        <v>0</v>
      </c>
      <c r="I61" s="65">
        <f t="shared" si="0"/>
        <v>0</v>
      </c>
      <c r="J61" s="65">
        <f t="shared" si="1"/>
        <v>0</v>
      </c>
      <c r="K61" s="2"/>
      <c r="L61" s="2"/>
      <c r="M61" s="6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3">
      <c r="A62" s="72"/>
      <c r="B62" s="73"/>
      <c r="C62" s="72">
        <v>30</v>
      </c>
      <c r="D62" s="72">
        <v>15</v>
      </c>
      <c r="E62" s="72">
        <v>13.48</v>
      </c>
      <c r="F62" s="68">
        <f t="shared" si="4"/>
        <v>8.1688799999999997</v>
      </c>
      <c r="G62" s="68">
        <f t="shared" si="2"/>
        <v>9.6543759999999992</v>
      </c>
      <c r="H62" s="68">
        <f t="shared" si="3"/>
        <v>11.68716</v>
      </c>
      <c r="I62" s="65">
        <f t="shared" si="0"/>
        <v>11.68716</v>
      </c>
      <c r="J62" s="65">
        <f t="shared" si="1"/>
        <v>350.6148</v>
      </c>
      <c r="K62" s="2"/>
      <c r="L62" s="2"/>
      <c r="M62" s="6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s="66" customFormat="1" x14ac:dyDescent="0.3">
      <c r="A63" s="65"/>
      <c r="B63" s="69"/>
      <c r="C63" s="65">
        <v>30</v>
      </c>
      <c r="D63" s="65">
        <v>0</v>
      </c>
      <c r="E63" s="65">
        <v>14.54</v>
      </c>
      <c r="F63" s="65">
        <f t="shared" si="4"/>
        <v>8.8112399999999997</v>
      </c>
      <c r="G63" s="65">
        <f t="shared" si="2"/>
        <v>10.413547999999999</v>
      </c>
      <c r="H63" s="65">
        <f t="shared" si="3"/>
        <v>12.606179999999998</v>
      </c>
      <c r="I63" s="65">
        <f t="shared" si="0"/>
        <v>12.606179999999998</v>
      </c>
      <c r="J63" s="65">
        <f t="shared" si="1"/>
        <v>378.18539999999996</v>
      </c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</row>
    <row r="64" spans="1:24" x14ac:dyDescent="0.3">
      <c r="A64" s="67"/>
      <c r="B64" s="70"/>
      <c r="C64" s="67"/>
      <c r="D64" s="67"/>
      <c r="E64" s="67"/>
      <c r="F64" s="68">
        <f t="shared" si="4"/>
        <v>0</v>
      </c>
      <c r="G64" s="68">
        <f t="shared" si="2"/>
        <v>0</v>
      </c>
      <c r="H64" s="68">
        <f t="shared" si="3"/>
        <v>0</v>
      </c>
      <c r="I64" s="65">
        <f t="shared" si="0"/>
        <v>0</v>
      </c>
      <c r="J64" s="65">
        <f t="shared" si="1"/>
        <v>0</v>
      </c>
      <c r="K64" s="2"/>
      <c r="L64" s="2"/>
      <c r="M64" s="6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3">
      <c r="A65" s="72"/>
      <c r="B65" s="73" t="s">
        <v>150</v>
      </c>
      <c r="C65" s="72">
        <v>36</v>
      </c>
      <c r="D65" s="72">
        <v>18</v>
      </c>
      <c r="E65" s="72">
        <v>12.6</v>
      </c>
      <c r="F65" s="68">
        <f t="shared" si="4"/>
        <v>7.6355999999999993</v>
      </c>
      <c r="G65" s="68">
        <f t="shared" si="2"/>
        <v>9.0241199999999999</v>
      </c>
      <c r="H65" s="68">
        <f t="shared" si="3"/>
        <v>10.924199999999999</v>
      </c>
      <c r="I65" s="65">
        <f t="shared" si="0"/>
        <v>10.924199999999999</v>
      </c>
      <c r="J65" s="65">
        <f t="shared" si="1"/>
        <v>393.27119999999996</v>
      </c>
      <c r="K65" s="2">
        <f>J66+J68</f>
        <v>523.30385999999999</v>
      </c>
      <c r="L65" s="2">
        <f>C66+C68</f>
        <v>47</v>
      </c>
      <c r="M65" s="65">
        <f>K65/L65</f>
        <v>11.134124680851064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s="66" customFormat="1" x14ac:dyDescent="0.3">
      <c r="A66" s="65"/>
      <c r="B66" s="69"/>
      <c r="C66" s="65">
        <v>36</v>
      </c>
      <c r="D66" s="65">
        <v>0</v>
      </c>
      <c r="E66" s="65">
        <v>13.57</v>
      </c>
      <c r="F66" s="65">
        <f t="shared" si="4"/>
        <v>8.2234199999999991</v>
      </c>
      <c r="G66" s="65">
        <f t="shared" si="2"/>
        <v>9.7188339999999993</v>
      </c>
      <c r="H66" s="65">
        <f t="shared" si="3"/>
        <v>11.76519</v>
      </c>
      <c r="I66" s="65">
        <f t="shared" si="0"/>
        <v>11.76519</v>
      </c>
      <c r="J66" s="65">
        <f t="shared" si="1"/>
        <v>423.54684000000003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</row>
    <row r="67" spans="1:24" x14ac:dyDescent="0.3">
      <c r="A67" s="71"/>
      <c r="B67" s="74"/>
      <c r="C67" s="71"/>
      <c r="D67" s="71"/>
      <c r="E67" s="71"/>
      <c r="F67" s="68">
        <f t="shared" si="4"/>
        <v>0</v>
      </c>
      <c r="G67" s="68">
        <f t="shared" si="2"/>
        <v>0</v>
      </c>
      <c r="H67" s="68">
        <f t="shared" si="3"/>
        <v>0</v>
      </c>
      <c r="I67" s="65">
        <f t="shared" ref="I67:I113" si="6">0.867*E67</f>
        <v>0</v>
      </c>
      <c r="J67" s="65">
        <f t="shared" ref="J67:J113" si="7">I67*C67</f>
        <v>0</v>
      </c>
      <c r="K67" s="2"/>
      <c r="L67" s="2"/>
      <c r="M67" s="65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s="66" customFormat="1" x14ac:dyDescent="0.3">
      <c r="A68" s="65"/>
      <c r="B68" s="69"/>
      <c r="C68" s="65">
        <v>11</v>
      </c>
      <c r="D68" s="65">
        <v>0</v>
      </c>
      <c r="E68" s="65">
        <v>10.46</v>
      </c>
      <c r="F68" s="65">
        <f t="shared" si="4"/>
        <v>6.3387600000000006</v>
      </c>
      <c r="G68" s="65">
        <f t="shared" si="2"/>
        <v>7.4914519999999998</v>
      </c>
      <c r="H68" s="65">
        <f t="shared" si="3"/>
        <v>9.0688200000000005</v>
      </c>
      <c r="I68" s="65">
        <f t="shared" si="6"/>
        <v>9.0688200000000005</v>
      </c>
      <c r="J68" s="65">
        <f t="shared" si="7"/>
        <v>99.757020000000011</v>
      </c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</row>
    <row r="69" spans="1:24" x14ac:dyDescent="0.3">
      <c r="A69" s="71"/>
      <c r="B69" s="74"/>
      <c r="C69" s="71"/>
      <c r="D69" s="71"/>
      <c r="E69" s="71"/>
      <c r="F69" s="68">
        <f t="shared" si="4"/>
        <v>0</v>
      </c>
      <c r="G69" s="68">
        <f t="shared" ref="G69:G113" si="8">0.7162*E69</f>
        <v>0</v>
      </c>
      <c r="H69" s="68">
        <f t="shared" ref="H69:H113" si="9">0.867*E69</f>
        <v>0</v>
      </c>
      <c r="I69" s="65">
        <f t="shared" si="6"/>
        <v>0</v>
      </c>
      <c r="J69" s="65">
        <f t="shared" si="7"/>
        <v>0</v>
      </c>
      <c r="K69" s="2"/>
      <c r="L69" s="2"/>
      <c r="M69" s="65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s="66" customFormat="1" x14ac:dyDescent="0.3">
      <c r="A70" s="65" t="s">
        <v>73</v>
      </c>
      <c r="B70" s="65" t="s">
        <v>146</v>
      </c>
      <c r="C70" s="65">
        <v>10</v>
      </c>
      <c r="D70" s="65">
        <v>0</v>
      </c>
      <c r="E70" s="65">
        <v>17.63</v>
      </c>
      <c r="F70" s="65">
        <f t="shared" ref="F70:F113" si="10">0.606*E70</f>
        <v>10.683779999999999</v>
      </c>
      <c r="G70" s="65">
        <f t="shared" si="8"/>
        <v>12.626605999999999</v>
      </c>
      <c r="H70" s="65">
        <f t="shared" si="9"/>
        <v>15.285209999999999</v>
      </c>
      <c r="I70" s="65">
        <f t="shared" si="6"/>
        <v>15.285209999999999</v>
      </c>
      <c r="J70" s="65">
        <f t="shared" si="7"/>
        <v>152.85210000000001</v>
      </c>
      <c r="K70" s="65">
        <f>J70+J72+J74+J76</f>
        <v>1096.4255400000002</v>
      </c>
      <c r="L70" s="65">
        <f>C70+C72+C74+C76</f>
        <v>32</v>
      </c>
      <c r="M70" s="65">
        <f t="shared" ref="M70:M111" si="11">K70/L70</f>
        <v>34.263298125000006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</row>
    <row r="71" spans="1:24" x14ac:dyDescent="0.3">
      <c r="A71" s="71"/>
      <c r="B71" s="71"/>
      <c r="C71" s="71"/>
      <c r="D71" s="71"/>
      <c r="E71" s="71"/>
      <c r="F71" s="68">
        <f t="shared" si="10"/>
        <v>0</v>
      </c>
      <c r="G71" s="68">
        <f t="shared" si="8"/>
        <v>0</v>
      </c>
      <c r="H71" s="68">
        <f t="shared" si="9"/>
        <v>0</v>
      </c>
      <c r="I71" s="65">
        <f t="shared" si="6"/>
        <v>0</v>
      </c>
      <c r="J71" s="65">
        <f t="shared" si="7"/>
        <v>0</v>
      </c>
      <c r="K71" s="2"/>
      <c r="L71" s="2"/>
      <c r="M71" s="6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s="66" customFormat="1" x14ac:dyDescent="0.3">
      <c r="A72" s="65"/>
      <c r="B72" s="65"/>
      <c r="C72" s="65">
        <v>8</v>
      </c>
      <c r="D72" s="65">
        <v>0</v>
      </c>
      <c r="E72" s="65">
        <v>55.57</v>
      </c>
      <c r="F72" s="65">
        <f t="shared" si="10"/>
        <v>33.675420000000003</v>
      </c>
      <c r="G72" s="65">
        <f t="shared" si="8"/>
        <v>39.799233999999998</v>
      </c>
      <c r="H72" s="65">
        <f t="shared" si="9"/>
        <v>48.179189999999998</v>
      </c>
      <c r="I72" s="65">
        <f t="shared" si="6"/>
        <v>48.179189999999998</v>
      </c>
      <c r="J72" s="65">
        <f t="shared" si="7"/>
        <v>385.43351999999999</v>
      </c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</row>
    <row r="73" spans="1:24" x14ac:dyDescent="0.3">
      <c r="A73" s="71"/>
      <c r="B73" s="71"/>
      <c r="C73" s="71"/>
      <c r="D73" s="71"/>
      <c r="E73" s="71"/>
      <c r="F73" s="68">
        <f t="shared" si="10"/>
        <v>0</v>
      </c>
      <c r="G73" s="68">
        <f t="shared" si="8"/>
        <v>0</v>
      </c>
      <c r="H73" s="68">
        <f t="shared" si="9"/>
        <v>0</v>
      </c>
      <c r="I73" s="65">
        <f t="shared" si="6"/>
        <v>0</v>
      </c>
      <c r="J73" s="65">
        <f t="shared" si="7"/>
        <v>0</v>
      </c>
      <c r="K73" s="2"/>
      <c r="L73" s="2"/>
      <c r="M73" s="6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s="66" customFormat="1" x14ac:dyDescent="0.3">
      <c r="A74" s="65"/>
      <c r="B74" s="65"/>
      <c r="C74" s="65">
        <v>4</v>
      </c>
      <c r="D74" s="65">
        <v>0</v>
      </c>
      <c r="E74" s="65">
        <v>26.34</v>
      </c>
      <c r="F74" s="65">
        <f t="shared" si="10"/>
        <v>15.96204</v>
      </c>
      <c r="G74" s="65">
        <f t="shared" si="8"/>
        <v>18.864708</v>
      </c>
      <c r="H74" s="65">
        <f t="shared" si="9"/>
        <v>22.836780000000001</v>
      </c>
      <c r="I74" s="65">
        <f t="shared" si="6"/>
        <v>22.836780000000001</v>
      </c>
      <c r="J74" s="65">
        <f t="shared" si="7"/>
        <v>91.347120000000004</v>
      </c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</row>
    <row r="75" spans="1:24" x14ac:dyDescent="0.3">
      <c r="A75" s="71"/>
      <c r="B75" s="71"/>
      <c r="C75" s="71"/>
      <c r="D75" s="71"/>
      <c r="E75" s="71"/>
      <c r="F75" s="68">
        <f t="shared" si="10"/>
        <v>0</v>
      </c>
      <c r="G75" s="68">
        <f t="shared" si="8"/>
        <v>0</v>
      </c>
      <c r="H75" s="68">
        <f t="shared" si="9"/>
        <v>0</v>
      </c>
      <c r="I75" s="65">
        <f t="shared" si="6"/>
        <v>0</v>
      </c>
      <c r="J75" s="65">
        <f t="shared" si="7"/>
        <v>0</v>
      </c>
      <c r="K75" s="2"/>
      <c r="L75" s="2"/>
      <c r="M75" s="6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s="66" customFormat="1" x14ac:dyDescent="0.3">
      <c r="A76" s="65"/>
      <c r="B76" s="65"/>
      <c r="C76" s="65">
        <v>10</v>
      </c>
      <c r="D76" s="65">
        <v>0</v>
      </c>
      <c r="E76" s="65">
        <v>53.84</v>
      </c>
      <c r="F76" s="65">
        <f t="shared" si="10"/>
        <v>32.627040000000001</v>
      </c>
      <c r="G76" s="65">
        <f t="shared" si="8"/>
        <v>38.560208000000003</v>
      </c>
      <c r="H76" s="65">
        <f t="shared" si="9"/>
        <v>46.679280000000006</v>
      </c>
      <c r="I76" s="65">
        <f t="shared" si="6"/>
        <v>46.679280000000006</v>
      </c>
      <c r="J76" s="65">
        <f t="shared" si="7"/>
        <v>466.79280000000006</v>
      </c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</row>
    <row r="77" spans="1:24" x14ac:dyDescent="0.3">
      <c r="A77" s="71"/>
      <c r="B77" s="71"/>
      <c r="C77" s="71"/>
      <c r="D77" s="71"/>
      <c r="E77" s="71"/>
      <c r="F77" s="68">
        <f t="shared" si="10"/>
        <v>0</v>
      </c>
      <c r="G77" s="68">
        <f t="shared" si="8"/>
        <v>0</v>
      </c>
      <c r="H77" s="68">
        <f t="shared" si="9"/>
        <v>0</v>
      </c>
      <c r="I77" s="65">
        <f t="shared" si="6"/>
        <v>0</v>
      </c>
      <c r="J77" s="65">
        <f t="shared" si="7"/>
        <v>0</v>
      </c>
      <c r="K77" s="2"/>
      <c r="L77" s="2"/>
      <c r="M77" s="6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s="66" customFormat="1" x14ac:dyDescent="0.3">
      <c r="A78" s="65"/>
      <c r="B78" s="69" t="s">
        <v>147</v>
      </c>
      <c r="C78" s="65">
        <v>3</v>
      </c>
      <c r="D78" s="65">
        <v>0</v>
      </c>
      <c r="E78" s="65">
        <v>27.41</v>
      </c>
      <c r="F78" s="65">
        <f t="shared" si="10"/>
        <v>16.61046</v>
      </c>
      <c r="G78" s="65">
        <f t="shared" si="8"/>
        <v>19.631041999999997</v>
      </c>
      <c r="H78" s="65">
        <f t="shared" si="9"/>
        <v>23.764469999999999</v>
      </c>
      <c r="I78" s="65">
        <f t="shared" si="6"/>
        <v>23.764469999999999</v>
      </c>
      <c r="J78" s="65">
        <f t="shared" si="7"/>
        <v>71.293409999999994</v>
      </c>
      <c r="K78" s="65">
        <f>J78+J81+J83+J85+J88+J90+J92</f>
        <v>4777.6728599999997</v>
      </c>
      <c r="L78" s="65">
        <f>C78+C81+C83+C85+C88+C90+C92</f>
        <v>93</v>
      </c>
      <c r="M78" s="65">
        <f>K78/L78</f>
        <v>51.372826451612902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</row>
    <row r="79" spans="1:24" x14ac:dyDescent="0.3">
      <c r="A79" s="67"/>
      <c r="B79" s="70"/>
      <c r="C79" s="67"/>
      <c r="D79" s="67"/>
      <c r="E79" s="67"/>
      <c r="F79" s="68">
        <f t="shared" si="10"/>
        <v>0</v>
      </c>
      <c r="G79" s="68">
        <f t="shared" si="8"/>
        <v>0</v>
      </c>
      <c r="H79" s="68">
        <f t="shared" si="9"/>
        <v>0</v>
      </c>
      <c r="I79" s="65">
        <f t="shared" si="6"/>
        <v>0</v>
      </c>
      <c r="J79" s="65">
        <f t="shared" si="7"/>
        <v>0</v>
      </c>
      <c r="K79" s="2"/>
      <c r="L79" s="2"/>
      <c r="M79" s="6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3">
      <c r="A80" s="72"/>
      <c r="B80" s="73"/>
      <c r="C80" s="72">
        <v>20</v>
      </c>
      <c r="D80" s="72">
        <v>10</v>
      </c>
      <c r="E80" s="72">
        <v>50.33</v>
      </c>
      <c r="F80" s="68">
        <f t="shared" si="10"/>
        <v>30.499979999999997</v>
      </c>
      <c r="G80" s="68">
        <f t="shared" si="8"/>
        <v>36.046345999999993</v>
      </c>
      <c r="H80" s="68">
        <f t="shared" si="9"/>
        <v>43.636109999999995</v>
      </c>
      <c r="I80" s="65">
        <f t="shared" si="6"/>
        <v>43.636109999999995</v>
      </c>
      <c r="J80" s="65">
        <f t="shared" si="7"/>
        <v>872.72219999999993</v>
      </c>
      <c r="K80" s="2"/>
      <c r="L80" s="2"/>
      <c r="M80" s="6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s="66" customFormat="1" x14ac:dyDescent="0.3">
      <c r="A81" s="65"/>
      <c r="B81" s="69"/>
      <c r="C81" s="65">
        <v>20</v>
      </c>
      <c r="D81" s="65">
        <v>0</v>
      </c>
      <c r="E81" s="65">
        <v>56.92</v>
      </c>
      <c r="F81" s="65">
        <f t="shared" si="10"/>
        <v>34.493519999999997</v>
      </c>
      <c r="G81" s="65">
        <f t="shared" si="8"/>
        <v>40.766103999999999</v>
      </c>
      <c r="H81" s="65">
        <f t="shared" si="9"/>
        <v>49.349640000000001</v>
      </c>
      <c r="I81" s="65">
        <f t="shared" si="6"/>
        <v>49.349640000000001</v>
      </c>
      <c r="J81" s="65">
        <f t="shared" si="7"/>
        <v>986.99279999999999</v>
      </c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</row>
    <row r="82" spans="1:24" x14ac:dyDescent="0.3">
      <c r="A82" s="71"/>
      <c r="B82" s="74"/>
      <c r="C82" s="71"/>
      <c r="D82" s="71"/>
      <c r="E82" s="71"/>
      <c r="F82" s="68">
        <f t="shared" si="10"/>
        <v>0</v>
      </c>
      <c r="G82" s="68">
        <f t="shared" si="8"/>
        <v>0</v>
      </c>
      <c r="H82" s="68">
        <f t="shared" si="9"/>
        <v>0</v>
      </c>
      <c r="I82" s="65">
        <f t="shared" si="6"/>
        <v>0</v>
      </c>
      <c r="J82" s="65">
        <f t="shared" si="7"/>
        <v>0</v>
      </c>
      <c r="K82" s="2"/>
      <c r="L82" s="2"/>
      <c r="M82" s="65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s="66" customFormat="1" x14ac:dyDescent="0.3">
      <c r="A83" s="65"/>
      <c r="B83" s="69"/>
      <c r="C83" s="65">
        <v>16</v>
      </c>
      <c r="D83" s="65">
        <v>0</v>
      </c>
      <c r="E83" s="65">
        <v>65.27</v>
      </c>
      <c r="F83" s="65">
        <f t="shared" si="10"/>
        <v>39.553619999999995</v>
      </c>
      <c r="G83" s="65">
        <f t="shared" si="8"/>
        <v>46.746373999999996</v>
      </c>
      <c r="H83" s="65">
        <f t="shared" si="9"/>
        <v>56.589089999999999</v>
      </c>
      <c r="I83" s="65">
        <f t="shared" si="6"/>
        <v>56.589089999999999</v>
      </c>
      <c r="J83" s="65">
        <f t="shared" si="7"/>
        <v>905.42543999999998</v>
      </c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</row>
    <row r="84" spans="1:24" x14ac:dyDescent="0.3">
      <c r="A84" s="71"/>
      <c r="B84" s="74"/>
      <c r="C84" s="71"/>
      <c r="D84" s="71"/>
      <c r="E84" s="71"/>
      <c r="F84" s="68">
        <f t="shared" si="10"/>
        <v>0</v>
      </c>
      <c r="G84" s="68">
        <f t="shared" si="8"/>
        <v>0</v>
      </c>
      <c r="H84" s="68">
        <f t="shared" si="9"/>
        <v>0</v>
      </c>
      <c r="I84" s="65">
        <f t="shared" si="6"/>
        <v>0</v>
      </c>
      <c r="J84" s="65">
        <f t="shared" si="7"/>
        <v>0</v>
      </c>
      <c r="K84" s="2"/>
      <c r="L84" s="2"/>
      <c r="M84" s="6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s="66" customFormat="1" x14ac:dyDescent="0.3">
      <c r="A85" s="65"/>
      <c r="B85" s="69"/>
      <c r="C85" s="65">
        <v>12</v>
      </c>
      <c r="D85" s="65">
        <v>0</v>
      </c>
      <c r="E85" s="65">
        <v>64.75</v>
      </c>
      <c r="F85" s="65">
        <f t="shared" si="10"/>
        <v>39.238500000000002</v>
      </c>
      <c r="G85" s="65">
        <f t="shared" si="8"/>
        <v>46.373949999999994</v>
      </c>
      <c r="H85" s="65">
        <f t="shared" si="9"/>
        <v>56.138249999999999</v>
      </c>
      <c r="I85" s="65">
        <f t="shared" si="6"/>
        <v>56.138249999999999</v>
      </c>
      <c r="J85" s="65">
        <f t="shared" si="7"/>
        <v>673.65899999999999</v>
      </c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</row>
    <row r="86" spans="1:24" x14ac:dyDescent="0.3">
      <c r="A86" s="67"/>
      <c r="B86" s="70"/>
      <c r="C86" s="67"/>
      <c r="D86" s="67"/>
      <c r="E86" s="67"/>
      <c r="F86" s="68">
        <f t="shared" si="10"/>
        <v>0</v>
      </c>
      <c r="G86" s="68">
        <f t="shared" si="8"/>
        <v>0</v>
      </c>
      <c r="H86" s="68">
        <f t="shared" si="9"/>
        <v>0</v>
      </c>
      <c r="I86" s="65">
        <f t="shared" si="6"/>
        <v>0</v>
      </c>
      <c r="J86" s="65">
        <f t="shared" si="7"/>
        <v>0</v>
      </c>
      <c r="K86" s="2"/>
      <c r="L86" s="2"/>
      <c r="M86" s="65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3">
      <c r="A87" s="72"/>
      <c r="B87" s="73"/>
      <c r="C87" s="72">
        <v>25</v>
      </c>
      <c r="D87" s="72">
        <v>13</v>
      </c>
      <c r="E87" s="72">
        <v>60.49</v>
      </c>
      <c r="F87" s="68">
        <f t="shared" si="10"/>
        <v>36.656939999999999</v>
      </c>
      <c r="G87" s="68">
        <f t="shared" si="8"/>
        <v>43.322938000000001</v>
      </c>
      <c r="H87" s="68">
        <f t="shared" si="9"/>
        <v>52.444830000000003</v>
      </c>
      <c r="I87" s="65">
        <f t="shared" si="6"/>
        <v>52.444830000000003</v>
      </c>
      <c r="J87" s="65">
        <f t="shared" si="7"/>
        <v>1311.12075</v>
      </c>
      <c r="K87" s="2"/>
      <c r="L87" s="2"/>
      <c r="M87" s="65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s="66" customFormat="1" x14ac:dyDescent="0.3">
      <c r="A88" s="65"/>
      <c r="B88" s="69"/>
      <c r="C88" s="65">
        <v>25</v>
      </c>
      <c r="D88" s="65">
        <v>0</v>
      </c>
      <c r="E88" s="65">
        <v>69.94</v>
      </c>
      <c r="F88" s="65">
        <f t="shared" si="10"/>
        <v>42.38364</v>
      </c>
      <c r="G88" s="65">
        <f t="shared" si="8"/>
        <v>50.091027999999994</v>
      </c>
      <c r="H88" s="65">
        <f t="shared" si="9"/>
        <v>60.637979999999999</v>
      </c>
      <c r="I88" s="65">
        <f t="shared" si="6"/>
        <v>60.637979999999999</v>
      </c>
      <c r="J88" s="65">
        <f t="shared" si="7"/>
        <v>1515.9494999999999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</row>
    <row r="89" spans="1:24" x14ac:dyDescent="0.3">
      <c r="A89" s="71"/>
      <c r="B89" s="74"/>
      <c r="C89" s="71"/>
      <c r="D89" s="71"/>
      <c r="E89" s="71"/>
      <c r="F89" s="68">
        <f t="shared" si="10"/>
        <v>0</v>
      </c>
      <c r="G89" s="68">
        <f t="shared" si="8"/>
        <v>0</v>
      </c>
      <c r="H89" s="68">
        <f t="shared" si="9"/>
        <v>0</v>
      </c>
      <c r="I89" s="65">
        <f t="shared" si="6"/>
        <v>0</v>
      </c>
      <c r="J89" s="65">
        <f t="shared" si="7"/>
        <v>0</v>
      </c>
      <c r="K89" s="2"/>
      <c r="L89" s="2"/>
      <c r="M89" s="65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s="66" customFormat="1" x14ac:dyDescent="0.3">
      <c r="A90" s="65"/>
      <c r="B90" s="69"/>
      <c r="C90" s="65">
        <v>8</v>
      </c>
      <c r="D90" s="65">
        <v>0</v>
      </c>
      <c r="E90" s="65">
        <v>55.58</v>
      </c>
      <c r="F90" s="65">
        <f t="shared" si="10"/>
        <v>33.681480000000001</v>
      </c>
      <c r="G90" s="65">
        <f t="shared" si="8"/>
        <v>39.806395999999992</v>
      </c>
      <c r="H90" s="65">
        <f t="shared" si="9"/>
        <v>48.187860000000001</v>
      </c>
      <c r="I90" s="65">
        <f t="shared" si="6"/>
        <v>48.187860000000001</v>
      </c>
      <c r="J90" s="65">
        <f t="shared" si="7"/>
        <v>385.50288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</row>
    <row r="91" spans="1:24" x14ac:dyDescent="0.3">
      <c r="A91" s="71"/>
      <c r="B91" s="74"/>
      <c r="C91" s="71"/>
      <c r="D91" s="71"/>
      <c r="E91" s="71"/>
      <c r="F91" s="68">
        <f t="shared" si="10"/>
        <v>0</v>
      </c>
      <c r="G91" s="68">
        <f t="shared" si="8"/>
        <v>0</v>
      </c>
      <c r="H91" s="68">
        <f t="shared" si="9"/>
        <v>0</v>
      </c>
      <c r="I91" s="65">
        <f t="shared" si="6"/>
        <v>0</v>
      </c>
      <c r="J91" s="65">
        <f t="shared" si="7"/>
        <v>0</v>
      </c>
      <c r="K91" s="2"/>
      <c r="L91" s="2"/>
      <c r="M91" s="6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s="66" customFormat="1" x14ac:dyDescent="0.3">
      <c r="A92" s="65"/>
      <c r="B92" s="69"/>
      <c r="C92" s="65">
        <v>9</v>
      </c>
      <c r="D92" s="65">
        <v>0</v>
      </c>
      <c r="E92" s="65">
        <v>30.61</v>
      </c>
      <c r="F92" s="65">
        <f t="shared" si="10"/>
        <v>18.549659999999999</v>
      </c>
      <c r="G92" s="65">
        <f t="shared" si="8"/>
        <v>21.922881999999998</v>
      </c>
      <c r="H92" s="65">
        <f t="shared" si="9"/>
        <v>26.538869999999999</v>
      </c>
      <c r="I92" s="65">
        <f t="shared" si="6"/>
        <v>26.538869999999999</v>
      </c>
      <c r="J92" s="65">
        <f t="shared" si="7"/>
        <v>238.84983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</row>
    <row r="93" spans="1:24" x14ac:dyDescent="0.3">
      <c r="A93" s="67"/>
      <c r="B93" s="67"/>
      <c r="C93" s="67"/>
      <c r="D93" s="67"/>
      <c r="E93" s="67"/>
      <c r="F93" s="68">
        <f t="shared" si="10"/>
        <v>0</v>
      </c>
      <c r="G93" s="68">
        <f t="shared" si="8"/>
        <v>0</v>
      </c>
      <c r="H93" s="68">
        <f t="shared" si="9"/>
        <v>0</v>
      </c>
      <c r="I93" s="65">
        <f t="shared" si="6"/>
        <v>0</v>
      </c>
      <c r="J93" s="65">
        <f t="shared" si="7"/>
        <v>0</v>
      </c>
      <c r="K93" s="2"/>
      <c r="L93" s="2"/>
      <c r="M93" s="6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3">
      <c r="A94" s="72" t="s">
        <v>151</v>
      </c>
      <c r="B94" s="72" t="s">
        <v>146</v>
      </c>
      <c r="C94" s="72">
        <v>29</v>
      </c>
      <c r="D94" s="72">
        <v>18</v>
      </c>
      <c r="E94" s="72">
        <v>55.74</v>
      </c>
      <c r="F94" s="68">
        <f t="shared" si="10"/>
        <v>33.778440000000003</v>
      </c>
      <c r="G94" s="68">
        <f t="shared" si="8"/>
        <v>39.920988000000001</v>
      </c>
      <c r="H94" s="68">
        <f t="shared" si="9"/>
        <v>48.32658</v>
      </c>
      <c r="I94" s="65">
        <f t="shared" si="6"/>
        <v>48.32658</v>
      </c>
      <c r="J94" s="65">
        <f t="shared" si="7"/>
        <v>1401.47082</v>
      </c>
      <c r="K94" s="2">
        <f>J94</f>
        <v>1401.47082</v>
      </c>
      <c r="L94" s="2">
        <f>C95</f>
        <v>29</v>
      </c>
      <c r="M94" s="65">
        <f t="shared" si="11"/>
        <v>48.32658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s="66" customFormat="1" x14ac:dyDescent="0.3">
      <c r="A95" s="65"/>
      <c r="B95" s="65"/>
      <c r="C95" s="65">
        <v>29</v>
      </c>
      <c r="D95" s="65">
        <v>0</v>
      </c>
      <c r="E95" s="65">
        <v>57.24</v>
      </c>
      <c r="F95" s="65">
        <f t="shared" si="10"/>
        <v>34.687440000000002</v>
      </c>
      <c r="G95" s="65">
        <f t="shared" si="8"/>
        <v>40.995287999999995</v>
      </c>
      <c r="H95" s="65">
        <f t="shared" si="9"/>
        <v>49.627079999999999</v>
      </c>
      <c r="I95" s="65">
        <f t="shared" si="6"/>
        <v>49.627079999999999</v>
      </c>
      <c r="J95" s="65">
        <f t="shared" si="7"/>
        <v>1439.18532</v>
      </c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</row>
    <row r="96" spans="1:24" x14ac:dyDescent="0.3">
      <c r="A96" s="71"/>
      <c r="B96" s="71"/>
      <c r="C96" s="71"/>
      <c r="D96" s="71"/>
      <c r="E96" s="71"/>
      <c r="F96" s="68">
        <f t="shared" si="10"/>
        <v>0</v>
      </c>
      <c r="G96" s="68">
        <f t="shared" si="8"/>
        <v>0</v>
      </c>
      <c r="H96" s="68">
        <f t="shared" si="9"/>
        <v>0</v>
      </c>
      <c r="I96" s="65">
        <f t="shared" si="6"/>
        <v>0</v>
      </c>
      <c r="J96" s="65">
        <f t="shared" si="7"/>
        <v>0</v>
      </c>
      <c r="K96" s="2"/>
      <c r="L96" s="2"/>
      <c r="M96" s="6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s="66" customFormat="1" x14ac:dyDescent="0.3">
      <c r="A97" s="65"/>
      <c r="B97" s="65" t="s">
        <v>147</v>
      </c>
      <c r="C97" s="65">
        <v>31</v>
      </c>
      <c r="D97" s="65">
        <v>0</v>
      </c>
      <c r="E97" s="65">
        <v>66.459999999999994</v>
      </c>
      <c r="F97" s="65">
        <f t="shared" si="10"/>
        <v>40.274759999999993</v>
      </c>
      <c r="G97" s="65">
        <f t="shared" si="8"/>
        <v>47.598651999999994</v>
      </c>
      <c r="H97" s="65">
        <f t="shared" si="9"/>
        <v>57.620819999999995</v>
      </c>
      <c r="I97" s="65">
        <f t="shared" si="6"/>
        <v>57.620819999999995</v>
      </c>
      <c r="J97" s="65">
        <f t="shared" si="7"/>
        <v>1786.2454199999997</v>
      </c>
      <c r="K97" s="65"/>
      <c r="L97" s="65"/>
      <c r="M97" s="65">
        <f>I97</f>
        <v>57.620819999999995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</row>
    <row r="98" spans="1:24" x14ac:dyDescent="0.3">
      <c r="A98" s="67"/>
      <c r="B98" s="67"/>
      <c r="C98" s="67"/>
      <c r="D98" s="67">
        <v>15</v>
      </c>
      <c r="E98" s="67">
        <v>61.01</v>
      </c>
      <c r="F98" s="68">
        <f t="shared" si="10"/>
        <v>36.972059999999999</v>
      </c>
      <c r="G98" s="68">
        <f t="shared" si="8"/>
        <v>43.695361999999996</v>
      </c>
      <c r="H98" s="68">
        <f t="shared" si="9"/>
        <v>52.895669999999996</v>
      </c>
      <c r="I98" s="65">
        <f t="shared" si="6"/>
        <v>52.895669999999996</v>
      </c>
      <c r="J98" s="65">
        <f t="shared" si="7"/>
        <v>0</v>
      </c>
      <c r="K98" s="2"/>
      <c r="L98" s="2"/>
      <c r="M98" s="65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3">
      <c r="A99" s="72"/>
      <c r="B99" s="72"/>
      <c r="C99" s="72"/>
      <c r="D99" s="72"/>
      <c r="E99" s="72"/>
      <c r="F99" s="68">
        <f t="shared" si="10"/>
        <v>0</v>
      </c>
      <c r="G99" s="68">
        <f t="shared" si="8"/>
        <v>0</v>
      </c>
      <c r="H99" s="68">
        <f t="shared" si="9"/>
        <v>0</v>
      </c>
      <c r="I99" s="65">
        <f t="shared" si="6"/>
        <v>0</v>
      </c>
      <c r="J99" s="65">
        <f t="shared" si="7"/>
        <v>0</v>
      </c>
      <c r="K99" s="2"/>
      <c r="L99" s="2"/>
      <c r="M99" s="6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s="66" customFormat="1" x14ac:dyDescent="0.3">
      <c r="A100" s="65"/>
      <c r="B100" s="65" t="s">
        <v>150</v>
      </c>
      <c r="C100" s="65">
        <v>34</v>
      </c>
      <c r="D100" s="65">
        <v>0</v>
      </c>
      <c r="E100" s="65">
        <v>70.37</v>
      </c>
      <c r="F100" s="65">
        <f t="shared" si="10"/>
        <v>42.644220000000004</v>
      </c>
      <c r="G100" s="65">
        <f t="shared" si="8"/>
        <v>50.398994000000002</v>
      </c>
      <c r="H100" s="65">
        <f t="shared" si="9"/>
        <v>61.01079</v>
      </c>
      <c r="I100" s="65">
        <f t="shared" si="6"/>
        <v>61.01079</v>
      </c>
      <c r="J100" s="65">
        <f t="shared" si="7"/>
        <v>2074.3668600000001</v>
      </c>
      <c r="K100" s="65"/>
      <c r="L100" s="65"/>
      <c r="M100" s="65">
        <f>I100</f>
        <v>61.01079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</row>
    <row r="101" spans="1:24" x14ac:dyDescent="0.3">
      <c r="A101" s="67"/>
      <c r="B101" s="67"/>
      <c r="C101" s="67"/>
      <c r="D101" s="67">
        <v>15</v>
      </c>
      <c r="E101" s="67">
        <v>65.59</v>
      </c>
      <c r="F101" s="68">
        <f t="shared" si="10"/>
        <v>39.747540000000001</v>
      </c>
      <c r="G101" s="68">
        <f t="shared" si="8"/>
        <v>46.975557999999999</v>
      </c>
      <c r="H101" s="68">
        <f t="shared" si="9"/>
        <v>56.866530000000004</v>
      </c>
      <c r="I101" s="65">
        <f t="shared" si="6"/>
        <v>56.866530000000004</v>
      </c>
      <c r="J101" s="65">
        <f t="shared" si="7"/>
        <v>0</v>
      </c>
      <c r="K101" s="2"/>
      <c r="L101" s="2"/>
      <c r="M101" s="65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x14ac:dyDescent="0.3">
      <c r="A102" s="72"/>
      <c r="B102" s="72"/>
      <c r="C102" s="72"/>
      <c r="D102" s="72"/>
      <c r="E102" s="72"/>
      <c r="F102" s="68">
        <f t="shared" si="10"/>
        <v>0</v>
      </c>
      <c r="G102" s="68">
        <f t="shared" si="8"/>
        <v>0</v>
      </c>
      <c r="H102" s="68">
        <f t="shared" si="9"/>
        <v>0</v>
      </c>
      <c r="I102" s="65">
        <f t="shared" si="6"/>
        <v>0</v>
      </c>
      <c r="J102" s="65">
        <f t="shared" si="7"/>
        <v>0</v>
      </c>
      <c r="K102" s="2"/>
      <c r="L102" s="2"/>
      <c r="M102" s="6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s="66" customFormat="1" x14ac:dyDescent="0.3">
      <c r="A103" s="65" t="s">
        <v>152</v>
      </c>
      <c r="B103" s="65"/>
      <c r="C103" s="65">
        <v>65</v>
      </c>
      <c r="D103" s="65">
        <v>0</v>
      </c>
      <c r="E103" s="65">
        <v>12.13</v>
      </c>
      <c r="F103" s="65">
        <f t="shared" si="10"/>
        <v>7.3507800000000003</v>
      </c>
      <c r="G103" s="65">
        <f t="shared" si="8"/>
        <v>8.6875059999999991</v>
      </c>
      <c r="H103" s="65">
        <f t="shared" si="9"/>
        <v>10.51671</v>
      </c>
      <c r="I103" s="65">
        <f t="shared" si="6"/>
        <v>10.51671</v>
      </c>
      <c r="J103" s="65">
        <f t="shared" si="7"/>
        <v>683.58614999999998</v>
      </c>
      <c r="K103" s="65">
        <f>J103</f>
        <v>683.58614999999998</v>
      </c>
      <c r="L103" s="65">
        <f>C103</f>
        <v>65</v>
      </c>
      <c r="M103" s="65">
        <f t="shared" si="11"/>
        <v>10.51671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</row>
    <row r="104" spans="1:24" x14ac:dyDescent="0.3">
      <c r="A104" s="67"/>
      <c r="B104" s="67"/>
      <c r="C104" s="67"/>
      <c r="D104" s="67">
        <v>30</v>
      </c>
      <c r="E104" s="67">
        <v>10.15</v>
      </c>
      <c r="F104" s="68">
        <f t="shared" si="10"/>
        <v>6.1509</v>
      </c>
      <c r="G104" s="68">
        <f t="shared" si="8"/>
        <v>7.2694299999999998</v>
      </c>
      <c r="H104" s="68">
        <f t="shared" si="9"/>
        <v>8.8000500000000006</v>
      </c>
      <c r="I104" s="65">
        <f t="shared" si="6"/>
        <v>8.8000500000000006</v>
      </c>
      <c r="J104" s="65">
        <f t="shared" si="7"/>
        <v>0</v>
      </c>
      <c r="K104" s="2"/>
      <c r="L104" s="2"/>
      <c r="M104" s="6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x14ac:dyDescent="0.3">
      <c r="A105" s="72"/>
      <c r="B105" s="72"/>
      <c r="C105" s="72"/>
      <c r="D105" s="72"/>
      <c r="E105" s="72"/>
      <c r="F105" s="68">
        <f t="shared" si="10"/>
        <v>0</v>
      </c>
      <c r="G105" s="68">
        <f t="shared" si="8"/>
        <v>0</v>
      </c>
      <c r="H105" s="68">
        <f t="shared" si="9"/>
        <v>0</v>
      </c>
      <c r="I105" s="65">
        <f t="shared" si="6"/>
        <v>0</v>
      </c>
      <c r="J105" s="65">
        <f t="shared" si="7"/>
        <v>0</v>
      </c>
      <c r="K105" s="2"/>
      <c r="L105" s="2"/>
      <c r="M105" s="6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s="66" customFormat="1" x14ac:dyDescent="0.3">
      <c r="A106" s="65" t="s">
        <v>153</v>
      </c>
      <c r="B106" s="65"/>
      <c r="C106" s="65">
        <v>3</v>
      </c>
      <c r="D106" s="65">
        <v>0</v>
      </c>
      <c r="E106" s="65">
        <v>69.7</v>
      </c>
      <c r="F106" s="65">
        <f t="shared" si="10"/>
        <v>42.238199999999999</v>
      </c>
      <c r="G106" s="65">
        <f t="shared" si="8"/>
        <v>49.919139999999999</v>
      </c>
      <c r="H106" s="65">
        <f t="shared" si="9"/>
        <v>60.429900000000004</v>
      </c>
      <c r="I106" s="65">
        <f t="shared" si="6"/>
        <v>60.429900000000004</v>
      </c>
      <c r="J106" s="65">
        <f t="shared" si="7"/>
        <v>181.28970000000001</v>
      </c>
      <c r="K106" s="65">
        <f>J106</f>
        <v>181.28970000000001</v>
      </c>
      <c r="L106" s="65">
        <f>C106</f>
        <v>3</v>
      </c>
      <c r="M106" s="65">
        <f t="shared" si="11"/>
        <v>60.429900000000004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</row>
    <row r="107" spans="1:24" x14ac:dyDescent="0.3">
      <c r="A107" s="71"/>
      <c r="B107" s="71"/>
      <c r="C107" s="71"/>
      <c r="D107" s="71"/>
      <c r="E107" s="71"/>
      <c r="F107" s="68">
        <f t="shared" si="10"/>
        <v>0</v>
      </c>
      <c r="G107" s="68">
        <f t="shared" si="8"/>
        <v>0</v>
      </c>
      <c r="H107" s="68">
        <f t="shared" si="9"/>
        <v>0</v>
      </c>
      <c r="I107" s="65">
        <f t="shared" si="6"/>
        <v>0</v>
      </c>
      <c r="J107" s="65">
        <f t="shared" si="7"/>
        <v>0</v>
      </c>
      <c r="K107" s="2"/>
      <c r="L107" s="2"/>
      <c r="M107" s="6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s="66" customFormat="1" x14ac:dyDescent="0.3">
      <c r="A108" s="65" t="s">
        <v>154</v>
      </c>
      <c r="B108" s="65"/>
      <c r="C108" s="65">
        <v>22</v>
      </c>
      <c r="D108" s="65">
        <v>0</v>
      </c>
      <c r="E108" s="65">
        <v>43.79</v>
      </c>
      <c r="F108" s="65">
        <f t="shared" si="10"/>
        <v>26.536739999999998</v>
      </c>
      <c r="G108" s="65">
        <f t="shared" si="8"/>
        <v>31.362397999999995</v>
      </c>
      <c r="H108" s="65">
        <f t="shared" si="9"/>
        <v>37.96593</v>
      </c>
      <c r="I108" s="65">
        <f t="shared" si="6"/>
        <v>37.96593</v>
      </c>
      <c r="J108" s="65">
        <f t="shared" si="7"/>
        <v>835.25045999999998</v>
      </c>
      <c r="K108" s="65">
        <f>J108</f>
        <v>835.25045999999998</v>
      </c>
      <c r="L108" s="65">
        <f>C108</f>
        <v>22</v>
      </c>
      <c r="M108" s="65">
        <f t="shared" si="11"/>
        <v>37.96593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</row>
    <row r="109" spans="1:24" x14ac:dyDescent="0.3">
      <c r="A109" s="67"/>
      <c r="B109" s="67"/>
      <c r="C109" s="67"/>
      <c r="D109" s="67">
        <v>10</v>
      </c>
      <c r="E109" s="67">
        <v>40.119999999999997</v>
      </c>
      <c r="F109" s="68">
        <f t="shared" si="10"/>
        <v>24.312719999999999</v>
      </c>
      <c r="G109" s="68">
        <f t="shared" si="8"/>
        <v>28.733943999999997</v>
      </c>
      <c r="H109" s="68">
        <f t="shared" si="9"/>
        <v>34.784039999999997</v>
      </c>
      <c r="I109" s="65">
        <f t="shared" si="6"/>
        <v>34.784039999999997</v>
      </c>
      <c r="J109" s="65">
        <f t="shared" si="7"/>
        <v>0</v>
      </c>
      <c r="K109" s="2"/>
      <c r="L109" s="2"/>
      <c r="M109" s="65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x14ac:dyDescent="0.3">
      <c r="A110" s="72"/>
      <c r="B110" s="72"/>
      <c r="C110" s="72"/>
      <c r="D110" s="72"/>
      <c r="E110" s="72"/>
      <c r="F110" s="68">
        <f t="shared" si="10"/>
        <v>0</v>
      </c>
      <c r="G110" s="68">
        <f t="shared" si="8"/>
        <v>0</v>
      </c>
      <c r="H110" s="68">
        <f t="shared" si="9"/>
        <v>0</v>
      </c>
      <c r="I110" s="65">
        <f t="shared" si="6"/>
        <v>0</v>
      </c>
      <c r="J110" s="65">
        <f t="shared" si="7"/>
        <v>0</v>
      </c>
      <c r="K110" s="2"/>
      <c r="L110" s="2"/>
      <c r="M110" s="6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s="66" customFormat="1" x14ac:dyDescent="0.3">
      <c r="A111" s="65" t="s">
        <v>155</v>
      </c>
      <c r="B111" s="65"/>
      <c r="C111" s="65">
        <v>30</v>
      </c>
      <c r="D111" s="65">
        <v>0</v>
      </c>
      <c r="E111" s="65">
        <v>16.57</v>
      </c>
      <c r="F111" s="65">
        <f t="shared" si="10"/>
        <v>10.04142</v>
      </c>
      <c r="G111" s="65">
        <f t="shared" si="8"/>
        <v>11.867433999999999</v>
      </c>
      <c r="H111" s="65">
        <f t="shared" si="9"/>
        <v>14.36619</v>
      </c>
      <c r="I111" s="65">
        <f t="shared" si="6"/>
        <v>14.36619</v>
      </c>
      <c r="J111" s="65">
        <f t="shared" si="7"/>
        <v>430.98570000000001</v>
      </c>
      <c r="K111" s="65">
        <f>J111</f>
        <v>430.98570000000001</v>
      </c>
      <c r="L111" s="65">
        <f>C111</f>
        <v>30</v>
      </c>
      <c r="M111" s="65">
        <f t="shared" si="11"/>
        <v>14.36619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</row>
    <row r="112" spans="1:24" x14ac:dyDescent="0.3">
      <c r="A112" s="67"/>
      <c r="B112" s="67"/>
      <c r="C112" s="67"/>
      <c r="D112" s="67"/>
      <c r="E112" s="67"/>
      <c r="F112" s="68">
        <f t="shared" si="10"/>
        <v>0</v>
      </c>
      <c r="G112" s="68">
        <f t="shared" si="8"/>
        <v>0</v>
      </c>
      <c r="H112" s="68">
        <f t="shared" si="9"/>
        <v>0</v>
      </c>
      <c r="I112" s="65">
        <f t="shared" si="6"/>
        <v>0</v>
      </c>
      <c r="J112" s="65">
        <f t="shared" si="7"/>
        <v>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x14ac:dyDescent="0.3">
      <c r="A113" s="56" t="s">
        <v>156</v>
      </c>
      <c r="B113" s="56"/>
      <c r="C113" s="81" t="s">
        <v>157</v>
      </c>
      <c r="D113" s="81"/>
      <c r="E113" s="81"/>
      <c r="F113" s="68">
        <f t="shared" si="10"/>
        <v>0</v>
      </c>
      <c r="G113" s="68">
        <f t="shared" si="8"/>
        <v>0</v>
      </c>
      <c r="H113" s="68">
        <f t="shared" si="9"/>
        <v>0</v>
      </c>
      <c r="I113" s="65">
        <f t="shared" si="6"/>
        <v>0</v>
      </c>
      <c r="J113" s="65" t="e">
        <f t="shared" si="7"/>
        <v>#VALUE!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6" spans="1:24" x14ac:dyDescent="0.3">
      <c r="M116" s="2"/>
    </row>
  </sheetData>
  <mergeCells count="1">
    <mergeCell ref="C113:E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D56"/>
  <sheetViews>
    <sheetView topLeftCell="O17" zoomScale="98" zoomScaleNormal="98" workbookViewId="0">
      <selection activeCell="Y43" activeCellId="3" sqref="W28 Y28 W43 Y43"/>
    </sheetView>
  </sheetViews>
  <sheetFormatPr defaultRowHeight="14.4" x14ac:dyDescent="0.3"/>
  <cols>
    <col min="14" max="14" width="11.109375" bestFit="1" customWidth="1"/>
    <col min="15" max="15" width="15.44140625" bestFit="1" customWidth="1"/>
    <col min="17" max="17" width="8.109375" bestFit="1" customWidth="1"/>
    <col min="18" max="18" width="9.6640625" bestFit="1" customWidth="1"/>
    <col min="21" max="21" width="17.33203125" bestFit="1" customWidth="1"/>
    <col min="23" max="23" width="20.109375" bestFit="1" customWidth="1"/>
    <col min="24" max="24" width="19.21875" bestFit="1" customWidth="1"/>
    <col min="25" max="25" width="24" bestFit="1" customWidth="1"/>
    <col min="27" max="27" width="11.77734375" bestFit="1" customWidth="1"/>
    <col min="28" max="28" width="10.441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56</v>
      </c>
      <c r="B2">
        <v>2652852.537</v>
      </c>
      <c r="C2">
        <v>545480.97100000002</v>
      </c>
      <c r="D2">
        <v>0</v>
      </c>
      <c r="E2">
        <v>0</v>
      </c>
      <c r="F2">
        <v>74.564999999999998</v>
      </c>
    </row>
    <row r="3" spans="1:6" x14ac:dyDescent="0.3">
      <c r="A3">
        <v>57</v>
      </c>
      <c r="B3">
        <v>2652854.1370000001</v>
      </c>
      <c r="C3">
        <v>545481.61199999996</v>
      </c>
      <c r="D3">
        <f>SQRT((C3-C2)^2+(B3-B2)^2)</f>
        <v>1.7236243790999186</v>
      </c>
      <c r="E3" s="1">
        <f>E2+D3</f>
        <v>1.7236243790999186</v>
      </c>
      <c r="F3">
        <v>73.978999999999999</v>
      </c>
    </row>
    <row r="4" spans="1:6" x14ac:dyDescent="0.3">
      <c r="A4">
        <v>58</v>
      </c>
      <c r="B4">
        <v>2652855.801</v>
      </c>
      <c r="C4">
        <v>545482.52300000004</v>
      </c>
      <c r="D4">
        <f t="shared" ref="D4:D44" si="0">SQRT((C4-C3)^2+(B4-B3)^2)</f>
        <v>1.897054822540563</v>
      </c>
      <c r="E4" s="1">
        <f>E3+D4</f>
        <v>3.6206792016404816</v>
      </c>
      <c r="F4">
        <v>73.161000000000001</v>
      </c>
    </row>
    <row r="5" spans="1:6" x14ac:dyDescent="0.3">
      <c r="A5">
        <v>59</v>
      </c>
      <c r="B5">
        <v>2652858.3560000001</v>
      </c>
      <c r="C5">
        <v>545483.21799999999</v>
      </c>
      <c r="D5">
        <f t="shared" si="0"/>
        <v>2.6478387414616908</v>
      </c>
      <c r="E5" s="1">
        <f t="shared" ref="E5:E44" si="1">E4+D5</f>
        <v>6.2685179431021725</v>
      </c>
      <c r="F5">
        <v>71.924000000000007</v>
      </c>
    </row>
    <row r="6" spans="1:6" x14ac:dyDescent="0.3">
      <c r="A6">
        <v>60</v>
      </c>
      <c r="B6">
        <v>2652863.7379999999</v>
      </c>
      <c r="C6">
        <v>545485.14899999998</v>
      </c>
      <c r="D6">
        <f t="shared" si="0"/>
        <v>5.7179266344755622</v>
      </c>
      <c r="E6" s="1">
        <f t="shared" si="1"/>
        <v>11.986444577577736</v>
      </c>
      <c r="F6">
        <v>70.471999999999994</v>
      </c>
    </row>
    <row r="7" spans="1:6" x14ac:dyDescent="0.3">
      <c r="A7">
        <v>61</v>
      </c>
      <c r="B7">
        <v>2652874.9610000001</v>
      </c>
      <c r="C7">
        <v>545489.63699999999</v>
      </c>
      <c r="D7">
        <f t="shared" si="0"/>
        <v>12.087095308852868</v>
      </c>
      <c r="E7" s="1">
        <f t="shared" si="1"/>
        <v>24.073539886430602</v>
      </c>
      <c r="F7">
        <v>70.093999999999994</v>
      </c>
    </row>
    <row r="8" spans="1:6" x14ac:dyDescent="0.3">
      <c r="A8">
        <v>62</v>
      </c>
      <c r="B8">
        <v>2652877.6719999998</v>
      </c>
      <c r="C8">
        <v>545491.26699999999</v>
      </c>
      <c r="D8">
        <f t="shared" si="0"/>
        <v>3.1632927462024623</v>
      </c>
      <c r="E8" s="1">
        <f t="shared" si="1"/>
        <v>27.236832632633064</v>
      </c>
      <c r="F8">
        <v>69.875</v>
      </c>
    </row>
    <row r="9" spans="1:6" x14ac:dyDescent="0.3">
      <c r="A9">
        <v>63</v>
      </c>
      <c r="B9">
        <v>2652880.3709999998</v>
      </c>
      <c r="C9">
        <v>545492.49100000004</v>
      </c>
      <c r="D9">
        <f t="shared" si="0"/>
        <v>2.9635750370510898</v>
      </c>
      <c r="E9" s="1">
        <f t="shared" si="1"/>
        <v>30.200407669684154</v>
      </c>
      <c r="F9">
        <v>69.08</v>
      </c>
    </row>
    <row r="10" spans="1:6" x14ac:dyDescent="0.3">
      <c r="A10">
        <v>64</v>
      </c>
      <c r="B10">
        <v>2652884.9360000002</v>
      </c>
      <c r="C10">
        <v>545494.12699999998</v>
      </c>
      <c r="D10">
        <f t="shared" si="0"/>
        <v>4.8493010840270871</v>
      </c>
      <c r="E10" s="1">
        <f t="shared" si="1"/>
        <v>35.049708753711244</v>
      </c>
      <c r="F10">
        <v>69.001999999999995</v>
      </c>
    </row>
    <row r="11" spans="1:6" x14ac:dyDescent="0.3">
      <c r="A11">
        <v>65</v>
      </c>
      <c r="B11">
        <v>2652890.9109999998</v>
      </c>
      <c r="C11">
        <v>545496.57799999998</v>
      </c>
      <c r="D11">
        <f t="shared" si="0"/>
        <v>6.4581751289007983</v>
      </c>
      <c r="E11" s="1">
        <f t="shared" si="1"/>
        <v>41.507883882612042</v>
      </c>
      <c r="F11">
        <v>69.188000000000002</v>
      </c>
    </row>
    <row r="12" spans="1:6" x14ac:dyDescent="0.3">
      <c r="A12">
        <v>66</v>
      </c>
      <c r="B12">
        <v>2652892.253</v>
      </c>
      <c r="C12">
        <v>545496.93200000003</v>
      </c>
      <c r="D12">
        <f t="shared" si="0"/>
        <v>1.3879048960629625</v>
      </c>
      <c r="E12" s="1">
        <f t="shared" si="1"/>
        <v>42.895788778675005</v>
      </c>
      <c r="F12">
        <v>68.759</v>
      </c>
    </row>
    <row r="13" spans="1:6" x14ac:dyDescent="0.3">
      <c r="A13">
        <v>67</v>
      </c>
      <c r="B13">
        <v>2652894.6639999999</v>
      </c>
      <c r="C13">
        <v>545497.58400000003</v>
      </c>
      <c r="D13">
        <f t="shared" si="0"/>
        <v>2.497603851547705</v>
      </c>
      <c r="E13" s="1">
        <f t="shared" si="1"/>
        <v>45.393392630222706</v>
      </c>
      <c r="F13">
        <v>68.739999999999995</v>
      </c>
    </row>
    <row r="14" spans="1:6" x14ac:dyDescent="0.3">
      <c r="A14">
        <v>68</v>
      </c>
      <c r="B14">
        <v>2652897.5980000002</v>
      </c>
      <c r="C14">
        <v>545499.22900000005</v>
      </c>
      <c r="D14">
        <f t="shared" si="0"/>
        <v>3.3636856277244225</v>
      </c>
      <c r="E14" s="1">
        <f t="shared" si="1"/>
        <v>48.757078257947128</v>
      </c>
      <c r="F14">
        <v>68.757999999999996</v>
      </c>
    </row>
    <row r="15" spans="1:6" x14ac:dyDescent="0.3">
      <c r="A15">
        <v>69</v>
      </c>
      <c r="B15">
        <v>2652903.6490000002</v>
      </c>
      <c r="C15">
        <v>545502.95799999998</v>
      </c>
      <c r="D15">
        <f t="shared" si="0"/>
        <v>7.1077452120371012</v>
      </c>
      <c r="E15" s="1">
        <f t="shared" si="1"/>
        <v>55.864823469984231</v>
      </c>
      <c r="F15">
        <v>68.590999999999994</v>
      </c>
    </row>
    <row r="16" spans="1:6" x14ac:dyDescent="0.3">
      <c r="A16">
        <v>70</v>
      </c>
      <c r="B16">
        <v>2652905.9190000002</v>
      </c>
      <c r="C16">
        <v>545504.63399999996</v>
      </c>
      <c r="D16">
        <f t="shared" si="0"/>
        <v>2.8216796416336214</v>
      </c>
      <c r="E16" s="1">
        <f t="shared" si="1"/>
        <v>58.686503111617853</v>
      </c>
      <c r="F16">
        <v>68.959000000000003</v>
      </c>
    </row>
    <row r="17" spans="1:30" x14ac:dyDescent="0.3">
      <c r="A17">
        <v>71</v>
      </c>
      <c r="B17">
        <v>2652914.4190000002</v>
      </c>
      <c r="C17">
        <v>545510.17599999998</v>
      </c>
      <c r="D17">
        <f t="shared" si="0"/>
        <v>10.147106188474401</v>
      </c>
      <c r="E17" s="1">
        <f t="shared" si="1"/>
        <v>68.833609300092249</v>
      </c>
      <c r="F17">
        <v>68.974000000000004</v>
      </c>
    </row>
    <row r="18" spans="1:30" x14ac:dyDescent="0.3">
      <c r="A18">
        <v>72</v>
      </c>
      <c r="B18">
        <v>2652917.0690000001</v>
      </c>
      <c r="C18">
        <v>545512.67599999998</v>
      </c>
      <c r="D18">
        <f t="shared" si="0"/>
        <v>3.6431442463216301</v>
      </c>
      <c r="E18" s="1">
        <f t="shared" si="1"/>
        <v>72.476753546413875</v>
      </c>
      <c r="F18">
        <v>69.162000000000006</v>
      </c>
    </row>
    <row r="19" spans="1:30" x14ac:dyDescent="0.3">
      <c r="A19">
        <v>73</v>
      </c>
      <c r="B19">
        <v>2652926.9530000002</v>
      </c>
      <c r="C19">
        <v>545519.11</v>
      </c>
      <c r="D19">
        <f t="shared" si="0"/>
        <v>11.793634384771062</v>
      </c>
      <c r="E19" s="1">
        <f t="shared" si="1"/>
        <v>84.270387931184942</v>
      </c>
      <c r="F19">
        <v>69.203999999999994</v>
      </c>
    </row>
    <row r="20" spans="1:30" x14ac:dyDescent="0.3">
      <c r="A20">
        <v>74</v>
      </c>
      <c r="B20">
        <v>2652956.5359999998</v>
      </c>
      <c r="C20">
        <v>545532.17299999995</v>
      </c>
      <c r="D20">
        <f t="shared" si="0"/>
        <v>32.33876710663997</v>
      </c>
      <c r="E20" s="1">
        <f t="shared" si="1"/>
        <v>116.60915503782491</v>
      </c>
      <c r="F20">
        <v>69.094999999999999</v>
      </c>
    </row>
    <row r="21" spans="1:30" x14ac:dyDescent="0.3">
      <c r="A21">
        <v>75</v>
      </c>
      <c r="B21">
        <v>2652977.3369999998</v>
      </c>
      <c r="C21">
        <v>545547.89800000004</v>
      </c>
      <c r="D21">
        <f t="shared" si="0"/>
        <v>26.075989453940171</v>
      </c>
      <c r="E21" s="1">
        <f t="shared" si="1"/>
        <v>142.68514449176507</v>
      </c>
      <c r="F21">
        <v>69.302999999999997</v>
      </c>
    </row>
    <row r="22" spans="1:30" x14ac:dyDescent="0.3">
      <c r="A22">
        <v>76</v>
      </c>
      <c r="B22">
        <v>2652978.0290000001</v>
      </c>
      <c r="C22">
        <v>545551.64399999997</v>
      </c>
      <c r="D22">
        <f t="shared" si="0"/>
        <v>3.8093805270444108</v>
      </c>
      <c r="E22" s="1">
        <f t="shared" si="1"/>
        <v>146.4945250188095</v>
      </c>
      <c r="F22">
        <v>68.866</v>
      </c>
      <c r="Z22" t="s">
        <v>59</v>
      </c>
    </row>
    <row r="23" spans="1:30" x14ac:dyDescent="0.3">
      <c r="A23">
        <v>77</v>
      </c>
      <c r="B23">
        <v>2652980.14</v>
      </c>
      <c r="C23">
        <v>545558.59100000001</v>
      </c>
      <c r="D23">
        <f t="shared" si="0"/>
        <v>7.2606563064746235</v>
      </c>
      <c r="E23" s="1">
        <f t="shared" si="1"/>
        <v>153.75518132528413</v>
      </c>
      <c r="F23">
        <v>68.915000000000006</v>
      </c>
      <c r="Z23" t="s">
        <v>60</v>
      </c>
    </row>
    <row r="24" spans="1:30" x14ac:dyDescent="0.3">
      <c r="A24">
        <v>78</v>
      </c>
      <c r="B24">
        <v>2652983.5329999998</v>
      </c>
      <c r="C24">
        <v>545564.05900000001</v>
      </c>
      <c r="D24">
        <f t="shared" si="0"/>
        <v>6.4351746672355743</v>
      </c>
      <c r="E24" s="1">
        <f t="shared" si="1"/>
        <v>160.1903559925197</v>
      </c>
      <c r="F24">
        <v>68.707999999999998</v>
      </c>
      <c r="Z24" t="s">
        <v>63</v>
      </c>
    </row>
    <row r="25" spans="1:30" x14ac:dyDescent="0.3">
      <c r="A25">
        <v>79</v>
      </c>
      <c r="B25">
        <v>2652984.4010000001</v>
      </c>
      <c r="C25">
        <v>545568.58700000006</v>
      </c>
      <c r="D25">
        <f t="shared" si="0"/>
        <v>4.610445531711691</v>
      </c>
      <c r="E25" s="1">
        <f t="shared" si="1"/>
        <v>164.80080152423139</v>
      </c>
      <c r="F25">
        <v>68.992999999999995</v>
      </c>
    </row>
    <row r="26" spans="1:30" x14ac:dyDescent="0.3">
      <c r="A26">
        <v>80</v>
      </c>
      <c r="B26">
        <v>2652988.395</v>
      </c>
      <c r="C26">
        <v>545577.81700000004</v>
      </c>
      <c r="D26">
        <f t="shared" si="0"/>
        <v>10.057083871542464</v>
      </c>
      <c r="E26" s="1">
        <f t="shared" si="1"/>
        <v>174.85788539577385</v>
      </c>
      <c r="F26">
        <v>69.103999999999999</v>
      </c>
      <c r="AA26" s="83" t="s">
        <v>55</v>
      </c>
      <c r="AB26" s="84"/>
      <c r="AC26" s="85" t="s">
        <v>56</v>
      </c>
      <c r="AD26" s="85"/>
    </row>
    <row r="27" spans="1:30" x14ac:dyDescent="0.3">
      <c r="A27">
        <v>81</v>
      </c>
      <c r="B27">
        <v>2653003.7749999999</v>
      </c>
      <c r="C27">
        <v>545591.17299999995</v>
      </c>
      <c r="D27">
        <f t="shared" si="0"/>
        <v>20.369760332272538</v>
      </c>
      <c r="E27" s="1">
        <f t="shared" si="1"/>
        <v>195.22764572804638</v>
      </c>
      <c r="F27">
        <v>69.012</v>
      </c>
      <c r="Q27" t="s">
        <v>21</v>
      </c>
      <c r="R27" t="s">
        <v>22</v>
      </c>
      <c r="S27" t="s">
        <v>5</v>
      </c>
      <c r="T27" t="s">
        <v>19</v>
      </c>
      <c r="U27" s="21" t="s">
        <v>103</v>
      </c>
      <c r="V27" t="s">
        <v>20</v>
      </c>
      <c r="W27" s="6" t="s">
        <v>53</v>
      </c>
      <c r="X27" s="3" t="s">
        <v>52</v>
      </c>
      <c r="Y27" s="3" t="s">
        <v>51</v>
      </c>
      <c r="Z27" s="10" t="s">
        <v>54</v>
      </c>
      <c r="AA27" s="29" t="s">
        <v>58</v>
      </c>
      <c r="AB27" s="29" t="s">
        <v>57</v>
      </c>
      <c r="AC27" s="30" t="s">
        <v>58</v>
      </c>
      <c r="AD27" s="30" t="s">
        <v>57</v>
      </c>
    </row>
    <row r="28" spans="1:30" x14ac:dyDescent="0.3">
      <c r="A28">
        <v>88</v>
      </c>
      <c r="B28">
        <v>2653116.713</v>
      </c>
      <c r="C28">
        <v>545648.50800000003</v>
      </c>
      <c r="D28" t="e">
        <f>SQRT((C28-#REF!)^2+(B28-#REF!)^2)</f>
        <v>#REF!</v>
      </c>
      <c r="E28" s="1" t="e">
        <f>#REF!+D28</f>
        <v>#REF!</v>
      </c>
      <c r="F28">
        <v>68.980999999999995</v>
      </c>
      <c r="J28" s="1"/>
      <c r="K28" s="1"/>
      <c r="P28" s="13" t="s">
        <v>9</v>
      </c>
      <c r="Q28" s="14">
        <v>42.811188811188806</v>
      </c>
      <c r="R28" s="14">
        <f>Q29-Q28</f>
        <v>0.18881118881119363</v>
      </c>
      <c r="S28" s="14">
        <v>68.84</v>
      </c>
      <c r="T28" s="11">
        <v>0</v>
      </c>
      <c r="U28" s="33">
        <v>68.84</v>
      </c>
      <c r="V28" s="14">
        <f>1/2*(SUM(T28:T29)*(Q29-Q28))</f>
        <v>7.646853146853632E-3</v>
      </c>
      <c r="W28" s="14">
        <f>V28+V31+V34+V37+V40</f>
        <v>1.9638683205382752</v>
      </c>
      <c r="X28" s="14">
        <f>SQRT((R28)^2+(S29-S28)^2)</f>
        <v>0.20545234245512195</v>
      </c>
      <c r="Y28" s="14">
        <f>X28+X31+X34+X37+X40</f>
        <v>15.252681160952056</v>
      </c>
      <c r="Z28" s="14">
        <f>W28/Y28</f>
        <v>0.12875561350917877</v>
      </c>
      <c r="AA28" s="14"/>
      <c r="AB28" s="14"/>
      <c r="AC28" s="14">
        <v>0.68</v>
      </c>
      <c r="AD28" s="15"/>
    </row>
    <row r="29" spans="1:30" x14ac:dyDescent="0.3">
      <c r="A29">
        <v>89</v>
      </c>
      <c r="B29">
        <v>2653120.1979999999</v>
      </c>
      <c r="C29">
        <v>545649.527</v>
      </c>
      <c r="D29">
        <f t="shared" si="0"/>
        <v>3.6309208197139715</v>
      </c>
      <c r="E29" s="1" t="e">
        <f t="shared" si="1"/>
        <v>#REF!</v>
      </c>
      <c r="F29">
        <v>68.867999999999995</v>
      </c>
      <c r="J29" s="1"/>
      <c r="K29" s="1"/>
      <c r="P29" s="16"/>
      <c r="Q29" s="11">
        <v>43</v>
      </c>
      <c r="R29" s="11"/>
      <c r="S29" s="11">
        <v>68.759</v>
      </c>
      <c r="T29" s="11">
        <f t="shared" ref="T29:T40" si="2">68.84-S29</f>
        <v>8.100000000000307E-2</v>
      </c>
      <c r="U29" s="31">
        <f t="shared" ref="U29:U56" si="3">SUM(S29+T29)</f>
        <v>68.84</v>
      </c>
      <c r="V29" s="11"/>
      <c r="W29" s="11"/>
      <c r="X29" s="11"/>
      <c r="Y29" s="11"/>
      <c r="Z29" s="11"/>
      <c r="AA29" s="11"/>
      <c r="AB29" s="11"/>
      <c r="AC29" s="11"/>
      <c r="AD29" s="17"/>
    </row>
    <row r="30" spans="1:30" x14ac:dyDescent="0.3">
      <c r="A30">
        <v>90</v>
      </c>
      <c r="B30">
        <v>2653124.2609999999</v>
      </c>
      <c r="C30">
        <v>545651.94900000002</v>
      </c>
      <c r="D30">
        <f t="shared" si="0"/>
        <v>4.7301218801173848</v>
      </c>
      <c r="E30" s="1" t="e">
        <f t="shared" si="1"/>
        <v>#REF!</v>
      </c>
      <c r="F30">
        <v>69.05</v>
      </c>
      <c r="J30" s="1"/>
      <c r="K30" s="1"/>
      <c r="P30" s="16"/>
      <c r="Q30" s="11"/>
      <c r="R30" s="11"/>
      <c r="S30" s="11"/>
      <c r="T30" s="11"/>
      <c r="U30" s="31"/>
      <c r="V30" s="11"/>
      <c r="W30" s="11"/>
      <c r="X30" s="11"/>
      <c r="Y30" s="11"/>
      <c r="Z30" s="11"/>
      <c r="AA30" s="11"/>
      <c r="AB30" s="11"/>
      <c r="AC30" s="11"/>
      <c r="AD30" s="17"/>
    </row>
    <row r="31" spans="1:30" x14ac:dyDescent="0.3">
      <c r="A31">
        <v>91</v>
      </c>
      <c r="B31">
        <v>2653129.5789999999</v>
      </c>
      <c r="C31">
        <v>545653.44299999997</v>
      </c>
      <c r="D31">
        <f t="shared" si="0"/>
        <v>5.5238718304760823</v>
      </c>
      <c r="E31" s="1" t="e">
        <f t="shared" si="1"/>
        <v>#REF!</v>
      </c>
      <c r="F31">
        <v>69.016999999999996</v>
      </c>
      <c r="J31" s="1"/>
      <c r="K31" s="1"/>
      <c r="N31" s="3">
        <v>0.1</v>
      </c>
      <c r="P31" s="16" t="s">
        <v>10</v>
      </c>
      <c r="Q31" s="11">
        <v>43</v>
      </c>
      <c r="R31" s="11">
        <f>Q32-Q31</f>
        <v>2</v>
      </c>
      <c r="S31" s="11">
        <v>68.759</v>
      </c>
      <c r="T31" s="11">
        <f t="shared" si="2"/>
        <v>8.100000000000307E-2</v>
      </c>
      <c r="U31" s="31">
        <f t="shared" si="3"/>
        <v>68.84</v>
      </c>
      <c r="V31" s="11">
        <f>1/2*(SUM(T31:T32)*2)</f>
        <v>0.1810000000000116</v>
      </c>
      <c r="W31" s="11"/>
      <c r="X31" s="11">
        <f>SQRT((R31)^2+(S31-S32)^2)</f>
        <v>2.0000902479638261</v>
      </c>
      <c r="Y31" s="11"/>
      <c r="Z31" s="11"/>
      <c r="AA31" s="11"/>
      <c r="AB31" s="11"/>
      <c r="AC31" s="11"/>
      <c r="AD31" s="17"/>
    </row>
    <row r="32" spans="1:30" x14ac:dyDescent="0.3">
      <c r="A32">
        <v>92</v>
      </c>
      <c r="B32">
        <v>2653132.6260000002</v>
      </c>
      <c r="C32">
        <v>545654.81299999997</v>
      </c>
      <c r="D32">
        <f t="shared" si="0"/>
        <v>3.340824599037036</v>
      </c>
      <c r="E32" s="1" t="e">
        <f t="shared" si="1"/>
        <v>#REF!</v>
      </c>
      <c r="F32">
        <v>68.855999999999995</v>
      </c>
      <c r="J32" s="1"/>
      <c r="K32" s="1"/>
      <c r="P32" s="16"/>
      <c r="Q32" s="11">
        <v>45</v>
      </c>
      <c r="R32" s="11"/>
      <c r="S32" s="11">
        <v>68.739999999999995</v>
      </c>
      <c r="T32" s="11">
        <f>68.84-S32</f>
        <v>0.10000000000000853</v>
      </c>
      <c r="U32" s="31">
        <f t="shared" si="3"/>
        <v>68.84</v>
      </c>
      <c r="V32" s="11"/>
      <c r="W32" s="11"/>
      <c r="X32" s="11"/>
      <c r="Y32" s="11"/>
      <c r="Z32" s="11"/>
      <c r="AA32" s="11"/>
      <c r="AB32" s="11"/>
      <c r="AC32" s="11"/>
      <c r="AD32" s="17"/>
    </row>
    <row r="33" spans="1:30" x14ac:dyDescent="0.3">
      <c r="A33">
        <v>93</v>
      </c>
      <c r="B33">
        <v>2653140.3489999999</v>
      </c>
      <c r="C33">
        <v>545657.79500000004</v>
      </c>
      <c r="D33">
        <f t="shared" si="0"/>
        <v>8.2787108294003353</v>
      </c>
      <c r="E33" s="1" t="e">
        <f t="shared" si="1"/>
        <v>#REF!</v>
      </c>
      <c r="F33">
        <v>69.430000000000007</v>
      </c>
      <c r="J33" s="1"/>
      <c r="K33" s="1"/>
      <c r="P33" s="16"/>
      <c r="Q33" s="11"/>
      <c r="R33" s="11"/>
      <c r="S33" s="11"/>
      <c r="T33" s="11"/>
      <c r="U33" s="31"/>
      <c r="V33" s="11"/>
      <c r="W33" s="11"/>
      <c r="X33" s="11"/>
      <c r="Y33" s="11"/>
      <c r="Z33" s="11"/>
      <c r="AA33" s="11"/>
      <c r="AB33" s="11"/>
      <c r="AC33" s="11"/>
      <c r="AD33" s="17"/>
    </row>
    <row r="34" spans="1:30" x14ac:dyDescent="0.3">
      <c r="A34">
        <v>94</v>
      </c>
      <c r="B34">
        <v>2653146.9750000001</v>
      </c>
      <c r="C34">
        <v>545662.20400000003</v>
      </c>
      <c r="D34">
        <f t="shared" si="0"/>
        <v>7.9588414359152031</v>
      </c>
      <c r="E34" s="1" t="e">
        <f t="shared" si="1"/>
        <v>#REF!</v>
      </c>
      <c r="F34">
        <v>70.007999999999996</v>
      </c>
      <c r="J34" s="1"/>
      <c r="K34" s="1"/>
      <c r="P34" s="16" t="s">
        <v>11</v>
      </c>
      <c r="Q34" s="11">
        <v>45</v>
      </c>
      <c r="R34" s="11">
        <f>Q35-Q34</f>
        <v>4</v>
      </c>
      <c r="S34" s="11">
        <v>68.739999999999995</v>
      </c>
      <c r="T34" s="11">
        <f t="shared" si="2"/>
        <v>0.10000000000000853</v>
      </c>
      <c r="U34" s="31">
        <f t="shared" si="3"/>
        <v>68.84</v>
      </c>
      <c r="V34" s="11">
        <f>1/2*(SUM(T34:T35)*4)</f>
        <v>0.36400000000003274</v>
      </c>
      <c r="W34" s="11"/>
      <c r="X34" s="11">
        <f>SQRT((R34)^2+(S35-S34)^2)</f>
        <v>4.000040499794971</v>
      </c>
      <c r="Y34" s="11"/>
      <c r="Z34" s="11"/>
      <c r="AA34" s="11"/>
      <c r="AB34" s="11"/>
      <c r="AC34" s="11"/>
      <c r="AD34" s="17"/>
    </row>
    <row r="35" spans="1:30" x14ac:dyDescent="0.3">
      <c r="A35">
        <v>95</v>
      </c>
      <c r="B35">
        <v>2653152.6179999998</v>
      </c>
      <c r="C35">
        <v>545665.85800000001</v>
      </c>
      <c r="D35">
        <f t="shared" si="0"/>
        <v>6.7227349342635438</v>
      </c>
      <c r="E35" s="1" t="e">
        <f t="shared" si="1"/>
        <v>#REF!</v>
      </c>
      <c r="F35">
        <v>69.891000000000005</v>
      </c>
      <c r="N35" s="4"/>
      <c r="O35" s="4"/>
      <c r="P35" s="16"/>
      <c r="Q35" s="11">
        <v>49</v>
      </c>
      <c r="R35" s="11"/>
      <c r="S35" s="11">
        <v>68.757999999999996</v>
      </c>
      <c r="T35" s="11">
        <f t="shared" si="2"/>
        <v>8.2000000000007844E-2</v>
      </c>
      <c r="U35" s="31">
        <f t="shared" si="3"/>
        <v>68.84</v>
      </c>
      <c r="V35" s="11"/>
      <c r="W35" s="11"/>
      <c r="X35" s="11"/>
      <c r="Y35" s="11"/>
      <c r="Z35" s="11"/>
      <c r="AA35" s="11"/>
      <c r="AB35" s="11"/>
      <c r="AC35" s="11"/>
      <c r="AD35" s="17"/>
    </row>
    <row r="36" spans="1:30" x14ac:dyDescent="0.3">
      <c r="A36">
        <v>96</v>
      </c>
      <c r="B36">
        <v>2653157.1809999999</v>
      </c>
      <c r="C36">
        <v>545668.21100000001</v>
      </c>
      <c r="D36">
        <f t="shared" si="0"/>
        <v>5.1339631865412789</v>
      </c>
      <c r="E36" s="1" t="e">
        <f t="shared" si="1"/>
        <v>#REF!</v>
      </c>
      <c r="F36">
        <v>70.17</v>
      </c>
      <c r="P36" s="16"/>
      <c r="Q36" s="11"/>
      <c r="R36" s="11"/>
      <c r="S36" s="11"/>
      <c r="T36" s="11"/>
      <c r="U36" s="31"/>
      <c r="V36" s="11"/>
      <c r="W36" s="11"/>
      <c r="X36" s="11"/>
      <c r="Y36" s="11"/>
      <c r="Z36" s="11"/>
      <c r="AA36" s="11"/>
      <c r="AB36" s="11"/>
      <c r="AC36" s="11"/>
      <c r="AD36" s="17"/>
    </row>
    <row r="37" spans="1:30" x14ac:dyDescent="0.3">
      <c r="A37">
        <v>97</v>
      </c>
      <c r="B37">
        <v>2653162.89</v>
      </c>
      <c r="C37">
        <v>545671.30599999998</v>
      </c>
      <c r="D37">
        <f t="shared" si="0"/>
        <v>6.4939745921005159</v>
      </c>
      <c r="E37" s="1" t="e">
        <f t="shared" si="1"/>
        <v>#REF!</v>
      </c>
      <c r="F37">
        <v>70.344999999999999</v>
      </c>
      <c r="P37" s="16" t="s">
        <v>12</v>
      </c>
      <c r="Q37" s="11">
        <v>49</v>
      </c>
      <c r="R37" s="11">
        <f>Q38-Q37</f>
        <v>7</v>
      </c>
      <c r="S37" s="11">
        <v>68.757999999999996</v>
      </c>
      <c r="T37" s="11">
        <f t="shared" si="2"/>
        <v>8.2000000000007844E-2</v>
      </c>
      <c r="U37" s="31">
        <f t="shared" si="3"/>
        <v>68.84</v>
      </c>
      <c r="V37" s="11">
        <f>1/2*(SUM(T37:T38)*R37)</f>
        <v>1.1585000000000605</v>
      </c>
      <c r="W37" s="11"/>
      <c r="X37" s="11">
        <f>SQRT((R37)^2+(S37-S38)^2)</f>
        <v>7.0019917880557392</v>
      </c>
      <c r="Y37" s="11"/>
      <c r="Z37" s="11"/>
      <c r="AA37" s="11"/>
      <c r="AB37" s="11"/>
      <c r="AC37" s="11"/>
      <c r="AD37" s="17"/>
    </row>
    <row r="38" spans="1:30" x14ac:dyDescent="0.3">
      <c r="A38">
        <v>98</v>
      </c>
      <c r="B38">
        <v>2653167.5</v>
      </c>
      <c r="C38">
        <v>545672.95400000003</v>
      </c>
      <c r="D38">
        <f t="shared" si="0"/>
        <v>4.8957128182671408</v>
      </c>
      <c r="E38" s="1" t="e">
        <f t="shared" si="1"/>
        <v>#REF!</v>
      </c>
      <c r="F38">
        <v>71.566000000000003</v>
      </c>
      <c r="P38" s="16"/>
      <c r="Q38" s="11">
        <v>56</v>
      </c>
      <c r="R38" s="11"/>
      <c r="S38" s="11">
        <v>68.590999999999994</v>
      </c>
      <c r="T38" s="11">
        <f t="shared" si="2"/>
        <v>0.24900000000000944</v>
      </c>
      <c r="U38" s="31">
        <f t="shared" si="3"/>
        <v>68.84</v>
      </c>
      <c r="V38" s="11"/>
      <c r="W38" s="11"/>
      <c r="X38" s="11"/>
      <c r="Y38" s="11"/>
      <c r="Z38" s="11"/>
      <c r="AA38" s="11"/>
      <c r="AB38" s="11"/>
      <c r="AC38" s="11"/>
      <c r="AD38" s="17"/>
    </row>
    <row r="39" spans="1:30" x14ac:dyDescent="0.3">
      <c r="A39">
        <v>99</v>
      </c>
      <c r="B39">
        <v>2653174.4309999999</v>
      </c>
      <c r="C39">
        <v>545676.55099999998</v>
      </c>
      <c r="D39">
        <f t="shared" si="0"/>
        <v>7.8087879980049317</v>
      </c>
      <c r="E39" s="1" t="e">
        <f t="shared" si="1"/>
        <v>#REF!</v>
      </c>
      <c r="F39">
        <v>70.944000000000003</v>
      </c>
      <c r="P39" s="16"/>
      <c r="Q39" s="11"/>
      <c r="R39" s="11"/>
      <c r="S39" s="11"/>
      <c r="T39" s="11"/>
      <c r="U39" s="31"/>
      <c r="V39" s="11"/>
      <c r="W39" s="11"/>
      <c r="X39" s="11"/>
      <c r="Y39" s="11"/>
      <c r="Z39" s="11"/>
      <c r="AA39" s="11"/>
      <c r="AB39" s="11"/>
      <c r="AC39" s="11"/>
      <c r="AD39" s="17"/>
    </row>
    <row r="40" spans="1:30" x14ac:dyDescent="0.3">
      <c r="A40">
        <v>100</v>
      </c>
      <c r="B40">
        <v>2653190.8590000002</v>
      </c>
      <c r="C40">
        <v>545684.71100000001</v>
      </c>
      <c r="D40">
        <f t="shared" si="0"/>
        <v>18.342976421796124</v>
      </c>
      <c r="E40" s="1" t="e">
        <f t="shared" si="1"/>
        <v>#REF!</v>
      </c>
      <c r="F40">
        <v>71.274000000000001</v>
      </c>
      <c r="P40" s="16" t="s">
        <v>13</v>
      </c>
      <c r="Q40" s="11">
        <v>56</v>
      </c>
      <c r="R40" s="11">
        <f>Q41-Q40</f>
        <v>2.0298913043478493</v>
      </c>
      <c r="S40" s="11">
        <v>68.590999999999994</v>
      </c>
      <c r="T40" s="11">
        <f t="shared" si="2"/>
        <v>0.24900000000000944</v>
      </c>
      <c r="U40" s="31">
        <f t="shared" si="3"/>
        <v>68.84</v>
      </c>
      <c r="V40" s="11">
        <f>1/2*(SUM(T40:T41)*(Q41-Q40))</f>
        <v>0.25272146739131679</v>
      </c>
      <c r="W40" s="11"/>
      <c r="X40" s="11">
        <f>SQRT((R40)^2+(S41-S40)^2)</f>
        <v>2.0451062826823985</v>
      </c>
      <c r="Y40" s="11"/>
      <c r="Z40" s="11"/>
      <c r="AA40" s="11"/>
      <c r="AB40" s="11"/>
      <c r="AC40" s="11"/>
      <c r="AD40" s="17"/>
    </row>
    <row r="41" spans="1:30" x14ac:dyDescent="0.3">
      <c r="A41">
        <v>101</v>
      </c>
      <c r="B41">
        <v>2653209.298</v>
      </c>
      <c r="C41">
        <v>545696.62800000003</v>
      </c>
      <c r="D41">
        <f t="shared" si="0"/>
        <v>21.954762808836534</v>
      </c>
      <c r="E41" s="1" t="e">
        <f t="shared" si="1"/>
        <v>#REF!</v>
      </c>
      <c r="F41">
        <v>72.391000000000005</v>
      </c>
      <c r="L41">
        <f>TREND(Q40:Q41,T40:T41,0)</f>
        <v>58.029891304347849</v>
      </c>
      <c r="P41" s="18"/>
      <c r="Q41" s="19">
        <v>58.029891304347849</v>
      </c>
      <c r="R41" s="19"/>
      <c r="S41" s="19">
        <v>68.84</v>
      </c>
      <c r="T41" s="11">
        <v>0</v>
      </c>
      <c r="U41" s="34">
        <f>SUM(S41+T41)</f>
        <v>68.84</v>
      </c>
      <c r="V41" s="19"/>
      <c r="W41" s="19"/>
      <c r="X41" s="19"/>
      <c r="Y41" s="19"/>
      <c r="Z41" s="19"/>
      <c r="AA41" s="19"/>
      <c r="AB41" s="19"/>
      <c r="AC41" s="19"/>
      <c r="AD41" s="20"/>
    </row>
    <row r="42" spans="1:30" x14ac:dyDescent="0.3">
      <c r="A42">
        <v>102</v>
      </c>
      <c r="B42">
        <v>2653211.358</v>
      </c>
      <c r="C42">
        <v>545698.23</v>
      </c>
      <c r="D42">
        <f t="shared" si="0"/>
        <v>2.6095984365581981</v>
      </c>
      <c r="E42" s="1" t="e">
        <f t="shared" si="1"/>
        <v>#REF!</v>
      </c>
      <c r="F42">
        <v>73.462000000000003</v>
      </c>
      <c r="U42" s="4"/>
    </row>
    <row r="43" spans="1:30" x14ac:dyDescent="0.3">
      <c r="A43">
        <v>103</v>
      </c>
      <c r="B43">
        <v>2653214.2379999999</v>
      </c>
      <c r="C43">
        <v>545698.42099999997</v>
      </c>
      <c r="D43">
        <f t="shared" si="0"/>
        <v>2.8863265579890758</v>
      </c>
      <c r="E43" s="1" t="e">
        <f t="shared" si="1"/>
        <v>#REF!</v>
      </c>
      <c r="F43">
        <v>74.918999999999997</v>
      </c>
      <c r="P43" s="13" t="s">
        <v>14</v>
      </c>
      <c r="Q43" s="14">
        <v>59</v>
      </c>
      <c r="R43" s="14">
        <f>Q44-Q43</f>
        <v>10</v>
      </c>
      <c r="S43" s="14">
        <v>69.412000000000006</v>
      </c>
      <c r="T43" s="11">
        <v>0</v>
      </c>
      <c r="U43" s="33">
        <f t="shared" si="3"/>
        <v>69.412000000000006</v>
      </c>
      <c r="V43" s="14">
        <f>1/2*(SUM(T43:T44)*10)</f>
        <v>2.1900000000000119</v>
      </c>
      <c r="W43" s="14">
        <f>V43+V46+V49+V52+V55</f>
        <v>20.913062500000756</v>
      </c>
      <c r="X43" s="14">
        <f>SQRT((R43)^2+(S44-S43)^2)</f>
        <v>10.00958760389258</v>
      </c>
      <c r="Y43" s="14">
        <f>X43+X46+X49+X52+X55</f>
        <v>97.641993992711008</v>
      </c>
      <c r="Z43" s="14">
        <f>W43/Y43</f>
        <v>0.21418102647065893</v>
      </c>
      <c r="AA43" s="14"/>
      <c r="AB43" s="14"/>
      <c r="AC43" s="14"/>
      <c r="AD43" s="15"/>
    </row>
    <row r="44" spans="1:30" x14ac:dyDescent="0.3">
      <c r="A44">
        <v>104</v>
      </c>
      <c r="B44">
        <v>2653222.4010000001</v>
      </c>
      <c r="C44">
        <v>545701.84400000004</v>
      </c>
      <c r="D44">
        <f t="shared" si="0"/>
        <v>8.8516381536596906</v>
      </c>
      <c r="E44" s="1" t="e">
        <f t="shared" si="1"/>
        <v>#REF!</v>
      </c>
      <c r="F44">
        <v>75.983000000000004</v>
      </c>
      <c r="P44" s="16"/>
      <c r="Q44" s="11">
        <v>69</v>
      </c>
      <c r="R44" s="11"/>
      <c r="S44" s="11">
        <v>68.974000000000004</v>
      </c>
      <c r="T44" s="11">
        <f t="shared" ref="T44:T55" si="4">69.412-S44</f>
        <v>0.43800000000000239</v>
      </c>
      <c r="U44" s="31">
        <f t="shared" si="3"/>
        <v>69.412000000000006</v>
      </c>
      <c r="V44" s="11"/>
      <c r="W44" s="11"/>
      <c r="X44" s="11"/>
      <c r="Y44" s="11"/>
      <c r="Z44" s="11"/>
      <c r="AA44" s="11"/>
      <c r="AB44" s="11"/>
      <c r="AC44" s="11"/>
      <c r="AD44" s="17"/>
    </row>
    <row r="45" spans="1:30" x14ac:dyDescent="0.3">
      <c r="B45" s="82" t="s">
        <v>6</v>
      </c>
      <c r="C45" s="82"/>
      <c r="D45" s="2" t="e">
        <f>SUM(D3:D44)</f>
        <v>#REF!</v>
      </c>
      <c r="P45" s="16"/>
      <c r="Q45" s="11"/>
      <c r="R45" s="11"/>
      <c r="S45" s="11"/>
      <c r="T45" s="11"/>
      <c r="U45" s="31"/>
      <c r="V45" s="11"/>
      <c r="W45" s="11"/>
      <c r="X45" s="11"/>
      <c r="Y45" s="11"/>
      <c r="Z45" s="11"/>
      <c r="AA45" s="11"/>
      <c r="AB45" s="11"/>
      <c r="AC45" s="11"/>
      <c r="AD45" s="17"/>
    </row>
    <row r="46" spans="1:30" x14ac:dyDescent="0.3">
      <c r="P46" s="16" t="s">
        <v>15</v>
      </c>
      <c r="Q46" s="11">
        <v>69</v>
      </c>
      <c r="R46" s="11">
        <f>Q47-Q46</f>
        <v>3</v>
      </c>
      <c r="S46" s="11">
        <v>68.974000000000004</v>
      </c>
      <c r="T46" s="11">
        <f t="shared" si="4"/>
        <v>0.43800000000000239</v>
      </c>
      <c r="U46" s="31">
        <f t="shared" si="3"/>
        <v>69.412000000000006</v>
      </c>
      <c r="V46" s="11">
        <f>1/2*(SUM(T46:T47)*3)</f>
        <v>1.0320000000000036</v>
      </c>
      <c r="W46" s="11"/>
      <c r="X46" s="11">
        <f>SQRT((R46)^2+(S47-S46)^2)</f>
        <v>3.0058848946691223</v>
      </c>
      <c r="Y46" s="11"/>
      <c r="Z46" s="11"/>
      <c r="AA46" s="11"/>
      <c r="AB46" s="11"/>
      <c r="AC46" s="11"/>
      <c r="AD46" s="17"/>
    </row>
    <row r="47" spans="1:30" x14ac:dyDescent="0.3">
      <c r="P47" s="16"/>
      <c r="Q47" s="11">
        <v>72</v>
      </c>
      <c r="R47" s="11"/>
      <c r="S47" s="11">
        <v>69.162000000000006</v>
      </c>
      <c r="T47" s="11">
        <f>69.412-S47</f>
        <v>0.25</v>
      </c>
      <c r="U47" s="31">
        <f t="shared" si="3"/>
        <v>69.412000000000006</v>
      </c>
      <c r="V47" s="11"/>
      <c r="W47" s="11"/>
      <c r="X47" s="11"/>
      <c r="Y47" s="11"/>
      <c r="Z47" s="11"/>
      <c r="AA47" s="11"/>
      <c r="AB47" s="11"/>
      <c r="AC47" s="11"/>
      <c r="AD47" s="17"/>
    </row>
    <row r="48" spans="1:30" x14ac:dyDescent="0.3">
      <c r="P48" s="16"/>
      <c r="Q48" s="11"/>
      <c r="R48" s="11"/>
      <c r="S48" s="11"/>
      <c r="T48" s="11"/>
      <c r="U48" s="31"/>
      <c r="V48" s="11"/>
      <c r="W48" s="11"/>
      <c r="X48" s="11"/>
      <c r="Y48" s="11"/>
      <c r="Z48" s="11"/>
      <c r="AA48" s="11"/>
      <c r="AB48" s="11"/>
      <c r="AC48" s="11"/>
      <c r="AD48" s="17"/>
    </row>
    <row r="49" spans="5:30" x14ac:dyDescent="0.3">
      <c r="E49" t="s">
        <v>62</v>
      </c>
      <c r="F49">
        <f>MAX(F2:F44)</f>
        <v>75.983000000000004</v>
      </c>
      <c r="P49" s="16" t="s">
        <v>16</v>
      </c>
      <c r="Q49" s="11">
        <v>72</v>
      </c>
      <c r="R49" s="11">
        <f>Q50-Q49</f>
        <v>12</v>
      </c>
      <c r="S49" s="11">
        <v>69.162000000000006</v>
      </c>
      <c r="T49" s="11">
        <f t="shared" si="4"/>
        <v>0.25</v>
      </c>
      <c r="U49" s="31">
        <f t="shared" si="3"/>
        <v>69.412000000000006</v>
      </c>
      <c r="V49" s="11">
        <f>1/2*(SUM(T49:T50)*12)</f>
        <v>2.7480000000000757</v>
      </c>
      <c r="W49" s="11"/>
      <c r="X49" s="11">
        <f>SQRT((R49)^2+(S50-S49)^2)</f>
        <v>12.000073499774908</v>
      </c>
      <c r="Y49" s="11"/>
      <c r="Z49" s="11"/>
      <c r="AA49" s="11"/>
      <c r="AB49" s="11"/>
      <c r="AC49" s="11"/>
      <c r="AD49" s="17"/>
    </row>
    <row r="50" spans="5:30" x14ac:dyDescent="0.3">
      <c r="P50" s="16"/>
      <c r="Q50" s="11">
        <v>84</v>
      </c>
      <c r="R50" s="11"/>
      <c r="S50" s="11">
        <v>69.203999999999994</v>
      </c>
      <c r="T50" s="11">
        <f t="shared" si="4"/>
        <v>0.20800000000001262</v>
      </c>
      <c r="U50" s="31">
        <f t="shared" si="3"/>
        <v>69.412000000000006</v>
      </c>
      <c r="V50" s="11"/>
      <c r="W50" s="11"/>
      <c r="X50" s="11"/>
      <c r="Y50" s="11"/>
      <c r="Z50" s="11"/>
      <c r="AA50" s="11"/>
      <c r="AB50" s="11"/>
      <c r="AC50" s="11"/>
      <c r="AD50" s="17"/>
    </row>
    <row r="51" spans="5:30" x14ac:dyDescent="0.3">
      <c r="P51" s="16"/>
      <c r="Q51" s="11"/>
      <c r="R51" s="11"/>
      <c r="S51" s="11"/>
      <c r="T51" s="11"/>
      <c r="U51" s="31"/>
      <c r="V51" s="11"/>
      <c r="W51" s="11"/>
      <c r="X51" s="11"/>
      <c r="Y51" s="11"/>
      <c r="Z51" s="11"/>
      <c r="AA51" s="11"/>
      <c r="AB51" s="11"/>
      <c r="AC51" s="11"/>
      <c r="AD51" s="17"/>
    </row>
    <row r="52" spans="5:30" x14ac:dyDescent="0.3">
      <c r="N52" s="3">
        <v>0.25</v>
      </c>
      <c r="P52" s="16" t="s">
        <v>17</v>
      </c>
      <c r="Q52" s="11">
        <v>84</v>
      </c>
      <c r="R52" s="11">
        <f>Q53-Q52</f>
        <v>33</v>
      </c>
      <c r="S52" s="11">
        <v>69.203999999999994</v>
      </c>
      <c r="T52" s="11">
        <f t="shared" si="4"/>
        <v>0.20800000000001262</v>
      </c>
      <c r="U52" s="31">
        <f t="shared" si="3"/>
        <v>69.412000000000006</v>
      </c>
      <c r="V52" s="11">
        <f>1/2*(SUM(T52:T53)*33)</f>
        <v>8.6625000000003283</v>
      </c>
      <c r="W52" s="11"/>
      <c r="X52" s="11">
        <f>SQRT((R52)^2+(S52-S53)^2)</f>
        <v>33.000180014660522</v>
      </c>
      <c r="Y52" s="11"/>
      <c r="Z52" s="11"/>
      <c r="AA52" s="11"/>
      <c r="AB52" s="11"/>
      <c r="AC52" s="11"/>
      <c r="AD52" s="17"/>
    </row>
    <row r="53" spans="5:30" x14ac:dyDescent="0.3">
      <c r="P53" s="16"/>
      <c r="Q53" s="11">
        <v>117</v>
      </c>
      <c r="R53" s="11"/>
      <c r="S53" s="11">
        <v>69.094999999999999</v>
      </c>
      <c r="T53" s="11">
        <f t="shared" si="4"/>
        <v>0.31700000000000728</v>
      </c>
      <c r="U53" s="31">
        <f t="shared" si="3"/>
        <v>69.412000000000006</v>
      </c>
      <c r="V53" s="11"/>
      <c r="W53" s="11"/>
      <c r="X53" s="11"/>
      <c r="Y53" s="11"/>
      <c r="Z53" s="11"/>
      <c r="AA53" s="11"/>
      <c r="AB53" s="11"/>
      <c r="AC53" s="11"/>
      <c r="AD53" s="17"/>
    </row>
    <row r="54" spans="5:30" x14ac:dyDescent="0.3">
      <c r="P54" s="16"/>
      <c r="Q54" s="11"/>
      <c r="R54" s="11"/>
      <c r="S54" s="11"/>
      <c r="T54" s="11"/>
      <c r="U54" s="31"/>
      <c r="V54" s="11"/>
      <c r="W54" s="11"/>
      <c r="X54" s="11"/>
      <c r="Y54" s="11"/>
      <c r="Z54" s="11"/>
      <c r="AA54" s="11"/>
      <c r="AB54" s="11"/>
      <c r="AC54" s="11"/>
      <c r="AD54" s="17"/>
    </row>
    <row r="55" spans="5:30" x14ac:dyDescent="0.3">
      <c r="P55" s="16" t="s">
        <v>18</v>
      </c>
      <c r="Q55" s="11">
        <v>117</v>
      </c>
      <c r="R55" s="11">
        <f>Q56-Q55</f>
        <v>39.625000000001222</v>
      </c>
      <c r="S55" s="11">
        <v>69.094999999999999</v>
      </c>
      <c r="T55" s="11">
        <f t="shared" si="4"/>
        <v>0.31700000000000728</v>
      </c>
      <c r="U55" s="31">
        <f t="shared" si="3"/>
        <v>69.412000000000006</v>
      </c>
      <c r="V55" s="11">
        <f>0.5*R55*T55</f>
        <v>6.2805625000003378</v>
      </c>
      <c r="W55" s="11"/>
      <c r="X55" s="11">
        <f>SQRT((R55)^2+(S56-S55)^2)</f>
        <v>39.626267979713873</v>
      </c>
      <c r="Y55" s="11"/>
      <c r="Z55" s="11"/>
      <c r="AA55" s="11"/>
      <c r="AB55" s="11"/>
      <c r="AC55" s="11"/>
      <c r="AD55" s="17"/>
    </row>
    <row r="56" spans="5:30" x14ac:dyDescent="0.3">
      <c r="P56" s="18"/>
      <c r="Q56" s="19">
        <v>156.62500000000122</v>
      </c>
      <c r="R56" s="19"/>
      <c r="S56" s="19">
        <v>69.412000000000006</v>
      </c>
      <c r="T56" s="11">
        <v>0</v>
      </c>
      <c r="U56" s="34">
        <f t="shared" si="3"/>
        <v>69.412000000000006</v>
      </c>
      <c r="V56" s="19"/>
      <c r="W56" s="19"/>
      <c r="X56" s="19"/>
      <c r="Y56" s="19"/>
      <c r="Z56" s="19"/>
      <c r="AA56" s="19"/>
      <c r="AB56" s="19"/>
      <c r="AC56" s="19"/>
      <c r="AD56" s="20"/>
    </row>
  </sheetData>
  <mergeCells count="3">
    <mergeCell ref="B45:C45"/>
    <mergeCell ref="AA26:AB26"/>
    <mergeCell ref="AC26:AD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74"/>
  <sheetViews>
    <sheetView zoomScaleNormal="100" workbookViewId="0">
      <pane ySplit="1" topLeftCell="A53" activePane="bottomLeft" state="frozen"/>
      <selection pane="bottomLeft" activeCell="R58" activeCellId="5" sqref="P25 R25 P37 R37 P58 R58"/>
    </sheetView>
  </sheetViews>
  <sheetFormatPr defaultRowHeight="14.4" x14ac:dyDescent="0.3"/>
  <cols>
    <col min="5" max="5" width="15.44140625" bestFit="1" customWidth="1"/>
    <col min="14" max="14" width="19.109375" bestFit="1" customWidth="1"/>
    <col min="16" max="16" width="17.44140625" customWidth="1"/>
    <col min="17" max="17" width="15.88671875" bestFit="1" customWidth="1"/>
    <col min="18" max="18" width="24.77734375" bestFit="1" customWidth="1"/>
    <col min="19" max="19" width="11.88671875" customWidth="1"/>
    <col min="20" max="20" width="15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153</v>
      </c>
      <c r="B2">
        <v>2658901.9479999999</v>
      </c>
      <c r="C2">
        <v>539418.55599999998</v>
      </c>
      <c r="D2">
        <v>0</v>
      </c>
      <c r="E2">
        <v>0</v>
      </c>
      <c r="F2">
        <v>84.001000000000005</v>
      </c>
    </row>
    <row r="3" spans="1:6" x14ac:dyDescent="0.3">
      <c r="A3">
        <v>152</v>
      </c>
      <c r="B3">
        <v>2658909.1719999998</v>
      </c>
      <c r="C3">
        <v>539432.5</v>
      </c>
      <c r="D3">
        <f>SQRT((C3-C2)^2+(B3-B2)^2)</f>
        <v>15.704181354004762</v>
      </c>
      <c r="E3" s="1">
        <f>E2+D3</f>
        <v>15.704181354004762</v>
      </c>
      <c r="F3">
        <v>84.391000000000005</v>
      </c>
    </row>
    <row r="4" spans="1:6" x14ac:dyDescent="0.3">
      <c r="A4">
        <v>151</v>
      </c>
      <c r="B4">
        <v>2658923.7059999998</v>
      </c>
      <c r="C4">
        <v>539450.18299999996</v>
      </c>
      <c r="D4">
        <f>SQRT((C4-C3)^2+(B4-B3)^2)</f>
        <v>22.889422120232382</v>
      </c>
      <c r="E4" s="1">
        <f>E3+D4</f>
        <v>38.593603474237142</v>
      </c>
      <c r="F4">
        <v>83.131</v>
      </c>
    </row>
    <row r="5" spans="1:6" x14ac:dyDescent="0.3">
      <c r="A5">
        <v>150</v>
      </c>
      <c r="B5">
        <v>2658943.9730000002</v>
      </c>
      <c r="C5">
        <v>539463.02</v>
      </c>
      <c r="D5">
        <f t="shared" ref="D5:D50" si="0">SQRT((C5-C4)^2+(B5-B4)^2)</f>
        <v>23.990411793465647</v>
      </c>
      <c r="E5" s="1">
        <f t="shared" ref="E5:E50" si="1">E4+D5</f>
        <v>62.584015267702789</v>
      </c>
      <c r="F5">
        <v>81.784999999999997</v>
      </c>
    </row>
    <row r="6" spans="1:6" x14ac:dyDescent="0.3">
      <c r="A6">
        <v>149</v>
      </c>
      <c r="B6">
        <v>2658947.2230000002</v>
      </c>
      <c r="C6">
        <v>539466.48600000003</v>
      </c>
      <c r="D6">
        <f t="shared" si="0"/>
        <v>4.7513846403025815</v>
      </c>
      <c r="E6" s="1">
        <f t="shared" si="1"/>
        <v>67.335399908005371</v>
      </c>
      <c r="F6">
        <v>82.106999999999999</v>
      </c>
    </row>
    <row r="7" spans="1:6" x14ac:dyDescent="0.3">
      <c r="A7">
        <v>148</v>
      </c>
      <c r="B7">
        <v>2658952.4900000002</v>
      </c>
      <c r="C7">
        <v>539470.32999999996</v>
      </c>
      <c r="D7">
        <f t="shared" si="0"/>
        <v>6.5205540408267115</v>
      </c>
      <c r="E7" s="1">
        <f t="shared" si="1"/>
        <v>73.855953948832081</v>
      </c>
      <c r="F7">
        <v>80.754000000000005</v>
      </c>
    </row>
    <row r="8" spans="1:6" x14ac:dyDescent="0.3">
      <c r="A8">
        <v>147</v>
      </c>
      <c r="B8">
        <v>2658964.898</v>
      </c>
      <c r="C8">
        <v>539482.37300000002</v>
      </c>
      <c r="D8">
        <f t="shared" si="0"/>
        <v>17.291394188933637</v>
      </c>
      <c r="E8" s="1">
        <f t="shared" si="1"/>
        <v>91.147348137765718</v>
      </c>
      <c r="F8">
        <v>81.647999999999996</v>
      </c>
    </row>
    <row r="9" spans="1:6" x14ac:dyDescent="0.3">
      <c r="A9">
        <v>146</v>
      </c>
      <c r="B9">
        <v>2658969.8530000001</v>
      </c>
      <c r="C9">
        <v>539487.54099999997</v>
      </c>
      <c r="D9">
        <f t="shared" si="0"/>
        <v>7.1596263170775654</v>
      </c>
      <c r="E9" s="1">
        <f t="shared" si="1"/>
        <v>98.306974454843285</v>
      </c>
      <c r="F9">
        <v>80.948999999999998</v>
      </c>
    </row>
    <row r="10" spans="1:6" x14ac:dyDescent="0.3">
      <c r="A10">
        <v>145</v>
      </c>
      <c r="B10">
        <v>2658988.6809999999</v>
      </c>
      <c r="C10">
        <v>539501.90500000003</v>
      </c>
      <c r="D10">
        <f t="shared" si="0"/>
        <v>23.681597918894184</v>
      </c>
      <c r="E10" s="1">
        <f t="shared" si="1"/>
        <v>121.98857237373747</v>
      </c>
      <c r="F10">
        <v>81.709999999999994</v>
      </c>
    </row>
    <row r="11" spans="1:6" x14ac:dyDescent="0.3">
      <c r="A11">
        <v>144</v>
      </c>
      <c r="B11">
        <v>2658994.4410000001</v>
      </c>
      <c r="C11">
        <v>539508.875</v>
      </c>
      <c r="D11">
        <f t="shared" si="0"/>
        <v>9.042040699001527</v>
      </c>
      <c r="E11" s="1">
        <f t="shared" si="1"/>
        <v>131.03061307273899</v>
      </c>
      <c r="F11">
        <v>80.822999999999993</v>
      </c>
    </row>
    <row r="12" spans="1:6" x14ac:dyDescent="0.3">
      <c r="A12">
        <v>143</v>
      </c>
      <c r="B12">
        <v>2659005.1660000002</v>
      </c>
      <c r="C12">
        <v>539528.89</v>
      </c>
      <c r="D12">
        <f t="shared" si="0"/>
        <v>22.707396372163782</v>
      </c>
      <c r="E12" s="1">
        <f t="shared" si="1"/>
        <v>153.73800944490276</v>
      </c>
      <c r="F12">
        <v>81.227999999999994</v>
      </c>
    </row>
    <row r="13" spans="1:6" x14ac:dyDescent="0.3">
      <c r="A13">
        <v>142</v>
      </c>
      <c r="B13">
        <v>2659013.8849999998</v>
      </c>
      <c r="C13">
        <v>539554.21499999997</v>
      </c>
      <c r="D13">
        <f t="shared" si="0"/>
        <v>26.783886685659265</v>
      </c>
      <c r="E13" s="1">
        <f t="shared" si="1"/>
        <v>180.52189613056203</v>
      </c>
      <c r="F13">
        <v>80.897000000000006</v>
      </c>
    </row>
    <row r="14" spans="1:6" x14ac:dyDescent="0.3">
      <c r="A14">
        <v>141</v>
      </c>
      <c r="B14">
        <v>2659026.8769999999</v>
      </c>
      <c r="C14">
        <v>539579.41200000001</v>
      </c>
      <c r="D14">
        <f t="shared" si="0"/>
        <v>28.349265828314358</v>
      </c>
      <c r="E14" s="1">
        <f t="shared" si="1"/>
        <v>208.87116195887637</v>
      </c>
      <c r="F14">
        <v>80.691000000000003</v>
      </c>
    </row>
    <row r="15" spans="1:6" x14ac:dyDescent="0.3">
      <c r="A15">
        <v>140</v>
      </c>
      <c r="B15">
        <v>2659028.2000000002</v>
      </c>
      <c r="C15">
        <v>539581.63899999997</v>
      </c>
      <c r="D15">
        <f t="shared" si="0"/>
        <v>2.5903393601338145</v>
      </c>
      <c r="E15" s="1">
        <f t="shared" si="1"/>
        <v>211.46150131901018</v>
      </c>
      <c r="F15">
        <v>81.591999999999999</v>
      </c>
    </row>
    <row r="16" spans="1:6" x14ac:dyDescent="0.3">
      <c r="A16">
        <v>139</v>
      </c>
      <c r="B16">
        <v>2659032.2510000002</v>
      </c>
      <c r="C16">
        <v>539586.255</v>
      </c>
      <c r="D16">
        <f t="shared" si="0"/>
        <v>6.141502829126714</v>
      </c>
      <c r="E16" s="1">
        <f t="shared" si="1"/>
        <v>217.6030041481369</v>
      </c>
      <c r="F16">
        <v>81.760000000000005</v>
      </c>
    </row>
    <row r="17" spans="1:23" x14ac:dyDescent="0.3">
      <c r="A17">
        <v>138</v>
      </c>
      <c r="B17">
        <v>2659037.3220000002</v>
      </c>
      <c r="C17">
        <v>539595.65099999995</v>
      </c>
      <c r="D17">
        <f t="shared" si="0"/>
        <v>10.677071555394631</v>
      </c>
      <c r="E17" s="1">
        <f t="shared" si="1"/>
        <v>228.28007570353154</v>
      </c>
      <c r="F17">
        <v>81.120999999999995</v>
      </c>
    </row>
    <row r="18" spans="1:23" x14ac:dyDescent="0.3">
      <c r="A18">
        <v>137</v>
      </c>
      <c r="B18">
        <v>2659043.7420000001</v>
      </c>
      <c r="C18">
        <v>539611.62800000003</v>
      </c>
      <c r="D18">
        <f t="shared" si="0"/>
        <v>17.218621576692335</v>
      </c>
      <c r="E18" s="1">
        <f t="shared" si="1"/>
        <v>245.49869728022387</v>
      </c>
      <c r="F18">
        <v>80.222999999999999</v>
      </c>
    </row>
    <row r="19" spans="1:23" x14ac:dyDescent="0.3">
      <c r="A19">
        <v>136</v>
      </c>
      <c r="B19">
        <v>2659049.2680000002</v>
      </c>
      <c r="C19">
        <v>539616.91500000004</v>
      </c>
      <c r="D19">
        <f t="shared" si="0"/>
        <v>7.647813086163942</v>
      </c>
      <c r="E19" s="1">
        <f t="shared" si="1"/>
        <v>253.14651036638782</v>
      </c>
      <c r="F19">
        <v>79.927000000000007</v>
      </c>
      <c r="S19" t="s">
        <v>59</v>
      </c>
    </row>
    <row r="20" spans="1:23" x14ac:dyDescent="0.3">
      <c r="A20">
        <v>135</v>
      </c>
      <c r="B20">
        <v>2659052.09</v>
      </c>
      <c r="C20">
        <v>539619.46</v>
      </c>
      <c r="D20">
        <f t="shared" si="0"/>
        <v>3.8000932880518437</v>
      </c>
      <c r="E20" s="1">
        <f t="shared" si="1"/>
        <v>256.94660365443968</v>
      </c>
      <c r="F20">
        <v>80.221999999999994</v>
      </c>
      <c r="S20" t="s">
        <v>60</v>
      </c>
    </row>
    <row r="21" spans="1:23" x14ac:dyDescent="0.3">
      <c r="A21">
        <v>134</v>
      </c>
      <c r="B21">
        <v>2659058.1230000001</v>
      </c>
      <c r="C21">
        <v>539625.56000000006</v>
      </c>
      <c r="D21">
        <f t="shared" si="0"/>
        <v>8.5794573840422625</v>
      </c>
      <c r="E21" s="1">
        <f t="shared" si="1"/>
        <v>265.52606103848194</v>
      </c>
      <c r="F21">
        <v>80.152000000000001</v>
      </c>
      <c r="S21" t="s">
        <v>66</v>
      </c>
    </row>
    <row r="22" spans="1:23" x14ac:dyDescent="0.3">
      <c r="A22">
        <v>133</v>
      </c>
      <c r="B22">
        <v>2659060.0240000002</v>
      </c>
      <c r="C22">
        <v>539627.495</v>
      </c>
      <c r="D22">
        <f t="shared" si="0"/>
        <v>2.7125681558321872</v>
      </c>
      <c r="E22" s="1">
        <f t="shared" si="1"/>
        <v>268.23862919431411</v>
      </c>
      <c r="F22">
        <v>80.891000000000005</v>
      </c>
    </row>
    <row r="23" spans="1:23" x14ac:dyDescent="0.3">
      <c r="A23">
        <v>132</v>
      </c>
      <c r="B23">
        <v>2659063.5819999999</v>
      </c>
      <c r="C23">
        <v>539634.03899999999</v>
      </c>
      <c r="D23">
        <f t="shared" si="0"/>
        <v>7.4487112978012311</v>
      </c>
      <c r="E23" s="1">
        <f t="shared" si="1"/>
        <v>275.68734049211537</v>
      </c>
      <c r="F23">
        <v>80.78</v>
      </c>
      <c r="T23" s="83" t="s">
        <v>55</v>
      </c>
      <c r="U23" s="84"/>
      <c r="V23" s="85" t="s">
        <v>56</v>
      </c>
      <c r="W23" s="85"/>
    </row>
    <row r="24" spans="1:23" x14ac:dyDescent="0.3">
      <c r="A24">
        <v>131</v>
      </c>
      <c r="B24">
        <v>2659065.531</v>
      </c>
      <c r="C24">
        <v>539636.272</v>
      </c>
      <c r="D24">
        <f t="shared" si="0"/>
        <v>2.9639315107000028</v>
      </c>
      <c r="E24" s="1">
        <f t="shared" si="1"/>
        <v>278.65127200281535</v>
      </c>
      <c r="F24">
        <v>81.926000000000002</v>
      </c>
      <c r="J24" t="s">
        <v>21</v>
      </c>
      <c r="K24" t="s">
        <v>22</v>
      </c>
      <c r="L24" t="s">
        <v>5</v>
      </c>
      <c r="M24" t="s">
        <v>19</v>
      </c>
      <c r="N24" t="s">
        <v>103</v>
      </c>
      <c r="O24" t="s">
        <v>20</v>
      </c>
      <c r="P24" s="6" t="s">
        <v>23</v>
      </c>
      <c r="Q24" s="3" t="s">
        <v>24</v>
      </c>
      <c r="R24" s="3" t="s">
        <v>51</v>
      </c>
      <c r="S24" s="10" t="s">
        <v>54</v>
      </c>
      <c r="T24" s="8" t="s">
        <v>58</v>
      </c>
      <c r="U24" s="8" t="s">
        <v>57</v>
      </c>
      <c r="V24" s="9" t="s">
        <v>58</v>
      </c>
      <c r="W24" s="9" t="s">
        <v>57</v>
      </c>
    </row>
    <row r="25" spans="1:23" x14ac:dyDescent="0.3">
      <c r="A25">
        <v>130</v>
      </c>
      <c r="B25">
        <v>2659073.2969999998</v>
      </c>
      <c r="C25">
        <v>539644.39300000004</v>
      </c>
      <c r="D25">
        <f t="shared" si="0"/>
        <v>11.236609675432986</v>
      </c>
      <c r="E25" s="1">
        <f t="shared" si="1"/>
        <v>289.88788167824833</v>
      </c>
      <c r="F25">
        <v>81.644000000000005</v>
      </c>
      <c r="I25" s="13" t="s">
        <v>7</v>
      </c>
      <c r="J25" s="14">
        <v>244.35135135135133</v>
      </c>
      <c r="K25" s="14">
        <f>J26-J25</f>
        <v>8.648648648648674</v>
      </c>
      <c r="L25" s="14">
        <v>80.247</v>
      </c>
      <c r="M25" s="14">
        <f>80.297-L25</f>
        <v>4.9999999999997158E-2</v>
      </c>
      <c r="N25" s="33">
        <f>SUM(L25+M25)</f>
        <v>80.296999999999997</v>
      </c>
      <c r="O25" s="15">
        <f>0.5*K25*(L25-L26)</f>
        <v>1.3837837837837583</v>
      </c>
      <c r="P25" s="7">
        <f>O25+O28+O31+O34</f>
        <v>3.2824238379109327</v>
      </c>
      <c r="Q25">
        <f>SQRT((K25)^2+(L25-L26)^2)</f>
        <v>8.6545666239143664</v>
      </c>
      <c r="R25">
        <f>Q25+Q28+Q31+Q34</f>
        <v>21.960876006613184</v>
      </c>
      <c r="S25">
        <f>P25/R25</f>
        <v>0.14946688997845445</v>
      </c>
      <c r="V25">
        <v>0.17</v>
      </c>
      <c r="W25">
        <f>P25*V25</f>
        <v>0.55801205244485863</v>
      </c>
    </row>
    <row r="26" spans="1:23" x14ac:dyDescent="0.3">
      <c r="A26">
        <v>129</v>
      </c>
      <c r="B26">
        <v>2659080.7710000002</v>
      </c>
      <c r="C26">
        <v>539651.04099999997</v>
      </c>
      <c r="D26">
        <f t="shared" si="0"/>
        <v>10.002828600198505</v>
      </c>
      <c r="E26" s="1">
        <f t="shared" si="1"/>
        <v>299.89071027844682</v>
      </c>
      <c r="F26">
        <v>80.903000000000006</v>
      </c>
      <c r="I26" s="16"/>
      <c r="J26" s="11">
        <v>253</v>
      </c>
      <c r="K26" s="11"/>
      <c r="L26" s="11">
        <v>79.927000000000007</v>
      </c>
      <c r="M26" s="14">
        <f t="shared" ref="M26:M35" si="2">80.297-L26</f>
        <v>0.36999999999999034</v>
      </c>
      <c r="N26" s="33">
        <f t="shared" ref="N26:N74" si="3">SUM(L26+M26)</f>
        <v>80.296999999999997</v>
      </c>
      <c r="O26" s="17"/>
      <c r="T26">
        <f>(1/0.035)*(S25)^(2/3)*(0.002)^(1/2)</f>
        <v>0.35986832200583196</v>
      </c>
      <c r="U26">
        <f>P25*T26</f>
        <v>1.1812403586609503</v>
      </c>
    </row>
    <row r="27" spans="1:23" x14ac:dyDescent="0.3">
      <c r="A27">
        <v>128</v>
      </c>
      <c r="B27">
        <v>2659108.287</v>
      </c>
      <c r="C27">
        <v>539673.38399999996</v>
      </c>
      <c r="D27">
        <f t="shared" si="0"/>
        <v>35.444885456018589</v>
      </c>
      <c r="E27" s="1">
        <f t="shared" si="1"/>
        <v>335.33559573446541</v>
      </c>
      <c r="F27">
        <v>80.557000000000002</v>
      </c>
      <c r="I27" s="16"/>
      <c r="J27" s="11"/>
      <c r="K27" s="11"/>
      <c r="L27" s="11"/>
      <c r="M27" s="14"/>
      <c r="N27" s="33"/>
      <c r="O27" s="17"/>
    </row>
    <row r="28" spans="1:23" x14ac:dyDescent="0.3">
      <c r="A28">
        <v>127</v>
      </c>
      <c r="B28">
        <v>2659102.7289999998</v>
      </c>
      <c r="C28">
        <v>539667.27599999995</v>
      </c>
      <c r="D28">
        <f t="shared" si="0"/>
        <v>8.2582702790744467</v>
      </c>
      <c r="E28" s="1">
        <f t="shared" si="1"/>
        <v>343.59386601353987</v>
      </c>
      <c r="F28">
        <v>80.594999999999999</v>
      </c>
      <c r="I28" s="16" t="s">
        <v>8</v>
      </c>
      <c r="J28" s="11">
        <v>253</v>
      </c>
      <c r="K28" s="11">
        <f>J29-J28</f>
        <v>4</v>
      </c>
      <c r="L28" s="11">
        <v>79.927000000000007</v>
      </c>
      <c r="M28" s="75">
        <f t="shared" si="2"/>
        <v>0.36999999999999034</v>
      </c>
      <c r="N28" s="33">
        <f t="shared" si="3"/>
        <v>80.296999999999997</v>
      </c>
      <c r="O28" s="17">
        <f>1/2*(SUM(M28:M29)*4)</f>
        <v>0.88999999999998636</v>
      </c>
      <c r="Q28">
        <f>SQRT((K28)^2+(L29-L28)^2)</f>
        <v>4.0108633733898236</v>
      </c>
    </row>
    <row r="29" spans="1:23" x14ac:dyDescent="0.3">
      <c r="A29">
        <v>126</v>
      </c>
      <c r="B29">
        <v>2659110.7910000002</v>
      </c>
      <c r="C29">
        <v>539673.95900000003</v>
      </c>
      <c r="D29">
        <f t="shared" si="0"/>
        <v>10.471787479089711</v>
      </c>
      <c r="E29" s="1">
        <f t="shared" si="1"/>
        <v>354.06565349262956</v>
      </c>
      <c r="F29">
        <v>79.930999999999997</v>
      </c>
      <c r="I29" s="16"/>
      <c r="J29" s="11">
        <v>257</v>
      </c>
      <c r="K29" s="11"/>
      <c r="L29" s="11">
        <v>80.221999999999994</v>
      </c>
      <c r="M29" s="14">
        <f t="shared" si="2"/>
        <v>7.5000000000002842E-2</v>
      </c>
      <c r="N29" s="33">
        <f t="shared" si="3"/>
        <v>80.296999999999997</v>
      </c>
      <c r="O29" s="17"/>
    </row>
    <row r="30" spans="1:23" x14ac:dyDescent="0.3">
      <c r="A30">
        <v>125</v>
      </c>
      <c r="B30">
        <v>2659113.0079999999</v>
      </c>
      <c r="C30">
        <v>539676.25199999998</v>
      </c>
      <c r="D30">
        <f t="shared" si="0"/>
        <v>3.189504349971116</v>
      </c>
      <c r="E30" s="1">
        <f t="shared" si="1"/>
        <v>357.25515784260068</v>
      </c>
      <c r="F30">
        <v>79.947999999999993</v>
      </c>
      <c r="I30" s="16"/>
      <c r="J30" s="11"/>
      <c r="K30" s="11"/>
      <c r="L30" s="11"/>
      <c r="M30" s="14"/>
      <c r="N30" s="33"/>
      <c r="O30" s="17"/>
    </row>
    <row r="31" spans="1:23" x14ac:dyDescent="0.3">
      <c r="A31">
        <v>124</v>
      </c>
      <c r="B31">
        <v>2659122.3080000002</v>
      </c>
      <c r="C31">
        <v>539685.54399999999</v>
      </c>
      <c r="D31">
        <f t="shared" si="0"/>
        <v>13.146530493080332</v>
      </c>
      <c r="E31" s="1">
        <f t="shared" si="1"/>
        <v>370.401688335681</v>
      </c>
      <c r="F31">
        <v>80.367999999999995</v>
      </c>
      <c r="I31" s="16" t="s">
        <v>9</v>
      </c>
      <c r="J31" s="11">
        <v>257</v>
      </c>
      <c r="K31" s="11">
        <f>J32-J31</f>
        <v>9</v>
      </c>
      <c r="L31" s="11">
        <v>80.221999999999994</v>
      </c>
      <c r="M31" s="14">
        <f t="shared" si="2"/>
        <v>7.5000000000002842E-2</v>
      </c>
      <c r="N31" s="33">
        <f t="shared" si="3"/>
        <v>80.296999999999997</v>
      </c>
      <c r="O31" s="17">
        <f>1/2*(SUM(M31:M32)*9)</f>
        <v>0.98999999999999488</v>
      </c>
      <c r="Q31">
        <f>SQRT((K31)^2+(L31-L32)^2)</f>
        <v>9.0002722181054047</v>
      </c>
    </row>
    <row r="32" spans="1:23" x14ac:dyDescent="0.3">
      <c r="A32">
        <v>123</v>
      </c>
      <c r="B32">
        <v>2659131.7250000001</v>
      </c>
      <c r="C32">
        <v>539697.15500000003</v>
      </c>
      <c r="D32">
        <f t="shared" si="0"/>
        <v>14.949756185265505</v>
      </c>
      <c r="E32" s="1">
        <f t="shared" si="1"/>
        <v>385.35144452094653</v>
      </c>
      <c r="F32">
        <v>80.278999999999996</v>
      </c>
      <c r="I32" s="16"/>
      <c r="J32" s="11">
        <v>266</v>
      </c>
      <c r="K32" s="11"/>
      <c r="L32" s="11">
        <v>80.152000000000001</v>
      </c>
      <c r="M32" s="14">
        <f t="shared" si="2"/>
        <v>0.14499999999999602</v>
      </c>
      <c r="N32" s="33">
        <f t="shared" si="3"/>
        <v>80.296999999999997</v>
      </c>
      <c r="O32" s="17"/>
    </row>
    <row r="33" spans="1:19" x14ac:dyDescent="0.3">
      <c r="A33">
        <v>122</v>
      </c>
      <c r="B33">
        <v>2659149.7110000001</v>
      </c>
      <c r="C33">
        <v>539716.84499999997</v>
      </c>
      <c r="D33">
        <f t="shared" si="0"/>
        <v>26.668188839870727</v>
      </c>
      <c r="E33" s="1">
        <f t="shared" si="1"/>
        <v>412.01963336081724</v>
      </c>
      <c r="F33">
        <v>80.468000000000004</v>
      </c>
      <c r="I33" s="16"/>
      <c r="J33" s="11"/>
      <c r="K33" s="11"/>
      <c r="L33" s="11"/>
      <c r="M33" s="14"/>
      <c r="N33" s="33"/>
      <c r="O33" s="17"/>
    </row>
    <row r="34" spans="1:19" x14ac:dyDescent="0.3">
      <c r="A34">
        <v>121</v>
      </c>
      <c r="B34">
        <v>2659161.0729999999</v>
      </c>
      <c r="C34">
        <v>539730.36600000004</v>
      </c>
      <c r="D34">
        <f t="shared" si="0"/>
        <v>17.661044278175993</v>
      </c>
      <c r="E34" s="1">
        <f t="shared" si="1"/>
        <v>429.68067763899325</v>
      </c>
      <c r="F34">
        <v>80.275999999999996</v>
      </c>
      <c r="I34" s="16" t="s">
        <v>10</v>
      </c>
      <c r="J34" s="11">
        <v>266</v>
      </c>
      <c r="K34" s="11">
        <f>J35-J34</f>
        <v>0.25710419485784541</v>
      </c>
      <c r="L34" s="11">
        <v>80.152000000000001</v>
      </c>
      <c r="M34" s="14">
        <f t="shared" si="2"/>
        <v>0.14499999999999602</v>
      </c>
      <c r="N34" s="33">
        <f t="shared" si="3"/>
        <v>80.296999999999997</v>
      </c>
      <c r="O34" s="17">
        <f>1/2*K34*M34</f>
        <v>1.864005412719328E-2</v>
      </c>
      <c r="Q34">
        <f>SQRT(K34^2+M34^2)</f>
        <v>0.29517379120358872</v>
      </c>
    </row>
    <row r="35" spans="1:19" x14ac:dyDescent="0.3">
      <c r="A35">
        <v>120</v>
      </c>
      <c r="B35">
        <v>2659174.66</v>
      </c>
      <c r="C35">
        <v>539749.61100000003</v>
      </c>
      <c r="D35">
        <f t="shared" si="0"/>
        <v>23.557941209021575</v>
      </c>
      <c r="E35" s="1">
        <f t="shared" si="1"/>
        <v>453.23861884801482</v>
      </c>
      <c r="F35">
        <v>80.921999999999997</v>
      </c>
      <c r="I35" s="18"/>
      <c r="J35" s="19">
        <v>266.25710419485785</v>
      </c>
      <c r="K35" s="19"/>
      <c r="L35" s="19">
        <v>80.247</v>
      </c>
      <c r="M35" s="14">
        <f t="shared" si="2"/>
        <v>4.9999999999997158E-2</v>
      </c>
      <c r="N35" s="33">
        <f t="shared" si="3"/>
        <v>80.296999999999997</v>
      </c>
      <c r="O35" s="20"/>
    </row>
    <row r="36" spans="1:19" x14ac:dyDescent="0.3">
      <c r="A36">
        <v>119</v>
      </c>
      <c r="B36">
        <v>2659181.9109999998</v>
      </c>
      <c r="C36">
        <v>539757.65099999995</v>
      </c>
      <c r="D36">
        <f t="shared" si="0"/>
        <v>10.826753945405386</v>
      </c>
      <c r="E36" s="1">
        <f t="shared" si="1"/>
        <v>464.06537279342024</v>
      </c>
      <c r="F36">
        <v>80.203999999999994</v>
      </c>
      <c r="N36" s="33"/>
    </row>
    <row r="37" spans="1:19" x14ac:dyDescent="0.3">
      <c r="A37">
        <v>118</v>
      </c>
      <c r="B37">
        <v>2659188.4759999998</v>
      </c>
      <c r="C37">
        <v>539762.07400000002</v>
      </c>
      <c r="D37">
        <f t="shared" si="0"/>
        <v>7.9159430265678212</v>
      </c>
      <c r="E37" s="1">
        <f t="shared" si="1"/>
        <v>471.98131581998808</v>
      </c>
      <c r="F37">
        <v>79.837999999999994</v>
      </c>
      <c r="I37" s="13" t="s">
        <v>11</v>
      </c>
      <c r="J37" s="14">
        <v>343.93975903614449</v>
      </c>
      <c r="K37" s="14">
        <f>J38-J37</f>
        <v>10.060240963855506</v>
      </c>
      <c r="L37" s="14">
        <v>80.599000000000004</v>
      </c>
      <c r="M37" s="11">
        <f t="shared" ref="M37:M55" si="4">80.599-L37</f>
        <v>0</v>
      </c>
      <c r="N37" s="33">
        <f t="shared" si="3"/>
        <v>80.599000000000004</v>
      </c>
      <c r="O37" s="15">
        <f>1/2*K37*M38</f>
        <v>3.3601204819277708</v>
      </c>
      <c r="P37">
        <f>O37+O40+O43+O46+O49+O52+O55</f>
        <v>27.235870481928295</v>
      </c>
      <c r="Q37">
        <f>SQRT((K37)^2+(L37-L38)^2)</f>
        <v>10.08239417255824</v>
      </c>
      <c r="R37">
        <f>Q37+Q40+Q43+Q46+Q49+Q52+Q55</f>
        <v>97.595709827739825</v>
      </c>
      <c r="S37">
        <f>P37/R37</f>
        <v>0.27906831693729828</v>
      </c>
    </row>
    <row r="38" spans="1:19" x14ac:dyDescent="0.3">
      <c r="A38">
        <v>117</v>
      </c>
      <c r="B38">
        <v>2659191.213</v>
      </c>
      <c r="C38">
        <v>539763.505</v>
      </c>
      <c r="D38">
        <f t="shared" si="0"/>
        <v>3.0885158249602909</v>
      </c>
      <c r="E38" s="1">
        <f t="shared" si="1"/>
        <v>475.06983164494835</v>
      </c>
      <c r="F38">
        <v>79.795000000000002</v>
      </c>
      <c r="I38" s="16"/>
      <c r="J38" s="11">
        <v>354</v>
      </c>
      <c r="K38" s="11"/>
      <c r="L38" s="11">
        <v>79.930999999999997</v>
      </c>
      <c r="M38" s="11">
        <f t="shared" si="4"/>
        <v>0.66800000000000637</v>
      </c>
      <c r="N38" s="33">
        <f t="shared" si="3"/>
        <v>80.599000000000004</v>
      </c>
      <c r="O38" s="17"/>
    </row>
    <row r="39" spans="1:19" x14ac:dyDescent="0.3">
      <c r="A39">
        <v>116</v>
      </c>
      <c r="B39">
        <v>2659196.1370000001</v>
      </c>
      <c r="C39">
        <v>539767.46600000001</v>
      </c>
      <c r="D39">
        <f t="shared" si="0"/>
        <v>6.3194380289087766</v>
      </c>
      <c r="E39" s="1">
        <f t="shared" si="1"/>
        <v>481.38926967385714</v>
      </c>
      <c r="F39">
        <v>80.388000000000005</v>
      </c>
      <c r="I39" s="16"/>
      <c r="J39" s="11"/>
      <c r="K39" s="11"/>
      <c r="L39" s="11"/>
      <c r="M39" s="11"/>
      <c r="N39" s="33"/>
      <c r="O39" s="17"/>
    </row>
    <row r="40" spans="1:19" x14ac:dyDescent="0.3">
      <c r="A40">
        <v>115</v>
      </c>
      <c r="B40">
        <v>2659199.3930000002</v>
      </c>
      <c r="C40">
        <v>539771.40800000005</v>
      </c>
      <c r="D40">
        <f t="shared" si="0"/>
        <v>5.1128172273853103</v>
      </c>
      <c r="E40" s="1">
        <f t="shared" si="1"/>
        <v>486.50208690124248</v>
      </c>
      <c r="F40">
        <v>79.887</v>
      </c>
      <c r="I40" s="16" t="s">
        <v>12</v>
      </c>
      <c r="J40" s="11">
        <v>354</v>
      </c>
      <c r="K40" s="11">
        <f>J41-J40</f>
        <v>3</v>
      </c>
      <c r="L40" s="11">
        <v>79.930999999999997</v>
      </c>
      <c r="M40" s="11">
        <f t="shared" si="4"/>
        <v>0.66800000000000637</v>
      </c>
      <c r="N40" s="33">
        <f t="shared" si="3"/>
        <v>80.599000000000004</v>
      </c>
      <c r="O40" s="17">
        <f>1/2*(SUM(M40:M41)*3)</f>
        <v>1.9785000000000252</v>
      </c>
      <c r="Q40">
        <f>SQRT((K40)^2+(L41-L40)^2)</f>
        <v>3.0000481662800018</v>
      </c>
    </row>
    <row r="41" spans="1:19" x14ac:dyDescent="0.3">
      <c r="A41">
        <v>114</v>
      </c>
      <c r="B41">
        <v>2659204.213</v>
      </c>
      <c r="C41">
        <v>539777.81000000006</v>
      </c>
      <c r="D41">
        <f t="shared" si="0"/>
        <v>8.0136136666555018</v>
      </c>
      <c r="E41" s="1">
        <f t="shared" si="1"/>
        <v>494.51570056789797</v>
      </c>
      <c r="F41">
        <v>79.510000000000005</v>
      </c>
      <c r="I41" s="16"/>
      <c r="J41" s="11">
        <v>357</v>
      </c>
      <c r="K41" s="11"/>
      <c r="L41" s="11">
        <v>79.947999999999993</v>
      </c>
      <c r="M41" s="11">
        <f t="shared" si="4"/>
        <v>0.65100000000001046</v>
      </c>
      <c r="N41" s="33">
        <f t="shared" si="3"/>
        <v>80.599000000000004</v>
      </c>
      <c r="O41" s="17"/>
    </row>
    <row r="42" spans="1:19" x14ac:dyDescent="0.3">
      <c r="A42">
        <v>113</v>
      </c>
      <c r="B42">
        <v>2659210.9989999998</v>
      </c>
      <c r="C42">
        <v>539787.98400000005</v>
      </c>
      <c r="D42">
        <f t="shared" si="0"/>
        <v>12.229475540590778</v>
      </c>
      <c r="E42" s="1">
        <f t="shared" si="1"/>
        <v>506.74517610848875</v>
      </c>
      <c r="F42">
        <v>79.790000000000006</v>
      </c>
      <c r="I42" s="16"/>
      <c r="J42" s="11"/>
      <c r="K42" s="11"/>
      <c r="L42" s="11"/>
      <c r="M42" s="11"/>
      <c r="N42" s="33"/>
      <c r="O42" s="17"/>
    </row>
    <row r="43" spans="1:19" x14ac:dyDescent="0.3">
      <c r="A43">
        <v>112</v>
      </c>
      <c r="B43">
        <v>2659213.892</v>
      </c>
      <c r="C43">
        <v>539790.522</v>
      </c>
      <c r="D43">
        <f t="shared" si="0"/>
        <v>3.8484923022674984</v>
      </c>
      <c r="E43" s="1">
        <f t="shared" si="1"/>
        <v>510.59366841075627</v>
      </c>
      <c r="F43">
        <v>79.427000000000007</v>
      </c>
      <c r="I43" s="16" t="s">
        <v>13</v>
      </c>
      <c r="J43" s="11">
        <v>357</v>
      </c>
      <c r="K43" s="11">
        <f>J44-J43</f>
        <v>13</v>
      </c>
      <c r="L43" s="11">
        <v>79.947999999999993</v>
      </c>
      <c r="M43" s="11">
        <f t="shared" si="4"/>
        <v>0.65100000000001046</v>
      </c>
      <c r="N43" s="33">
        <f t="shared" si="3"/>
        <v>80.599000000000004</v>
      </c>
      <c r="O43" s="17">
        <f>1/2*(SUM(M43:M44)*13)</f>
        <v>5.7330000000001249</v>
      </c>
      <c r="Q43">
        <f>SQRT((K43)^2+(L44-L43)^2)</f>
        <v>13.006782845884681</v>
      </c>
    </row>
    <row r="44" spans="1:19" x14ac:dyDescent="0.3">
      <c r="A44">
        <v>111</v>
      </c>
      <c r="B44">
        <v>2659217.9500000002</v>
      </c>
      <c r="C44">
        <v>539794.86199999996</v>
      </c>
      <c r="D44">
        <f t="shared" si="0"/>
        <v>5.9416297428642633</v>
      </c>
      <c r="E44" s="1">
        <f t="shared" si="1"/>
        <v>516.53529815362049</v>
      </c>
      <c r="F44">
        <v>79.548000000000002</v>
      </c>
      <c r="I44" s="16"/>
      <c r="J44" s="11">
        <v>370</v>
      </c>
      <c r="K44" s="11"/>
      <c r="L44" s="11">
        <v>80.367999999999995</v>
      </c>
      <c r="M44" s="11">
        <f t="shared" si="4"/>
        <v>0.23100000000000875</v>
      </c>
      <c r="N44" s="33">
        <f t="shared" si="3"/>
        <v>80.599000000000004</v>
      </c>
      <c r="O44" s="17"/>
    </row>
    <row r="45" spans="1:19" x14ac:dyDescent="0.3">
      <c r="A45">
        <v>110</v>
      </c>
      <c r="B45">
        <v>2659224.2420000001</v>
      </c>
      <c r="C45">
        <v>539801.02399999998</v>
      </c>
      <c r="D45">
        <f t="shared" si="0"/>
        <v>8.8067876095016615</v>
      </c>
      <c r="E45" s="1">
        <f t="shared" si="1"/>
        <v>525.3420857631221</v>
      </c>
      <c r="F45">
        <v>79.713999999999999</v>
      </c>
      <c r="I45" s="16"/>
      <c r="J45" s="11"/>
      <c r="K45" s="11"/>
      <c r="L45" s="11"/>
      <c r="M45" s="11"/>
      <c r="N45" s="33"/>
      <c r="O45" s="17"/>
    </row>
    <row r="46" spans="1:19" x14ac:dyDescent="0.3">
      <c r="A46">
        <v>109</v>
      </c>
      <c r="B46">
        <v>2659230.27</v>
      </c>
      <c r="C46">
        <v>539808.60100000002</v>
      </c>
      <c r="D46">
        <f t="shared" si="0"/>
        <v>9.6823402646222601</v>
      </c>
      <c r="E46" s="1">
        <f t="shared" si="1"/>
        <v>535.02442602774431</v>
      </c>
      <c r="F46">
        <v>79.935000000000002</v>
      </c>
      <c r="I46" s="16" t="s">
        <v>14</v>
      </c>
      <c r="J46" s="11">
        <v>370</v>
      </c>
      <c r="K46" s="11">
        <f>J47-J46</f>
        <v>15</v>
      </c>
      <c r="L46" s="11">
        <v>80.367999999999995</v>
      </c>
      <c r="M46" s="11">
        <f>80.599-L46</f>
        <v>0.23100000000000875</v>
      </c>
      <c r="N46" s="33">
        <f t="shared" si="3"/>
        <v>80.599000000000004</v>
      </c>
      <c r="O46" s="17">
        <f>1/2*(SUM(M46:M47)*15)</f>
        <v>4.1325000000001211</v>
      </c>
      <c r="Q46">
        <f>SQRT((K46)^2+(L46-L47)^2)</f>
        <v>15.000264031009587</v>
      </c>
    </row>
    <row r="47" spans="1:19" x14ac:dyDescent="0.3">
      <c r="A47">
        <v>108</v>
      </c>
      <c r="B47">
        <v>2659234.7930000001</v>
      </c>
      <c r="C47">
        <v>539813.88199999998</v>
      </c>
      <c r="D47">
        <f t="shared" si="0"/>
        <v>6.9531640279783113</v>
      </c>
      <c r="E47" s="1">
        <f t="shared" si="1"/>
        <v>541.97759005572266</v>
      </c>
      <c r="F47">
        <v>81.445999999999998</v>
      </c>
      <c r="I47" s="16"/>
      <c r="J47" s="11">
        <v>385</v>
      </c>
      <c r="K47" s="11"/>
      <c r="L47" s="11">
        <v>80.278999999999996</v>
      </c>
      <c r="M47" s="11">
        <f t="shared" si="4"/>
        <v>0.32000000000000739</v>
      </c>
      <c r="N47" s="33">
        <f t="shared" si="3"/>
        <v>80.599000000000004</v>
      </c>
      <c r="O47" s="17"/>
    </row>
    <row r="48" spans="1:19" x14ac:dyDescent="0.3">
      <c r="A48">
        <v>107</v>
      </c>
      <c r="B48">
        <v>2659237.8620000002</v>
      </c>
      <c r="C48">
        <v>539817.48699999996</v>
      </c>
      <c r="D48">
        <f t="shared" si="0"/>
        <v>4.7344256252146231</v>
      </c>
      <c r="E48" s="1">
        <f t="shared" si="1"/>
        <v>546.71201568093727</v>
      </c>
      <c r="F48">
        <v>82.027000000000001</v>
      </c>
      <c r="I48" s="16"/>
      <c r="J48" s="11"/>
      <c r="K48" s="11"/>
      <c r="L48" s="11"/>
      <c r="M48" s="11"/>
      <c r="N48" s="33"/>
      <c r="O48" s="17"/>
    </row>
    <row r="49" spans="1:19" x14ac:dyDescent="0.3">
      <c r="A49">
        <v>106</v>
      </c>
      <c r="B49">
        <v>2659246.2439999999</v>
      </c>
      <c r="C49">
        <v>539833.03899999999</v>
      </c>
      <c r="D49">
        <f t="shared" si="0"/>
        <v>17.666992613249089</v>
      </c>
      <c r="E49" s="1">
        <f t="shared" si="1"/>
        <v>564.37900829418641</v>
      </c>
      <c r="F49">
        <v>83.108999999999995</v>
      </c>
      <c r="I49" s="16" t="s">
        <v>15</v>
      </c>
      <c r="J49" s="11">
        <v>385</v>
      </c>
      <c r="K49" s="11">
        <f>J50-J49</f>
        <v>27</v>
      </c>
      <c r="L49" s="11">
        <v>80.278999999999996</v>
      </c>
      <c r="M49" s="11">
        <f t="shared" si="4"/>
        <v>0.32000000000000739</v>
      </c>
      <c r="N49" s="33">
        <f t="shared" si="3"/>
        <v>80.599000000000004</v>
      </c>
      <c r="O49" s="17">
        <f>1/2*(SUM(M49:M50)*27)</f>
        <v>6.0885000000001028</v>
      </c>
      <c r="Q49">
        <f>SQRT((K49)^2+(L50-L49)^2)</f>
        <v>27.000661491896825</v>
      </c>
    </row>
    <row r="50" spans="1:19" x14ac:dyDescent="0.3">
      <c r="A50">
        <v>105</v>
      </c>
      <c r="B50">
        <v>2659257.4709999999</v>
      </c>
      <c r="C50">
        <v>539850.61300000001</v>
      </c>
      <c r="D50">
        <f t="shared" si="0"/>
        <v>20.85404049578359</v>
      </c>
      <c r="E50" s="1">
        <f t="shared" si="1"/>
        <v>585.23304878996998</v>
      </c>
      <c r="F50">
        <v>84.257999999999996</v>
      </c>
      <c r="I50" s="16"/>
      <c r="J50" s="11">
        <v>412</v>
      </c>
      <c r="K50" s="11"/>
      <c r="L50" s="11">
        <v>80.468000000000004</v>
      </c>
      <c r="M50" s="11">
        <f t="shared" si="4"/>
        <v>0.13100000000000023</v>
      </c>
      <c r="N50" s="33">
        <f t="shared" si="3"/>
        <v>80.599000000000004</v>
      </c>
      <c r="O50" s="17"/>
    </row>
    <row r="51" spans="1:19" x14ac:dyDescent="0.3">
      <c r="B51" s="5" t="s">
        <v>6</v>
      </c>
      <c r="C51" s="5"/>
      <c r="D51" s="2">
        <f>SUM(D3:D50)</f>
        <v>585.23304878996998</v>
      </c>
      <c r="I51" s="16"/>
      <c r="J51" s="11"/>
      <c r="K51" s="11"/>
      <c r="L51" s="11"/>
      <c r="M51" s="11"/>
      <c r="N51" s="33"/>
      <c r="O51" s="17"/>
    </row>
    <row r="52" spans="1:19" x14ac:dyDescent="0.3">
      <c r="I52" s="16" t="s">
        <v>16</v>
      </c>
      <c r="J52" s="11">
        <v>412</v>
      </c>
      <c r="K52" s="11">
        <f>J53-J52</f>
        <v>18</v>
      </c>
      <c r="L52" s="11">
        <v>80.468000000000004</v>
      </c>
      <c r="M52" s="11">
        <f t="shared" si="4"/>
        <v>0.13100000000000023</v>
      </c>
      <c r="N52" s="33">
        <f t="shared" si="3"/>
        <v>80.599000000000004</v>
      </c>
      <c r="O52" s="17">
        <f>1/2*(SUM(M52:M53)*18)</f>
        <v>4.0860000000000696</v>
      </c>
      <c r="Q52">
        <f>SQRT((K52)^2+(L52-L53)^2)</f>
        <v>18.001023970874545</v>
      </c>
    </row>
    <row r="53" spans="1:19" x14ac:dyDescent="0.3">
      <c r="I53" s="16"/>
      <c r="J53" s="11">
        <v>430</v>
      </c>
      <c r="K53" s="11"/>
      <c r="L53" s="11">
        <v>80.275999999999996</v>
      </c>
      <c r="M53" s="11">
        <f t="shared" si="4"/>
        <v>0.3230000000000075</v>
      </c>
      <c r="N53" s="33">
        <f t="shared" si="3"/>
        <v>80.599000000000004</v>
      </c>
      <c r="O53" s="17"/>
    </row>
    <row r="54" spans="1:19" x14ac:dyDescent="0.3">
      <c r="I54" s="16"/>
      <c r="J54" s="11"/>
      <c r="K54" s="11"/>
      <c r="L54" s="11"/>
      <c r="M54" s="11"/>
      <c r="N54" s="33"/>
      <c r="O54" s="17"/>
    </row>
    <row r="55" spans="1:19" x14ac:dyDescent="0.3">
      <c r="I55" s="16" t="s">
        <v>17</v>
      </c>
      <c r="J55" s="11">
        <v>430</v>
      </c>
      <c r="K55" s="11">
        <f>J56-J55</f>
        <v>11.500000000000227</v>
      </c>
      <c r="L55" s="11">
        <v>80.275999999999996</v>
      </c>
      <c r="M55" s="11">
        <f t="shared" si="4"/>
        <v>0.3230000000000075</v>
      </c>
      <c r="N55" s="33">
        <f t="shared" si="3"/>
        <v>80.599000000000004</v>
      </c>
      <c r="O55" s="17">
        <f>0.5*K55*M55</f>
        <v>1.8572500000000798</v>
      </c>
      <c r="Q55">
        <f>SQRT((K55)^2+(L56-L55)^2)</f>
        <v>11.504535149235942</v>
      </c>
    </row>
    <row r="56" spans="1:19" x14ac:dyDescent="0.3">
      <c r="E56" t="s">
        <v>62</v>
      </c>
      <c r="F56">
        <f>MAX(F2:F50)</f>
        <v>84.391000000000005</v>
      </c>
      <c r="H56">
        <f>TREND(J55:J56,M55:M56,0)</f>
        <v>441.50000000000023</v>
      </c>
      <c r="I56" s="18"/>
      <c r="J56" s="19">
        <v>441.50000000000023</v>
      </c>
      <c r="K56" s="19"/>
      <c r="L56" s="19">
        <v>80.599000000000004</v>
      </c>
      <c r="M56" s="11">
        <f>80.599-L56</f>
        <v>0</v>
      </c>
      <c r="N56" s="35">
        <f t="shared" si="3"/>
        <v>80.599000000000004</v>
      </c>
      <c r="O56" s="20"/>
    </row>
    <row r="57" spans="1:19" x14ac:dyDescent="0.3">
      <c r="M57" s="1"/>
      <c r="N57" s="31"/>
    </row>
    <row r="58" spans="1:19" x14ac:dyDescent="0.3">
      <c r="I58" s="13" t="s">
        <v>18</v>
      </c>
      <c r="J58" s="14">
        <v>481.41909814323589</v>
      </c>
      <c r="K58" s="14">
        <f>J59-J58</f>
        <v>13.580901856764115</v>
      </c>
      <c r="L58" s="14">
        <v>80.150000000000006</v>
      </c>
      <c r="M58" s="23">
        <f t="shared" ref="M58:M74" si="5">80.15-L58</f>
        <v>0</v>
      </c>
      <c r="N58" s="33">
        <f t="shared" si="3"/>
        <v>80.150000000000006</v>
      </c>
      <c r="O58" s="15">
        <f>0.5*K58*M59</f>
        <v>4.3458885941645207</v>
      </c>
      <c r="P58" s="7">
        <f>O58+O61+O64+O67+O70+O73</f>
        <v>24.93970307380264</v>
      </c>
      <c r="Q58">
        <f>SQRT((K58)^2+(L58-L59)^2)</f>
        <v>13.595973493761269</v>
      </c>
      <c r="R58">
        <f>Q58+Q61+Q64+Q67+Q70+Q73</f>
        <v>63.351943090775578</v>
      </c>
      <c r="S58">
        <f>P58/R58</f>
        <v>0.39366911032337398</v>
      </c>
    </row>
    <row r="59" spans="1:19" x14ac:dyDescent="0.3">
      <c r="I59" s="16"/>
      <c r="J59" s="11">
        <v>495</v>
      </c>
      <c r="K59" s="11"/>
      <c r="L59" s="11">
        <v>79.510000000000005</v>
      </c>
      <c r="M59" s="23">
        <f t="shared" si="5"/>
        <v>0.64000000000000057</v>
      </c>
      <c r="N59" s="33">
        <f t="shared" si="3"/>
        <v>80.150000000000006</v>
      </c>
      <c r="O59" s="17"/>
    </row>
    <row r="60" spans="1:19" x14ac:dyDescent="0.3">
      <c r="I60" s="16"/>
      <c r="J60" s="11"/>
      <c r="K60" s="11"/>
      <c r="L60" s="11"/>
      <c r="M60" s="23"/>
      <c r="N60" s="33"/>
      <c r="O60" s="17"/>
    </row>
    <row r="61" spans="1:19" x14ac:dyDescent="0.3">
      <c r="I61" s="16" t="s">
        <v>25</v>
      </c>
      <c r="J61" s="11">
        <v>495</v>
      </c>
      <c r="K61" s="11">
        <f>J62-J61</f>
        <v>12</v>
      </c>
      <c r="L61" s="11">
        <v>79.510000000000005</v>
      </c>
      <c r="M61" s="23">
        <f t="shared" si="5"/>
        <v>0.64000000000000057</v>
      </c>
      <c r="N61" s="33">
        <f t="shared" si="3"/>
        <v>80.150000000000006</v>
      </c>
      <c r="O61" s="25">
        <f>1/2*(SUM(M61:M62)*12)</f>
        <v>6</v>
      </c>
      <c r="Q61">
        <f>SQRT((K61)^2+(L62-L61)^2)</f>
        <v>12.003266222158034</v>
      </c>
    </row>
    <row r="62" spans="1:19" x14ac:dyDescent="0.3">
      <c r="I62" s="16"/>
      <c r="J62" s="11">
        <v>507</v>
      </c>
      <c r="K62" s="11"/>
      <c r="L62" s="11">
        <v>79.790000000000006</v>
      </c>
      <c r="M62" s="23">
        <f>80.15-L62</f>
        <v>0.35999999999999943</v>
      </c>
      <c r="N62" s="33">
        <f t="shared" si="3"/>
        <v>80.150000000000006</v>
      </c>
      <c r="O62" s="25"/>
    </row>
    <row r="63" spans="1:19" x14ac:dyDescent="0.3">
      <c r="I63" s="16"/>
      <c r="J63" s="11"/>
      <c r="K63" s="11"/>
      <c r="L63" s="11"/>
      <c r="M63" s="23"/>
      <c r="N63" s="33"/>
      <c r="O63" s="25"/>
    </row>
    <row r="64" spans="1:19" x14ac:dyDescent="0.3">
      <c r="I64" s="16" t="s">
        <v>26</v>
      </c>
      <c r="J64" s="11">
        <v>507</v>
      </c>
      <c r="K64" s="11">
        <f>J65-J64</f>
        <v>4</v>
      </c>
      <c r="L64" s="11">
        <v>79.790000000000006</v>
      </c>
      <c r="M64" s="23">
        <f t="shared" si="5"/>
        <v>0.35999999999999943</v>
      </c>
      <c r="N64" s="33">
        <f t="shared" si="3"/>
        <v>80.150000000000006</v>
      </c>
      <c r="O64" s="25">
        <f>1/2*(SUM(M64:M65)*4)</f>
        <v>2.1659999999999968</v>
      </c>
      <c r="Q64">
        <f>SQRT((K64)^2+(L64-L65)^2)</f>
        <v>4.0164373516837033</v>
      </c>
    </row>
    <row r="65" spans="9:17" x14ac:dyDescent="0.3">
      <c r="I65" s="16"/>
      <c r="J65" s="11">
        <v>511</v>
      </c>
      <c r="K65" s="11"/>
      <c r="L65" s="11">
        <v>79.427000000000007</v>
      </c>
      <c r="M65" s="23">
        <f t="shared" si="5"/>
        <v>0.72299999999999898</v>
      </c>
      <c r="N65" s="33">
        <f t="shared" si="3"/>
        <v>80.150000000000006</v>
      </c>
      <c r="O65" s="25"/>
    </row>
    <row r="66" spans="9:17" x14ac:dyDescent="0.3">
      <c r="I66" s="16"/>
      <c r="J66" s="11"/>
      <c r="K66" s="11"/>
      <c r="L66" s="11"/>
      <c r="M66" s="23"/>
      <c r="N66" s="33"/>
      <c r="O66" s="25"/>
    </row>
    <row r="67" spans="9:17" x14ac:dyDescent="0.3">
      <c r="I67" s="16" t="s">
        <v>27</v>
      </c>
      <c r="J67" s="11">
        <v>511</v>
      </c>
      <c r="K67" s="11">
        <f>J68-J67</f>
        <v>6</v>
      </c>
      <c r="L67" s="11">
        <v>79.427000000000007</v>
      </c>
      <c r="M67" s="23">
        <f t="shared" si="5"/>
        <v>0.72299999999999898</v>
      </c>
      <c r="N67" s="33">
        <f t="shared" si="3"/>
        <v>80.150000000000006</v>
      </c>
      <c r="O67" s="25">
        <f>1/2*(SUM(M67:M68)*6)</f>
        <v>3.9750000000000085</v>
      </c>
      <c r="Q67">
        <f>SQRT((K67)^2+(L68-L67)^2)</f>
        <v>6.0012199593082736</v>
      </c>
    </row>
    <row r="68" spans="9:17" x14ac:dyDescent="0.3">
      <c r="I68" s="16"/>
      <c r="J68" s="11">
        <v>517</v>
      </c>
      <c r="K68" s="11"/>
      <c r="L68" s="11">
        <v>79.548000000000002</v>
      </c>
      <c r="M68" s="23">
        <f t="shared" si="5"/>
        <v>0.60200000000000387</v>
      </c>
      <c r="N68" s="33">
        <f t="shared" si="3"/>
        <v>80.150000000000006</v>
      </c>
      <c r="O68" s="25"/>
    </row>
    <row r="69" spans="9:17" x14ac:dyDescent="0.3">
      <c r="I69" s="16"/>
      <c r="J69" s="11"/>
      <c r="K69" s="11"/>
      <c r="L69" s="11"/>
      <c r="M69" s="23"/>
      <c r="N69" s="33"/>
      <c r="O69" s="25"/>
    </row>
    <row r="70" spans="9:17" x14ac:dyDescent="0.3">
      <c r="I70" s="16" t="s">
        <v>28</v>
      </c>
      <c r="J70" s="11">
        <v>517</v>
      </c>
      <c r="K70" s="11">
        <f>J71-J70</f>
        <v>8</v>
      </c>
      <c r="L70" s="11">
        <v>79.548000000000002</v>
      </c>
      <c r="M70" s="23">
        <f t="shared" si="5"/>
        <v>0.60200000000000387</v>
      </c>
      <c r="N70" s="33">
        <f t="shared" si="3"/>
        <v>80.150000000000006</v>
      </c>
      <c r="O70" s="25">
        <f>1/2*(SUM(M70:M71)*8)</f>
        <v>4.1520000000000437</v>
      </c>
      <c r="Q70">
        <f>SQRT((K70)^2+(L71-L70)^2)</f>
        <v>8.0017220646558336</v>
      </c>
    </row>
    <row r="71" spans="9:17" x14ac:dyDescent="0.3">
      <c r="I71" s="16"/>
      <c r="J71" s="11">
        <v>525</v>
      </c>
      <c r="K71" s="11"/>
      <c r="L71" s="11">
        <v>79.713999999999999</v>
      </c>
      <c r="M71" s="23">
        <f t="shared" si="5"/>
        <v>0.43600000000000705</v>
      </c>
      <c r="N71" s="33">
        <f t="shared" si="3"/>
        <v>80.150000000000006</v>
      </c>
      <c r="O71" s="25"/>
    </row>
    <row r="72" spans="9:17" x14ac:dyDescent="0.3">
      <c r="I72" s="16"/>
      <c r="J72" s="11"/>
      <c r="K72" s="11"/>
      <c r="L72" s="11"/>
      <c r="M72" s="23"/>
      <c r="N72" s="33"/>
      <c r="O72" s="25"/>
    </row>
    <row r="73" spans="9:17" x14ac:dyDescent="0.3">
      <c r="I73" s="16" t="s">
        <v>29</v>
      </c>
      <c r="J73" s="11">
        <v>525</v>
      </c>
      <c r="K73" s="11">
        <f>J74-J73</f>
        <v>19.728506787330275</v>
      </c>
      <c r="L73" s="11">
        <v>79.713999999999999</v>
      </c>
      <c r="M73" s="23">
        <f t="shared" si="5"/>
        <v>0.43600000000000705</v>
      </c>
      <c r="N73" s="33">
        <f t="shared" si="3"/>
        <v>80.150000000000006</v>
      </c>
      <c r="O73" s="25">
        <f>0.5*K73*M73</f>
        <v>4.3008144796380696</v>
      </c>
      <c r="P73" t="s">
        <v>30</v>
      </c>
      <c r="Q73">
        <f>SQRT((K73)^2+(L74-L73)^2)</f>
        <v>19.733323999208462</v>
      </c>
    </row>
    <row r="74" spans="9:17" x14ac:dyDescent="0.3">
      <c r="I74" s="18"/>
      <c r="J74" s="19">
        <v>544.72850678733028</v>
      </c>
      <c r="K74" s="19"/>
      <c r="L74" s="19">
        <v>80.150000000000006</v>
      </c>
      <c r="M74" s="23">
        <f t="shared" si="5"/>
        <v>0</v>
      </c>
      <c r="N74" s="35">
        <f t="shared" si="3"/>
        <v>80.150000000000006</v>
      </c>
      <c r="O74" s="26"/>
    </row>
  </sheetData>
  <mergeCells count="2">
    <mergeCell ref="T23:U23"/>
    <mergeCell ref="V23:W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31"/>
  <sheetViews>
    <sheetView topLeftCell="E16" zoomScale="107" zoomScaleNormal="107" workbookViewId="0">
      <selection activeCell="P24" activeCellId="1" sqref="N24 P24"/>
    </sheetView>
  </sheetViews>
  <sheetFormatPr defaultRowHeight="14.4" x14ac:dyDescent="0.3"/>
  <cols>
    <col min="4" max="4" width="12" bestFit="1" customWidth="1"/>
    <col min="14" max="14" width="16.6640625" bestFit="1" customWidth="1"/>
    <col min="15" max="15" width="15.6640625" bestFit="1" customWidth="1"/>
    <col min="16" max="16" width="24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162</v>
      </c>
      <c r="B2">
        <v>2659894.7949999999</v>
      </c>
      <c r="C2">
        <v>534022.80299999996</v>
      </c>
      <c r="D2">
        <v>0</v>
      </c>
      <c r="E2">
        <v>0</v>
      </c>
      <c r="F2">
        <v>90.504999999999995</v>
      </c>
    </row>
    <row r="3" spans="1:6" x14ac:dyDescent="0.3">
      <c r="A3">
        <v>161</v>
      </c>
      <c r="B3">
        <v>2659908.2259999998</v>
      </c>
      <c r="C3">
        <v>534016.31200000003</v>
      </c>
      <c r="D3">
        <v>14.917266572511934</v>
      </c>
      <c r="E3">
        <v>14.917266572511934</v>
      </c>
      <c r="F3">
        <v>86.591999999999999</v>
      </c>
    </row>
    <row r="4" spans="1:6" x14ac:dyDescent="0.3">
      <c r="A4">
        <v>160</v>
      </c>
      <c r="B4">
        <v>2659917.0780000002</v>
      </c>
      <c r="C4">
        <v>534020.78099999996</v>
      </c>
      <c r="D4">
        <v>9.916141639104314</v>
      </c>
      <c r="E4">
        <v>24.833408211616248</v>
      </c>
      <c r="F4">
        <v>85.885000000000005</v>
      </c>
    </row>
    <row r="5" spans="1:6" x14ac:dyDescent="0.3">
      <c r="A5">
        <v>159</v>
      </c>
      <c r="B5">
        <v>2659934.2370000002</v>
      </c>
      <c r="C5">
        <v>534044.25899999996</v>
      </c>
      <c r="D5">
        <v>29.080023469722644</v>
      </c>
      <c r="E5">
        <v>53.913431681338892</v>
      </c>
      <c r="F5">
        <v>86.051000000000002</v>
      </c>
    </row>
    <row r="6" spans="1:6" x14ac:dyDescent="0.3">
      <c r="A6">
        <v>158</v>
      </c>
      <c r="B6">
        <v>2659946.4939999999</v>
      </c>
      <c r="C6">
        <v>534052.72499999998</v>
      </c>
      <c r="D6">
        <v>14.896550103770126</v>
      </c>
      <c r="E6">
        <v>68.809981785109017</v>
      </c>
      <c r="F6">
        <v>86.289000000000001</v>
      </c>
    </row>
    <row r="7" spans="1:6" x14ac:dyDescent="0.3">
      <c r="A7">
        <v>157</v>
      </c>
      <c r="B7">
        <v>2659982.0120000001</v>
      </c>
      <c r="C7">
        <v>534054.81099999999</v>
      </c>
      <c r="D7">
        <v>35.579203476344958</v>
      </c>
      <c r="E7">
        <v>104.38918526145397</v>
      </c>
      <c r="F7">
        <v>86.233000000000004</v>
      </c>
    </row>
    <row r="8" spans="1:6" x14ac:dyDescent="0.3">
      <c r="A8">
        <v>156</v>
      </c>
      <c r="B8">
        <v>2660036.5750000002</v>
      </c>
      <c r="C8">
        <v>534060.80299999996</v>
      </c>
      <c r="D8">
        <v>54.891028711516924</v>
      </c>
      <c r="E8">
        <v>159.2802139729709</v>
      </c>
      <c r="F8">
        <v>87.236999999999995</v>
      </c>
    </row>
    <row r="9" spans="1:6" x14ac:dyDescent="0.3">
      <c r="A9">
        <v>155</v>
      </c>
      <c r="B9">
        <v>2660064.9589999998</v>
      </c>
      <c r="C9">
        <v>534064.80900000001</v>
      </c>
      <c r="D9">
        <v>28.665301184156849</v>
      </c>
      <c r="E9">
        <v>187.94551515712774</v>
      </c>
      <c r="F9">
        <v>87.902000000000001</v>
      </c>
    </row>
    <row r="10" spans="1:6" x14ac:dyDescent="0.3">
      <c r="A10">
        <v>154</v>
      </c>
      <c r="B10">
        <v>2660072.8160000001</v>
      </c>
      <c r="C10">
        <v>534063.78399999999</v>
      </c>
      <c r="D10">
        <v>7.9235770965458832</v>
      </c>
      <c r="E10">
        <v>195.86909225367361</v>
      </c>
      <c r="F10">
        <v>90.894999999999996</v>
      </c>
    </row>
    <row r="11" spans="1:6" x14ac:dyDescent="0.3">
      <c r="B11" t="s">
        <v>6</v>
      </c>
      <c r="D11">
        <v>195.86909225367361</v>
      </c>
    </row>
    <row r="18" spans="3:21" x14ac:dyDescent="0.3">
      <c r="Q18" t="s">
        <v>59</v>
      </c>
    </row>
    <row r="19" spans="3:21" x14ac:dyDescent="0.3">
      <c r="Q19" t="s">
        <v>60</v>
      </c>
    </row>
    <row r="20" spans="3:21" x14ac:dyDescent="0.3">
      <c r="Q20" t="s">
        <v>67</v>
      </c>
    </row>
    <row r="22" spans="3:21" x14ac:dyDescent="0.3">
      <c r="R22" s="83" t="s">
        <v>55</v>
      </c>
      <c r="S22" s="84"/>
      <c r="T22" s="85" t="s">
        <v>56</v>
      </c>
      <c r="U22" s="85"/>
    </row>
    <row r="23" spans="3:21" ht="15" thickBot="1" x14ac:dyDescent="0.35">
      <c r="H23" t="s">
        <v>21</v>
      </c>
      <c r="I23" t="s">
        <v>22</v>
      </c>
      <c r="J23" t="s">
        <v>5</v>
      </c>
      <c r="K23" t="s">
        <v>19</v>
      </c>
      <c r="L23" t="s">
        <v>105</v>
      </c>
      <c r="M23" t="s">
        <v>20</v>
      </c>
      <c r="N23" s="6" t="s">
        <v>23</v>
      </c>
      <c r="O23" s="3" t="s">
        <v>24</v>
      </c>
      <c r="P23" s="3" t="s">
        <v>51</v>
      </c>
      <c r="Q23" s="10" t="s">
        <v>54</v>
      </c>
      <c r="R23" s="29" t="s">
        <v>58</v>
      </c>
      <c r="S23" s="29" t="s">
        <v>57</v>
      </c>
      <c r="T23" s="30" t="s">
        <v>58</v>
      </c>
      <c r="U23" s="30" t="s">
        <v>57</v>
      </c>
    </row>
    <row r="24" spans="3:21" x14ac:dyDescent="0.3">
      <c r="C24">
        <v>15</v>
      </c>
      <c r="G24" s="36" t="s">
        <v>7</v>
      </c>
      <c r="H24" s="37">
        <v>22.878359264497981</v>
      </c>
      <c r="I24" s="37">
        <f>H25-H24</f>
        <v>2.1216407355020195</v>
      </c>
      <c r="J24" s="38">
        <v>86.034999999999997</v>
      </c>
      <c r="K24" s="38">
        <v>0</v>
      </c>
      <c r="L24" s="38">
        <f t="shared" ref="L24:L30" si="0">J24+K24</f>
        <v>86.034999999999997</v>
      </c>
      <c r="M24" s="38">
        <f>0.5*I24*K25</f>
        <v>0.15912305516264241</v>
      </c>
      <c r="N24" s="38">
        <f>M24+M27</f>
        <v>2.1244845009455893</v>
      </c>
      <c r="O24" s="38">
        <f>SQRT(I24^2+K25^2)</f>
        <v>2.1269366258874634</v>
      </c>
      <c r="P24" s="38">
        <f>O24+O27</f>
        <v>28.332185209823127</v>
      </c>
      <c r="Q24" s="38">
        <f>N24/P24</f>
        <v>7.4984844452061661E-2</v>
      </c>
      <c r="R24" s="38">
        <f>(1/0.035)*(Q24)^(2/3)*(0.001)^(1/2)</f>
        <v>0.16066241307981999</v>
      </c>
      <c r="S24" s="38">
        <f>N24*R24</f>
        <v>0.3413248064725955</v>
      </c>
      <c r="T24" s="38">
        <v>0.28000000000000003</v>
      </c>
      <c r="U24" s="39">
        <f>N24*T24</f>
        <v>0.59485566026476511</v>
      </c>
    </row>
    <row r="25" spans="3:21" x14ac:dyDescent="0.3">
      <c r="C25" t="s">
        <v>72</v>
      </c>
      <c r="G25" s="40"/>
      <c r="H25" s="11">
        <v>25</v>
      </c>
      <c r="I25" s="11"/>
      <c r="J25" s="11">
        <v>85.885000000000005</v>
      </c>
      <c r="K25" s="11">
        <f>86.035-J25</f>
        <v>0.14999999999999147</v>
      </c>
      <c r="L25" s="11">
        <f t="shared" si="0"/>
        <v>86.034999999999997</v>
      </c>
      <c r="M25" s="11"/>
      <c r="N25" s="11"/>
      <c r="O25" s="11"/>
      <c r="P25" s="11"/>
      <c r="Q25" s="11"/>
      <c r="R25" s="11"/>
      <c r="S25" s="11"/>
      <c r="T25" s="11"/>
      <c r="U25" s="41"/>
    </row>
    <row r="26" spans="3:21" x14ac:dyDescent="0.3">
      <c r="G26" s="4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41"/>
    </row>
    <row r="27" spans="3:21" x14ac:dyDescent="0.3">
      <c r="E27" s="3">
        <v>0.15</v>
      </c>
      <c r="G27" s="40" t="s">
        <v>8</v>
      </c>
      <c r="H27" s="11">
        <v>25</v>
      </c>
      <c r="I27" s="11">
        <f>H28-H27</f>
        <v>26.204819277107447</v>
      </c>
      <c r="J27" s="11">
        <v>85.885000000000005</v>
      </c>
      <c r="K27" s="11">
        <f t="shared" ref="K27:K31" si="1">86.035-J27</f>
        <v>0.14999999999999147</v>
      </c>
      <c r="L27" s="11">
        <f>J27+K27</f>
        <v>86.034999999999997</v>
      </c>
      <c r="M27" s="11">
        <f>I27*0.5*K27</f>
        <v>1.9653614457829467</v>
      </c>
      <c r="N27" s="11"/>
      <c r="O27" s="11">
        <f>SQRT(I27^2+K27^2)</f>
        <v>26.205248583935663</v>
      </c>
      <c r="P27" s="11"/>
      <c r="Q27" s="11"/>
      <c r="R27" s="11"/>
      <c r="S27" s="11"/>
      <c r="T27" s="11"/>
      <c r="U27" s="41"/>
    </row>
    <row r="28" spans="3:21" ht="15" thickBot="1" x14ac:dyDescent="0.35">
      <c r="G28" s="42"/>
      <c r="H28" s="43">
        <v>51.204819277107447</v>
      </c>
      <c r="I28" s="43"/>
      <c r="J28" s="43">
        <v>86.034999999999997</v>
      </c>
      <c r="K28" s="43">
        <v>0</v>
      </c>
      <c r="L28" s="43">
        <f t="shared" si="0"/>
        <v>86.034999999999997</v>
      </c>
      <c r="M28" s="43"/>
      <c r="N28" s="43"/>
      <c r="O28" s="43"/>
      <c r="P28" s="43"/>
      <c r="Q28" s="43"/>
      <c r="R28" s="43"/>
      <c r="S28" s="43"/>
      <c r="T28" s="43"/>
      <c r="U28" s="44"/>
    </row>
    <row r="30" spans="3:21" x14ac:dyDescent="0.3">
      <c r="G30" t="s">
        <v>9</v>
      </c>
      <c r="H30">
        <v>54</v>
      </c>
      <c r="I30">
        <v>15</v>
      </c>
      <c r="J30">
        <v>86.051000000000002</v>
      </c>
      <c r="K30">
        <f t="shared" si="1"/>
        <v>-1.6000000000005343E-2</v>
      </c>
      <c r="L30">
        <f t="shared" si="0"/>
        <v>86.034999999999997</v>
      </c>
      <c r="M30">
        <v>1.7849999999999999</v>
      </c>
      <c r="O30">
        <v>15.001888014513373</v>
      </c>
    </row>
    <row r="31" spans="3:21" x14ac:dyDescent="0.3">
      <c r="H31">
        <v>69</v>
      </c>
      <c r="J31">
        <v>86.289000000000001</v>
      </c>
      <c r="K31">
        <f t="shared" si="1"/>
        <v>-0.25400000000000489</v>
      </c>
      <c r="L31">
        <f>J31+K31</f>
        <v>86.034999999999997</v>
      </c>
    </row>
  </sheetData>
  <mergeCells count="2">
    <mergeCell ref="R22:S22"/>
    <mergeCell ref="T22:U2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W102"/>
  <sheetViews>
    <sheetView topLeftCell="A63" zoomScaleNormal="100" workbookViewId="0">
      <selection activeCell="R28" activeCellId="1" sqref="P28 R28"/>
    </sheetView>
  </sheetViews>
  <sheetFormatPr defaultRowHeight="14.4" x14ac:dyDescent="0.3"/>
  <cols>
    <col min="4" max="4" width="12" bestFit="1" customWidth="1"/>
    <col min="5" max="5" width="10.33203125" customWidth="1"/>
    <col min="14" max="14" width="17" bestFit="1" customWidth="1"/>
    <col min="16" max="16" width="15.88671875" bestFit="1" customWidth="1"/>
    <col min="17" max="17" width="15.6640625" bestFit="1" customWidth="1"/>
    <col min="18" max="18" width="24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 s="3" t="s">
        <v>5</v>
      </c>
    </row>
    <row r="2" spans="1:6" x14ac:dyDescent="0.3">
      <c r="A2">
        <v>163</v>
      </c>
      <c r="B2">
        <v>2649210.8909999998</v>
      </c>
      <c r="C2">
        <v>570240.98699999996</v>
      </c>
      <c r="D2">
        <v>0</v>
      </c>
      <c r="E2">
        <v>0</v>
      </c>
      <c r="F2">
        <v>37.430999999999997</v>
      </c>
    </row>
    <row r="3" spans="1:6" x14ac:dyDescent="0.3">
      <c r="A3">
        <v>164</v>
      </c>
      <c r="B3">
        <v>2649228.588</v>
      </c>
      <c r="C3">
        <v>570244.76</v>
      </c>
      <c r="D3">
        <f>SQRT((C3-C2)^2+(B3-B2)^2)</f>
        <v>18.094732327558951</v>
      </c>
      <c r="E3" s="1">
        <f>E2+D3</f>
        <v>18.094732327558951</v>
      </c>
      <c r="F3">
        <v>36.063000000000002</v>
      </c>
    </row>
    <row r="4" spans="1:6" x14ac:dyDescent="0.3">
      <c r="A4">
        <v>165</v>
      </c>
      <c r="B4">
        <v>2649234.8829999999</v>
      </c>
      <c r="C4">
        <v>570246.42000000004</v>
      </c>
      <c r="D4">
        <f t="shared" ref="D4:D47" si="0">SQRT((C4-C3)^2+(B4-B3)^2)</f>
        <v>6.5101939294594127</v>
      </c>
      <c r="E4" s="1">
        <f>E3+D4</f>
        <v>24.604926257018363</v>
      </c>
      <c r="F4">
        <v>35.32</v>
      </c>
    </row>
    <row r="5" spans="1:6" x14ac:dyDescent="0.3">
      <c r="A5">
        <v>166</v>
      </c>
      <c r="B5">
        <v>2649273.9759999998</v>
      </c>
      <c r="C5">
        <v>570251.81400000001</v>
      </c>
      <c r="D5">
        <f t="shared" si="0"/>
        <v>39.463373968657024</v>
      </c>
      <c r="E5" s="1">
        <f t="shared" ref="E5:E47" si="1">E4+D5</f>
        <v>64.068300225675387</v>
      </c>
      <c r="F5">
        <v>34.923000000000002</v>
      </c>
    </row>
    <row r="6" spans="1:6" x14ac:dyDescent="0.3">
      <c r="A6">
        <v>167</v>
      </c>
      <c r="B6">
        <v>2649289.1979999999</v>
      </c>
      <c r="C6">
        <v>570254.38399999996</v>
      </c>
      <c r="D6">
        <f t="shared" si="0"/>
        <v>15.437428024181299</v>
      </c>
      <c r="E6" s="1">
        <f t="shared" si="1"/>
        <v>79.505728249856688</v>
      </c>
      <c r="F6">
        <v>34.738999999999997</v>
      </c>
    </row>
    <row r="7" spans="1:6" x14ac:dyDescent="0.3">
      <c r="A7">
        <v>168</v>
      </c>
      <c r="B7">
        <v>2649311.63</v>
      </c>
      <c r="C7">
        <v>570259.04099999997</v>
      </c>
      <c r="D7">
        <f t="shared" si="0"/>
        <v>22.910309317017038</v>
      </c>
      <c r="E7" s="1">
        <f t="shared" si="1"/>
        <v>102.41603756687373</v>
      </c>
      <c r="F7">
        <v>35.088000000000001</v>
      </c>
    </row>
    <row r="8" spans="1:6" x14ac:dyDescent="0.3">
      <c r="A8">
        <v>169</v>
      </c>
      <c r="B8">
        <v>2649318.6979999999</v>
      </c>
      <c r="C8">
        <v>570260.46600000001</v>
      </c>
      <c r="D8">
        <f t="shared" si="0"/>
        <v>7.2102183739267867</v>
      </c>
      <c r="E8" s="1">
        <f t="shared" si="1"/>
        <v>109.62625594080052</v>
      </c>
      <c r="F8">
        <v>34.868000000000002</v>
      </c>
    </row>
    <row r="9" spans="1:6" x14ac:dyDescent="0.3">
      <c r="A9">
        <v>170</v>
      </c>
      <c r="B9">
        <v>2649325.3360000001</v>
      </c>
      <c r="C9">
        <v>570262.00899999996</v>
      </c>
      <c r="D9">
        <f t="shared" si="0"/>
        <v>6.8149756421719569</v>
      </c>
      <c r="E9" s="1">
        <f t="shared" si="1"/>
        <v>116.44123158297248</v>
      </c>
      <c r="F9">
        <v>35.11</v>
      </c>
    </row>
    <row r="10" spans="1:6" x14ac:dyDescent="0.3">
      <c r="A10">
        <v>171</v>
      </c>
      <c r="B10">
        <v>2649336.8539999998</v>
      </c>
      <c r="C10">
        <v>570266.99</v>
      </c>
      <c r="D10">
        <f t="shared" si="0"/>
        <v>12.548891783466972</v>
      </c>
      <c r="E10" s="1">
        <f t="shared" si="1"/>
        <v>128.99012336643946</v>
      </c>
      <c r="F10">
        <v>34.444000000000003</v>
      </c>
    </row>
    <row r="11" spans="1:6" x14ac:dyDescent="0.3">
      <c r="A11">
        <v>172</v>
      </c>
      <c r="B11">
        <v>2649340.0070000002</v>
      </c>
      <c r="C11">
        <v>570267.77599999995</v>
      </c>
      <c r="D11">
        <f t="shared" si="0"/>
        <v>3.2494930377608924</v>
      </c>
      <c r="E11" s="1">
        <f t="shared" si="1"/>
        <v>132.23961640420035</v>
      </c>
      <c r="F11">
        <v>33.9</v>
      </c>
    </row>
    <row r="12" spans="1:6" x14ac:dyDescent="0.3">
      <c r="A12">
        <v>173</v>
      </c>
      <c r="B12">
        <v>2649344.7489999998</v>
      </c>
      <c r="C12">
        <v>570271.79299999995</v>
      </c>
      <c r="D12">
        <f t="shared" si="0"/>
        <v>6.2147287146211312</v>
      </c>
      <c r="E12" s="1">
        <f t="shared" si="1"/>
        <v>138.45434511882149</v>
      </c>
      <c r="F12">
        <v>33.734999999999999</v>
      </c>
    </row>
    <row r="13" spans="1:6" x14ac:dyDescent="0.3">
      <c r="A13">
        <v>174</v>
      </c>
      <c r="B13">
        <v>2649346.9029999999</v>
      </c>
      <c r="C13">
        <v>570274.61600000004</v>
      </c>
      <c r="D13">
        <f t="shared" si="0"/>
        <v>3.5509217114620495</v>
      </c>
      <c r="E13" s="1">
        <f t="shared" si="1"/>
        <v>142.00526683028355</v>
      </c>
      <c r="F13">
        <v>33.695999999999998</v>
      </c>
    </row>
    <row r="14" spans="1:6" x14ac:dyDescent="0.3">
      <c r="A14">
        <v>175</v>
      </c>
      <c r="B14">
        <v>2649349.0780000002</v>
      </c>
      <c r="C14">
        <v>570277.37300000002</v>
      </c>
      <c r="D14">
        <f t="shared" si="0"/>
        <v>3.5116483310723101</v>
      </c>
      <c r="E14" s="1">
        <f t="shared" si="1"/>
        <v>145.51691516135585</v>
      </c>
      <c r="F14">
        <v>33.630000000000003</v>
      </c>
    </row>
    <row r="15" spans="1:6" x14ac:dyDescent="0.3">
      <c r="A15">
        <v>176</v>
      </c>
      <c r="B15">
        <v>2649350.3459999999</v>
      </c>
      <c r="C15">
        <v>570278.48699999996</v>
      </c>
      <c r="D15">
        <f t="shared" si="0"/>
        <v>1.6878447793234119</v>
      </c>
      <c r="E15" s="1">
        <f t="shared" si="1"/>
        <v>147.20475994067925</v>
      </c>
      <c r="F15">
        <v>33.552999999999997</v>
      </c>
    </row>
    <row r="16" spans="1:6" x14ac:dyDescent="0.3">
      <c r="A16">
        <v>177</v>
      </c>
      <c r="B16">
        <v>2649352.1830000002</v>
      </c>
      <c r="C16">
        <v>570280.35699999996</v>
      </c>
      <c r="D16">
        <f t="shared" si="0"/>
        <v>2.6213486988667012</v>
      </c>
      <c r="E16" s="1">
        <f t="shared" si="1"/>
        <v>149.82610863954596</v>
      </c>
      <c r="F16">
        <v>33.783999999999999</v>
      </c>
    </row>
    <row r="17" spans="1:23" x14ac:dyDescent="0.3">
      <c r="A17">
        <v>178</v>
      </c>
      <c r="B17">
        <v>2649355.031</v>
      </c>
      <c r="C17">
        <v>570282.451</v>
      </c>
      <c r="D17">
        <f t="shared" si="0"/>
        <v>3.5349596884313694</v>
      </c>
      <c r="E17" s="1">
        <f t="shared" si="1"/>
        <v>153.36106832797734</v>
      </c>
      <c r="F17">
        <v>34.334000000000003</v>
      </c>
    </row>
    <row r="18" spans="1:23" x14ac:dyDescent="0.3">
      <c r="A18">
        <v>179</v>
      </c>
      <c r="B18">
        <v>2649368.8220000002</v>
      </c>
      <c r="C18">
        <v>570289.326</v>
      </c>
      <c r="D18">
        <f t="shared" si="0"/>
        <v>15.40964976907485</v>
      </c>
      <c r="E18" s="1">
        <f t="shared" si="1"/>
        <v>168.7707180970522</v>
      </c>
      <c r="F18">
        <v>34.363999999999997</v>
      </c>
    </row>
    <row r="19" spans="1:23" x14ac:dyDescent="0.3">
      <c r="A19">
        <v>180</v>
      </c>
      <c r="B19">
        <v>2649371.9739999999</v>
      </c>
      <c r="C19">
        <v>570290.41099999996</v>
      </c>
      <c r="D19">
        <f t="shared" si="0"/>
        <v>3.3335160114304445</v>
      </c>
      <c r="E19" s="1">
        <f t="shared" si="1"/>
        <v>172.10423410848264</v>
      </c>
      <c r="F19">
        <v>33.686</v>
      </c>
    </row>
    <row r="20" spans="1:23" x14ac:dyDescent="0.3">
      <c r="A20">
        <v>181</v>
      </c>
      <c r="B20">
        <v>2649375.8020000001</v>
      </c>
      <c r="C20">
        <v>570291.21499999997</v>
      </c>
      <c r="D20">
        <f t="shared" si="0"/>
        <v>3.9115214433301624</v>
      </c>
      <c r="E20" s="1">
        <f t="shared" si="1"/>
        <v>176.01575555181282</v>
      </c>
      <c r="F20">
        <v>33.9</v>
      </c>
    </row>
    <row r="21" spans="1:23" x14ac:dyDescent="0.3">
      <c r="A21">
        <v>182</v>
      </c>
      <c r="B21">
        <v>2649379.7910000002</v>
      </c>
      <c r="C21">
        <v>570292.58799999999</v>
      </c>
      <c r="D21">
        <f t="shared" si="0"/>
        <v>4.218678703164576</v>
      </c>
      <c r="E21" s="1">
        <f t="shared" si="1"/>
        <v>180.2344342549774</v>
      </c>
      <c r="F21">
        <v>33.728000000000002</v>
      </c>
    </row>
    <row r="22" spans="1:23" x14ac:dyDescent="0.3">
      <c r="A22">
        <v>183</v>
      </c>
      <c r="B22">
        <v>2649385.2570000002</v>
      </c>
      <c r="C22">
        <v>570295.38600000006</v>
      </c>
      <c r="D22">
        <f t="shared" si="0"/>
        <v>6.1405178935121869</v>
      </c>
      <c r="E22" s="1">
        <f t="shared" si="1"/>
        <v>186.3749521484896</v>
      </c>
      <c r="F22">
        <v>33.597000000000001</v>
      </c>
      <c r="S22" t="s">
        <v>59</v>
      </c>
    </row>
    <row r="23" spans="1:23" x14ac:dyDescent="0.3">
      <c r="A23">
        <v>184</v>
      </c>
      <c r="B23">
        <v>2649387.912</v>
      </c>
      <c r="C23">
        <v>570296.32799999998</v>
      </c>
      <c r="D23">
        <f t="shared" si="0"/>
        <v>2.8171597396609225</v>
      </c>
      <c r="E23" s="1">
        <f t="shared" si="1"/>
        <v>189.19211188815052</v>
      </c>
      <c r="F23">
        <v>33.710999999999999</v>
      </c>
      <c r="S23" t="s">
        <v>60</v>
      </c>
    </row>
    <row r="24" spans="1:23" x14ac:dyDescent="0.3">
      <c r="A24">
        <v>185</v>
      </c>
      <c r="B24">
        <v>2649390.5419999999</v>
      </c>
      <c r="C24">
        <v>570297.19799999997</v>
      </c>
      <c r="D24">
        <f t="shared" si="0"/>
        <v>2.7701624500025348</v>
      </c>
      <c r="E24" s="1">
        <f t="shared" si="1"/>
        <v>191.96227433815307</v>
      </c>
      <c r="F24">
        <v>33.606000000000002</v>
      </c>
      <c r="S24" t="s">
        <v>67</v>
      </c>
    </row>
    <row r="25" spans="1:23" x14ac:dyDescent="0.3">
      <c r="A25">
        <v>186</v>
      </c>
      <c r="B25">
        <v>2649393.8289999999</v>
      </c>
      <c r="C25">
        <v>570298.93599999999</v>
      </c>
      <c r="D25">
        <f t="shared" si="0"/>
        <v>3.7182002366891909</v>
      </c>
      <c r="E25" s="1">
        <f t="shared" si="1"/>
        <v>195.68047457484226</v>
      </c>
      <c r="F25">
        <v>33.594000000000001</v>
      </c>
    </row>
    <row r="26" spans="1:23" x14ac:dyDescent="0.3">
      <c r="A26">
        <v>187</v>
      </c>
      <c r="B26">
        <v>2649396.577</v>
      </c>
      <c r="C26">
        <v>570300.85</v>
      </c>
      <c r="D26">
        <f t="shared" si="0"/>
        <v>3.3488654796390867</v>
      </c>
      <c r="E26" s="1">
        <f t="shared" si="1"/>
        <v>199.02934005448134</v>
      </c>
      <c r="F26">
        <v>34.298999999999999</v>
      </c>
      <c r="T26" s="83" t="s">
        <v>55</v>
      </c>
      <c r="U26" s="84"/>
      <c r="V26" s="85" t="s">
        <v>56</v>
      </c>
      <c r="W26" s="85"/>
    </row>
    <row r="27" spans="1:23" x14ac:dyDescent="0.3">
      <c r="A27">
        <v>188</v>
      </c>
      <c r="B27">
        <v>2649400.2579999999</v>
      </c>
      <c r="C27">
        <v>570302.38899999997</v>
      </c>
      <c r="D27">
        <f t="shared" si="0"/>
        <v>3.989772173819095</v>
      </c>
      <c r="E27" s="1">
        <f t="shared" si="1"/>
        <v>203.01911222830043</v>
      </c>
      <c r="F27">
        <v>33.607999999999997</v>
      </c>
      <c r="J27" t="s">
        <v>21</v>
      </c>
      <c r="K27" t="s">
        <v>22</v>
      </c>
      <c r="L27" t="s">
        <v>5</v>
      </c>
      <c r="M27" t="s">
        <v>19</v>
      </c>
      <c r="N27" s="4" t="s">
        <v>103</v>
      </c>
      <c r="O27" t="s">
        <v>20</v>
      </c>
      <c r="P27" s="6" t="s">
        <v>23</v>
      </c>
      <c r="Q27" s="3" t="s">
        <v>24</v>
      </c>
      <c r="R27" s="3" t="s">
        <v>51</v>
      </c>
      <c r="S27" s="10" t="s">
        <v>54</v>
      </c>
      <c r="T27" s="8" t="s">
        <v>58</v>
      </c>
      <c r="U27" s="8" t="s">
        <v>57</v>
      </c>
      <c r="V27" s="9" t="s">
        <v>58</v>
      </c>
      <c r="W27" s="9" t="s">
        <v>57</v>
      </c>
    </row>
    <row r="28" spans="1:23" x14ac:dyDescent="0.3">
      <c r="A28">
        <v>189</v>
      </c>
      <c r="B28">
        <v>2649402.64</v>
      </c>
      <c r="C28">
        <v>570303.554</v>
      </c>
      <c r="D28">
        <f t="shared" si="0"/>
        <v>2.6516313848489843</v>
      </c>
      <c r="E28" s="1">
        <f t="shared" si="1"/>
        <v>205.67074361314943</v>
      </c>
      <c r="F28">
        <v>33.597999999999999</v>
      </c>
      <c r="I28" t="s">
        <v>7</v>
      </c>
      <c r="J28">
        <v>129.3639705882353</v>
      </c>
      <c r="K28">
        <f>J29-J28</f>
        <v>2.6360294117646959</v>
      </c>
      <c r="L28">
        <v>34.378</v>
      </c>
      <c r="M28">
        <v>0</v>
      </c>
      <c r="N28" s="4">
        <f>L28+M28</f>
        <v>34.378</v>
      </c>
      <c r="O28">
        <f>0.5*M29*K28</f>
        <v>0.63001102941176435</v>
      </c>
      <c r="P28">
        <f>(O28+O31+O34+O37+O40+O43+O46+O49+O52+O55+O58+O61+O64+O67+O70+O73+O76+O79+O82+O85)</f>
        <v>44.020071513282979</v>
      </c>
      <c r="Q28">
        <f>SQRT((K28)^2+(L28-L29)^2)</f>
        <v>2.6790175549422086</v>
      </c>
      <c r="R28">
        <f>Q28+Q31+Q34+Q37+Q40+Q43+Q46+Q49+Q52+Q55+Q58+Q61+Q64+Q67+Q70+Q73+Q76+Q79+Q82+Q85</f>
        <v>98.596147901108111</v>
      </c>
      <c r="S28">
        <f>P28/R28</f>
        <v>0.44646847214999807</v>
      </c>
      <c r="T28">
        <f>(1/0.035)*(S28)^(2/3)*(0.001)^(1/2)</f>
        <v>0.52778756416757899</v>
      </c>
      <c r="U28">
        <f>P28*T28</f>
        <v>23.233246318478255</v>
      </c>
      <c r="V28">
        <v>0.11</v>
      </c>
      <c r="W28">
        <f>P28*V28</f>
        <v>4.8422078664611279</v>
      </c>
    </row>
    <row r="29" spans="1:23" x14ac:dyDescent="0.3">
      <c r="A29">
        <v>190</v>
      </c>
      <c r="B29">
        <v>2649405.6060000001</v>
      </c>
      <c r="C29">
        <v>570304.45700000005</v>
      </c>
      <c r="D29">
        <f t="shared" si="0"/>
        <v>3.1004136821039765</v>
      </c>
      <c r="E29" s="1">
        <f t="shared" si="1"/>
        <v>208.7711572952534</v>
      </c>
      <c r="F29">
        <v>33.609000000000002</v>
      </c>
      <c r="J29">
        <v>132</v>
      </c>
      <c r="L29">
        <v>33.9</v>
      </c>
      <c r="M29">
        <f t="shared" ref="M29:M85" si="2">34.378-L29</f>
        <v>0.47800000000000153</v>
      </c>
      <c r="N29" s="4">
        <f t="shared" ref="N29:N86" si="3">SUM(L29+M29)</f>
        <v>34.378</v>
      </c>
    </row>
    <row r="30" spans="1:23" x14ac:dyDescent="0.3">
      <c r="A30">
        <v>191</v>
      </c>
      <c r="B30">
        <v>2649408.858</v>
      </c>
      <c r="C30">
        <v>570305.41700000002</v>
      </c>
      <c r="D30">
        <f t="shared" si="0"/>
        <v>3.3907379726295557</v>
      </c>
      <c r="E30" s="1">
        <f t="shared" si="1"/>
        <v>212.16189526788295</v>
      </c>
      <c r="F30">
        <v>33.732999999999997</v>
      </c>
      <c r="K30" s="1"/>
      <c r="N30" s="4"/>
    </row>
    <row r="31" spans="1:23" x14ac:dyDescent="0.3">
      <c r="A31">
        <v>192</v>
      </c>
      <c r="B31">
        <v>2649411.7859999998</v>
      </c>
      <c r="C31">
        <v>570306.07299999997</v>
      </c>
      <c r="D31">
        <f t="shared" si="0"/>
        <v>3.0005866091496478</v>
      </c>
      <c r="E31" s="1">
        <f t="shared" si="1"/>
        <v>215.1624818770326</v>
      </c>
      <c r="F31">
        <v>34.466999999999999</v>
      </c>
      <c r="I31" t="s">
        <v>8</v>
      </c>
      <c r="J31">
        <v>132</v>
      </c>
      <c r="K31" s="1">
        <f>J32-J31</f>
        <v>6</v>
      </c>
      <c r="L31">
        <v>33.9</v>
      </c>
      <c r="M31">
        <f t="shared" si="2"/>
        <v>0.47800000000000153</v>
      </c>
      <c r="N31" s="4">
        <f t="shared" si="3"/>
        <v>34.378</v>
      </c>
      <c r="O31">
        <f>1/2*(SUM(M31:M32)*6)</f>
        <v>3.3630000000000067</v>
      </c>
      <c r="Q31">
        <f>SQRT((K31)^2+(L31-L32)^2)</f>
        <v>6.0022683212265679</v>
      </c>
    </row>
    <row r="32" spans="1:23" x14ac:dyDescent="0.3">
      <c r="A32">
        <v>193</v>
      </c>
      <c r="B32">
        <v>2649421.5929999999</v>
      </c>
      <c r="C32">
        <v>570313.21900000004</v>
      </c>
      <c r="D32">
        <f t="shared" si="0"/>
        <v>12.13435474186945</v>
      </c>
      <c r="E32" s="1">
        <f t="shared" si="1"/>
        <v>227.29683661890206</v>
      </c>
      <c r="F32">
        <v>34.773000000000003</v>
      </c>
      <c r="J32">
        <v>138</v>
      </c>
      <c r="K32" s="1"/>
      <c r="L32">
        <v>33.734999999999999</v>
      </c>
      <c r="M32">
        <f t="shared" si="2"/>
        <v>0.64300000000000068</v>
      </c>
      <c r="N32" s="4">
        <f t="shared" si="3"/>
        <v>34.378</v>
      </c>
    </row>
    <row r="33" spans="1:17" x14ac:dyDescent="0.3">
      <c r="A33">
        <v>194</v>
      </c>
      <c r="B33">
        <v>2649437.9700000002</v>
      </c>
      <c r="C33">
        <v>570315.598</v>
      </c>
      <c r="D33">
        <f t="shared" si="0"/>
        <v>16.548890295440771</v>
      </c>
      <c r="E33" s="1">
        <f t="shared" si="1"/>
        <v>243.84572691434283</v>
      </c>
      <c r="F33">
        <v>34.735999999999997</v>
      </c>
      <c r="K33" s="1"/>
      <c r="N33" s="4"/>
    </row>
    <row r="34" spans="1:17" x14ac:dyDescent="0.3">
      <c r="A34">
        <v>195</v>
      </c>
      <c r="B34">
        <v>2649450.227</v>
      </c>
      <c r="C34">
        <v>570316.98300000001</v>
      </c>
      <c r="D34">
        <f t="shared" si="0"/>
        <v>12.335001985970948</v>
      </c>
      <c r="E34" s="1">
        <f t="shared" si="1"/>
        <v>256.1807289003138</v>
      </c>
      <c r="F34">
        <v>35.893999999999998</v>
      </c>
      <c r="I34" t="s">
        <v>9</v>
      </c>
      <c r="J34">
        <v>138</v>
      </c>
      <c r="K34" s="1">
        <f>J35-J34</f>
        <v>4</v>
      </c>
      <c r="L34">
        <v>33.734999999999999</v>
      </c>
      <c r="M34">
        <f t="shared" si="2"/>
        <v>0.64300000000000068</v>
      </c>
      <c r="N34" s="4">
        <f t="shared" si="3"/>
        <v>34.378</v>
      </c>
      <c r="O34">
        <f>1/2*(SUM(M34:M35)*4)</f>
        <v>2.6500000000000057</v>
      </c>
      <c r="Q34">
        <f>SQRT((K34)^2+(L35-L34)^2)</f>
        <v>4.0001901204817756</v>
      </c>
    </row>
    <row r="35" spans="1:17" x14ac:dyDescent="0.3">
      <c r="A35">
        <v>196</v>
      </c>
      <c r="B35">
        <v>2649463.4709999999</v>
      </c>
      <c r="C35">
        <v>570321.21400000004</v>
      </c>
      <c r="D35">
        <f t="shared" si="0"/>
        <v>13.903413142062018</v>
      </c>
      <c r="E35" s="1">
        <f t="shared" si="1"/>
        <v>270.08414204237579</v>
      </c>
      <c r="F35">
        <v>35.786000000000001</v>
      </c>
      <c r="J35">
        <v>142</v>
      </c>
      <c r="K35" s="1"/>
      <c r="L35">
        <v>33.695999999999998</v>
      </c>
      <c r="M35">
        <f t="shared" si="2"/>
        <v>0.68200000000000216</v>
      </c>
      <c r="N35" s="4">
        <f t="shared" si="3"/>
        <v>34.378</v>
      </c>
    </row>
    <row r="36" spans="1:17" x14ac:dyDescent="0.3">
      <c r="A36">
        <v>197</v>
      </c>
      <c r="B36">
        <v>2649468.7340000002</v>
      </c>
      <c r="C36">
        <v>570323.81999999995</v>
      </c>
      <c r="D36">
        <f t="shared" si="0"/>
        <v>5.8728532249977956</v>
      </c>
      <c r="E36" s="1">
        <f t="shared" si="1"/>
        <v>275.9569952673736</v>
      </c>
      <c r="F36">
        <v>36.182000000000002</v>
      </c>
      <c r="K36" s="1"/>
      <c r="N36" s="4"/>
    </row>
    <row r="37" spans="1:17" x14ac:dyDescent="0.3">
      <c r="A37">
        <v>198</v>
      </c>
      <c r="B37">
        <v>2649478.392</v>
      </c>
      <c r="C37">
        <v>570329.26599999995</v>
      </c>
      <c r="D37">
        <f t="shared" si="0"/>
        <v>11.087645376566904</v>
      </c>
      <c r="E37" s="1">
        <f t="shared" si="1"/>
        <v>287.04464064394051</v>
      </c>
      <c r="F37">
        <v>35.167000000000002</v>
      </c>
      <c r="I37" t="s">
        <v>10</v>
      </c>
      <c r="J37">
        <v>142</v>
      </c>
      <c r="K37" s="1">
        <f>J38-J37</f>
        <v>4</v>
      </c>
      <c r="L37">
        <v>33.695999999999998</v>
      </c>
      <c r="M37">
        <f t="shared" si="2"/>
        <v>0.68200000000000216</v>
      </c>
      <c r="N37" s="4">
        <f t="shared" si="3"/>
        <v>34.378</v>
      </c>
      <c r="O37">
        <f>1/2*(SUM(M37:M38)*4)</f>
        <v>2.8599999999999994</v>
      </c>
      <c r="Q37">
        <f>SQRT((K37)^2+(L37-L38)^2)</f>
        <v>4.0005444629450126</v>
      </c>
    </row>
    <row r="38" spans="1:17" x14ac:dyDescent="0.3">
      <c r="A38">
        <v>199</v>
      </c>
      <c r="B38">
        <v>2649511.8429999999</v>
      </c>
      <c r="C38">
        <v>570343.21400000004</v>
      </c>
      <c r="D38">
        <f t="shared" si="0"/>
        <v>36.242462733578414</v>
      </c>
      <c r="E38" s="1">
        <f t="shared" si="1"/>
        <v>323.28710337751892</v>
      </c>
      <c r="F38">
        <v>35.637999999999998</v>
      </c>
      <c r="J38">
        <v>146</v>
      </c>
      <c r="K38" s="1"/>
      <c r="L38">
        <v>33.630000000000003</v>
      </c>
      <c r="M38">
        <f t="shared" si="2"/>
        <v>0.74799999999999756</v>
      </c>
      <c r="N38" s="4">
        <f t="shared" si="3"/>
        <v>34.378</v>
      </c>
    </row>
    <row r="39" spans="1:17" x14ac:dyDescent="0.3">
      <c r="A39">
        <v>200</v>
      </c>
      <c r="B39">
        <v>2649524.534</v>
      </c>
      <c r="C39">
        <v>570350.228</v>
      </c>
      <c r="D39">
        <f t="shared" si="0"/>
        <v>14.5002647217998</v>
      </c>
      <c r="E39" s="1">
        <f t="shared" si="1"/>
        <v>337.78736809931871</v>
      </c>
      <c r="F39">
        <v>35.219000000000001</v>
      </c>
      <c r="K39" s="1"/>
      <c r="N39" s="4"/>
    </row>
    <row r="40" spans="1:17" x14ac:dyDescent="0.3">
      <c r="A40">
        <v>201</v>
      </c>
      <c r="B40">
        <v>2649558.2949999999</v>
      </c>
      <c r="C40">
        <v>570363.35</v>
      </c>
      <c r="D40">
        <f t="shared" si="0"/>
        <v>36.221430189810164</v>
      </c>
      <c r="E40" s="1">
        <f t="shared" si="1"/>
        <v>374.00879828912889</v>
      </c>
      <c r="F40">
        <v>35.475999999999999</v>
      </c>
      <c r="I40" t="s">
        <v>11</v>
      </c>
      <c r="J40">
        <v>146</v>
      </c>
      <c r="K40" s="1">
        <f>J41-J40</f>
        <v>1</v>
      </c>
      <c r="L40">
        <v>33.630000000000003</v>
      </c>
      <c r="M40">
        <f t="shared" si="2"/>
        <v>0.74799999999999756</v>
      </c>
      <c r="N40" s="4">
        <f t="shared" si="3"/>
        <v>34.378</v>
      </c>
      <c r="O40">
        <f>1/2*(SUM(M40:M41)*1)</f>
        <v>0.7865000000000002</v>
      </c>
      <c r="Q40">
        <f>SQRT((K40)^2+(L40-L41)^2)</f>
        <v>1.0029601188482027</v>
      </c>
    </row>
    <row r="41" spans="1:17" x14ac:dyDescent="0.3">
      <c r="A41">
        <v>202</v>
      </c>
      <c r="B41">
        <v>2649578.8339999998</v>
      </c>
      <c r="C41">
        <v>570368.63300000003</v>
      </c>
      <c r="D41">
        <f t="shared" si="0"/>
        <v>21.20756020845792</v>
      </c>
      <c r="E41" s="1">
        <f t="shared" si="1"/>
        <v>395.21635849758684</v>
      </c>
      <c r="F41">
        <v>35.228999999999999</v>
      </c>
      <c r="J41">
        <v>147</v>
      </c>
      <c r="K41" s="1"/>
      <c r="L41">
        <v>33.552999999999997</v>
      </c>
      <c r="M41">
        <f t="shared" si="2"/>
        <v>0.82500000000000284</v>
      </c>
      <c r="N41" s="4">
        <f t="shared" si="3"/>
        <v>34.378</v>
      </c>
    </row>
    <row r="42" spans="1:17" x14ac:dyDescent="0.3">
      <c r="A42">
        <v>203</v>
      </c>
      <c r="B42">
        <v>2649604.0290000001</v>
      </c>
      <c r="C42">
        <v>570376.93999999994</v>
      </c>
      <c r="D42">
        <f t="shared" si="0"/>
        <v>26.529121244654494</v>
      </c>
      <c r="E42" s="1">
        <f t="shared" si="1"/>
        <v>421.74547974224134</v>
      </c>
      <c r="F42">
        <v>35.954000000000001</v>
      </c>
      <c r="K42" s="1"/>
      <c r="N42" s="4"/>
    </row>
    <row r="43" spans="1:17" x14ac:dyDescent="0.3">
      <c r="A43">
        <v>204</v>
      </c>
      <c r="B43">
        <v>2649609.307</v>
      </c>
      <c r="C43">
        <v>570379.02599999995</v>
      </c>
      <c r="D43">
        <f t="shared" si="0"/>
        <v>5.6752691565541546</v>
      </c>
      <c r="E43" s="1">
        <f t="shared" si="1"/>
        <v>427.42074889879552</v>
      </c>
      <c r="F43">
        <v>35.131</v>
      </c>
      <c r="I43" t="s">
        <v>12</v>
      </c>
      <c r="J43">
        <v>147</v>
      </c>
      <c r="K43" s="1">
        <f>J44-J43</f>
        <v>3</v>
      </c>
      <c r="L43">
        <v>33.552999999999997</v>
      </c>
      <c r="M43">
        <f t="shared" si="2"/>
        <v>0.82500000000000284</v>
      </c>
      <c r="N43" s="4">
        <f t="shared" si="3"/>
        <v>34.378</v>
      </c>
      <c r="O43">
        <f>1/2*(SUM(M43:M44)*3)</f>
        <v>2.1285000000000061</v>
      </c>
      <c r="Q43">
        <f>SQRT((K43)^2+(L44-L43)^2)</f>
        <v>3.0088803565446067</v>
      </c>
    </row>
    <row r="44" spans="1:17" x14ac:dyDescent="0.3">
      <c r="A44">
        <v>205</v>
      </c>
      <c r="B44">
        <v>2649613.057</v>
      </c>
      <c r="C44">
        <v>570380.79700000002</v>
      </c>
      <c r="D44">
        <f t="shared" si="0"/>
        <v>4.1471605949413402</v>
      </c>
      <c r="E44" s="1">
        <f t="shared" si="1"/>
        <v>431.56790949373686</v>
      </c>
      <c r="F44">
        <v>35.780999999999999</v>
      </c>
      <c r="J44">
        <v>150</v>
      </c>
      <c r="K44" s="1"/>
      <c r="L44">
        <v>33.783999999999999</v>
      </c>
      <c r="M44">
        <f t="shared" si="2"/>
        <v>0.59400000000000119</v>
      </c>
      <c r="N44" s="4">
        <f t="shared" si="3"/>
        <v>34.378</v>
      </c>
    </row>
    <row r="45" spans="1:17" x14ac:dyDescent="0.3">
      <c r="A45">
        <v>206</v>
      </c>
      <c r="B45">
        <v>2649619.8509999998</v>
      </c>
      <c r="C45">
        <v>570380.03300000005</v>
      </c>
      <c r="D45">
        <f t="shared" si="0"/>
        <v>6.836821775994248</v>
      </c>
      <c r="E45" s="1">
        <f t="shared" si="1"/>
        <v>438.40473126973109</v>
      </c>
      <c r="F45">
        <v>36.792000000000002</v>
      </c>
      <c r="K45" s="1"/>
      <c r="N45" s="4"/>
    </row>
    <row r="46" spans="1:17" x14ac:dyDescent="0.3">
      <c r="A46">
        <v>207</v>
      </c>
      <c r="B46">
        <v>2649628.1129999999</v>
      </c>
      <c r="C46">
        <v>570381.11800000002</v>
      </c>
      <c r="D46">
        <f t="shared" si="0"/>
        <v>8.332938797425717</v>
      </c>
      <c r="E46" s="1">
        <f t="shared" si="1"/>
        <v>446.73767006715678</v>
      </c>
      <c r="F46">
        <v>38.636000000000003</v>
      </c>
      <c r="I46" t="s">
        <v>13</v>
      </c>
      <c r="J46">
        <v>150</v>
      </c>
      <c r="K46" s="1">
        <f>J47-J46</f>
        <v>3</v>
      </c>
      <c r="L46">
        <v>33.783999999999999</v>
      </c>
      <c r="M46">
        <f t="shared" si="2"/>
        <v>0.59400000000000119</v>
      </c>
      <c r="N46" s="4">
        <f t="shared" si="3"/>
        <v>34.378</v>
      </c>
      <c r="O46">
        <f>1/2*3*0.419</f>
        <v>0.62849999999999995</v>
      </c>
      <c r="Q46">
        <f>SQRT((K46)^2+(L47-L46)^2)</f>
        <v>3.0500000000000007</v>
      </c>
    </row>
    <row r="47" spans="1:17" x14ac:dyDescent="0.3">
      <c r="A47">
        <v>208</v>
      </c>
      <c r="B47">
        <v>2649634.4350000001</v>
      </c>
      <c r="C47">
        <v>570386.63300000003</v>
      </c>
      <c r="D47">
        <f t="shared" si="0"/>
        <v>8.389452246850178</v>
      </c>
      <c r="E47" s="1">
        <f t="shared" si="1"/>
        <v>455.12712231400695</v>
      </c>
      <c r="F47">
        <v>40.591000000000001</v>
      </c>
      <c r="J47">
        <v>153</v>
      </c>
      <c r="K47" s="1"/>
      <c r="L47">
        <v>34.334000000000003</v>
      </c>
      <c r="M47">
        <f t="shared" si="2"/>
        <v>4.399999999999693E-2</v>
      </c>
      <c r="N47" s="4">
        <f t="shared" si="3"/>
        <v>34.378</v>
      </c>
    </row>
    <row r="48" spans="1:17" x14ac:dyDescent="0.3">
      <c r="B48" s="82" t="s">
        <v>6</v>
      </c>
      <c r="C48" s="82"/>
      <c r="D48" s="2">
        <f>SUM(D3:D47)</f>
        <v>455.12712231400695</v>
      </c>
      <c r="K48" s="1"/>
      <c r="N48" s="4"/>
    </row>
    <row r="49" spans="5:17" x14ac:dyDescent="0.3">
      <c r="I49" t="s">
        <v>14</v>
      </c>
      <c r="J49">
        <v>153</v>
      </c>
      <c r="K49" s="1">
        <f>J50-J49</f>
        <v>16</v>
      </c>
      <c r="L49">
        <v>34.334000000000003</v>
      </c>
      <c r="M49">
        <f t="shared" si="2"/>
        <v>4.399999999999693E-2</v>
      </c>
      <c r="N49" s="4">
        <f t="shared" si="3"/>
        <v>34.378</v>
      </c>
      <c r="O49">
        <v>0</v>
      </c>
      <c r="Q49">
        <f>SQRT((K49)^2+(L50-L49)^2)</f>
        <v>16.00002812497528</v>
      </c>
    </row>
    <row r="50" spans="5:17" x14ac:dyDescent="0.3">
      <c r="J50">
        <v>169</v>
      </c>
      <c r="K50" s="1"/>
      <c r="L50">
        <v>34.363999999999997</v>
      </c>
      <c r="M50">
        <f t="shared" si="2"/>
        <v>1.4000000000002899E-2</v>
      </c>
      <c r="N50" s="4">
        <f t="shared" si="3"/>
        <v>34.378</v>
      </c>
    </row>
    <row r="51" spans="5:17" x14ac:dyDescent="0.3">
      <c r="N51" s="4"/>
    </row>
    <row r="52" spans="5:17" x14ac:dyDescent="0.3">
      <c r="E52" s="3">
        <v>0.65</v>
      </c>
      <c r="I52" t="s">
        <v>15</v>
      </c>
      <c r="J52">
        <v>169</v>
      </c>
      <c r="K52">
        <f>J53-J52</f>
        <v>3</v>
      </c>
      <c r="L52">
        <v>34.363999999999997</v>
      </c>
      <c r="M52">
        <f t="shared" si="2"/>
        <v>1.4000000000002899E-2</v>
      </c>
      <c r="N52" s="4">
        <f t="shared" si="3"/>
        <v>34.378</v>
      </c>
      <c r="O52">
        <f>1/2*3*0.51</f>
        <v>0.76500000000000001</v>
      </c>
      <c r="Q52">
        <f>SQRT((K52)^2+(L52-L53)^2)</f>
        <v>3.0756599291859295</v>
      </c>
    </row>
    <row r="53" spans="5:17" x14ac:dyDescent="0.3">
      <c r="J53">
        <v>172</v>
      </c>
      <c r="L53">
        <v>33.686</v>
      </c>
      <c r="M53">
        <f t="shared" si="2"/>
        <v>0.69200000000000017</v>
      </c>
      <c r="N53" s="4">
        <f t="shared" si="3"/>
        <v>34.378</v>
      </c>
    </row>
    <row r="54" spans="5:17" x14ac:dyDescent="0.3">
      <c r="N54" s="4"/>
    </row>
    <row r="55" spans="5:17" x14ac:dyDescent="0.3">
      <c r="I55" t="s">
        <v>16</v>
      </c>
      <c r="J55">
        <v>172</v>
      </c>
      <c r="K55">
        <f>J56-J55</f>
        <v>4</v>
      </c>
      <c r="L55">
        <v>33.686</v>
      </c>
      <c r="M55">
        <f t="shared" si="2"/>
        <v>0.69200000000000017</v>
      </c>
      <c r="N55" s="4">
        <f t="shared" si="3"/>
        <v>34.378</v>
      </c>
      <c r="O55">
        <f>1/2*(SUM(M55:M56)*4)</f>
        <v>2.3400000000000034</v>
      </c>
      <c r="Q55">
        <f>SQRT((K55)^2+(L56-L55)^2)</f>
        <v>4.0057204096142307</v>
      </c>
    </row>
    <row r="56" spans="5:17" x14ac:dyDescent="0.3">
      <c r="J56">
        <v>176</v>
      </c>
      <c r="L56">
        <v>33.9</v>
      </c>
      <c r="M56">
        <f t="shared" si="2"/>
        <v>0.47800000000000153</v>
      </c>
      <c r="N56" s="4">
        <f t="shared" si="3"/>
        <v>34.378</v>
      </c>
    </row>
    <row r="57" spans="5:17" x14ac:dyDescent="0.3">
      <c r="N57" s="4"/>
    </row>
    <row r="58" spans="5:17" x14ac:dyDescent="0.3">
      <c r="I58" t="s">
        <v>17</v>
      </c>
      <c r="J58">
        <v>176</v>
      </c>
      <c r="K58">
        <f>J59-J58</f>
        <v>4</v>
      </c>
      <c r="L58">
        <v>33.9</v>
      </c>
      <c r="M58">
        <f>34.378-L58</f>
        <v>0.47800000000000153</v>
      </c>
      <c r="N58" s="4">
        <f t="shared" si="3"/>
        <v>34.378</v>
      </c>
      <c r="O58">
        <f>1/2*(SUM(M58:M59)*4)</f>
        <v>2.2560000000000002</v>
      </c>
      <c r="Q58">
        <f>SQRT((K58)^2+(L58-L59)^2)</f>
        <v>4.0036962921780166</v>
      </c>
    </row>
    <row r="59" spans="5:17" x14ac:dyDescent="0.3">
      <c r="J59">
        <v>180</v>
      </c>
      <c r="L59">
        <v>33.728000000000002</v>
      </c>
      <c r="M59">
        <f t="shared" si="2"/>
        <v>0.64999999999999858</v>
      </c>
      <c r="N59" s="4">
        <f>L59+M59</f>
        <v>34.378</v>
      </c>
    </row>
    <row r="60" spans="5:17" x14ac:dyDescent="0.3">
      <c r="N60" s="4"/>
    </row>
    <row r="61" spans="5:17" x14ac:dyDescent="0.3">
      <c r="I61" t="s">
        <v>18</v>
      </c>
      <c r="J61">
        <v>180</v>
      </c>
      <c r="K61">
        <f>J62-J61</f>
        <v>6</v>
      </c>
      <c r="L61">
        <v>33.728000000000002</v>
      </c>
      <c r="M61">
        <f t="shared" si="2"/>
        <v>0.64999999999999858</v>
      </c>
      <c r="N61" s="4">
        <f t="shared" si="3"/>
        <v>34.378</v>
      </c>
      <c r="O61">
        <f>1/2*(SUM(M61:M62)*6)</f>
        <v>4.2929999999999922</v>
      </c>
      <c r="Q61">
        <f>SQRT((K61)^2+(L61-L62)^2)</f>
        <v>6.0014299129457473</v>
      </c>
    </row>
    <row r="62" spans="5:17" x14ac:dyDescent="0.3">
      <c r="J62">
        <v>186</v>
      </c>
      <c r="L62">
        <v>33.597000000000001</v>
      </c>
      <c r="M62">
        <f t="shared" si="2"/>
        <v>0.78099999999999881</v>
      </c>
      <c r="N62" s="4">
        <f t="shared" si="3"/>
        <v>34.378</v>
      </c>
    </row>
    <row r="63" spans="5:17" x14ac:dyDescent="0.3">
      <c r="N63" s="4"/>
    </row>
    <row r="64" spans="5:17" x14ac:dyDescent="0.3">
      <c r="I64" t="s">
        <v>25</v>
      </c>
      <c r="J64">
        <v>186</v>
      </c>
      <c r="K64">
        <f>J65-J64</f>
        <v>3</v>
      </c>
      <c r="L64">
        <v>33.597000000000001</v>
      </c>
      <c r="M64">
        <f t="shared" si="2"/>
        <v>0.78099999999999881</v>
      </c>
      <c r="N64" s="4">
        <f t="shared" si="3"/>
        <v>34.378</v>
      </c>
      <c r="O64">
        <f>1/2*(SUM(M64:M65)*3)</f>
        <v>2.1720000000000006</v>
      </c>
      <c r="Q64">
        <f>SQRT((K64)^2+(L65-L64)^2)</f>
        <v>3.0021652186380416</v>
      </c>
    </row>
    <row r="65" spans="9:17" x14ac:dyDescent="0.3">
      <c r="J65">
        <v>189</v>
      </c>
      <c r="L65">
        <v>33.710999999999999</v>
      </c>
      <c r="M65">
        <f t="shared" si="2"/>
        <v>0.66700000000000159</v>
      </c>
      <c r="N65" s="4">
        <f t="shared" si="3"/>
        <v>34.378</v>
      </c>
    </row>
    <row r="66" spans="9:17" x14ac:dyDescent="0.3">
      <c r="N66" s="4"/>
    </row>
    <row r="67" spans="9:17" x14ac:dyDescent="0.3">
      <c r="I67" t="s">
        <v>26</v>
      </c>
      <c r="J67">
        <v>189</v>
      </c>
      <c r="K67">
        <f>J68-J67</f>
        <v>3</v>
      </c>
      <c r="L67">
        <v>33.710999999999999</v>
      </c>
      <c r="M67">
        <f t="shared" si="2"/>
        <v>0.66700000000000159</v>
      </c>
      <c r="N67" s="4">
        <f t="shared" si="3"/>
        <v>34.378</v>
      </c>
      <c r="O67">
        <f>1/2*(SUM(M67:M68)*3)</f>
        <v>2.1585000000000001</v>
      </c>
      <c r="Q67">
        <f>SQRT((K67)^2+(L67-L68)^2)</f>
        <v>3.0018369376100362</v>
      </c>
    </row>
    <row r="68" spans="9:17" x14ac:dyDescent="0.3">
      <c r="J68">
        <v>192</v>
      </c>
      <c r="L68">
        <v>33.606000000000002</v>
      </c>
      <c r="M68">
        <f t="shared" si="2"/>
        <v>0.77199999999999847</v>
      </c>
      <c r="N68" s="4">
        <f t="shared" si="3"/>
        <v>34.378</v>
      </c>
    </row>
    <row r="69" spans="9:17" x14ac:dyDescent="0.3">
      <c r="N69" s="4"/>
    </row>
    <row r="70" spans="9:17" x14ac:dyDescent="0.3">
      <c r="I70" t="s">
        <v>27</v>
      </c>
      <c r="J70">
        <v>192</v>
      </c>
      <c r="K70">
        <f>J71-J70</f>
        <v>4</v>
      </c>
      <c r="L70">
        <v>33.606000000000002</v>
      </c>
      <c r="M70">
        <f t="shared" si="2"/>
        <v>0.77199999999999847</v>
      </c>
      <c r="N70" s="4">
        <f t="shared" si="3"/>
        <v>34.378</v>
      </c>
      <c r="O70">
        <f>1/2*(SUM(M70:M71)*4)</f>
        <v>3.1119999999999948</v>
      </c>
      <c r="Q70">
        <f>SQRT((K70)^2+(L70-L71)^2)</f>
        <v>4.0000179999594998</v>
      </c>
    </row>
    <row r="71" spans="9:17" x14ac:dyDescent="0.3">
      <c r="J71">
        <v>196</v>
      </c>
      <c r="L71">
        <v>33.594000000000001</v>
      </c>
      <c r="M71">
        <f t="shared" si="2"/>
        <v>0.78399999999999892</v>
      </c>
      <c r="N71" s="4">
        <f t="shared" si="3"/>
        <v>34.378</v>
      </c>
    </row>
    <row r="72" spans="9:17" x14ac:dyDescent="0.3">
      <c r="N72" s="4"/>
    </row>
    <row r="73" spans="9:17" x14ac:dyDescent="0.3">
      <c r="I73" t="s">
        <v>28</v>
      </c>
      <c r="J73">
        <v>196</v>
      </c>
      <c r="K73">
        <f>J74-J73</f>
        <v>3</v>
      </c>
      <c r="L73">
        <v>33.594000000000001</v>
      </c>
      <c r="M73">
        <f t="shared" si="2"/>
        <v>0.78399999999999892</v>
      </c>
      <c r="N73" s="4">
        <f t="shared" si="3"/>
        <v>34.378</v>
      </c>
      <c r="O73">
        <f>1/2*3*0.602</f>
        <v>0.90300000000000002</v>
      </c>
      <c r="Q73">
        <f>SQRT((K73)^2+(L74-L73)^2)</f>
        <v>3.0817243549675233</v>
      </c>
    </row>
    <row r="74" spans="9:17" x14ac:dyDescent="0.3">
      <c r="J74">
        <v>199</v>
      </c>
      <c r="L74">
        <v>34.298999999999999</v>
      </c>
      <c r="M74">
        <f t="shared" si="2"/>
        <v>7.9000000000000625E-2</v>
      </c>
      <c r="N74" s="4">
        <f t="shared" si="3"/>
        <v>34.378</v>
      </c>
    </row>
    <row r="75" spans="9:17" x14ac:dyDescent="0.3">
      <c r="N75" s="4"/>
    </row>
    <row r="76" spans="9:17" x14ac:dyDescent="0.3">
      <c r="I76" t="s">
        <v>29</v>
      </c>
      <c r="J76">
        <v>199</v>
      </c>
      <c r="K76">
        <f>J77-J76</f>
        <v>4</v>
      </c>
      <c r="L76">
        <v>34.298999999999999</v>
      </c>
      <c r="M76">
        <f t="shared" si="2"/>
        <v>7.9000000000000625E-2</v>
      </c>
      <c r="N76" s="4">
        <f t="shared" si="3"/>
        <v>34.378</v>
      </c>
      <c r="O76">
        <f>1/2*4*0.586</f>
        <v>1.1719999999999999</v>
      </c>
      <c r="Q76">
        <f>SQRT((K76)^2+(L76-L77)^2)</f>
        <v>4.0592463586237288</v>
      </c>
    </row>
    <row r="77" spans="9:17" x14ac:dyDescent="0.3">
      <c r="J77">
        <v>203</v>
      </c>
      <c r="L77">
        <v>33.607999999999997</v>
      </c>
      <c r="M77">
        <f t="shared" si="2"/>
        <v>0.77000000000000313</v>
      </c>
      <c r="N77" s="4">
        <f t="shared" si="3"/>
        <v>34.378</v>
      </c>
    </row>
    <row r="78" spans="9:17" x14ac:dyDescent="0.3">
      <c r="N78" s="4"/>
    </row>
    <row r="79" spans="9:17" x14ac:dyDescent="0.3">
      <c r="I79" t="s">
        <v>32</v>
      </c>
      <c r="J79">
        <v>203</v>
      </c>
      <c r="K79">
        <f>J80-J79</f>
        <v>3</v>
      </c>
      <c r="L79">
        <v>33.607999999999997</v>
      </c>
      <c r="M79">
        <f t="shared" si="2"/>
        <v>0.77000000000000313</v>
      </c>
      <c r="N79" s="4">
        <f t="shared" si="3"/>
        <v>34.378</v>
      </c>
      <c r="O79">
        <f>1/2*(SUM(M79:M80)*3)</f>
        <v>2.3250000000000064</v>
      </c>
      <c r="Q79">
        <f>SQRT((K79)^2+(L79-L80)^2)</f>
        <v>3.0000166666203705</v>
      </c>
    </row>
    <row r="80" spans="9:17" x14ac:dyDescent="0.3">
      <c r="J80">
        <v>206</v>
      </c>
      <c r="L80">
        <v>33.597999999999999</v>
      </c>
      <c r="M80">
        <f t="shared" si="2"/>
        <v>0.78000000000000114</v>
      </c>
      <c r="N80" s="4">
        <f t="shared" si="3"/>
        <v>34.378</v>
      </c>
    </row>
    <row r="81" spans="9:17" x14ac:dyDescent="0.3">
      <c r="N81" s="4"/>
    </row>
    <row r="82" spans="9:17" x14ac:dyDescent="0.3">
      <c r="I82" t="s">
        <v>33</v>
      </c>
      <c r="J82">
        <v>206</v>
      </c>
      <c r="K82">
        <f>J83-J82</f>
        <v>3</v>
      </c>
      <c r="L82">
        <v>33.597999999999999</v>
      </c>
      <c r="M82">
        <f t="shared" si="2"/>
        <v>0.78000000000000114</v>
      </c>
      <c r="N82" s="4">
        <f t="shared" si="3"/>
        <v>34.378</v>
      </c>
      <c r="O82">
        <f>1/2*(SUM(M82:M83)*3)</f>
        <v>2.3234999999999992</v>
      </c>
      <c r="Q82">
        <f>SQRT((K82)^2+(L83-L82)^2)</f>
        <v>3.0000201665988846</v>
      </c>
    </row>
    <row r="83" spans="9:17" x14ac:dyDescent="0.3">
      <c r="J83">
        <v>209</v>
      </c>
      <c r="L83">
        <v>33.609000000000002</v>
      </c>
      <c r="M83">
        <f t="shared" si="2"/>
        <v>0.76899999999999835</v>
      </c>
      <c r="N83" s="4">
        <f t="shared" si="3"/>
        <v>34.378</v>
      </c>
    </row>
    <row r="84" spans="9:17" x14ac:dyDescent="0.3">
      <c r="N84" s="4"/>
    </row>
    <row r="85" spans="9:17" x14ac:dyDescent="0.3">
      <c r="I85" t="s">
        <v>34</v>
      </c>
      <c r="J85">
        <v>209</v>
      </c>
      <c r="K85">
        <f>J86-J85</f>
        <v>18.604838709678091</v>
      </c>
      <c r="L85">
        <v>33.609000000000002</v>
      </c>
      <c r="M85">
        <f t="shared" si="2"/>
        <v>0.76899999999999835</v>
      </c>
      <c r="N85" s="4">
        <f t="shared" si="3"/>
        <v>34.378</v>
      </c>
      <c r="O85">
        <f>0.5*M85*K85</f>
        <v>7.1535604838712112</v>
      </c>
      <c r="Q85">
        <f>SQRT((K85)^2+(L86-L85)^2)</f>
        <v>18.620724594202461</v>
      </c>
    </row>
    <row r="86" spans="9:17" x14ac:dyDescent="0.3">
      <c r="J86">
        <v>227.60483870967809</v>
      </c>
      <c r="L86">
        <v>34.378</v>
      </c>
      <c r="M86">
        <v>0</v>
      </c>
      <c r="N86" s="4">
        <f t="shared" si="3"/>
        <v>34.378</v>
      </c>
    </row>
    <row r="87" spans="9:17" x14ac:dyDescent="0.3">
      <c r="N87" s="4"/>
    </row>
    <row r="88" spans="9:17" x14ac:dyDescent="0.3">
      <c r="N88" s="4"/>
    </row>
    <row r="89" spans="9:17" x14ac:dyDescent="0.3">
      <c r="N89" s="4"/>
    </row>
    <row r="90" spans="9:17" x14ac:dyDescent="0.3">
      <c r="N90" s="4"/>
    </row>
    <row r="91" spans="9:17" x14ac:dyDescent="0.3">
      <c r="N91" s="4"/>
    </row>
    <row r="92" spans="9:17" x14ac:dyDescent="0.3">
      <c r="N92" s="4"/>
    </row>
    <row r="93" spans="9:17" x14ac:dyDescent="0.3">
      <c r="N93" s="4"/>
    </row>
    <row r="94" spans="9:17" x14ac:dyDescent="0.3">
      <c r="N94" s="4"/>
    </row>
    <row r="95" spans="9:17" x14ac:dyDescent="0.3">
      <c r="N95" s="4"/>
    </row>
    <row r="96" spans="9:17" x14ac:dyDescent="0.3">
      <c r="N96" s="4"/>
    </row>
    <row r="97" spans="14:14" x14ac:dyDescent="0.3">
      <c r="N97" s="4"/>
    </row>
    <row r="98" spans="14:14" x14ac:dyDescent="0.3">
      <c r="N98" s="4"/>
    </row>
    <row r="99" spans="14:14" x14ac:dyDescent="0.3">
      <c r="N99" s="4"/>
    </row>
    <row r="100" spans="14:14" x14ac:dyDescent="0.3">
      <c r="N100" s="4"/>
    </row>
    <row r="101" spans="14:14" x14ac:dyDescent="0.3">
      <c r="N101" s="4"/>
    </row>
    <row r="102" spans="14:14" x14ac:dyDescent="0.3">
      <c r="N102" s="4"/>
    </row>
  </sheetData>
  <mergeCells count="3">
    <mergeCell ref="B48:C48"/>
    <mergeCell ref="T26:U26"/>
    <mergeCell ref="V26:W2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Y113"/>
  <sheetViews>
    <sheetView topLeftCell="F96" zoomScaleNormal="100" workbookViewId="0">
      <selection activeCell="T102" activeCellId="5" sqref="R27 T27 R90 T90 R102 T102"/>
    </sheetView>
  </sheetViews>
  <sheetFormatPr defaultRowHeight="14.4" x14ac:dyDescent="0.3"/>
  <cols>
    <col min="4" max="4" width="12" bestFit="1" customWidth="1"/>
    <col min="5" max="5" width="17.77734375" style="1" bestFit="1" customWidth="1"/>
    <col min="6" max="6" width="8.5546875" bestFit="1" customWidth="1"/>
    <col min="16" max="16" width="17.77734375" bestFit="1" customWidth="1"/>
    <col min="18" max="18" width="15.88671875" bestFit="1" customWidth="1"/>
    <col min="19" max="19" width="15.6640625" bestFit="1" customWidth="1"/>
    <col min="20" max="20" width="2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s="1" t="s">
        <v>31</v>
      </c>
      <c r="F1" t="s">
        <v>5</v>
      </c>
    </row>
    <row r="2" spans="1:6" x14ac:dyDescent="0.3">
      <c r="A2">
        <v>209</v>
      </c>
      <c r="B2">
        <v>2643336.7439999999</v>
      </c>
      <c r="C2">
        <v>578030.07700000005</v>
      </c>
      <c r="D2">
        <v>0</v>
      </c>
      <c r="E2" s="1">
        <v>0</v>
      </c>
      <c r="F2">
        <v>31.609000000000002</v>
      </c>
    </row>
    <row r="3" spans="1:6" x14ac:dyDescent="0.3">
      <c r="A3">
        <v>210</v>
      </c>
      <c r="B3">
        <v>2643340.3160000001</v>
      </c>
      <c r="C3">
        <v>578030.87800000003</v>
      </c>
      <c r="D3">
        <v>3.6607082649548257</v>
      </c>
      <c r="E3" s="1">
        <v>3.6607082649548257</v>
      </c>
      <c r="F3">
        <v>31.597000000000001</v>
      </c>
    </row>
    <row r="4" spans="1:6" x14ac:dyDescent="0.3">
      <c r="A4">
        <v>211</v>
      </c>
      <c r="B4">
        <v>2643341.764</v>
      </c>
      <c r="C4">
        <v>578031.26300000004</v>
      </c>
      <c r="D4">
        <v>1.4983087130485528</v>
      </c>
      <c r="E4" s="1">
        <v>5.159016978003379</v>
      </c>
      <c r="F4">
        <v>30.471</v>
      </c>
    </row>
    <row r="5" spans="1:6" x14ac:dyDescent="0.3">
      <c r="A5">
        <v>212</v>
      </c>
      <c r="B5">
        <v>2643363.341</v>
      </c>
      <c r="C5">
        <v>578034.11100000003</v>
      </c>
      <c r="D5">
        <v>21.764145584012237</v>
      </c>
      <c r="E5" s="1">
        <v>26.923162562015616</v>
      </c>
      <c r="F5">
        <v>30.518000000000001</v>
      </c>
    </row>
    <row r="6" spans="1:6" x14ac:dyDescent="0.3">
      <c r="A6">
        <v>213</v>
      </c>
      <c r="B6">
        <v>2643364.4010000001</v>
      </c>
      <c r="C6">
        <v>578035.62199999997</v>
      </c>
      <c r="D6">
        <v>1.8457304786827191</v>
      </c>
      <c r="E6" s="1">
        <v>28.768893040698334</v>
      </c>
      <c r="F6">
        <v>29.92</v>
      </c>
    </row>
    <row r="7" spans="1:6" x14ac:dyDescent="0.3">
      <c r="A7">
        <v>214</v>
      </c>
      <c r="B7">
        <v>2643380.0890000002</v>
      </c>
      <c r="C7">
        <v>578046.22400000005</v>
      </c>
      <c r="D7">
        <v>18.934512087827667</v>
      </c>
      <c r="E7" s="1">
        <v>47.703405128526001</v>
      </c>
      <c r="F7">
        <v>30.225000000000001</v>
      </c>
    </row>
    <row r="8" spans="1:6" x14ac:dyDescent="0.3">
      <c r="A8">
        <v>215</v>
      </c>
      <c r="B8">
        <v>2643382.5780000002</v>
      </c>
      <c r="C8">
        <v>578046.78599999996</v>
      </c>
      <c r="D8">
        <v>2.5516592641268923</v>
      </c>
      <c r="E8" s="1">
        <v>50.255064392652891</v>
      </c>
      <c r="F8">
        <v>28.734000000000002</v>
      </c>
    </row>
    <row r="9" spans="1:6" x14ac:dyDescent="0.3">
      <c r="A9">
        <v>216</v>
      </c>
      <c r="B9">
        <v>2643389.1839999999</v>
      </c>
      <c r="C9">
        <v>578040.76399999997</v>
      </c>
      <c r="D9">
        <v>8.9388880737893537</v>
      </c>
      <c r="E9" s="1">
        <v>59.193952466442241</v>
      </c>
      <c r="F9">
        <v>27.207999999999998</v>
      </c>
    </row>
    <row r="10" spans="1:6" x14ac:dyDescent="0.3">
      <c r="A10">
        <v>217</v>
      </c>
      <c r="B10">
        <v>2643399.179</v>
      </c>
      <c r="C10">
        <v>578043.03899999999</v>
      </c>
      <c r="D10">
        <v>10.250641443458063</v>
      </c>
      <c r="E10" s="1">
        <v>69.444593909900306</v>
      </c>
      <c r="F10">
        <v>27.445</v>
      </c>
    </row>
    <row r="11" spans="1:6" x14ac:dyDescent="0.3">
      <c r="A11">
        <v>218</v>
      </c>
      <c r="B11">
        <v>2643401.7459999998</v>
      </c>
      <c r="C11">
        <v>578043.076</v>
      </c>
      <c r="D11">
        <v>2.5672666396395787</v>
      </c>
      <c r="E11" s="1">
        <v>72.01186054953989</v>
      </c>
      <c r="F11">
        <v>27.97</v>
      </c>
    </row>
    <row r="12" spans="1:6" x14ac:dyDescent="0.3">
      <c r="A12">
        <v>219</v>
      </c>
      <c r="B12">
        <v>2643405.673</v>
      </c>
      <c r="C12">
        <v>578043.55299999996</v>
      </c>
      <c r="D12">
        <v>3.955863749052686</v>
      </c>
      <c r="E12" s="1">
        <v>75.967724298592572</v>
      </c>
      <c r="F12">
        <v>26.920999999999999</v>
      </c>
    </row>
    <row r="13" spans="1:6" x14ac:dyDescent="0.3">
      <c r="A13">
        <v>220</v>
      </c>
      <c r="B13">
        <v>2643409.3470000001</v>
      </c>
      <c r="C13">
        <v>578045.576</v>
      </c>
      <c r="D13">
        <v>4.1941393635678645</v>
      </c>
      <c r="E13" s="1">
        <v>80.161863662160442</v>
      </c>
      <c r="F13">
        <v>26.943000000000001</v>
      </c>
    </row>
    <row r="14" spans="1:6" x14ac:dyDescent="0.3">
      <c r="A14">
        <v>221</v>
      </c>
      <c r="B14">
        <v>2643411.25</v>
      </c>
      <c r="C14">
        <v>578046.67200000002</v>
      </c>
      <c r="D14">
        <v>2.1960475859570208</v>
      </c>
      <c r="E14" s="1">
        <v>82.35791124811746</v>
      </c>
      <c r="F14">
        <v>26.052</v>
      </c>
    </row>
    <row r="15" spans="1:6" x14ac:dyDescent="0.3">
      <c r="A15">
        <v>222</v>
      </c>
      <c r="B15">
        <v>2643413.6120000002</v>
      </c>
      <c r="C15">
        <v>578048.15300000005</v>
      </c>
      <c r="D15">
        <v>2.7879033342313404</v>
      </c>
      <c r="E15" s="1">
        <v>85.145814582348805</v>
      </c>
      <c r="F15">
        <v>25.971</v>
      </c>
    </row>
    <row r="16" spans="1:6" x14ac:dyDescent="0.3">
      <c r="A16">
        <v>223</v>
      </c>
      <c r="B16">
        <v>2643415.6740000001</v>
      </c>
      <c r="C16">
        <v>578049.10600000003</v>
      </c>
      <c r="D16">
        <v>2.2715750041816714</v>
      </c>
      <c r="E16" s="1">
        <v>87.417389586530476</v>
      </c>
      <c r="F16">
        <v>26.131</v>
      </c>
    </row>
    <row r="17" spans="1:25" x14ac:dyDescent="0.3">
      <c r="A17">
        <v>224</v>
      </c>
      <c r="B17">
        <v>2643418.88</v>
      </c>
      <c r="C17">
        <v>578050.01300000004</v>
      </c>
      <c r="D17">
        <v>3.3318290770318253</v>
      </c>
      <c r="E17" s="1">
        <v>90.749218663562303</v>
      </c>
      <c r="F17">
        <v>26.11</v>
      </c>
    </row>
    <row r="18" spans="1:25" x14ac:dyDescent="0.3">
      <c r="A18">
        <v>225</v>
      </c>
      <c r="B18">
        <v>2643420.2659999998</v>
      </c>
      <c r="C18">
        <v>578050.06999999995</v>
      </c>
      <c r="D18">
        <v>1.3871715826908011</v>
      </c>
      <c r="E18" s="1">
        <v>92.1363902462531</v>
      </c>
      <c r="F18">
        <v>26.664000000000001</v>
      </c>
    </row>
    <row r="19" spans="1:25" x14ac:dyDescent="0.3">
      <c r="A19">
        <v>226</v>
      </c>
      <c r="B19">
        <v>2643425.3730000001</v>
      </c>
      <c r="C19">
        <v>578052.36100000003</v>
      </c>
      <c r="D19">
        <v>5.5973324006660965</v>
      </c>
      <c r="E19" s="1">
        <v>97.73372264691919</v>
      </c>
      <c r="F19">
        <v>26.347000000000001</v>
      </c>
    </row>
    <row r="20" spans="1:25" x14ac:dyDescent="0.3">
      <c r="A20">
        <v>227</v>
      </c>
      <c r="B20">
        <v>2643428.5299999998</v>
      </c>
      <c r="C20">
        <v>578057.04299999995</v>
      </c>
      <c r="D20">
        <v>5.6469259776470402</v>
      </c>
      <c r="E20" s="1">
        <v>103.38064862456623</v>
      </c>
      <c r="F20">
        <v>26.812999999999999</v>
      </c>
    </row>
    <row r="21" spans="1:25" x14ac:dyDescent="0.3">
      <c r="A21">
        <v>228</v>
      </c>
      <c r="B21">
        <v>2643434.1090000002</v>
      </c>
      <c r="C21">
        <v>578060.32299999997</v>
      </c>
      <c r="D21">
        <v>6.4717571805794387</v>
      </c>
      <c r="E21" s="1">
        <v>109.85240580514568</v>
      </c>
      <c r="F21">
        <v>26.446000000000002</v>
      </c>
      <c r="U21" t="s">
        <v>59</v>
      </c>
    </row>
    <row r="22" spans="1:25" x14ac:dyDescent="0.3">
      <c r="A22">
        <v>229</v>
      </c>
      <c r="B22">
        <v>2643436.2429999998</v>
      </c>
      <c r="C22">
        <v>578061.26399999997</v>
      </c>
      <c r="D22">
        <v>2.3322600623281002</v>
      </c>
      <c r="E22" s="1">
        <v>112.18466586747378</v>
      </c>
      <c r="F22">
        <v>26.166</v>
      </c>
      <c r="U22" t="s">
        <v>60</v>
      </c>
    </row>
    <row r="23" spans="1:25" x14ac:dyDescent="0.3">
      <c r="A23">
        <v>230</v>
      </c>
      <c r="B23">
        <v>2643437.304</v>
      </c>
      <c r="C23">
        <v>578062.41599999997</v>
      </c>
      <c r="D23">
        <v>1.5661497375636502</v>
      </c>
      <c r="E23" s="1">
        <v>113.75081560503743</v>
      </c>
      <c r="F23">
        <v>26.05</v>
      </c>
      <c r="U23" t="s">
        <v>66</v>
      </c>
    </row>
    <row r="24" spans="1:25" x14ac:dyDescent="0.3">
      <c r="A24">
        <v>231</v>
      </c>
      <c r="B24">
        <v>2643438.122</v>
      </c>
      <c r="C24">
        <v>578063.12</v>
      </c>
      <c r="D24">
        <v>1.0792312078462478</v>
      </c>
      <c r="E24" s="1">
        <v>114.83004681288368</v>
      </c>
      <c r="F24">
        <v>26.007000000000001</v>
      </c>
    </row>
    <row r="25" spans="1:25" x14ac:dyDescent="0.3">
      <c r="A25">
        <v>232</v>
      </c>
      <c r="B25">
        <v>2643439.3110000002</v>
      </c>
      <c r="C25">
        <v>578064.23199999996</v>
      </c>
      <c r="D25">
        <v>1.6279634518335995</v>
      </c>
      <c r="E25" s="1">
        <v>116.45801026471727</v>
      </c>
      <c r="F25">
        <v>26.137</v>
      </c>
      <c r="V25" s="83" t="s">
        <v>55</v>
      </c>
      <c r="W25" s="84"/>
      <c r="X25" s="85" t="s">
        <v>56</v>
      </c>
      <c r="Y25" s="85"/>
    </row>
    <row r="26" spans="1:25" ht="15" thickBot="1" x14ac:dyDescent="0.35">
      <c r="A26">
        <v>233</v>
      </c>
      <c r="B26">
        <v>2643438.5980000002</v>
      </c>
      <c r="C26">
        <v>578063.48400000005</v>
      </c>
      <c r="D26">
        <v>1.0333794074985001</v>
      </c>
      <c r="E26" s="1">
        <v>117.49138967221577</v>
      </c>
      <c r="F26">
        <v>25.888000000000002</v>
      </c>
      <c r="L26" t="s">
        <v>21</v>
      </c>
      <c r="M26" t="s">
        <v>22</v>
      </c>
      <c r="N26" t="s">
        <v>5</v>
      </c>
      <c r="O26" t="s">
        <v>19</v>
      </c>
      <c r="P26" s="4" t="s">
        <v>104</v>
      </c>
      <c r="Q26" t="s">
        <v>20</v>
      </c>
      <c r="R26" s="6" t="s">
        <v>23</v>
      </c>
      <c r="S26" s="3" t="s">
        <v>24</v>
      </c>
      <c r="T26" s="3" t="s">
        <v>51</v>
      </c>
      <c r="U26" s="10" t="s">
        <v>54</v>
      </c>
      <c r="V26" s="29" t="s">
        <v>58</v>
      </c>
      <c r="W26" s="29" t="s">
        <v>57</v>
      </c>
      <c r="X26" s="30" t="s">
        <v>58</v>
      </c>
      <c r="Y26" s="30" t="s">
        <v>57</v>
      </c>
    </row>
    <row r="27" spans="1:25" x14ac:dyDescent="0.3">
      <c r="A27">
        <v>234</v>
      </c>
      <c r="B27">
        <v>2643440.517</v>
      </c>
      <c r="C27">
        <v>578065.13500000001</v>
      </c>
      <c r="D27">
        <v>2.5314742738045481</v>
      </c>
      <c r="E27" s="1">
        <v>120.02286394602032</v>
      </c>
      <c r="F27">
        <v>26.251999999999999</v>
      </c>
      <c r="K27" s="36" t="s">
        <v>7</v>
      </c>
      <c r="L27" s="38">
        <v>79.84287317620651</v>
      </c>
      <c r="M27" s="38">
        <f>L28-L27</f>
        <v>2.1571268237934902</v>
      </c>
      <c r="N27" s="38">
        <v>27.013000000000002</v>
      </c>
      <c r="O27" s="38">
        <v>0</v>
      </c>
      <c r="P27" s="48">
        <f>SUM(N27+O27)</f>
        <v>27.013000000000002</v>
      </c>
      <c r="Q27" s="38">
        <f>0.5*M27*O28</f>
        <v>1.0364994388327742</v>
      </c>
      <c r="R27" s="50">
        <f>Q27+Q30+Q33+Q36+Q39+Q42+Q45+Q48+Q51+Q54+Q57+Q60+Q63+Q66+Q69+Q72+Q75+Q78+Q81+Q84+Q87</f>
        <v>24.977529289579085</v>
      </c>
      <c r="S27" s="38">
        <f>SQRT((M27)^2+(N27-N28)^2)</f>
        <v>2.3615073859569855</v>
      </c>
      <c r="T27" s="38">
        <f>S27+S30+S33+S36+S39+S42+S45+S48+S51+S54+S57+S60+S63+S66+S72+S69+S75+S78+S81+S84+S87</f>
        <v>99.77737282990654</v>
      </c>
      <c r="U27" s="38">
        <f>R27/T27</f>
        <v>0.25033260128184598</v>
      </c>
      <c r="V27" s="38">
        <f>(1/0.035)*(U27)^(2/3)*(0.002)^(1/2)</f>
        <v>0.50752631094512468</v>
      </c>
      <c r="W27" s="38">
        <f>R27*V27</f>
        <v>12.676753296863874</v>
      </c>
      <c r="X27" s="38">
        <v>0.69</v>
      </c>
      <c r="Y27" s="39">
        <f>R27*X27</f>
        <v>17.234495209809566</v>
      </c>
    </row>
    <row r="28" spans="1:25" x14ac:dyDescent="0.3">
      <c r="A28">
        <v>235</v>
      </c>
      <c r="B28">
        <v>2643441.7179999999</v>
      </c>
      <c r="C28">
        <v>578065.78300000005</v>
      </c>
      <c r="D28">
        <v>1.3646629619728614</v>
      </c>
      <c r="E28" s="1">
        <v>121.38752690799319</v>
      </c>
      <c r="F28">
        <v>26.558</v>
      </c>
      <c r="K28" s="40"/>
      <c r="L28" s="11">
        <v>82</v>
      </c>
      <c r="M28" s="11"/>
      <c r="N28" s="11">
        <v>26.052</v>
      </c>
      <c r="O28" s="11">
        <f t="shared" ref="O28:O87" si="0">27.013-N28</f>
        <v>0.96100000000000207</v>
      </c>
      <c r="P28" s="33">
        <f t="shared" ref="P28:P91" si="1">SUM(N28+O28)</f>
        <v>27.013000000000002</v>
      </c>
      <c r="Q28" s="11"/>
      <c r="R28" s="11"/>
      <c r="S28" s="11"/>
      <c r="T28" s="11"/>
      <c r="U28" s="11"/>
      <c r="V28" s="11"/>
      <c r="W28" s="11"/>
      <c r="X28" s="11"/>
      <c r="Y28" s="41"/>
    </row>
    <row r="29" spans="1:25" x14ac:dyDescent="0.3">
      <c r="A29">
        <v>236</v>
      </c>
      <c r="B29">
        <v>2643444.3629999999</v>
      </c>
      <c r="C29">
        <v>578067.76</v>
      </c>
      <c r="D29">
        <v>3.3022044152235304</v>
      </c>
      <c r="E29" s="1">
        <v>124.68973132321672</v>
      </c>
      <c r="F29">
        <v>26.553999999999998</v>
      </c>
      <c r="K29" s="40"/>
      <c r="L29" s="11"/>
      <c r="M29" s="11"/>
      <c r="N29" s="11"/>
      <c r="O29" s="11"/>
      <c r="P29" s="33"/>
      <c r="Q29" s="11"/>
      <c r="R29" s="11"/>
      <c r="S29" s="11"/>
      <c r="T29" s="11"/>
      <c r="U29" s="11"/>
      <c r="V29" s="11"/>
      <c r="W29" s="11"/>
      <c r="X29" s="11"/>
      <c r="Y29" s="41"/>
    </row>
    <row r="30" spans="1:25" x14ac:dyDescent="0.3">
      <c r="A30">
        <v>237</v>
      </c>
      <c r="B30">
        <v>2643445.9550000001</v>
      </c>
      <c r="C30">
        <v>578068.353</v>
      </c>
      <c r="D30">
        <v>1.698856380204522</v>
      </c>
      <c r="E30" s="1">
        <v>126.38858770342124</v>
      </c>
      <c r="F30">
        <v>26.11</v>
      </c>
      <c r="K30" s="40" t="s">
        <v>8</v>
      </c>
      <c r="L30" s="11">
        <v>82</v>
      </c>
      <c r="M30" s="11">
        <v>3</v>
      </c>
      <c r="N30" s="11">
        <v>26.052</v>
      </c>
      <c r="O30" s="11">
        <f t="shared" si="0"/>
        <v>0.96100000000000207</v>
      </c>
      <c r="P30" s="33">
        <f t="shared" si="1"/>
        <v>27.013000000000002</v>
      </c>
      <c r="Q30" s="11">
        <f>1/2*(SUM(O30:O31)*3)</f>
        <v>3.0045000000000055</v>
      </c>
      <c r="R30" s="11"/>
      <c r="S30" s="11">
        <f>SQRT((M30)^2+(N30-N31)^2)</f>
        <v>3.0010933007822334</v>
      </c>
      <c r="T30" s="11"/>
      <c r="U30" s="11"/>
      <c r="V30" s="11"/>
      <c r="W30" s="11"/>
      <c r="X30" s="11"/>
      <c r="Y30" s="41"/>
    </row>
    <row r="31" spans="1:25" x14ac:dyDescent="0.3">
      <c r="A31">
        <v>238</v>
      </c>
      <c r="B31">
        <v>2643447.091</v>
      </c>
      <c r="C31">
        <v>578069.37600000005</v>
      </c>
      <c r="D31">
        <v>1.5287331356244103</v>
      </c>
      <c r="E31" s="1">
        <v>127.91732083904564</v>
      </c>
      <c r="F31">
        <v>26.577000000000002</v>
      </c>
      <c r="K31" s="40"/>
      <c r="L31" s="11">
        <v>85</v>
      </c>
      <c r="M31" s="11"/>
      <c r="N31" s="11">
        <v>25.971</v>
      </c>
      <c r="O31" s="11">
        <f t="shared" si="0"/>
        <v>1.0420000000000016</v>
      </c>
      <c r="P31" s="33">
        <f t="shared" si="1"/>
        <v>27.013000000000002</v>
      </c>
      <c r="Q31" s="11"/>
      <c r="R31" s="11"/>
      <c r="S31" s="11"/>
      <c r="T31" s="11"/>
      <c r="U31" s="11"/>
      <c r="V31" s="11"/>
      <c r="W31" s="11"/>
      <c r="X31" s="11"/>
      <c r="Y31" s="41"/>
    </row>
    <row r="32" spans="1:25" x14ac:dyDescent="0.3">
      <c r="A32">
        <v>239</v>
      </c>
      <c r="B32">
        <v>2643462.3739999998</v>
      </c>
      <c r="C32">
        <v>578085.16299999994</v>
      </c>
      <c r="D32">
        <v>21.972698013471437</v>
      </c>
      <c r="E32" s="1">
        <v>149.89001885251707</v>
      </c>
      <c r="F32">
        <v>26.576000000000001</v>
      </c>
      <c r="K32" s="40"/>
      <c r="L32" s="11"/>
      <c r="M32" s="11"/>
      <c r="N32" s="11"/>
      <c r="O32" s="11"/>
      <c r="P32" s="33"/>
      <c r="Q32" s="11"/>
      <c r="R32" s="11"/>
      <c r="S32" s="11"/>
      <c r="T32" s="11"/>
      <c r="U32" s="11"/>
      <c r="V32" s="11"/>
      <c r="W32" s="11"/>
      <c r="X32" s="11"/>
      <c r="Y32" s="41"/>
    </row>
    <row r="33" spans="1:25" x14ac:dyDescent="0.3">
      <c r="A33">
        <v>240</v>
      </c>
      <c r="B33">
        <v>2643483.8130000001</v>
      </c>
      <c r="C33">
        <v>578091.91899999999</v>
      </c>
      <c r="D33">
        <v>22.478306364387134</v>
      </c>
      <c r="E33" s="1">
        <v>172.3683252169042</v>
      </c>
      <c r="F33">
        <v>26.001000000000001</v>
      </c>
      <c r="K33" s="40" t="s">
        <v>9</v>
      </c>
      <c r="L33" s="11">
        <v>85</v>
      </c>
      <c r="M33" s="24">
        <f>L34-L33</f>
        <v>2</v>
      </c>
      <c r="N33" s="11">
        <v>25.971</v>
      </c>
      <c r="O33" s="11">
        <f t="shared" si="0"/>
        <v>1.0420000000000016</v>
      </c>
      <c r="P33" s="33">
        <f t="shared" si="1"/>
        <v>27.013000000000002</v>
      </c>
      <c r="Q33" s="11">
        <f>1/2*(SUM(O33:O34)*2)</f>
        <v>1.924000000000003</v>
      </c>
      <c r="R33" s="11"/>
      <c r="S33" s="11">
        <f>SQRT((M33)^2+(N34-N33)^2)</f>
        <v>2.0063897926375125</v>
      </c>
      <c r="T33" s="11"/>
      <c r="U33" s="11"/>
      <c r="V33" s="11"/>
      <c r="W33" s="11"/>
      <c r="X33" s="11"/>
      <c r="Y33" s="41"/>
    </row>
    <row r="34" spans="1:25" x14ac:dyDescent="0.3">
      <c r="A34">
        <v>241</v>
      </c>
      <c r="B34">
        <v>2643487.7949999999</v>
      </c>
      <c r="C34">
        <v>578094.47199999995</v>
      </c>
      <c r="D34">
        <v>4.7301303363153151</v>
      </c>
      <c r="E34" s="1">
        <v>177.09845555321951</v>
      </c>
      <c r="F34">
        <v>26.738</v>
      </c>
      <c r="K34" s="40"/>
      <c r="L34" s="11">
        <v>87</v>
      </c>
      <c r="M34" s="24"/>
      <c r="N34" s="11">
        <v>26.131</v>
      </c>
      <c r="O34" s="11">
        <f t="shared" si="0"/>
        <v>0.88200000000000145</v>
      </c>
      <c r="P34" s="33">
        <f t="shared" si="1"/>
        <v>27.013000000000002</v>
      </c>
      <c r="Q34" s="11"/>
      <c r="R34" s="11"/>
      <c r="S34" s="11"/>
      <c r="T34" s="11"/>
      <c r="U34" s="11"/>
      <c r="V34" s="11"/>
      <c r="W34" s="11"/>
      <c r="X34" s="11"/>
      <c r="Y34" s="41"/>
    </row>
    <row r="35" spans="1:25" x14ac:dyDescent="0.3">
      <c r="A35">
        <v>242</v>
      </c>
      <c r="B35">
        <v>2643492.9700000002</v>
      </c>
      <c r="C35">
        <v>578097.88800000004</v>
      </c>
      <c r="D35">
        <v>6.2007806769366365</v>
      </c>
      <c r="E35" s="1">
        <v>183.29923623015614</v>
      </c>
      <c r="F35">
        <v>26.428000000000001</v>
      </c>
      <c r="K35" s="40"/>
      <c r="L35" s="11"/>
      <c r="M35" s="24"/>
      <c r="N35" s="11"/>
      <c r="O35" s="11"/>
      <c r="P35" s="33"/>
      <c r="Q35" s="11"/>
      <c r="R35" s="11"/>
      <c r="S35" s="11"/>
      <c r="T35" s="11"/>
      <c r="U35" s="11"/>
      <c r="V35" s="11"/>
      <c r="W35" s="11"/>
      <c r="X35" s="11"/>
      <c r="Y35" s="41"/>
    </row>
    <row r="36" spans="1:25" x14ac:dyDescent="0.3">
      <c r="A36">
        <v>243</v>
      </c>
      <c r="B36">
        <v>2643492.9950000001</v>
      </c>
      <c r="C36">
        <v>578097.946</v>
      </c>
      <c r="D36">
        <v>6.3158530625767276E-2</v>
      </c>
      <c r="E36" s="1">
        <v>183.36239476078191</v>
      </c>
      <c r="F36">
        <v>26.407</v>
      </c>
      <c r="K36" s="40" t="s">
        <v>10</v>
      </c>
      <c r="L36" s="11">
        <v>87</v>
      </c>
      <c r="M36" s="24">
        <f>L37-L36</f>
        <v>4</v>
      </c>
      <c r="N36" s="11">
        <v>26.131</v>
      </c>
      <c r="O36" s="11">
        <f t="shared" si="0"/>
        <v>0.88200000000000145</v>
      </c>
      <c r="P36" s="33">
        <f t="shared" si="1"/>
        <v>27.013000000000002</v>
      </c>
      <c r="Q36" s="11">
        <f>1/2*(SUM(O36:O37)*4)</f>
        <v>3.5700000000000074</v>
      </c>
      <c r="R36" s="11"/>
      <c r="S36" s="11">
        <f>SQRT((M36)^2+(N36-N37)^2)</f>
        <v>4.0000551246201592</v>
      </c>
      <c r="T36" s="11"/>
      <c r="U36" s="11"/>
      <c r="V36" s="11"/>
      <c r="W36" s="11"/>
      <c r="X36" s="11"/>
      <c r="Y36" s="41"/>
    </row>
    <row r="37" spans="1:25" x14ac:dyDescent="0.3">
      <c r="A37">
        <v>244</v>
      </c>
      <c r="B37">
        <v>2643498.4730000002</v>
      </c>
      <c r="C37">
        <v>578101.99699999997</v>
      </c>
      <c r="D37">
        <v>6.813155289667554</v>
      </c>
      <c r="E37" s="1">
        <v>190.17555005044946</v>
      </c>
      <c r="F37">
        <v>27.337</v>
      </c>
      <c r="K37" s="40"/>
      <c r="L37" s="11">
        <v>91</v>
      </c>
      <c r="M37" s="24"/>
      <c r="N37" s="11">
        <v>26.11</v>
      </c>
      <c r="O37" s="11">
        <f t="shared" si="0"/>
        <v>0.90300000000000225</v>
      </c>
      <c r="P37" s="33">
        <f t="shared" si="1"/>
        <v>27.013000000000002</v>
      </c>
      <c r="Q37" s="11"/>
      <c r="R37" s="11"/>
      <c r="S37" s="11"/>
      <c r="T37" s="11"/>
      <c r="U37" s="11"/>
      <c r="V37" s="11"/>
      <c r="W37" s="11"/>
      <c r="X37" s="11"/>
      <c r="Y37" s="41"/>
    </row>
    <row r="38" spans="1:25" x14ac:dyDescent="0.3">
      <c r="A38">
        <v>245</v>
      </c>
      <c r="B38">
        <v>2643503.5869999998</v>
      </c>
      <c r="C38">
        <v>578104.83200000005</v>
      </c>
      <c r="D38">
        <v>5.8472404599345582</v>
      </c>
      <c r="E38" s="1">
        <v>196.02279051038403</v>
      </c>
      <c r="F38">
        <v>26.483000000000001</v>
      </c>
      <c r="K38" s="40"/>
      <c r="L38" s="11"/>
      <c r="M38" s="24"/>
      <c r="N38" s="11"/>
      <c r="O38" s="11"/>
      <c r="P38" s="33"/>
      <c r="Q38" s="11"/>
      <c r="R38" s="11"/>
      <c r="S38" s="11"/>
      <c r="T38" s="11"/>
      <c r="U38" s="11"/>
      <c r="V38" s="11"/>
      <c r="W38" s="11"/>
      <c r="X38" s="11"/>
      <c r="Y38" s="41"/>
    </row>
    <row r="39" spans="1:25" x14ac:dyDescent="0.3">
      <c r="A39">
        <v>246</v>
      </c>
      <c r="B39">
        <v>2643513.4759999998</v>
      </c>
      <c r="C39">
        <v>578113.902</v>
      </c>
      <c r="D39">
        <v>13.418540196251145</v>
      </c>
      <c r="E39" s="1">
        <v>209.44133070663517</v>
      </c>
      <c r="F39">
        <v>25.878</v>
      </c>
      <c r="K39" s="40" t="s">
        <v>11</v>
      </c>
      <c r="L39" s="11">
        <v>91</v>
      </c>
      <c r="M39" s="24">
        <f>L40-L39</f>
        <v>1</v>
      </c>
      <c r="N39" s="11">
        <v>26.11</v>
      </c>
      <c r="O39" s="11">
        <f t="shared" si="0"/>
        <v>0.90300000000000225</v>
      </c>
      <c r="P39" s="33">
        <f t="shared" si="1"/>
        <v>27.013000000000002</v>
      </c>
      <c r="Q39" s="11">
        <f>1/2*1*0.201</f>
        <v>0.10050000000000001</v>
      </c>
      <c r="R39" s="11"/>
      <c r="S39" s="11">
        <f>SQRT((M39)^2+(N40-N39)^2)</f>
        <v>1.1432042687114154</v>
      </c>
      <c r="T39" s="11"/>
      <c r="U39" s="11"/>
      <c r="V39" s="11"/>
      <c r="W39" s="11"/>
      <c r="X39" s="11"/>
      <c r="Y39" s="41"/>
    </row>
    <row r="40" spans="1:25" x14ac:dyDescent="0.3">
      <c r="A40">
        <v>247</v>
      </c>
      <c r="B40">
        <v>2643518.9169999999</v>
      </c>
      <c r="C40">
        <v>578117.00300000003</v>
      </c>
      <c r="D40">
        <v>6.2626417749481567</v>
      </c>
      <c r="E40" s="1">
        <v>215.70397248158332</v>
      </c>
      <c r="F40">
        <v>26.620999999999999</v>
      </c>
      <c r="K40" s="40"/>
      <c r="L40" s="11">
        <v>92</v>
      </c>
      <c r="M40" s="24"/>
      <c r="N40" s="11">
        <v>26.664000000000001</v>
      </c>
      <c r="O40" s="11">
        <f t="shared" si="0"/>
        <v>0.3490000000000002</v>
      </c>
      <c r="P40" s="33">
        <f t="shared" si="1"/>
        <v>27.013000000000002</v>
      </c>
      <c r="Q40" s="11"/>
      <c r="R40" s="11"/>
      <c r="S40" s="11"/>
      <c r="T40" s="11"/>
      <c r="U40" s="11"/>
      <c r="V40" s="11"/>
      <c r="W40" s="11"/>
      <c r="X40" s="11"/>
      <c r="Y40" s="41"/>
    </row>
    <row r="41" spans="1:25" x14ac:dyDescent="0.3">
      <c r="A41">
        <v>248</v>
      </c>
      <c r="B41">
        <v>2643521.2949999999</v>
      </c>
      <c r="C41">
        <v>578121.40599999996</v>
      </c>
      <c r="D41">
        <v>5.0041275962482743</v>
      </c>
      <c r="E41" s="1">
        <v>220.7081000778316</v>
      </c>
      <c r="F41">
        <v>25.922000000000001</v>
      </c>
      <c r="K41" s="40"/>
      <c r="L41" s="11"/>
      <c r="M41" s="24"/>
      <c r="N41" s="11"/>
      <c r="O41" s="11"/>
      <c r="P41" s="33"/>
      <c r="Q41" s="11"/>
      <c r="R41" s="11"/>
      <c r="S41" s="11"/>
      <c r="T41" s="11"/>
      <c r="U41" s="11"/>
      <c r="V41" s="11"/>
      <c r="W41" s="11"/>
      <c r="X41" s="11"/>
      <c r="Y41" s="41"/>
    </row>
    <row r="42" spans="1:25" x14ac:dyDescent="0.3">
      <c r="A42">
        <v>249</v>
      </c>
      <c r="B42">
        <v>2643521.5260000001</v>
      </c>
      <c r="C42">
        <v>578122.68599999999</v>
      </c>
      <c r="D42">
        <v>1.3006771313968151</v>
      </c>
      <c r="E42" s="1">
        <v>222.00877720922841</v>
      </c>
      <c r="F42">
        <v>25.718</v>
      </c>
      <c r="K42" s="40" t="s">
        <v>12</v>
      </c>
      <c r="L42" s="11">
        <v>92</v>
      </c>
      <c r="M42" s="24">
        <f>L43-L42</f>
        <v>6</v>
      </c>
      <c r="N42" s="11">
        <v>26.664000000000001</v>
      </c>
      <c r="O42" s="11">
        <f t="shared" si="0"/>
        <v>0.3490000000000002</v>
      </c>
      <c r="P42" s="33">
        <f t="shared" si="1"/>
        <v>27.013000000000002</v>
      </c>
      <c r="Q42" s="11">
        <f>1/2*6*0.18</f>
        <v>0.54</v>
      </c>
      <c r="R42" s="11"/>
      <c r="S42" s="11">
        <f>SQRT((M42)^2+(N42-N43)^2)</f>
        <v>6.0083682477025331</v>
      </c>
      <c r="T42" s="11"/>
      <c r="U42" s="11"/>
      <c r="V42" s="11"/>
      <c r="W42" s="11"/>
      <c r="X42" s="11"/>
      <c r="Y42" s="41"/>
    </row>
    <row r="43" spans="1:25" x14ac:dyDescent="0.3">
      <c r="A43">
        <v>250</v>
      </c>
      <c r="B43">
        <v>2643521.0789999999</v>
      </c>
      <c r="C43">
        <v>578124.46499999997</v>
      </c>
      <c r="D43">
        <v>1.8342982309519957</v>
      </c>
      <c r="E43" s="1">
        <v>223.8430754401804</v>
      </c>
      <c r="F43">
        <v>25.597000000000001</v>
      </c>
      <c r="K43" s="40"/>
      <c r="L43" s="11">
        <v>98</v>
      </c>
      <c r="M43" s="24"/>
      <c r="N43" s="11">
        <v>26.347000000000001</v>
      </c>
      <c r="O43" s="11">
        <f t="shared" si="0"/>
        <v>0.66600000000000037</v>
      </c>
      <c r="P43" s="33">
        <f t="shared" si="1"/>
        <v>27.013000000000002</v>
      </c>
      <c r="Q43" s="11"/>
      <c r="R43" s="11"/>
      <c r="S43" s="11"/>
      <c r="T43" s="11"/>
      <c r="U43" s="11"/>
      <c r="V43" s="11"/>
      <c r="W43" s="11"/>
      <c r="X43" s="11"/>
      <c r="Y43" s="41"/>
    </row>
    <row r="44" spans="1:25" x14ac:dyDescent="0.3">
      <c r="A44">
        <v>251</v>
      </c>
      <c r="B44">
        <v>2643521.2949999999</v>
      </c>
      <c r="C44">
        <v>578126.46</v>
      </c>
      <c r="D44">
        <v>2.0066591638810656</v>
      </c>
      <c r="E44" s="1">
        <v>225.84973460406147</v>
      </c>
      <c r="F44">
        <v>25.675000000000001</v>
      </c>
      <c r="K44" s="40"/>
      <c r="L44" s="11"/>
      <c r="M44" s="24"/>
      <c r="N44" s="11"/>
      <c r="O44" s="11"/>
      <c r="P44" s="33"/>
      <c r="Q44" s="11"/>
      <c r="R44" s="11"/>
      <c r="S44" s="11"/>
      <c r="T44" s="11"/>
      <c r="U44" s="11"/>
      <c r="V44" s="11"/>
      <c r="W44" s="11"/>
      <c r="X44" s="11"/>
      <c r="Y44" s="41"/>
    </row>
    <row r="45" spans="1:25" x14ac:dyDescent="0.3">
      <c r="A45">
        <v>252</v>
      </c>
      <c r="B45">
        <v>2643521.696</v>
      </c>
      <c r="C45">
        <v>578128.93299999996</v>
      </c>
      <c r="D45">
        <v>2.505300381201335</v>
      </c>
      <c r="E45" s="1">
        <v>228.35503498526279</v>
      </c>
      <c r="F45">
        <v>26.053999999999998</v>
      </c>
      <c r="K45" s="40" t="s">
        <v>13</v>
      </c>
      <c r="L45" s="11">
        <v>98</v>
      </c>
      <c r="M45" s="24">
        <f>L46-L45</f>
        <v>5</v>
      </c>
      <c r="N45" s="11">
        <v>26.347000000000001</v>
      </c>
      <c r="O45" s="11">
        <f t="shared" si="0"/>
        <v>0.66600000000000037</v>
      </c>
      <c r="P45" s="33">
        <f t="shared" si="1"/>
        <v>27.013000000000002</v>
      </c>
      <c r="Q45" s="11">
        <f>1/2*5*0.18</f>
        <v>0.44999999999999996</v>
      </c>
      <c r="R45" s="11"/>
      <c r="S45" s="11">
        <f>SQRT((M45)^2+(N46-N45)^2)</f>
        <v>5.0216686469738319</v>
      </c>
      <c r="T45" s="11"/>
      <c r="U45" s="11"/>
      <c r="V45" s="11"/>
      <c r="W45" s="11"/>
      <c r="X45" s="11"/>
      <c r="Y45" s="41"/>
    </row>
    <row r="46" spans="1:25" x14ac:dyDescent="0.3">
      <c r="A46">
        <v>253</v>
      </c>
      <c r="B46">
        <v>2643533.6609999998</v>
      </c>
      <c r="C46">
        <v>578137.848</v>
      </c>
      <c r="D46">
        <v>14.921074022907948</v>
      </c>
      <c r="E46" s="1">
        <v>243.27610900817075</v>
      </c>
      <c r="F46">
        <v>27.113</v>
      </c>
      <c r="K46" s="40"/>
      <c r="L46" s="11">
        <v>103</v>
      </c>
      <c r="M46" s="24"/>
      <c r="N46" s="11">
        <v>26.812999999999999</v>
      </c>
      <c r="O46" s="11">
        <f>27.013-N46</f>
        <v>0.20000000000000284</v>
      </c>
      <c r="P46" s="33">
        <f t="shared" si="1"/>
        <v>27.013000000000002</v>
      </c>
      <c r="Q46" s="11"/>
      <c r="R46" s="11"/>
      <c r="S46" s="11"/>
      <c r="T46" s="11"/>
      <c r="U46" s="11"/>
      <c r="V46" s="11"/>
      <c r="W46" s="11"/>
      <c r="X46" s="11"/>
      <c r="Y46" s="41"/>
    </row>
    <row r="47" spans="1:25" x14ac:dyDescent="0.3">
      <c r="A47">
        <v>254</v>
      </c>
      <c r="B47">
        <v>2643540.6779999998</v>
      </c>
      <c r="C47">
        <v>578139.69299999997</v>
      </c>
      <c r="D47">
        <v>7.2555023258071074</v>
      </c>
      <c r="E47" s="1">
        <v>250.53161133397785</v>
      </c>
      <c r="F47">
        <v>27.846</v>
      </c>
      <c r="K47" s="40"/>
      <c r="L47" s="11"/>
      <c r="M47" s="24"/>
      <c r="N47" s="11"/>
      <c r="O47" s="11"/>
      <c r="P47" s="33"/>
      <c r="Q47" s="11"/>
      <c r="R47" s="11"/>
      <c r="S47" s="11"/>
      <c r="T47" s="11"/>
      <c r="U47" s="11"/>
      <c r="V47" s="11"/>
      <c r="W47" s="11"/>
      <c r="X47" s="11"/>
      <c r="Y47" s="41"/>
    </row>
    <row r="48" spans="1:25" x14ac:dyDescent="0.3">
      <c r="A48">
        <v>255</v>
      </c>
      <c r="B48">
        <v>2643540.5499999998</v>
      </c>
      <c r="C48">
        <v>578149.83200000005</v>
      </c>
      <c r="D48">
        <v>10.139807937120283</v>
      </c>
      <c r="E48" s="1">
        <v>260.67141927109816</v>
      </c>
      <c r="F48">
        <v>27.306000000000001</v>
      </c>
      <c r="J48" s="3">
        <v>0.2</v>
      </c>
      <c r="K48" s="40" t="s">
        <v>14</v>
      </c>
      <c r="L48" s="11">
        <v>103</v>
      </c>
      <c r="M48" s="24">
        <f>L49-L48</f>
        <v>7</v>
      </c>
      <c r="N48" s="11">
        <v>26.812999999999999</v>
      </c>
      <c r="O48" s="11">
        <f t="shared" si="0"/>
        <v>0.20000000000000284</v>
      </c>
      <c r="P48" s="33">
        <f t="shared" si="1"/>
        <v>27.013000000000002</v>
      </c>
      <c r="Q48" s="11">
        <f>1/2*7*0.18</f>
        <v>0.63</v>
      </c>
      <c r="R48" s="11"/>
      <c r="S48" s="11">
        <f>SQRT((M48)^2+(N48-N49)^2)</f>
        <v>7.0096140407300593</v>
      </c>
      <c r="T48" s="11"/>
      <c r="U48" s="11"/>
      <c r="V48" s="11"/>
      <c r="W48" s="11"/>
      <c r="X48" s="11"/>
      <c r="Y48" s="41"/>
    </row>
    <row r="49" spans="1:25" x14ac:dyDescent="0.3">
      <c r="A49">
        <v>256</v>
      </c>
      <c r="B49">
        <v>2643544.29</v>
      </c>
      <c r="C49">
        <v>578154.91299999994</v>
      </c>
      <c r="D49">
        <v>6.3090538910795244</v>
      </c>
      <c r="E49" s="1">
        <v>266.9804731621777</v>
      </c>
      <c r="F49">
        <v>26.873999999999999</v>
      </c>
      <c r="K49" s="40"/>
      <c r="L49" s="11">
        <v>110</v>
      </c>
      <c r="M49" s="24"/>
      <c r="N49" s="11">
        <v>26.446000000000002</v>
      </c>
      <c r="O49" s="11">
        <f t="shared" si="0"/>
        <v>0.56700000000000017</v>
      </c>
      <c r="P49" s="33">
        <f t="shared" si="1"/>
        <v>27.013000000000002</v>
      </c>
      <c r="Q49" s="11"/>
      <c r="R49" s="11"/>
      <c r="S49" s="11"/>
      <c r="T49" s="11"/>
      <c r="U49" s="11"/>
      <c r="V49" s="11"/>
      <c r="W49" s="11"/>
      <c r="X49" s="11"/>
      <c r="Y49" s="41"/>
    </row>
    <row r="50" spans="1:25" x14ac:dyDescent="0.3">
      <c r="A50">
        <v>257</v>
      </c>
      <c r="B50">
        <v>2643544.3629999999</v>
      </c>
      <c r="C50">
        <v>578170.57400000002</v>
      </c>
      <c r="D50">
        <v>15.661170135161932</v>
      </c>
      <c r="E50" s="1">
        <v>282.64164329733961</v>
      </c>
      <c r="F50">
        <v>27.143999999999998</v>
      </c>
      <c r="K50" s="40"/>
      <c r="L50" s="11"/>
      <c r="M50" s="24"/>
      <c r="N50" s="11"/>
      <c r="O50" s="11"/>
      <c r="P50" s="33"/>
      <c r="Q50" s="11"/>
      <c r="R50" s="11"/>
      <c r="S50" s="11"/>
      <c r="T50" s="11"/>
      <c r="U50" s="11"/>
      <c r="V50" s="11"/>
      <c r="W50" s="11"/>
      <c r="X50" s="11"/>
      <c r="Y50" s="41"/>
    </row>
    <row r="51" spans="1:25" x14ac:dyDescent="0.3">
      <c r="A51">
        <v>258</v>
      </c>
      <c r="B51">
        <v>2643566.773</v>
      </c>
      <c r="C51">
        <v>578189.27800000005</v>
      </c>
      <c r="D51">
        <v>29.189856388952808</v>
      </c>
      <c r="E51" s="1">
        <v>311.83149968629243</v>
      </c>
      <c r="F51">
        <v>27.988</v>
      </c>
      <c r="K51" s="40" t="s">
        <v>15</v>
      </c>
      <c r="L51" s="11">
        <v>110</v>
      </c>
      <c r="M51" s="24">
        <f>L52-L51</f>
        <v>2</v>
      </c>
      <c r="N51" s="11">
        <v>26.446000000000002</v>
      </c>
      <c r="O51" s="11">
        <f t="shared" si="0"/>
        <v>0.56700000000000017</v>
      </c>
      <c r="P51" s="33">
        <f t="shared" si="1"/>
        <v>27.013000000000002</v>
      </c>
      <c r="Q51" s="11">
        <f>1/2*(SUM(O51:O52)*2)</f>
        <v>1.4140000000000015</v>
      </c>
      <c r="R51" s="11"/>
      <c r="S51" s="11">
        <f>SQRT((M51)^2+(N51-N52)^2)</f>
        <v>2.0195048898182941</v>
      </c>
      <c r="T51" s="11"/>
      <c r="U51" s="11"/>
      <c r="V51" s="11"/>
      <c r="W51" s="11"/>
      <c r="X51" s="11"/>
      <c r="Y51" s="41"/>
    </row>
    <row r="52" spans="1:25" x14ac:dyDescent="0.3">
      <c r="A52">
        <v>259</v>
      </c>
      <c r="B52">
        <v>2643595.8739999998</v>
      </c>
      <c r="C52">
        <v>578195.76599999995</v>
      </c>
      <c r="D52">
        <v>29.815471570755083</v>
      </c>
      <c r="E52" s="1">
        <v>341.64697125704754</v>
      </c>
      <c r="F52">
        <v>28.65</v>
      </c>
      <c r="K52" s="40"/>
      <c r="L52" s="11">
        <v>112</v>
      </c>
      <c r="M52" s="24"/>
      <c r="N52" s="11">
        <v>26.166</v>
      </c>
      <c r="O52" s="11">
        <f t="shared" si="0"/>
        <v>0.84700000000000131</v>
      </c>
      <c r="P52" s="33">
        <f t="shared" si="1"/>
        <v>27.013000000000002</v>
      </c>
      <c r="Q52" s="11"/>
      <c r="R52" s="11"/>
      <c r="S52" s="11"/>
      <c r="T52" s="11"/>
      <c r="U52" s="11"/>
      <c r="V52" s="11"/>
      <c r="W52" s="11"/>
      <c r="X52" s="11"/>
      <c r="Y52" s="41"/>
    </row>
    <row r="53" spans="1:25" x14ac:dyDescent="0.3">
      <c r="A53">
        <v>260</v>
      </c>
      <c r="B53">
        <v>2643609.54</v>
      </c>
      <c r="C53">
        <v>578200.37399999995</v>
      </c>
      <c r="D53">
        <v>14.421970045925312</v>
      </c>
      <c r="E53" s="1">
        <v>356.06894130297286</v>
      </c>
      <c r="F53">
        <v>30.991</v>
      </c>
      <c r="K53" s="40"/>
      <c r="L53" s="11"/>
      <c r="M53" s="24"/>
      <c r="N53" s="11"/>
      <c r="O53" s="11"/>
      <c r="P53" s="33"/>
      <c r="Q53" s="11"/>
      <c r="R53" s="11"/>
      <c r="S53" s="11"/>
      <c r="T53" s="11"/>
      <c r="U53" s="11"/>
      <c r="V53" s="11"/>
      <c r="W53" s="11"/>
      <c r="X53" s="11"/>
      <c r="Y53" s="41"/>
    </row>
    <row r="54" spans="1:25" x14ac:dyDescent="0.3">
      <c r="B54" t="s">
        <v>6</v>
      </c>
      <c r="D54">
        <v>356.06894130297286</v>
      </c>
      <c r="K54" s="40" t="s">
        <v>16</v>
      </c>
      <c r="L54" s="11">
        <v>112</v>
      </c>
      <c r="M54" s="24">
        <f>L55-L54</f>
        <v>2</v>
      </c>
      <c r="N54" s="11">
        <v>26.166</v>
      </c>
      <c r="O54" s="11">
        <f t="shared" si="0"/>
        <v>0.84700000000000131</v>
      </c>
      <c r="P54" s="33">
        <f t="shared" si="1"/>
        <v>27.013000000000002</v>
      </c>
      <c r="Q54" s="11">
        <f>1/2*(SUM(O54:O55)*2)</f>
        <v>1.8100000000000023</v>
      </c>
      <c r="R54" s="11"/>
      <c r="S54" s="11">
        <f>SQRT((M54)^2+(N54-N55)^2)</f>
        <v>2.003361175624605</v>
      </c>
      <c r="T54" s="11"/>
      <c r="U54" s="11"/>
      <c r="V54" s="11"/>
      <c r="W54" s="11"/>
      <c r="X54" s="11"/>
      <c r="Y54" s="41"/>
    </row>
    <row r="55" spans="1:25" x14ac:dyDescent="0.3">
      <c r="K55" s="40"/>
      <c r="L55" s="11">
        <v>114</v>
      </c>
      <c r="M55" s="11"/>
      <c r="N55" s="11">
        <v>26.05</v>
      </c>
      <c r="O55" s="11">
        <f t="shared" si="0"/>
        <v>0.96300000000000097</v>
      </c>
      <c r="P55" s="33">
        <f t="shared" si="1"/>
        <v>27.013000000000002</v>
      </c>
      <c r="Q55" s="11"/>
      <c r="R55" s="11"/>
      <c r="S55" s="11"/>
      <c r="T55" s="11"/>
      <c r="U55" s="11"/>
      <c r="V55" s="11"/>
      <c r="W55" s="11"/>
      <c r="X55" s="11"/>
      <c r="Y55" s="41"/>
    </row>
    <row r="56" spans="1:25" x14ac:dyDescent="0.3">
      <c r="K56" s="40"/>
      <c r="L56" s="11"/>
      <c r="M56" s="11"/>
      <c r="N56" s="11"/>
      <c r="O56" s="11"/>
      <c r="P56" s="33"/>
      <c r="Q56" s="11"/>
      <c r="R56" s="11"/>
      <c r="S56" s="11"/>
      <c r="T56" s="11"/>
      <c r="U56" s="11"/>
      <c r="V56" s="11"/>
      <c r="W56" s="11"/>
      <c r="X56" s="11"/>
      <c r="Y56" s="41"/>
    </row>
    <row r="57" spans="1:25" x14ac:dyDescent="0.3">
      <c r="K57" s="40" t="s">
        <v>17</v>
      </c>
      <c r="L57" s="11">
        <v>114</v>
      </c>
      <c r="M57" s="11">
        <v>1</v>
      </c>
      <c r="N57" s="11">
        <v>26.05</v>
      </c>
      <c r="O57" s="11">
        <f t="shared" si="0"/>
        <v>0.96300000000000097</v>
      </c>
      <c r="P57" s="33">
        <f t="shared" si="1"/>
        <v>27.013000000000002</v>
      </c>
      <c r="Q57" s="11">
        <f>1/2*(SUM(O57:O58)*1)</f>
        <v>0.9845000000000006</v>
      </c>
      <c r="R57" s="11"/>
      <c r="S57" s="11">
        <f>SQRT((M57)^2+(N57-N58)^2)</f>
        <v>1.0009240730445041</v>
      </c>
      <c r="T57" s="11"/>
      <c r="U57" s="11"/>
      <c r="V57" s="11"/>
      <c r="W57" s="11"/>
      <c r="X57" s="11"/>
      <c r="Y57" s="41"/>
    </row>
    <row r="58" spans="1:25" x14ac:dyDescent="0.3">
      <c r="K58" s="40"/>
      <c r="L58" s="11">
        <v>115</v>
      </c>
      <c r="M58" s="11"/>
      <c r="N58" s="11">
        <v>26.007000000000001</v>
      </c>
      <c r="O58" s="11">
        <f t="shared" si="0"/>
        <v>1.0060000000000002</v>
      </c>
      <c r="P58" s="33">
        <f t="shared" si="1"/>
        <v>27.013000000000002</v>
      </c>
      <c r="Q58" s="11"/>
      <c r="R58" s="11"/>
      <c r="S58" s="11"/>
      <c r="T58" s="11"/>
      <c r="U58" s="11"/>
      <c r="V58" s="11"/>
      <c r="W58" s="11"/>
      <c r="X58" s="11"/>
      <c r="Y58" s="41"/>
    </row>
    <row r="59" spans="1:25" x14ac:dyDescent="0.3">
      <c r="K59" s="40"/>
      <c r="L59" s="11"/>
      <c r="M59" s="11"/>
      <c r="N59" s="11"/>
      <c r="O59" s="11"/>
      <c r="P59" s="33"/>
      <c r="Q59" s="11"/>
      <c r="R59" s="11"/>
      <c r="S59" s="11"/>
      <c r="T59" s="11"/>
      <c r="U59" s="11"/>
      <c r="V59" s="11"/>
      <c r="W59" s="11"/>
      <c r="X59" s="11"/>
      <c r="Y59" s="41"/>
    </row>
    <row r="60" spans="1:25" x14ac:dyDescent="0.3">
      <c r="K60" s="40" t="s">
        <v>18</v>
      </c>
      <c r="L60" s="11">
        <v>115</v>
      </c>
      <c r="M60" s="11">
        <v>1</v>
      </c>
      <c r="N60" s="11">
        <v>26.007000000000001</v>
      </c>
      <c r="O60" s="11">
        <f t="shared" si="0"/>
        <v>1.0060000000000002</v>
      </c>
      <c r="P60" s="33">
        <f t="shared" si="1"/>
        <v>27.013000000000002</v>
      </c>
      <c r="Q60" s="11">
        <f>1/2*(SUM(O60:O61)*1)</f>
        <v>0.94100000000000072</v>
      </c>
      <c r="R60" s="11"/>
      <c r="S60" s="11">
        <f>SQRT((M60)^2+(N61-N60)^2)</f>
        <v>1.0084145972763383</v>
      </c>
      <c r="T60" s="11"/>
      <c r="U60" s="11"/>
      <c r="V60" s="11"/>
      <c r="W60" s="11"/>
      <c r="X60" s="11"/>
      <c r="Y60" s="41"/>
    </row>
    <row r="61" spans="1:25" x14ac:dyDescent="0.3">
      <c r="K61" s="40"/>
      <c r="L61" s="11">
        <v>116</v>
      </c>
      <c r="M61" s="11"/>
      <c r="N61" s="11">
        <v>26.137</v>
      </c>
      <c r="O61" s="11">
        <f t="shared" si="0"/>
        <v>0.87600000000000122</v>
      </c>
      <c r="P61" s="33">
        <f t="shared" si="1"/>
        <v>27.013000000000002</v>
      </c>
      <c r="Q61" s="11"/>
      <c r="R61" s="11"/>
      <c r="S61" s="11"/>
      <c r="T61" s="11"/>
      <c r="U61" s="11"/>
      <c r="V61" s="11"/>
      <c r="W61" s="11"/>
      <c r="X61" s="11"/>
      <c r="Y61" s="41"/>
    </row>
    <row r="62" spans="1:25" x14ac:dyDescent="0.3">
      <c r="K62" s="40"/>
      <c r="L62" s="11"/>
      <c r="M62" s="11"/>
      <c r="N62" s="11"/>
      <c r="O62" s="11"/>
      <c r="P62" s="33"/>
      <c r="Q62" s="11"/>
      <c r="R62" s="11"/>
      <c r="S62" s="11"/>
      <c r="T62" s="11"/>
      <c r="U62" s="11"/>
      <c r="V62" s="11"/>
      <c r="W62" s="11"/>
      <c r="X62" s="11"/>
      <c r="Y62" s="41"/>
    </row>
    <row r="63" spans="1:25" x14ac:dyDescent="0.3">
      <c r="K63" s="40" t="s">
        <v>25</v>
      </c>
      <c r="L63" s="11">
        <v>116</v>
      </c>
      <c r="M63" s="11">
        <v>1</v>
      </c>
      <c r="N63" s="11">
        <v>26.137</v>
      </c>
      <c r="O63" s="11">
        <f t="shared" si="0"/>
        <v>0.87600000000000122</v>
      </c>
      <c r="P63" s="33">
        <f t="shared" si="1"/>
        <v>27.013000000000002</v>
      </c>
      <c r="Q63" s="11">
        <f>1/2*(SUM(O63:O64)*1)</f>
        <v>1.0005000000000006</v>
      </c>
      <c r="R63" s="11"/>
      <c r="S63" s="11">
        <f>SQRT((M63)^2+(N63-N64)^2)</f>
        <v>1.0305343274243703</v>
      </c>
      <c r="T63" s="11"/>
      <c r="U63" s="11"/>
      <c r="V63" s="11"/>
      <c r="W63" s="11"/>
      <c r="X63" s="11"/>
      <c r="Y63" s="41"/>
    </row>
    <row r="64" spans="1:25" x14ac:dyDescent="0.3">
      <c r="K64" s="40"/>
      <c r="L64" s="11">
        <v>117</v>
      </c>
      <c r="M64" s="11"/>
      <c r="N64" s="11">
        <v>25.888000000000002</v>
      </c>
      <c r="O64" s="11">
        <f t="shared" si="0"/>
        <v>1.125</v>
      </c>
      <c r="P64" s="33">
        <f t="shared" si="1"/>
        <v>27.013000000000002</v>
      </c>
      <c r="Q64" s="11"/>
      <c r="R64" s="11"/>
      <c r="S64" s="11"/>
      <c r="T64" s="11"/>
      <c r="U64" s="11"/>
      <c r="V64" s="11"/>
      <c r="W64" s="11"/>
      <c r="X64" s="11"/>
      <c r="Y64" s="41"/>
    </row>
    <row r="65" spans="11:25" x14ac:dyDescent="0.3">
      <c r="K65" s="40"/>
      <c r="L65" s="11"/>
      <c r="M65" s="11"/>
      <c r="N65" s="11"/>
      <c r="O65" s="11"/>
      <c r="P65" s="33"/>
      <c r="Q65" s="11"/>
      <c r="R65" s="11"/>
      <c r="S65" s="11"/>
      <c r="T65" s="11"/>
      <c r="U65" s="11"/>
      <c r="V65" s="11"/>
      <c r="W65" s="11"/>
      <c r="X65" s="11"/>
      <c r="Y65" s="41"/>
    </row>
    <row r="66" spans="11:25" x14ac:dyDescent="0.3">
      <c r="K66" s="40" t="s">
        <v>26</v>
      </c>
      <c r="L66" s="11">
        <v>117</v>
      </c>
      <c r="M66" s="11">
        <v>3</v>
      </c>
      <c r="N66" s="11">
        <v>25.888000000000002</v>
      </c>
      <c r="O66" s="11">
        <f t="shared" si="0"/>
        <v>1.125</v>
      </c>
      <c r="P66" s="33">
        <f t="shared" si="1"/>
        <v>27.013000000000002</v>
      </c>
      <c r="Q66" s="11">
        <f>1/2*(SUM(O66:O67)*3)</f>
        <v>2.4195000000000046</v>
      </c>
      <c r="R66" s="11"/>
      <c r="S66" s="11">
        <f>SQRT((M66)^2+(N67-N66)^2)</f>
        <v>3.0668826192079792</v>
      </c>
      <c r="T66" s="11"/>
      <c r="U66" s="11"/>
      <c r="V66" s="11"/>
      <c r="W66" s="11"/>
      <c r="X66" s="11"/>
      <c r="Y66" s="41"/>
    </row>
    <row r="67" spans="11:25" x14ac:dyDescent="0.3">
      <c r="K67" s="40"/>
      <c r="L67" s="11">
        <v>120</v>
      </c>
      <c r="M67" s="11"/>
      <c r="N67" s="11">
        <v>26.524999999999999</v>
      </c>
      <c r="O67" s="11">
        <f t="shared" si="0"/>
        <v>0.4880000000000031</v>
      </c>
      <c r="P67" s="33">
        <f t="shared" si="1"/>
        <v>27.013000000000002</v>
      </c>
      <c r="Q67" s="11"/>
      <c r="R67" s="11"/>
      <c r="S67" s="11"/>
      <c r="T67" s="11"/>
      <c r="U67" s="11"/>
      <c r="V67" s="11"/>
      <c r="W67" s="11"/>
      <c r="X67" s="11"/>
      <c r="Y67" s="41"/>
    </row>
    <row r="68" spans="11:25" x14ac:dyDescent="0.3">
      <c r="K68" s="40"/>
      <c r="L68" s="11"/>
      <c r="M68" s="11"/>
      <c r="N68" s="11"/>
      <c r="O68" s="11"/>
      <c r="P68" s="33"/>
      <c r="Q68" s="11"/>
      <c r="R68" s="11"/>
      <c r="S68" s="11"/>
      <c r="T68" s="11"/>
      <c r="U68" s="11"/>
      <c r="V68" s="11"/>
      <c r="W68" s="11"/>
      <c r="X68" s="11"/>
      <c r="Y68" s="41"/>
    </row>
    <row r="69" spans="11:25" x14ac:dyDescent="0.3">
      <c r="K69" s="40" t="s">
        <v>27</v>
      </c>
      <c r="L69" s="11">
        <v>120</v>
      </c>
      <c r="M69" s="11">
        <v>1</v>
      </c>
      <c r="N69" s="11">
        <v>26.524999999999999</v>
      </c>
      <c r="O69" s="11">
        <f t="shared" si="0"/>
        <v>0.4880000000000031</v>
      </c>
      <c r="P69" s="33">
        <f t="shared" si="1"/>
        <v>27.013000000000002</v>
      </c>
      <c r="Q69" s="11">
        <f>1/2*1*0.397</f>
        <v>0.19850000000000001</v>
      </c>
      <c r="R69" s="11"/>
      <c r="S69" s="11">
        <f>SQRT((M69)^2+(N70-N69)^2)</f>
        <v>1.0005443518405368</v>
      </c>
      <c r="T69" s="11"/>
      <c r="U69" s="11"/>
      <c r="V69" s="11"/>
      <c r="W69" s="11"/>
      <c r="X69" s="11"/>
      <c r="Y69" s="41"/>
    </row>
    <row r="70" spans="11:25" x14ac:dyDescent="0.3">
      <c r="K70" s="40"/>
      <c r="L70" s="11">
        <v>121</v>
      </c>
      <c r="M70" s="11"/>
      <c r="N70" s="11">
        <v>26.558</v>
      </c>
      <c r="O70" s="11">
        <f t="shared" si="0"/>
        <v>0.45500000000000185</v>
      </c>
      <c r="P70" s="33">
        <f t="shared" si="1"/>
        <v>27.013000000000002</v>
      </c>
      <c r="Q70" s="11"/>
      <c r="R70" s="11"/>
      <c r="S70" s="11"/>
      <c r="T70" s="11"/>
      <c r="U70" s="11"/>
      <c r="V70" s="11"/>
      <c r="W70" s="11"/>
      <c r="X70" s="11"/>
      <c r="Y70" s="41"/>
    </row>
    <row r="71" spans="11:25" x14ac:dyDescent="0.3">
      <c r="K71" s="40"/>
      <c r="L71" s="11"/>
      <c r="M71" s="11"/>
      <c r="N71" s="11"/>
      <c r="O71" s="11"/>
      <c r="P71" s="33"/>
      <c r="Q71" s="11"/>
      <c r="R71" s="11"/>
      <c r="S71" s="11"/>
      <c r="T71" s="11"/>
      <c r="U71" s="11"/>
      <c r="V71" s="11"/>
      <c r="W71" s="11"/>
      <c r="X71" s="11"/>
      <c r="Y71" s="41"/>
    </row>
    <row r="72" spans="11:25" x14ac:dyDescent="0.3">
      <c r="K72" s="40" t="s">
        <v>28</v>
      </c>
      <c r="L72" s="11">
        <v>121</v>
      </c>
      <c r="M72" s="11">
        <f>L73-L72</f>
        <v>4</v>
      </c>
      <c r="N72" s="11">
        <v>26.558</v>
      </c>
      <c r="O72" s="11">
        <f t="shared" si="0"/>
        <v>0.45500000000000185</v>
      </c>
      <c r="P72" s="33">
        <f t="shared" si="1"/>
        <v>27.013000000000002</v>
      </c>
      <c r="Q72" s="11">
        <v>0</v>
      </c>
      <c r="R72" s="11"/>
      <c r="S72" s="11">
        <f>SQRT((M72)^2+(N72-N73)^2)</f>
        <v>4.0000019999995002</v>
      </c>
      <c r="T72" s="11"/>
      <c r="U72" s="11"/>
      <c r="V72" s="11"/>
      <c r="W72" s="11"/>
      <c r="X72" s="11"/>
      <c r="Y72" s="41"/>
    </row>
    <row r="73" spans="11:25" x14ac:dyDescent="0.3">
      <c r="K73" s="40"/>
      <c r="L73" s="11">
        <v>125</v>
      </c>
      <c r="M73" s="11"/>
      <c r="N73" s="11">
        <v>26.553999999999998</v>
      </c>
      <c r="O73" s="11">
        <f t="shared" si="0"/>
        <v>0.45900000000000318</v>
      </c>
      <c r="P73" s="33">
        <f t="shared" si="1"/>
        <v>27.013000000000002</v>
      </c>
      <c r="Q73" s="11"/>
      <c r="R73" s="11"/>
      <c r="S73" s="11"/>
      <c r="T73" s="11"/>
      <c r="U73" s="11"/>
      <c r="V73" s="11"/>
      <c r="W73" s="11"/>
      <c r="X73" s="11"/>
      <c r="Y73" s="41"/>
    </row>
    <row r="74" spans="11:25" x14ac:dyDescent="0.3">
      <c r="K74" s="40"/>
      <c r="L74" s="11"/>
      <c r="M74" s="11"/>
      <c r="N74" s="11"/>
      <c r="O74" s="11"/>
      <c r="P74" s="33"/>
      <c r="Q74" s="11"/>
      <c r="R74" s="11"/>
      <c r="S74" s="11"/>
      <c r="T74" s="11"/>
      <c r="U74" s="11"/>
      <c r="V74" s="11"/>
      <c r="W74" s="11"/>
      <c r="X74" s="11"/>
      <c r="Y74" s="41"/>
    </row>
    <row r="75" spans="11:25" x14ac:dyDescent="0.3">
      <c r="K75" s="40" t="s">
        <v>29</v>
      </c>
      <c r="L75" s="11">
        <v>125</v>
      </c>
      <c r="M75" s="11">
        <v>1</v>
      </c>
      <c r="N75" s="11">
        <v>26.553999999999998</v>
      </c>
      <c r="O75" s="11">
        <f t="shared" si="0"/>
        <v>0.45900000000000318</v>
      </c>
      <c r="P75" s="33">
        <f t="shared" si="1"/>
        <v>27.013000000000002</v>
      </c>
      <c r="Q75" s="11">
        <f>1/2*1*0.18</f>
        <v>0.09</v>
      </c>
      <c r="R75" s="11"/>
      <c r="S75" s="11">
        <f>SQRT((M75)^2+(N75-N76)^2)</f>
        <v>1.0941371029263194</v>
      </c>
      <c r="T75" s="11"/>
      <c r="U75" s="11"/>
      <c r="V75" s="11"/>
      <c r="W75" s="11"/>
      <c r="X75" s="11"/>
      <c r="Y75" s="41"/>
    </row>
    <row r="76" spans="11:25" x14ac:dyDescent="0.3">
      <c r="K76" s="40"/>
      <c r="L76" s="11">
        <v>126</v>
      </c>
      <c r="M76" s="11"/>
      <c r="N76" s="11">
        <v>26.11</v>
      </c>
      <c r="O76" s="11">
        <f t="shared" si="0"/>
        <v>0.90300000000000225</v>
      </c>
      <c r="P76" s="33">
        <f t="shared" si="1"/>
        <v>27.013000000000002</v>
      </c>
      <c r="Q76" s="11"/>
      <c r="R76" s="11"/>
      <c r="S76" s="11"/>
      <c r="T76" s="11"/>
      <c r="U76" s="11"/>
      <c r="V76" s="11"/>
      <c r="W76" s="11"/>
      <c r="X76" s="11"/>
      <c r="Y76" s="41"/>
    </row>
    <row r="77" spans="11:25" x14ac:dyDescent="0.3">
      <c r="K77" s="40"/>
      <c r="L77" s="11"/>
      <c r="M77" s="11"/>
      <c r="N77" s="11"/>
      <c r="O77" s="11"/>
      <c r="P77" s="33"/>
      <c r="Q77" s="11"/>
      <c r="R77" s="11"/>
      <c r="S77" s="11"/>
      <c r="T77" s="11"/>
      <c r="U77" s="11"/>
      <c r="V77" s="11"/>
      <c r="W77" s="11"/>
      <c r="X77" s="11"/>
      <c r="Y77" s="41"/>
    </row>
    <row r="78" spans="11:25" x14ac:dyDescent="0.3">
      <c r="K78" s="40" t="s">
        <v>32</v>
      </c>
      <c r="L78" s="11">
        <v>126</v>
      </c>
      <c r="M78" s="11">
        <v>2</v>
      </c>
      <c r="N78" s="11">
        <v>26.11</v>
      </c>
      <c r="O78" s="11">
        <f t="shared" si="0"/>
        <v>0.90300000000000225</v>
      </c>
      <c r="P78" s="33">
        <f t="shared" si="1"/>
        <v>27.013000000000002</v>
      </c>
      <c r="Q78" s="11">
        <f>1/2*2*0.18</f>
        <v>0.18</v>
      </c>
      <c r="R78" s="11"/>
      <c r="S78" s="11">
        <f>SQRT((M78)^2+(N79-N78)^2)</f>
        <v>2.0537986756252429</v>
      </c>
      <c r="T78" s="11"/>
      <c r="U78" s="11"/>
      <c r="V78" s="11"/>
      <c r="W78" s="11"/>
      <c r="X78" s="11"/>
      <c r="Y78" s="41"/>
    </row>
    <row r="79" spans="11:25" x14ac:dyDescent="0.3">
      <c r="K79" s="40"/>
      <c r="L79" s="11">
        <v>128</v>
      </c>
      <c r="M79" s="11"/>
      <c r="N79" s="11">
        <v>26.577000000000002</v>
      </c>
      <c r="O79" s="11">
        <f t="shared" si="0"/>
        <v>0.43599999999999994</v>
      </c>
      <c r="P79" s="33">
        <f t="shared" si="1"/>
        <v>27.013000000000002</v>
      </c>
      <c r="Q79" s="11"/>
      <c r="R79" s="11"/>
      <c r="S79" s="11"/>
      <c r="T79" s="11"/>
      <c r="U79" s="11"/>
      <c r="V79" s="11"/>
      <c r="W79" s="11"/>
      <c r="X79" s="11"/>
      <c r="Y79" s="41"/>
    </row>
    <row r="80" spans="11:25" x14ac:dyDescent="0.3">
      <c r="K80" s="40"/>
      <c r="L80" s="11"/>
      <c r="M80" s="11"/>
      <c r="N80" s="11"/>
      <c r="O80" s="11"/>
      <c r="P80" s="33"/>
      <c r="Q80" s="11"/>
      <c r="R80" s="11"/>
      <c r="S80" s="11"/>
      <c r="T80" s="11"/>
      <c r="U80" s="11"/>
      <c r="V80" s="11"/>
      <c r="W80" s="11"/>
      <c r="X80" s="11"/>
      <c r="Y80" s="41"/>
    </row>
    <row r="81" spans="10:25" x14ac:dyDescent="0.3">
      <c r="K81" s="40" t="s">
        <v>33</v>
      </c>
      <c r="L81" s="11">
        <v>128</v>
      </c>
      <c r="M81" s="11">
        <f>L82-L81</f>
        <v>22</v>
      </c>
      <c r="N81" s="11">
        <v>26.577000000000002</v>
      </c>
      <c r="O81" s="11">
        <f t="shared" si="0"/>
        <v>0.43599999999999994</v>
      </c>
      <c r="P81" s="33">
        <f t="shared" si="1"/>
        <v>27.013000000000002</v>
      </c>
      <c r="Q81" s="11">
        <v>0</v>
      </c>
      <c r="R81" s="11"/>
      <c r="S81" s="11">
        <f>SQRT((M81)^2+(N81-N82)^2)</f>
        <v>22.000000022727274</v>
      </c>
      <c r="T81" s="11"/>
      <c r="U81" s="11"/>
      <c r="V81" s="11"/>
      <c r="W81" s="11"/>
      <c r="X81" s="11"/>
      <c r="Y81" s="41"/>
    </row>
    <row r="82" spans="10:25" x14ac:dyDescent="0.3">
      <c r="K82" s="40"/>
      <c r="L82" s="11">
        <v>150</v>
      </c>
      <c r="M82" s="11"/>
      <c r="N82" s="11">
        <v>26.576000000000001</v>
      </c>
      <c r="O82" s="11">
        <f t="shared" si="0"/>
        <v>0.43700000000000117</v>
      </c>
      <c r="P82" s="33">
        <f t="shared" si="1"/>
        <v>27.013000000000002</v>
      </c>
      <c r="Q82" s="11"/>
      <c r="R82" s="11"/>
      <c r="S82" s="11"/>
      <c r="T82" s="11"/>
      <c r="U82" s="11"/>
      <c r="V82" s="11"/>
      <c r="W82" s="11"/>
      <c r="X82" s="11"/>
      <c r="Y82" s="41"/>
    </row>
    <row r="83" spans="10:25" x14ac:dyDescent="0.3">
      <c r="K83" s="40"/>
      <c r="L83" s="11"/>
      <c r="M83" s="11"/>
      <c r="N83" s="11"/>
      <c r="O83" s="11"/>
      <c r="P83" s="33"/>
      <c r="Q83" s="11"/>
      <c r="R83" s="11"/>
      <c r="S83" s="11"/>
      <c r="T83" s="11"/>
      <c r="U83" s="11"/>
      <c r="V83" s="11"/>
      <c r="W83" s="11"/>
      <c r="X83" s="11"/>
      <c r="Y83" s="41"/>
    </row>
    <row r="84" spans="10:25" x14ac:dyDescent="0.3">
      <c r="K84" s="40" t="s">
        <v>34</v>
      </c>
      <c r="L84" s="11">
        <v>150</v>
      </c>
      <c r="M84" s="11">
        <f>L85-L84</f>
        <v>22</v>
      </c>
      <c r="N84" s="11">
        <v>26.576000000000001</v>
      </c>
      <c r="O84" s="11">
        <f t="shared" si="0"/>
        <v>0.43700000000000117</v>
      </c>
      <c r="P84" s="33">
        <f t="shared" si="1"/>
        <v>27.013000000000002</v>
      </c>
      <c r="Q84" s="11">
        <f>1/2*22*0.11</f>
        <v>1.21</v>
      </c>
      <c r="R84" s="11"/>
      <c r="S84" s="11">
        <f>SQRT((M84)^2+(N84-N85)^2)</f>
        <v>22.007512921727436</v>
      </c>
      <c r="T84" s="11"/>
      <c r="U84" s="11"/>
      <c r="V84" s="11"/>
      <c r="W84" s="11"/>
      <c r="X84" s="11"/>
      <c r="Y84" s="41"/>
    </row>
    <row r="85" spans="10:25" x14ac:dyDescent="0.3">
      <c r="K85" s="40"/>
      <c r="L85" s="11">
        <v>172</v>
      </c>
      <c r="M85" s="11"/>
      <c r="N85" s="11">
        <v>26.001000000000001</v>
      </c>
      <c r="O85" s="11">
        <f t="shared" si="0"/>
        <v>1.0120000000000005</v>
      </c>
      <c r="P85" s="33">
        <f t="shared" si="1"/>
        <v>27.013000000000002</v>
      </c>
      <c r="Q85" s="11"/>
      <c r="R85" s="11"/>
      <c r="S85" s="11"/>
      <c r="T85" s="11"/>
      <c r="U85" s="11"/>
      <c r="V85" s="11"/>
      <c r="W85" s="11"/>
      <c r="X85" s="11"/>
      <c r="Y85" s="41"/>
    </row>
    <row r="86" spans="10:25" x14ac:dyDescent="0.3">
      <c r="K86" s="40"/>
      <c r="L86" s="11"/>
      <c r="M86" s="11"/>
      <c r="N86" s="11"/>
      <c r="O86" s="11"/>
      <c r="P86" s="33"/>
      <c r="Q86" s="11"/>
      <c r="R86" s="11"/>
      <c r="S86" s="11"/>
      <c r="T86" s="11"/>
      <c r="U86" s="11"/>
      <c r="V86" s="11"/>
      <c r="W86" s="11"/>
      <c r="X86" s="11"/>
      <c r="Y86" s="41"/>
    </row>
    <row r="87" spans="10:25" x14ac:dyDescent="0.3">
      <c r="K87" s="40" t="s">
        <v>35</v>
      </c>
      <c r="L87" s="11">
        <v>172</v>
      </c>
      <c r="M87" s="11">
        <f>L88-L87</f>
        <v>6.8656716417910673</v>
      </c>
      <c r="N87" s="11">
        <v>26.001000000000001</v>
      </c>
      <c r="O87" s="11">
        <f t="shared" si="0"/>
        <v>1.0120000000000005</v>
      </c>
      <c r="P87" s="33">
        <f t="shared" si="1"/>
        <v>27.013000000000002</v>
      </c>
      <c r="Q87" s="11">
        <f>0.5*M87*O87</f>
        <v>3.4740298507462817</v>
      </c>
      <c r="R87" s="11"/>
      <c r="S87" s="11">
        <f>SQRT((M87)^2+(N88-N87)^2)</f>
        <v>6.9398552645494016</v>
      </c>
      <c r="T87" s="11"/>
      <c r="U87" s="11"/>
      <c r="V87" s="11"/>
      <c r="W87" s="11"/>
      <c r="X87" s="11"/>
      <c r="Y87" s="41"/>
    </row>
    <row r="88" spans="10:25" ht="15" thickBot="1" x14ac:dyDescent="0.35">
      <c r="K88" s="42"/>
      <c r="L88" s="43">
        <v>178.86567164179107</v>
      </c>
      <c r="M88" s="43"/>
      <c r="N88" s="43">
        <v>27.013000000000002</v>
      </c>
      <c r="O88" s="43">
        <v>0</v>
      </c>
      <c r="P88" s="49">
        <f t="shared" si="1"/>
        <v>27.013000000000002</v>
      </c>
      <c r="Q88" s="43"/>
      <c r="R88" s="43"/>
      <c r="S88" s="43"/>
      <c r="T88" s="43"/>
      <c r="U88" s="43"/>
      <c r="V88" s="43"/>
      <c r="W88" s="43"/>
      <c r="X88" s="43"/>
      <c r="Y88" s="44"/>
    </row>
    <row r="89" spans="10:25" ht="15" thickBot="1" x14ac:dyDescent="0.35">
      <c r="P89" s="31"/>
    </row>
    <row r="90" spans="10:25" x14ac:dyDescent="0.3">
      <c r="K90" s="36" t="s">
        <v>36</v>
      </c>
      <c r="L90" s="38">
        <v>221.0735294117647</v>
      </c>
      <c r="M90" s="38">
        <f>L91-L90</f>
        <v>0.92647058823530415</v>
      </c>
      <c r="N90" s="38">
        <v>25.907</v>
      </c>
      <c r="O90" s="38">
        <v>0</v>
      </c>
      <c r="P90" s="48">
        <f t="shared" si="1"/>
        <v>25.907</v>
      </c>
      <c r="Q90" s="38">
        <f>1/2*1*0.21</f>
        <v>0.105</v>
      </c>
      <c r="R90" s="50">
        <f>SUM(Q90,Q93,Q96,Q99)</f>
        <v>1.3989999999999969</v>
      </c>
      <c r="S90" s="38">
        <f>SQRT((M90)^2+(N90-N91)^2)</f>
        <v>0.94555208786458222</v>
      </c>
      <c r="T90" s="38">
        <f>S90+S93+S96+S99</f>
        <v>6.1967919440258417</v>
      </c>
      <c r="U90" s="38">
        <f>R90/T90</f>
        <v>0.22576197694497951</v>
      </c>
      <c r="V90" s="38"/>
      <c r="W90" s="38"/>
      <c r="X90" s="38"/>
      <c r="Y90" s="39"/>
    </row>
    <row r="91" spans="10:25" x14ac:dyDescent="0.3">
      <c r="K91" s="40"/>
      <c r="L91" s="11">
        <v>222</v>
      </c>
      <c r="M91" s="11"/>
      <c r="N91" s="11">
        <v>25.718</v>
      </c>
      <c r="O91" s="11">
        <f t="shared" ref="O91:O100" si="2">25.907-N91</f>
        <v>0.18900000000000006</v>
      </c>
      <c r="P91" s="33">
        <f t="shared" si="1"/>
        <v>25.907</v>
      </c>
      <c r="Q91" s="11"/>
      <c r="R91" s="11"/>
      <c r="S91" s="11"/>
      <c r="T91" s="11"/>
      <c r="U91" s="11"/>
      <c r="V91" s="11"/>
      <c r="W91" s="11"/>
      <c r="X91" s="11"/>
      <c r="Y91" s="41"/>
    </row>
    <row r="92" spans="10:25" x14ac:dyDescent="0.3">
      <c r="K92" s="40"/>
      <c r="L92" s="11"/>
      <c r="M92" s="11"/>
      <c r="N92" s="11"/>
      <c r="O92" s="11"/>
      <c r="P92" s="33"/>
      <c r="Q92" s="11"/>
      <c r="R92" s="11"/>
      <c r="S92" s="11"/>
      <c r="T92" s="11"/>
      <c r="U92" s="11"/>
      <c r="V92" s="11"/>
      <c r="W92" s="11"/>
      <c r="X92" s="11"/>
      <c r="Y92" s="41"/>
    </row>
    <row r="93" spans="10:25" x14ac:dyDescent="0.3">
      <c r="J93" s="3">
        <v>0.31</v>
      </c>
      <c r="K93" s="40" t="s">
        <v>37</v>
      </c>
      <c r="L93" s="11">
        <v>222</v>
      </c>
      <c r="M93" s="11">
        <f>L94-L93</f>
        <v>2</v>
      </c>
      <c r="N93" s="11">
        <v>25.718</v>
      </c>
      <c r="O93" s="11">
        <f t="shared" si="2"/>
        <v>0.18900000000000006</v>
      </c>
      <c r="P93" s="33">
        <f t="shared" ref="P93:P112" si="3">SUM(N93+O93)</f>
        <v>25.907</v>
      </c>
      <c r="Q93" s="46">
        <f>1/2*(SUM(O93:O94)*2)</f>
        <v>0.49899999999999878</v>
      </c>
      <c r="R93" s="11"/>
      <c r="S93" s="11">
        <f>SQRT((M93)^2+(N93-N94)^2)</f>
        <v>2.0036569067582404</v>
      </c>
      <c r="T93" s="11"/>
      <c r="U93" s="11"/>
      <c r="V93" s="11"/>
      <c r="W93" s="11"/>
      <c r="X93" s="11"/>
      <c r="Y93" s="41"/>
    </row>
    <row r="94" spans="10:25" x14ac:dyDescent="0.3">
      <c r="K94" s="40"/>
      <c r="L94" s="11">
        <v>224</v>
      </c>
      <c r="M94" s="11"/>
      <c r="N94" s="11">
        <v>25.597000000000001</v>
      </c>
      <c r="O94" s="11">
        <f>25.907-N94</f>
        <v>0.30999999999999872</v>
      </c>
      <c r="P94" s="33">
        <f t="shared" si="3"/>
        <v>25.907</v>
      </c>
      <c r="Q94" s="24"/>
      <c r="R94" s="11"/>
      <c r="S94" s="11"/>
      <c r="T94" s="11"/>
      <c r="U94" s="11"/>
      <c r="V94" s="11"/>
      <c r="W94" s="11"/>
      <c r="X94" s="11"/>
      <c r="Y94" s="41"/>
    </row>
    <row r="95" spans="10:25" x14ac:dyDescent="0.3">
      <c r="K95" s="40"/>
      <c r="L95" s="11"/>
      <c r="M95" s="11"/>
      <c r="N95" s="11"/>
      <c r="O95" s="11"/>
      <c r="P95" s="33"/>
      <c r="Q95" s="24"/>
      <c r="R95" s="11"/>
      <c r="S95" s="11"/>
      <c r="T95" s="11"/>
      <c r="U95" s="11"/>
      <c r="V95" s="11"/>
      <c r="W95" s="11"/>
      <c r="X95" s="11"/>
      <c r="Y95" s="41"/>
    </row>
    <row r="96" spans="10:25" x14ac:dyDescent="0.3">
      <c r="K96" s="40" t="s">
        <v>38</v>
      </c>
      <c r="L96" s="11">
        <v>224</v>
      </c>
      <c r="M96" s="11">
        <f>L97-L96</f>
        <v>2</v>
      </c>
      <c r="N96" s="11">
        <v>25.597000000000001</v>
      </c>
      <c r="O96" s="11">
        <f t="shared" si="2"/>
        <v>0.30999999999999872</v>
      </c>
      <c r="P96" s="33">
        <f t="shared" si="3"/>
        <v>25.907</v>
      </c>
      <c r="Q96" s="46">
        <f>1/2*(SUM(O96:O97)*2)</f>
        <v>0.54199999999999804</v>
      </c>
      <c r="R96" s="11"/>
      <c r="S96" s="11">
        <f>SQRT((M96)^2+(N97-N96)^2)</f>
        <v>2.0015204220791754</v>
      </c>
      <c r="T96" s="11"/>
      <c r="U96" s="11"/>
      <c r="V96" s="11"/>
      <c r="W96" s="11"/>
      <c r="X96" s="11"/>
      <c r="Y96" s="41"/>
    </row>
    <row r="97" spans="7:25" x14ac:dyDescent="0.3">
      <c r="K97" s="40"/>
      <c r="L97" s="11">
        <v>226</v>
      </c>
      <c r="M97" s="11"/>
      <c r="N97" s="11">
        <v>25.675000000000001</v>
      </c>
      <c r="O97" s="11">
        <f t="shared" si="2"/>
        <v>0.23199999999999932</v>
      </c>
      <c r="P97" s="33">
        <f t="shared" si="3"/>
        <v>25.907</v>
      </c>
      <c r="Q97" s="24"/>
      <c r="R97" s="11"/>
      <c r="S97" s="11"/>
      <c r="T97" s="11"/>
      <c r="U97" s="11"/>
      <c r="V97" s="11"/>
      <c r="W97" s="11"/>
      <c r="X97" s="11"/>
      <c r="Y97" s="41"/>
    </row>
    <row r="98" spans="7:25" x14ac:dyDescent="0.3">
      <c r="K98" s="40"/>
      <c r="L98" s="11"/>
      <c r="M98" s="11"/>
      <c r="N98" s="11"/>
      <c r="O98" s="11"/>
      <c r="P98" s="33"/>
      <c r="Q98" s="11"/>
      <c r="R98" s="11"/>
      <c r="S98" s="11"/>
      <c r="T98" s="11"/>
      <c r="U98" s="11"/>
      <c r="V98" s="11"/>
      <c r="W98" s="11"/>
      <c r="X98" s="11"/>
      <c r="Y98" s="41"/>
    </row>
    <row r="99" spans="7:25" x14ac:dyDescent="0.3">
      <c r="K99" s="40" t="s">
        <v>39</v>
      </c>
      <c r="L99" s="11">
        <v>226</v>
      </c>
      <c r="M99" s="11">
        <f>L100-L99</f>
        <v>1.2242744063324551</v>
      </c>
      <c r="N99" s="11">
        <v>25.675000000000001</v>
      </c>
      <c r="O99" s="11">
        <f t="shared" si="2"/>
        <v>0.23199999999999932</v>
      </c>
      <c r="P99" s="33">
        <f t="shared" si="3"/>
        <v>25.907</v>
      </c>
      <c r="Q99" s="11">
        <f>1/2*2*0.253</f>
        <v>0.253</v>
      </c>
      <c r="R99" s="11"/>
      <c r="S99" s="11">
        <f>SQRT((M99)^2+(N100-N99)^2)</f>
        <v>1.2460625273238437</v>
      </c>
      <c r="T99" s="11"/>
      <c r="U99" s="11"/>
      <c r="V99" s="11"/>
      <c r="W99" s="11"/>
      <c r="X99" s="11"/>
      <c r="Y99" s="41"/>
    </row>
    <row r="100" spans="7:25" ht="15" thickBot="1" x14ac:dyDescent="0.35">
      <c r="K100" s="42"/>
      <c r="L100" s="43">
        <v>227.22427440633246</v>
      </c>
      <c r="M100" s="43"/>
      <c r="N100" s="43">
        <v>25.907</v>
      </c>
      <c r="O100" s="43">
        <f t="shared" si="2"/>
        <v>0</v>
      </c>
      <c r="P100" s="49">
        <f t="shared" si="3"/>
        <v>25.907</v>
      </c>
      <c r="Q100" s="43"/>
      <c r="R100" s="43"/>
      <c r="S100" s="43"/>
      <c r="T100" s="43"/>
      <c r="U100" s="43"/>
      <c r="V100" s="43"/>
      <c r="W100" s="43"/>
      <c r="X100" s="43"/>
      <c r="Y100" s="44"/>
    </row>
    <row r="101" spans="7:25" ht="15" thickBot="1" x14ac:dyDescent="0.35">
      <c r="P101" s="31"/>
    </row>
    <row r="102" spans="7:25" x14ac:dyDescent="0.3">
      <c r="K102" s="36" t="s">
        <v>40</v>
      </c>
      <c r="L102" s="38">
        <v>254.7037037037037</v>
      </c>
      <c r="M102" s="38">
        <f>L103-L102</f>
        <v>6.2962962962963047</v>
      </c>
      <c r="N102" s="38">
        <v>27.646000000000001</v>
      </c>
      <c r="O102" s="38">
        <f>27.646-N102</f>
        <v>0</v>
      </c>
      <c r="P102" s="48">
        <v>27.646000000000001</v>
      </c>
      <c r="Q102" s="38">
        <f>0.5*M102*O103</f>
        <v>1.0703703703703713</v>
      </c>
      <c r="R102" s="38">
        <f>Q102+Q105+Q108+Q111</f>
        <v>22.065155555555684</v>
      </c>
      <c r="S102" s="38">
        <f>SQRT((M102)^2+(N102-N103)^2)</f>
        <v>6.3054696138158155</v>
      </c>
      <c r="T102" s="38">
        <f>S102+S105+S108</f>
        <v>58.075662944989276</v>
      </c>
      <c r="U102" s="38">
        <f>R102/T102</f>
        <v>0.37993807451593542</v>
      </c>
      <c r="V102" s="38"/>
      <c r="W102" s="38"/>
      <c r="X102" s="38"/>
      <c r="Y102" s="39"/>
    </row>
    <row r="103" spans="7:25" x14ac:dyDescent="0.3">
      <c r="K103" s="40"/>
      <c r="L103" s="11">
        <v>261</v>
      </c>
      <c r="M103" s="11"/>
      <c r="N103" s="11">
        <v>27.306000000000001</v>
      </c>
      <c r="O103" s="11">
        <f>27.646-N103</f>
        <v>0.33999999999999986</v>
      </c>
      <c r="P103" s="33">
        <v>27.646000000000001</v>
      </c>
      <c r="Q103" s="11"/>
      <c r="R103" s="11"/>
      <c r="S103" s="11"/>
      <c r="T103" s="11"/>
      <c r="U103" s="11"/>
      <c r="V103" s="11"/>
      <c r="W103" s="11"/>
      <c r="X103" s="11"/>
      <c r="Y103" s="41"/>
    </row>
    <row r="104" spans="7:25" x14ac:dyDescent="0.3">
      <c r="K104" s="40"/>
      <c r="L104" s="11"/>
      <c r="M104" s="11"/>
      <c r="N104" s="11"/>
      <c r="O104" s="11"/>
      <c r="P104" s="33"/>
      <c r="Q104" s="11"/>
      <c r="R104" s="11"/>
      <c r="S104" s="11"/>
      <c r="T104" s="11"/>
      <c r="U104" s="11"/>
      <c r="V104" s="11"/>
      <c r="W104" s="11"/>
      <c r="X104" s="11"/>
      <c r="Y104" s="41"/>
    </row>
    <row r="105" spans="7:25" x14ac:dyDescent="0.3">
      <c r="J105" s="3">
        <v>0.34</v>
      </c>
      <c r="K105" s="40" t="s">
        <v>41</v>
      </c>
      <c r="L105" s="11">
        <v>261</v>
      </c>
      <c r="M105" s="11">
        <f>L106-L105</f>
        <v>6</v>
      </c>
      <c r="N105" s="11">
        <v>27.306000000000001</v>
      </c>
      <c r="O105" s="11">
        <f t="shared" ref="O105:O109" si="4">27.646-N105</f>
        <v>0.33999999999999986</v>
      </c>
      <c r="P105" s="47">
        <f>N105+O105</f>
        <v>27.646000000000001</v>
      </c>
      <c r="Q105" s="11">
        <f>0.5*M105*(O105+O106)</f>
        <v>3.3360000000000056</v>
      </c>
      <c r="R105" s="11"/>
      <c r="S105" s="11">
        <f>SQRT((M105)^2+(N105-N106)^2)</f>
        <v>6.0155318966821216</v>
      </c>
      <c r="T105" s="11"/>
      <c r="U105" s="11"/>
      <c r="V105" s="11"/>
      <c r="W105" s="11"/>
      <c r="X105" s="11"/>
      <c r="Y105" s="41"/>
    </row>
    <row r="106" spans="7:25" x14ac:dyDescent="0.3">
      <c r="K106" s="40"/>
      <c r="L106" s="11">
        <v>267</v>
      </c>
      <c r="M106" s="11"/>
      <c r="N106" s="11">
        <v>26.873999999999999</v>
      </c>
      <c r="O106" s="11">
        <f t="shared" si="4"/>
        <v>0.77200000000000202</v>
      </c>
      <c r="P106" s="33">
        <v>27.646000000000001</v>
      </c>
      <c r="Q106" s="31"/>
      <c r="R106" s="11"/>
      <c r="S106" s="11"/>
      <c r="T106" s="11"/>
      <c r="U106" s="11"/>
      <c r="V106" s="11"/>
      <c r="W106" s="11"/>
      <c r="X106" s="11"/>
      <c r="Y106" s="41"/>
    </row>
    <row r="107" spans="7:25" x14ac:dyDescent="0.3">
      <c r="K107" s="40"/>
      <c r="L107" s="11"/>
      <c r="M107" s="11"/>
      <c r="N107" s="11"/>
      <c r="O107" s="11"/>
      <c r="P107" s="33"/>
      <c r="Q107" s="11"/>
      <c r="R107" s="11"/>
      <c r="S107" s="11"/>
      <c r="T107" s="11"/>
      <c r="U107" s="11"/>
      <c r="V107" s="11"/>
      <c r="W107" s="11"/>
      <c r="X107" s="11"/>
      <c r="Y107" s="41"/>
    </row>
    <row r="108" spans="7:25" x14ac:dyDescent="0.3">
      <c r="G108">
        <f>TREND(L108:L109,O108:O109,0)</f>
        <v>312.7481481481484</v>
      </c>
      <c r="K108" s="40" t="s">
        <v>42</v>
      </c>
      <c r="L108" s="11">
        <v>267</v>
      </c>
      <c r="M108" s="11">
        <f>L109-L108</f>
        <v>45.748148148148346</v>
      </c>
      <c r="N108" s="11">
        <v>26.873999999999999</v>
      </c>
      <c r="O108" s="11">
        <f t="shared" si="4"/>
        <v>0.77200000000000202</v>
      </c>
      <c r="P108" s="33">
        <v>27.646000000000001</v>
      </c>
      <c r="Q108" s="45">
        <f>0.5*M108*O108</f>
        <v>17.658785185185309</v>
      </c>
      <c r="R108" s="11"/>
      <c r="S108" s="11">
        <f>SQRT((M108)^2+(N109-N108)^2)</f>
        <v>45.754661434491339</v>
      </c>
      <c r="T108" s="11"/>
      <c r="U108" s="11"/>
      <c r="V108" s="11"/>
      <c r="W108" s="11"/>
      <c r="X108" s="11"/>
      <c r="Y108" s="41"/>
    </row>
    <row r="109" spans="7:25" ht="15" thickBot="1" x14ac:dyDescent="0.35">
      <c r="K109" s="42"/>
      <c r="L109" s="43">
        <v>312.74814814814835</v>
      </c>
      <c r="M109" s="43"/>
      <c r="N109" s="43">
        <v>27.646000000000001</v>
      </c>
      <c r="O109" s="43">
        <f t="shared" si="4"/>
        <v>0</v>
      </c>
      <c r="P109" s="49">
        <v>27.646000000000001</v>
      </c>
      <c r="Q109" s="43"/>
      <c r="R109" s="43"/>
      <c r="S109" s="43"/>
      <c r="T109" s="43"/>
      <c r="U109" s="43"/>
      <c r="V109" s="43"/>
      <c r="W109" s="43"/>
      <c r="X109" s="43"/>
      <c r="Y109" s="44"/>
    </row>
    <row r="110" spans="7:25" x14ac:dyDescent="0.3">
      <c r="K110" s="16"/>
      <c r="L110" s="11"/>
      <c r="M110" s="11"/>
      <c r="N110" s="11"/>
      <c r="O110" s="11"/>
      <c r="P110" s="31"/>
      <c r="Q110" s="11"/>
      <c r="R110" s="11"/>
      <c r="S110" s="11"/>
      <c r="T110" s="11"/>
      <c r="U110" s="11"/>
      <c r="V110" s="11"/>
      <c r="W110" s="11"/>
      <c r="X110" s="11"/>
      <c r="Y110" s="17"/>
    </row>
    <row r="111" spans="7:25" x14ac:dyDescent="0.3">
      <c r="K111" s="11" t="s">
        <v>43</v>
      </c>
      <c r="L111" s="11">
        <v>283</v>
      </c>
      <c r="M111" s="11">
        <f>L112-L111</f>
        <v>29</v>
      </c>
      <c r="N111" s="11">
        <v>27.143999999999998</v>
      </c>
      <c r="O111" s="24">
        <v>0.27</v>
      </c>
      <c r="P111" s="31">
        <f t="shared" si="3"/>
        <v>27.413999999999998</v>
      </c>
      <c r="Q111" s="11">
        <v>0</v>
      </c>
      <c r="R111" s="11"/>
      <c r="S111" s="11">
        <f>SQRT((M111)^2+(N112-N111)^2)</f>
        <v>29.01227905559989</v>
      </c>
      <c r="T111" s="11"/>
      <c r="U111" s="11"/>
      <c r="V111" s="11"/>
      <c r="W111" s="11"/>
      <c r="X111" s="11"/>
      <c r="Y111" s="11"/>
    </row>
    <row r="112" spans="7:25" x14ac:dyDescent="0.3">
      <c r="K112" s="11"/>
      <c r="L112" s="11">
        <v>312</v>
      </c>
      <c r="M112" s="11"/>
      <c r="N112" s="11">
        <v>27.988</v>
      </c>
      <c r="O112" s="11">
        <v>0</v>
      </c>
      <c r="P112" s="31">
        <f t="shared" si="3"/>
        <v>27.988</v>
      </c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1:25" x14ac:dyDescent="0.3"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</sheetData>
  <mergeCells count="2">
    <mergeCell ref="V25:W25"/>
    <mergeCell ref="X25:Y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Mannings</vt:lpstr>
      <vt:lpstr>Rational</vt:lpstr>
      <vt:lpstr>KWP</vt:lpstr>
      <vt:lpstr>Sheet2</vt:lpstr>
      <vt:lpstr>DIGULI</vt:lpstr>
      <vt:lpstr>BENIAGRAM</vt:lpstr>
      <vt:lpstr>BANSKULI</vt:lpstr>
      <vt:lpstr>SAINTHIA</vt:lpstr>
      <vt:lpstr>PANJONA</vt:lpstr>
      <vt:lpstr>SUNDARPUR</vt:lpstr>
      <vt:lpstr>AJAYPUR 1</vt:lpstr>
      <vt:lpstr>AJAYPUR 2</vt:lpstr>
      <vt:lpstr>DUDHANI</vt:lpstr>
      <vt:lpstr>MAHARO</vt:lpstr>
      <vt:lpstr>ASANJOR</vt:lpstr>
      <vt:lpstr>AMARPUR 1</vt:lpstr>
      <vt:lpstr>Amarpur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sayak</cp:lastModifiedBy>
  <dcterms:created xsi:type="dcterms:W3CDTF">2022-04-19T08:01:37Z</dcterms:created>
  <dcterms:modified xsi:type="dcterms:W3CDTF">2022-10-05T12:28:50Z</dcterms:modified>
</cp:coreProperties>
</file>