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tephen\Dropbox\github_dropbox\alkanestudy.gromacs\"/>
    </mc:Choice>
  </mc:AlternateContent>
  <xr:revisionPtr revIDLastSave="0" documentId="13_ncr:1_{77EB5834-9D33-427E-A8BD-4DD7A0B3033C}" xr6:coauthVersionLast="41" xr6:coauthVersionMax="43" xr10:uidLastSave="{00000000-0000-0000-0000-000000000000}"/>
  <bookViews>
    <workbookView xWindow="-120" yWindow="-120" windowWidth="38640" windowHeight="21240" activeTab="5" xr2:uid="{EF8A33E0-ACA8-D640-B463-6863C93E9688}"/>
  </bookViews>
  <sheets>
    <sheet name="Sim matrix" sheetId="13" r:id="rId1"/>
    <sheet name="Outline" sheetId="1" r:id="rId2"/>
    <sheet name="PYS-W" sheetId="6" r:id="rId3"/>
    <sheet name="Sun9-6" sheetId="9" r:id="rId4"/>
    <sheet name="FlexWilliams" sheetId="10" r:id="rId5"/>
    <sheet name="WilliamsOpt" sheetId="14" r:id="rId6"/>
    <sheet name="CHARMM36" sheetId="11" r:id="rId7"/>
    <sheet name="box_sizes" sheetId="5" r:id="rId8"/>
    <sheet name="cos-acc tests" sheetId="7" r:id="rId9"/>
    <sheet name="Expr data" sheetId="2" r:id="rId10"/>
    <sheet name="Ref" sheetId="3" r:id="rId11"/>
    <sheet name="Expr old" sheetId="4" state="hidden" r:id="rId1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5" i="2" l="1"/>
  <c r="AD6" i="2"/>
  <c r="AD7" i="2"/>
  <c r="AD8" i="2"/>
  <c r="AD9" i="2"/>
  <c r="AD10" i="2"/>
  <c r="AD11" i="2"/>
  <c r="AD12" i="2"/>
  <c r="AD13" i="2"/>
  <c r="AD14" i="2"/>
  <c r="AD15" i="2"/>
  <c r="AD4" i="2"/>
  <c r="R15" i="10" l="1"/>
  <c r="R12" i="10"/>
  <c r="R11" i="10"/>
  <c r="M6" i="11"/>
  <c r="M5" i="11"/>
  <c r="R13" i="10"/>
  <c r="R10" i="10"/>
  <c r="R8" i="10"/>
  <c r="R7" i="10"/>
  <c r="R6" i="10" l="1"/>
  <c r="R5" i="10"/>
  <c r="P7" i="9"/>
  <c r="P6" i="9"/>
  <c r="P8" i="9"/>
  <c r="P5" i="9"/>
  <c r="I33" i="7" l="1"/>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L37" i="6" l="1"/>
  <c r="L36" i="6"/>
  <c r="L35" i="6"/>
  <c r="L34" i="6"/>
  <c r="L33" i="6"/>
  <c r="L32" i="6"/>
  <c r="H7" i="5"/>
  <c r="J7" i="5" s="1"/>
  <c r="K7" i="5" s="1"/>
  <c r="H6" i="5"/>
  <c r="J6" i="5" s="1"/>
  <c r="K6" i="5" s="1"/>
  <c r="L27" i="6"/>
  <c r="I7" i="5" l="1"/>
  <c r="I6" i="5"/>
  <c r="L13" i="6"/>
  <c r="L24" i="6"/>
  <c r="L23" i="6"/>
  <c r="L22" i="6"/>
  <c r="L21" i="6"/>
  <c r="L20" i="6"/>
  <c r="L19" i="6"/>
  <c r="L10" i="6"/>
  <c r="L9" i="6"/>
  <c r="L8" i="6"/>
  <c r="L7" i="6"/>
  <c r="L6" i="6"/>
  <c r="L5" i="6"/>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<sst xmlns="http://schemas.openxmlformats.org/spreadsheetml/2006/main" count="999" uniqueCount="253">
  <si>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</si>
  <si>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</si>
  <si>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</si>
  <si>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</si>
  <si>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</si>
  <si>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</si>
  <si>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</si>
  <si>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</si>
  <si>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</si>
  <si>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</si>
  <si>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</si>
  <si>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</si>
  <si>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</si>
  <si>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</si>
  <si>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</si>
  <si>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</si>
  <si>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</si>
  <si>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Melting point (dihedral evolution method)</t>
  </si>
  <si>
    <t>Pressure-induced phase change</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</si>
  <si>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</si>
  <si>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</si>
  <si>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</si>
  <si>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</si>
  <si>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</si>
  <si>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</si>
  <si>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</si>
  <si>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</si>
  <si>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</si>
  <si>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</si>
  <si>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</si>
  <si>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</si>
  <si>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</si>
  <si>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</si>
  <si>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</si>
  <si>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</si>
  <si>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</si>
  <si>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</si>
  <si>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</si>
  <si>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</si>
  <si>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</si>
  <si>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</si>
  <si>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</si>
  <si>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</si>
  <si>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</si>
  <si>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</si>
  <si>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</si>
  <si>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</si>
  <si>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</si>
  <si>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</si>
  <si>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</si>
  <si>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</si>
  <si>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</si>
  <si>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</si>
  <si>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</si>
  <si>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</si>
  <si>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</si>
  <si>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</si>
  <si>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</si>
  <si>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Refs</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</si>
  <si>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</si>
  <si>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</si>
  <si>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</si>
  <si>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</si>
  <si>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</si>
  <si>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</si>
  <si>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</si>
  <si>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</si>
  <si>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</si>
  <si>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</si>
  <si>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</si>
  <si>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</si>
  <si>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</si>
  <si>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</si>
  <si>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</si>
  <si>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</si>
  <si>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</si>
  <si>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</si>
  <si>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</si>
  <si>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</si>
  <si>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</si>
  <si>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Chronological list of simulations</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</si>
  <si>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</si>
  <si>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</si>
  <si>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</si>
  <si>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</si>
  <si>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</si>
  <si>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</si>
  <si>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</si>
  <si>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</si>
  <si>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</si>
  <si>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</si>
  <si>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</si>
  <si>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</si>
  <si>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</si>
  <si>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</si>
  <si>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</si>
  <si>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</si>
  <si>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</si>
  <si>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</si>
  <si>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</si>
  <si>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</si>
  <si>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</si>
  <si>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</si>
  <si>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</si>
  <si>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</si>
  <si>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</si>
  <si>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</si>
  <si>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</si>
  <si>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</si>
  <si>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</si>
  <si>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</si>
  <si>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</si>
  <si>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</si>
  <si>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</si>
  <si>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</si>
  <si>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</si>
  <si>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</si>
  <si>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</si>
  <si>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</si>
  <si>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</si>
  <si>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</si>
  <si>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</si>
  <si>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</si>
  <si>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</si>
  <si>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</si>
  <si>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</si>
  <si>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</si>
  <si>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</si>
  <si>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</si>
  <si>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</si>
  <si>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</si>
  <si>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</si>
  <si>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</si>
  <si>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</si>
  <si>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</si>
  <si>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</si>
  <si>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</si>
  <si>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</si>
  <si>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</si>
  <si>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</si>
  <si>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</si>
  <si>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</si>
  <si>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</si>
  <si>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</si>
  <si>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</si>
  <si>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Error logs</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</si>
  <si>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</si>
  <si>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</si>
  <si>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</si>
  <si>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</si>
  <si>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</si>
  <si>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</si>
  <si>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</si>
  <si>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</si>
  <si>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</si>
  <si>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</si>
  <si>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</si>
  <si>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CHARMM36_1024xC16_298K_1bar_tests</t>
  </si>
  <si>
    <t>&lt;D&gt; = 0.2665 Std. Dev. = 0.1961 Error = 0.0061</t>
  </si>
  <si>
    <t>atom types</t>
  </si>
  <si>
    <t>CTL, HAL</t>
  </si>
  <si>
    <t>CG, HGA</t>
  </si>
  <si>
    <t>GPU-101_CHARMM36-CTL_1024xC16_anneal_340-240-340K_100ns</t>
  </si>
  <si>
    <t>&lt;D&gt; = 0.1437 Std. Dev. = 0.1162 Error = 0.0036</t>
  </si>
  <si>
    <t>Annealing</t>
  </si>
  <si>
    <t>7T</t>
  </si>
  <si>
    <t>FlexWilliams7T_1024xC16_anneal_340-240-340K_100ns</t>
  </si>
  <si>
    <t>FlexWilliams7T_1024xC16_298K_1bar_tests</t>
  </si>
  <si>
    <t>T = tabulated</t>
  </si>
  <si>
    <t>Lipid parameters seem better</t>
  </si>
  <si>
    <t>Unbuffered 1.0nm</t>
  </si>
  <si>
    <t>Buffered 1.05-1.0nm</t>
  </si>
  <si>
    <t>0.001 nm table spacing</t>
  </si>
  <si>
    <t>Correct sims below this line</t>
  </si>
  <si>
    <t>N2</t>
  </si>
  <si>
    <t>25 interp</t>
  </si>
  <si>
    <t>Mixed phase evolution</t>
  </si>
  <si>
    <t>TraPPE</t>
  </si>
  <si>
    <t>PYS</t>
  </si>
  <si>
    <t>CHARMM36</t>
  </si>
  <si>
    <t>L-OPLS</t>
  </si>
  <si>
    <t>Flex-Williams</t>
  </si>
  <si>
    <t>Flex 9-6</t>
  </si>
  <si>
    <t>Properties (NPT +  NVT interface)</t>
  </si>
  <si>
    <t>Key</t>
  </si>
  <si>
    <t>Input files prepared</t>
  </si>
  <si>
    <t>Not started</t>
  </si>
  <si>
    <t>Results checked</t>
  </si>
  <si>
    <r>
      <t>Annealing (</t>
    </r>
    <r>
      <rPr>
        <sz val="12"/>
        <color theme="1"/>
        <rFont val="Calibri"/>
        <family val="2"/>
      </rPr>
      <t>± 50K)</t>
    </r>
  </si>
  <si>
    <t>Flex-Williams 4T</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</si>
  <si>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</si>
  <si>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</si>
  <si>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</si>
  <si>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</si>
  <si>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</si>
  <si>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</si>
  <si>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</si>
  <si>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</si>
  <si>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</si>
  <si>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</si>
  <si>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</si>
  <si>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</si>
  <si>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</si>
  <si>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</si>
  <si>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</si>
  <si>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</si>
  <si>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</si>
  <si>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</si>
  <si>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</si>
  <si>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</si>
  <si>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</si>
  <si>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</si>
  <si>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</si>
  <si>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</si>
  <si>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Try different Gromacs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</si>
  <si>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</si>
  <si>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</si>
  <si>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</si>
  <si>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</si>
  <si>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</si>
  <si>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</si>
  <si>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</si>
  <si>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</si>
  <si>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</si>
  <si>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</si>
  <si>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</si>
  <si>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</si>
  <si>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</si>
  <si>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</si>
  <si>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</si>
  <si>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</si>
  <si>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</si>
  <si>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</si>
  <si>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</si>
  <si>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</si>
  <si>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</si>
  <si>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</si>
  <si>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</si>
  <si>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</si>
  <si>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</si>
  <si>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</si>
  <si>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</si>
  <si>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</si>
  <si>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Corrected sims below this line</t>
  </si>
  <si>
    <t>FlexWilliams4L-OPLS_rc0.6_1024xC16_properties_298K_1bar</t>
  </si>
  <si>
    <t>Δε</t>
  </si>
  <si>
    <t>Experiment</t>
  </si>
  <si>
    <t>Simulation</t>
  </si>
  <si>
    <t>L (sim)</t>
  </si>
  <si>
    <t>D - FSC</t>
  </si>
  <si>
    <t>FSC = finite size correction</t>
  </si>
  <si>
    <t>Phase 1</t>
  </si>
  <si>
    <t>Phase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</si>
</sst>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00"/>
  </numFmts>
  <fonts count="14">
    <font>
      <sz val="12"/>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1"/>
      <color theme="0" tint="-0.499984740745262"/>
      <name val="Calibri"/>
      <family val="2"/>
      <scheme val="minor"/>
    </font>
    <font>
      <sz val="12"/>
      <color theme="1"/>
      <name val="Calibri"/>
      <family val="2"/>
    </font>
    <font>
      <sz val="12"/>
      <color theme="0"/>
      <name val="Calibri"/>
      <family val="2"/>
      <scheme val="minor"/>
    </font>
    <font>
      <sz val="12"/>
      <name val="Calibri"/>
      <family val="2"/>
      <scheme val="minor"/>
    </font>
  </fonts>
  <fills count="3">
    <fill>
      <patternFill patternType="none"/>
    </fill>
    <fill>
      <patternFill patternType="gray125"/>
    </fill>
    <fill>
      <patternFill patternType="solid">
        <fgColor theme="1" tint="0.249977111117893"/>
        <bgColor indexed="64"/>
      </patternFill>
    </fill>
  </fills>
  <borders count="1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s>
  <cellStyleXfs count="1">
    <xf numFmtId="0" fontId="0" fillId="0" borderId="0"/>
  </cellStyleXfs>
  <cellXfs count="91">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0" fillId="0" borderId="0" xfId="0" applyAlignment="1">
      <alignment horizontal="right"/>
    </xf>
    <xf numFmtId="0" fontId="1" fillId="0" borderId="0" xfId="0" applyFont="1" applyAlignment="1">
      <alignment horizontal="center"/>
    </xf>
    <xf numFmtId="0" fontId="1" fillId="0" borderId="0" xfId="0" quotePrefix="1" applyFont="1" applyAlignment="1">
      <alignment horizontal="center"/>
    </xf>
    <xf numFmtId="0" fontId="1" fillId="0" borderId="0" xfId="0" applyFont="1"/>
    <xf numFmtId="2" fontId="1" fillId="0" borderId="0" xfId="0" applyNumberFormat="1" applyFont="1" applyAlignment="1">
      <alignment horizontal="center"/>
    </xf>
    <xf numFmtId="164" fontId="1" fillId="0" borderId="0" xfId="0" applyNumberFormat="1" applyFont="1" applyAlignment="1">
      <alignment horizontal="center"/>
    </xf>
    <xf numFmtId="0" fontId="1" fillId="0" borderId="0" xfId="0" applyFont="1" applyAlignment="1">
      <alignment horizontal="left"/>
    </xf>
    <xf numFmtId="0" fontId="4" fillId="0" borderId="0" xfId="0" applyFont="1" applyAlignment="1">
      <alignment horizontal="center"/>
    </xf>
    <xf numFmtId="2" fontId="4" fillId="0" borderId="0" xfId="0" applyNumberFormat="1" applyFont="1" applyAlignment="1">
      <alignment horizontal="center"/>
    </xf>
    <xf numFmtId="165" fontId="1" fillId="0" borderId="0" xfId="0" applyNumberFormat="1" applyFont="1" applyAlignment="1">
      <alignment horizontal="center"/>
    </xf>
    <xf numFmtId="0" fontId="2" fillId="0" borderId="0" xfId="0" applyFont="1" applyAlignment="1">
      <alignment horizontal="left"/>
    </xf>
    <xf numFmtId="2" fontId="2" fillId="0" borderId="0" xfId="0" applyNumberFormat="1" applyFont="1" applyAlignment="1">
      <alignment horizontal="center"/>
    </xf>
    <xf numFmtId="0" fontId="2" fillId="0" borderId="0" xfId="0" applyFont="1"/>
    <xf numFmtId="164" fontId="1" fillId="0" borderId="0" xfId="0" quotePrefix="1" applyNumberFormat="1" applyFont="1" applyAlignment="1">
      <alignment horizontal="center"/>
    </xf>
    <xf numFmtId="0" fontId="2"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0" xfId="0" quotePrefix="1" applyAlignment="1">
      <alignment horizontal="center"/>
    </xf>
    <xf numFmtId="0" fontId="0" fillId="0" borderId="2" xfId="0" applyBorder="1" applyAlignment="1">
      <alignment horizontal="center"/>
    </xf>
    <xf numFmtId="0" fontId="0" fillId="0" borderId="3" xfId="0" applyBorder="1" applyAlignment="1">
      <alignment horizontal="center"/>
    </xf>
    <xf numFmtId="166" fontId="6" fillId="0" borderId="0" xfId="0" applyNumberFormat="1" applyFont="1" applyAlignment="1">
      <alignment horizontal="center"/>
    </xf>
    <xf numFmtId="166" fontId="6" fillId="0" borderId="1" xfId="0" applyNumberFormat="1" applyFont="1" applyBorder="1" applyAlignment="1">
      <alignment horizontal="center"/>
    </xf>
    <xf numFmtId="0" fontId="7" fillId="0" borderId="0" xfId="0" applyFont="1"/>
    <xf numFmtId="0" fontId="7" fillId="0" borderId="1" xfId="0" applyFont="1" applyBorder="1" applyAlignment="1">
      <alignment horizontal="center"/>
    </xf>
    <xf numFmtId="0" fontId="7" fillId="0" borderId="0" xfId="0" applyFont="1" applyAlignment="1">
      <alignment horizontal="center"/>
    </xf>
    <xf numFmtId="16" fontId="7"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6"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6" fillId="0" borderId="0" xfId="0" applyNumberFormat="1" applyFont="1" applyAlignment="1">
      <alignment horizontal="center"/>
    </xf>
    <xf numFmtId="165" fontId="6" fillId="0" borderId="1" xfId="0" applyNumberFormat="1" applyFont="1" applyBorder="1" applyAlignment="1">
      <alignment horizontal="center"/>
    </xf>
    <xf numFmtId="164" fontId="6"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0" fillId="0" borderId="1" xfId="0" applyBorder="1" applyAlignment="1">
      <alignment horizontal="left"/>
    </xf>
    <xf numFmtId="0" fontId="8" fillId="0" borderId="0" xfId="0" applyFont="1" applyAlignment="1">
      <alignment horizontal="center"/>
    </xf>
    <xf numFmtId="0" fontId="8" fillId="0" borderId="0" xfId="0" quotePrefix="1" applyFont="1" applyAlignment="1">
      <alignment horizontal="center"/>
    </xf>
    <xf numFmtId="0" fontId="8" fillId="0" borderId="2" xfId="0" applyFont="1" applyBorder="1" applyAlignment="1">
      <alignment horizontal="center"/>
    </xf>
    <xf numFmtId="0" fontId="8" fillId="0" borderId="6" xfId="0" applyFont="1" applyBorder="1" applyAlignment="1">
      <alignment horizontal="center"/>
    </xf>
    <xf numFmtId="16" fontId="8" fillId="0" borderId="0" xfId="0" applyNumberFormat="1" applyFont="1" applyAlignment="1">
      <alignment horizontal="center"/>
    </xf>
    <xf numFmtId="0" fontId="8" fillId="0" borderId="0" xfId="0" applyFont="1" applyAlignment="1">
      <alignment horizontal="left"/>
    </xf>
    <xf numFmtId="2" fontId="9" fillId="0" borderId="0" xfId="0" applyNumberFormat="1" applyFont="1" applyAlignment="1">
      <alignment horizontal="center"/>
    </xf>
    <xf numFmtId="2" fontId="8" fillId="0" borderId="0" xfId="0" applyNumberFormat="1" applyFont="1" applyAlignment="1">
      <alignment horizontal="center"/>
    </xf>
    <xf numFmtId="165" fontId="8" fillId="0" borderId="0" xfId="0" applyNumberFormat="1" applyFont="1" applyAlignment="1">
      <alignment horizontal="center"/>
    </xf>
    <xf numFmtId="0" fontId="8" fillId="0" borderId="1" xfId="0" applyFont="1" applyBorder="1" applyAlignment="1">
      <alignment horizontal="center"/>
    </xf>
    <xf numFmtId="0" fontId="8" fillId="0" borderId="3" xfId="0" applyFont="1" applyBorder="1" applyAlignment="1">
      <alignment horizontal="center"/>
    </xf>
    <xf numFmtId="164" fontId="10" fillId="0" borderId="0" xfId="0" applyNumberFormat="1" applyFont="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2" fillId="2" borderId="1" xfId="0" applyFont="1" applyFill="1" applyBorder="1" applyAlignment="1">
      <alignment horizontal="center"/>
    </xf>
    <xf numFmtId="0" fontId="11"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1"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3" fillId="0" borderId="0" xfId="0" applyNumberFormat="1" applyFont="1" applyAlignment="1">
      <alignment horizontal="center"/>
    </xf>
    <xf numFmtId="0" fontId="13" fillId="0" borderId="0" xfId="0" applyFont="1" applyAlignment="1">
      <alignment horizontal="center"/>
    </xf>
    <xf numFmtId="0" fontId="13" fillId="0" borderId="2" xfId="0" applyFont="1" applyBorder="1" applyAlignment="1">
      <alignment horizontal="center"/>
    </xf>
    <xf numFmtId="0" fontId="13" fillId="0" borderId="6" xfId="0" applyFont="1" applyBorder="1" applyAlignment="1">
      <alignment horizontal="center"/>
    </xf>
    <xf numFmtId="165" fontId="13" fillId="0" borderId="0" xfId="0" applyNumberFormat="1"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11" fillId="0" borderId="0" xfId="0" applyFont="1" applyAlignment="1">
      <alignment horizontal="center"/>
    </xf>
    <xf numFmtId="0" fontId="11" fillId="0" borderId="1" xfId="0" applyFont="1" applyBorder="1" applyAlignment="1">
      <alignment horizontal="center"/>
    </xf>
    <xf numFmtId="164" fontId="11" fillId="0" borderId="1" xfId="0" applyNumberFormat="1" applyFont="1" applyBorder="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122834</xdr:colOff>
      <xdr:row>15</xdr:row>
      <xdr:rowOff>51415</xdr:rowOff>
    </xdr:from>
    <xdr:to>
      <xdr:col>15</xdr:col>
      <xdr:colOff>723762</xdr:colOff>
      <xdr:row>32</xdr:row>
      <xdr:rowOff>163871</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2:L51"/>
  <sheetViews>
    <sheetView workbookViewId="0">
      <selection activeCell="E22" sqref="E22"/>
    </sheetView>
  </sheetViews>
  <sheetFormatPr defaultColWidth="9" defaultRowHeight="15.75"/>
  <cols>
    <col min="1" max="2" width="9" style="19"/>
    <col min="3" max="3" width="44.625" style="19" customWidth="1"/>
    <col min="4" max="7" width="12.625" style="19" customWidth="1"/>
    <col min="8" max="8" width="15.125" style="19" customWidth="1"/>
    <col min="9" max="9" width="12.625" style="19" customWidth="1"/>
    <col min="10" max="11" width="9" style="19"/>
    <col min="12" max="12" width="27.5" style="19" customWidth="1"/>
    <col min="13" max="13" width="17.625" style="19" customWidth="1"/>
    <col min="14" max="14" width="32.5" style="19" customWidth="1"/>
    <col min="15" max="15" width="65.625" style="19" customWidth="1"/>
    <col min="16" max="16384" width="9" style="19"/>
  </cols>
  <sheetData>
    <row r="2" spans="2:12">
      <c r="H2" s="19" t="s">
        <v>168</v>
      </c>
      <c r="I2" s="19" t="s">
        <v>190</v>
      </c>
    </row>
    <row r="3" spans="2:12" s="20" customFormat="1">
      <c r="D3" s="20" t="s">
        <v>177</v>
      </c>
      <c r="E3" s="20" t="s">
        <v>178</v>
      </c>
      <c r="F3" s="20" t="s">
        <v>179</v>
      </c>
      <c r="G3" s="20" t="s">
        <v>180</v>
      </c>
      <c r="H3" s="20" t="s">
        <v>189</v>
      </c>
      <c r="I3" s="20" t="s">
        <v>182</v>
      </c>
      <c r="K3" s="20" t="s">
        <v>184</v>
      </c>
    </row>
    <row r="4" spans="2:12" ht="15.75" customHeight="1">
      <c r="B4" s="19" t="s">
        <v>44</v>
      </c>
      <c r="C4" s="19" t="s">
        <v>183</v>
      </c>
      <c r="D4" s="19">
        <v>3</v>
      </c>
      <c r="E4" s="19">
        <v>3</v>
      </c>
      <c r="F4" s="19">
        <v>3</v>
      </c>
      <c r="G4" s="19">
        <v>2</v>
      </c>
      <c r="H4" s="19">
        <v>2</v>
      </c>
      <c r="I4" s="19">
        <v>2</v>
      </c>
      <c r="K4" s="19">
        <v>0</v>
      </c>
      <c r="L4" s="19" t="s">
        <v>186</v>
      </c>
    </row>
    <row r="5" spans="2:12">
      <c r="C5" s="19" t="s">
        <v>188</v>
      </c>
      <c r="D5" s="19">
        <v>3</v>
      </c>
      <c r="E5" s="19">
        <v>3</v>
      </c>
      <c r="F5" s="19">
        <v>3</v>
      </c>
      <c r="G5" s="19">
        <v>2</v>
      </c>
      <c r="H5" s="19">
        <v>2</v>
      </c>
      <c r="I5" s="19">
        <v>0</v>
      </c>
      <c r="K5" s="19">
        <v>1</v>
      </c>
      <c r="L5" s="19" t="s">
        <v>185</v>
      </c>
    </row>
    <row r="6" spans="2:12">
      <c r="C6" s="19" t="s">
        <v>176</v>
      </c>
      <c r="D6" s="19">
        <v>0</v>
      </c>
      <c r="E6" s="19">
        <v>0</v>
      </c>
      <c r="F6" s="19">
        <v>0</v>
      </c>
      <c r="G6" s="19">
        <v>0</v>
      </c>
      <c r="H6" s="19">
        <v>0</v>
      </c>
      <c r="I6" s="19">
        <v>0</v>
      </c>
      <c r="K6" s="19">
        <v>2</v>
      </c>
      <c r="L6" s="19" t="s">
        <v>219</v>
      </c>
    </row>
    <row r="7" spans="2:12">
      <c r="B7" s="19" t="s">
        <v>43</v>
      </c>
      <c r="C7" s="19" t="s">
        <v>183</v>
      </c>
      <c r="D7" s="19">
        <v>3</v>
      </c>
      <c r="E7" s="19">
        <v>3</v>
      </c>
      <c r="F7" s="19">
        <v>3</v>
      </c>
      <c r="G7" s="19">
        <v>0</v>
      </c>
      <c r="H7" s="19">
        <v>1</v>
      </c>
      <c r="I7" s="19">
        <v>0</v>
      </c>
      <c r="K7" s="19">
        <v>3</v>
      </c>
      <c r="L7" s="19" t="s">
        <v>218</v>
      </c>
    </row>
    <row r="8" spans="2:12">
      <c r="C8" s="19" t="s">
        <v>188</v>
      </c>
      <c r="D8" s="19">
        <v>1</v>
      </c>
      <c r="E8" s="19">
        <v>3</v>
      </c>
      <c r="F8" s="19">
        <v>3</v>
      </c>
      <c r="G8" s="19">
        <v>0</v>
      </c>
      <c r="H8" s="19">
        <v>0</v>
      </c>
      <c r="I8" s="19">
        <v>0</v>
      </c>
      <c r="K8" s="19">
        <v>4</v>
      </c>
      <c r="L8" s="19" t="s">
        <v>187</v>
      </c>
    </row>
    <row r="9" spans="2:12">
      <c r="C9" s="19" t="s">
        <v>176</v>
      </c>
      <c r="D9" s="19">
        <v>0</v>
      </c>
      <c r="E9" s="19">
        <v>0</v>
      </c>
      <c r="F9" s="19">
        <v>0</v>
      </c>
      <c r="G9" s="19">
        <v>0</v>
      </c>
      <c r="H9" s="19">
        <v>0</v>
      </c>
      <c r="I9" s="19">
        <v>0</v>
      </c>
    </row>
    <row r="10" spans="2:12">
      <c r="B10" s="19" t="s">
        <v>35</v>
      </c>
      <c r="C10" s="19" t="s">
        <v>183</v>
      </c>
      <c r="D10" s="19">
        <v>3</v>
      </c>
      <c r="E10" s="19">
        <v>3</v>
      </c>
      <c r="F10" s="19">
        <v>0</v>
      </c>
      <c r="G10" s="19">
        <v>0</v>
      </c>
      <c r="H10" s="19">
        <v>0</v>
      </c>
      <c r="I10" s="19">
        <v>0</v>
      </c>
    </row>
    <row r="11" spans="2:12">
      <c r="C11" s="19" t="s">
        <v>188</v>
      </c>
      <c r="D11" s="19">
        <v>1</v>
      </c>
      <c r="E11" s="19">
        <v>0</v>
      </c>
      <c r="F11" s="19">
        <v>3</v>
      </c>
      <c r="G11" s="19">
        <v>0</v>
      </c>
      <c r="H11" s="19">
        <v>0</v>
      </c>
      <c r="I11" s="19">
        <v>0</v>
      </c>
    </row>
    <row r="12" spans="2:12">
      <c r="C12" s="19" t="s">
        <v>176</v>
      </c>
      <c r="D12" s="19">
        <v>0</v>
      </c>
      <c r="E12" s="19">
        <v>0</v>
      </c>
      <c r="F12" s="19">
        <v>0</v>
      </c>
      <c r="G12" s="19">
        <v>0</v>
      </c>
      <c r="H12" s="19">
        <v>0</v>
      </c>
      <c r="I12" s="19">
        <v>0</v>
      </c>
    </row>
    <row r="14" spans="2:12" s="20" customFormat="1">
      <c r="D14" s="20" t="s">
        <v>177</v>
      </c>
      <c r="E14" s="20" t="s">
        <v>178</v>
      </c>
      <c r="F14" s="20" t="s">
        <v>179</v>
      </c>
      <c r="G14" s="20" t="s">
        <v>180</v>
      </c>
      <c r="H14" s="20" t="s">
        <v>189</v>
      </c>
      <c r="I14" s="20" t="s">
        <v>182</v>
      </c>
    </row>
    <row r="15" spans="2:12">
      <c r="B15" s="19" t="s">
        <v>44</v>
      </c>
      <c r="C15" s="19" t="s">
        <v>183</v>
      </c>
    </row>
    <row r="16" spans="2:12">
      <c r="C16" s="19" t="s">
        <v>188</v>
      </c>
      <c r="D16" s="19" t="s">
        <v>205</v>
      </c>
      <c r="F16" s="19" t="s">
        <v>192</v>
      </c>
      <c r="G16" s="19" t="s">
        <v>192</v>
      </c>
    </row>
    <row r="17" spans="2:12">
      <c r="C17" s="19" t="s">
        <v>176</v>
      </c>
      <c r="F17" s="19" t="s">
        <v>192</v>
      </c>
    </row>
    <row r="18" spans="2:12">
      <c r="B18" s="19" t="s">
        <v>43</v>
      </c>
      <c r="C18" s="19" t="s">
        <v>183</v>
      </c>
    </row>
    <row r="19" spans="2:12">
      <c r="C19" s="19" t="s">
        <v>188</v>
      </c>
      <c r="D19" s="19" t="s">
        <v>206</v>
      </c>
      <c r="F19" s="19" t="s">
        <v>192</v>
      </c>
      <c r="G19" s="19" t="s">
        <v>192</v>
      </c>
    </row>
    <row r="20" spans="2:12">
      <c r="C20" s="19" t="s">
        <v>176</v>
      </c>
      <c r="F20" s="19" t="s">
        <v>192</v>
      </c>
    </row>
    <row r="21" spans="2:12">
      <c r="B21" s="19" t="s">
        <v>35</v>
      </c>
      <c r="C21" s="19" t="s">
        <v>183</v>
      </c>
    </row>
    <row r="22" spans="2:12">
      <c r="C22" s="19" t="s">
        <v>188</v>
      </c>
      <c r="D22" s="19" t="s">
        <v>205</v>
      </c>
      <c r="F22" s="19" t="s">
        <v>192</v>
      </c>
      <c r="G22" s="19" t="s">
        <v>192</v>
      </c>
    </row>
    <row r="23" spans="2:12">
      <c r="C23" s="19" t="s">
        <v>176</v>
      </c>
      <c r="F23" s="19" t="s">
        <v>192</v>
      </c>
    </row>
    <row r="27" spans="2:12" s="20" customFormat="1">
      <c r="C27" s="67" t="s">
        <v>191</v>
      </c>
      <c r="L27" s="67" t="s">
        <v>198</v>
      </c>
    </row>
    <row r="28" spans="2:12">
      <c r="C28" s="19" t="s">
        <v>181</v>
      </c>
      <c r="D28" s="65" t="s">
        <v>199</v>
      </c>
      <c r="E28" s="65"/>
      <c r="F28" s="65"/>
      <c r="G28" s="65"/>
      <c r="H28" s="65"/>
      <c r="I28" s="65"/>
      <c r="L28" s="64" t="s">
        <v>183</v>
      </c>
    </row>
    <row r="29" spans="2:12">
      <c r="D29" t="s">
        <v>200</v>
      </c>
      <c r="E29"/>
      <c r="F29"/>
      <c r="G29"/>
      <c r="H29"/>
      <c r="I29"/>
      <c r="L29" s="19" t="s">
        <v>164</v>
      </c>
    </row>
    <row r="30" spans="2:12">
      <c r="C30" s="19" t="s">
        <v>193</v>
      </c>
      <c r="D30" t="s">
        <v>194</v>
      </c>
      <c r="E30"/>
      <c r="F30"/>
      <c r="G30"/>
      <c r="H30"/>
      <c r="I30"/>
      <c r="L30" s="19" t="s">
        <v>176</v>
      </c>
    </row>
    <row r="31" spans="2:12">
      <c r="D31" t="s">
        <v>195</v>
      </c>
      <c r="E31"/>
      <c r="F31"/>
      <c r="G31"/>
      <c r="H31"/>
      <c r="I31"/>
    </row>
    <row r="32" spans="2:12">
      <c r="D32"/>
      <c r="E32"/>
      <c r="F32"/>
      <c r="G32"/>
      <c r="H32"/>
      <c r="I32"/>
    </row>
    <row r="33" spans="3:12">
      <c r="D33"/>
      <c r="E33"/>
      <c r="F33"/>
      <c r="G33"/>
      <c r="H33"/>
      <c r="I33"/>
    </row>
    <row r="34" spans="3:12">
      <c r="D34"/>
      <c r="E34"/>
      <c r="F34"/>
      <c r="G34"/>
      <c r="H34"/>
      <c r="I34"/>
    </row>
    <row r="35" spans="3:12">
      <c r="D35"/>
      <c r="E35"/>
      <c r="F35"/>
      <c r="G35"/>
      <c r="H35"/>
      <c r="I35"/>
    </row>
    <row r="36" spans="3:12" s="20" customFormat="1">
      <c r="C36" s="67" t="s">
        <v>196</v>
      </c>
      <c r="D36" s="66"/>
      <c r="E36" s="66"/>
      <c r="F36" s="66"/>
      <c r="G36" s="66"/>
      <c r="H36" s="66"/>
      <c r="I36" s="66"/>
      <c r="L36" s="67" t="s">
        <v>202</v>
      </c>
    </row>
    <row r="37" spans="3:12">
      <c r="C37" s="19" t="s">
        <v>197</v>
      </c>
      <c r="D37" s="50" t="s">
        <v>201</v>
      </c>
      <c r="L37" s="50" t="s">
        <v>231</v>
      </c>
    </row>
    <row r="38" spans="3:12">
      <c r="D38" s="50"/>
      <c r="L38" s="68" t="s">
        <v>211</v>
      </c>
    </row>
    <row r="39" spans="3:12">
      <c r="D39" s="50"/>
      <c r="L39" s="68" t="s">
        <v>207</v>
      </c>
    </row>
    <row r="40" spans="3:12">
      <c r="D40" s="50"/>
      <c r="L40" s="68" t="s">
        <v>212</v>
      </c>
    </row>
    <row r="41" spans="3:12">
      <c r="D41" s="50"/>
      <c r="L41" s="68" t="s">
        <v>238</v>
      </c>
    </row>
    <row r="42" spans="3:12">
      <c r="D42" s="50"/>
      <c r="L42" s="68" t="s">
        <v>239</v>
      </c>
    </row>
    <row r="43" spans="3:12" s="69" customFormat="1">
      <c r="C43" s="69" t="s">
        <v>215</v>
      </c>
      <c r="D43" s="70" t="s">
        <v>213</v>
      </c>
      <c r="L43" s="71" t="s">
        <v>214</v>
      </c>
    </row>
    <row r="44" spans="3:12" s="74" customFormat="1">
      <c r="C44" s="74" t="s">
        <v>180</v>
      </c>
      <c r="D44" s="75" t="s">
        <v>203</v>
      </c>
      <c r="L44" s="75" t="s">
        <v>204</v>
      </c>
    </row>
    <row r="45" spans="3:12" s="74" customFormat="1">
      <c r="C45" s="74" t="s">
        <v>208</v>
      </c>
      <c r="D45" s="75" t="s">
        <v>209</v>
      </c>
      <c r="L45" s="75" t="s">
        <v>210</v>
      </c>
    </row>
    <row r="46" spans="3:12" s="72" customFormat="1">
      <c r="C46" s="72" t="s">
        <v>190</v>
      </c>
      <c r="D46" s="73" t="s">
        <v>216</v>
      </c>
      <c r="L46" s="73" t="s">
        <v>217</v>
      </c>
    </row>
    <row r="47" spans="3:12">
      <c r="D47" s="50"/>
      <c r="L47" s="50"/>
    </row>
    <row r="48" spans="3:12">
      <c r="D48" s="50"/>
      <c r="L48" s="50"/>
    </row>
    <row r="49" spans="4:12">
      <c r="D49" s="50"/>
      <c r="L49" s="50"/>
    </row>
    <row r="50" spans="4:12">
      <c r="L50" s="50"/>
    </row>
    <row r="51" spans="4:12">
      <c r="L51" s="50"/>
    </row>
  </sheetData>
  <conditionalFormatting sqref="K4:K9">
    <cfRule type="colorScale" priority="4">
      <colorScale>
        <cfvo type="min"/>
        <cfvo type="percentile" val="50"/>
        <cfvo type="max"/>
        <color theme="5" tint="0.39997558519241921"/>
        <color theme="7" tint="0.59999389629810485"/>
        <color theme="9" tint="0.59999389629810485"/>
      </colorScale>
    </cfRule>
  </conditionalFormatting>
  <conditionalFormatting sqref="D4:I12">
    <cfRule type="colorScale" priority="5">
      <colorScale>
        <cfvo type="min"/>
        <cfvo type="percentile" val="50"/>
        <cfvo type="max"/>
        <color theme="5" tint="0.39997558519241921"/>
        <color theme="7" tint="0.59999389629810485"/>
        <color theme="9" tint="0.59999389629810485"/>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6"/>
  <sheetViews>
    <sheetView topLeftCell="F1" workbookViewId="0">
      <selection activeCell="AP15" sqref="AP15"/>
    </sheetView>
  </sheetViews>
  <sheetFormatPr defaultColWidth="7.875" defaultRowHeight="15" customHeight="1"/>
  <cols>
    <col min="1" max="1" width="5" style="4" customWidth="1"/>
    <col min="2" max="4" width="7.875" style="4"/>
    <col min="5" max="5" width="7.875" style="7"/>
    <col min="6" max="7" width="7.875" style="4"/>
    <col min="8" max="12" width="3.625" style="10" customWidth="1"/>
    <col min="13" max="13" width="5" style="4" customWidth="1"/>
    <col min="14" max="19" width="7.875" style="4"/>
    <col min="20" max="24" width="3.625" style="10" customWidth="1"/>
    <col min="25" max="25" width="5" style="4" customWidth="1"/>
    <col min="26" max="28" width="7.875" style="4"/>
    <col min="29" max="29" width="7.875" style="7"/>
    <col min="30" max="30" width="7.875" style="8"/>
    <col min="31" max="31" width="7.875" style="4"/>
    <col min="32" max="36" width="3.625" style="10" customWidth="1"/>
    <col min="37" max="37" width="5" style="4" customWidth="1"/>
    <col min="38" max="39" width="7.875" style="4"/>
    <col min="40" max="40" width="7.875" style="12"/>
    <col min="41" max="41" width="7.875" style="4"/>
    <col min="42" max="42" width="7.875" style="8"/>
    <col min="43" max="43" width="7.875" style="4"/>
    <col min="44" max="48" width="3.625" style="10" customWidth="1"/>
    <col min="49" max="49" width="5" style="4" customWidth="1"/>
    <col min="50" max="53" width="7.875" style="4"/>
    <col min="54" max="54" width="7.875" style="8"/>
    <col min="55" max="55" width="7.875" style="4"/>
    <col min="56" max="60" width="3.625" style="10" customWidth="1"/>
    <col min="61" max="16384" width="7.875" style="4"/>
  </cols>
  <sheetData>
    <row r="1" spans="2:55" ht="15" customHeight="1">
      <c r="Z1" s="4" t="s">
        <v>174</v>
      </c>
    </row>
    <row r="2" spans="2:55" ht="15" customHeight="1">
      <c r="B2" s="17" t="s">
        <v>8</v>
      </c>
      <c r="C2" s="84" t="s">
        <v>19</v>
      </c>
      <c r="D2" s="84"/>
      <c r="E2" s="84"/>
      <c r="F2" s="84"/>
      <c r="G2" s="84"/>
      <c r="H2" s="85" t="s">
        <v>20</v>
      </c>
      <c r="I2" s="85"/>
      <c r="J2" s="85"/>
      <c r="K2" s="85"/>
      <c r="L2" s="85"/>
      <c r="N2" s="17" t="s">
        <v>15</v>
      </c>
      <c r="O2" s="84" t="s">
        <v>19</v>
      </c>
      <c r="P2" s="84"/>
      <c r="Q2" s="84"/>
      <c r="R2" s="84"/>
      <c r="S2" s="84"/>
      <c r="Z2" s="13" t="s">
        <v>13</v>
      </c>
      <c r="AA2" s="84" t="s">
        <v>19</v>
      </c>
      <c r="AB2" s="84"/>
      <c r="AC2" s="84"/>
      <c r="AD2" s="84"/>
      <c r="AE2" s="84"/>
      <c r="AL2" s="15" t="s">
        <v>21</v>
      </c>
      <c r="AM2" s="84" t="s">
        <v>19</v>
      </c>
      <c r="AN2" s="84"/>
      <c r="AO2" s="84"/>
      <c r="AP2" s="84"/>
      <c r="AQ2" s="84"/>
      <c r="AY2" s="86" t="s">
        <v>22</v>
      </c>
      <c r="AZ2" s="86"/>
      <c r="BA2" s="15"/>
      <c r="BB2" s="15"/>
      <c r="BC2" s="15"/>
    </row>
    <row r="3" spans="2:55" ht="15" customHeight="1">
      <c r="B3" s="17" t="s">
        <v>23</v>
      </c>
      <c r="C3" s="4">
        <v>10</v>
      </c>
      <c r="D3" s="4">
        <v>15</v>
      </c>
      <c r="E3" s="4">
        <v>20</v>
      </c>
      <c r="F3" s="4">
        <v>25</v>
      </c>
      <c r="G3" s="4">
        <v>30</v>
      </c>
      <c r="H3" s="10">
        <v>10</v>
      </c>
      <c r="I3" s="10">
        <v>15</v>
      </c>
      <c r="J3" s="10">
        <v>20</v>
      </c>
      <c r="K3" s="10">
        <v>25</v>
      </c>
      <c r="L3" s="10">
        <v>30</v>
      </c>
      <c r="N3" s="17" t="s">
        <v>24</v>
      </c>
      <c r="O3" s="4">
        <v>10</v>
      </c>
      <c r="P3" s="4">
        <v>15</v>
      </c>
      <c r="Q3" s="4">
        <v>20</v>
      </c>
      <c r="R3" s="4">
        <v>25</v>
      </c>
      <c r="S3" s="4">
        <v>30</v>
      </c>
      <c r="T3" s="10">
        <v>10</v>
      </c>
      <c r="U3" s="10">
        <v>15</v>
      </c>
      <c r="V3" s="10">
        <v>20</v>
      </c>
      <c r="W3" s="10">
        <v>25</v>
      </c>
      <c r="X3" s="10">
        <v>30</v>
      </c>
      <c r="Z3" s="14" t="s">
        <v>25</v>
      </c>
      <c r="AA3" s="4">
        <v>10</v>
      </c>
      <c r="AB3" s="4">
        <v>15</v>
      </c>
      <c r="AC3" s="4">
        <v>20</v>
      </c>
      <c r="AD3" s="4" t="s">
        <v>175</v>
      </c>
      <c r="AE3" s="4">
        <v>30</v>
      </c>
      <c r="AF3" s="10">
        <v>10</v>
      </c>
      <c r="AG3" s="10">
        <v>15</v>
      </c>
      <c r="AH3" s="10">
        <v>20</v>
      </c>
      <c r="AI3" s="10">
        <v>25</v>
      </c>
      <c r="AJ3" s="10">
        <v>30</v>
      </c>
      <c r="AL3" s="17" t="s">
        <v>26</v>
      </c>
      <c r="AM3" s="4">
        <v>10</v>
      </c>
      <c r="AN3" s="4">
        <v>15</v>
      </c>
      <c r="AO3" s="4">
        <v>20</v>
      </c>
      <c r="AP3" s="4">
        <v>25</v>
      </c>
      <c r="AQ3" s="4">
        <v>30</v>
      </c>
      <c r="AR3" s="10">
        <v>10</v>
      </c>
      <c r="AS3" s="10">
        <v>15</v>
      </c>
      <c r="AT3" s="10">
        <v>20</v>
      </c>
      <c r="AU3" s="10">
        <v>25</v>
      </c>
      <c r="AV3" s="10">
        <v>30</v>
      </c>
      <c r="AY3" s="17" t="s">
        <v>27</v>
      </c>
      <c r="AZ3" s="18" t="s">
        <v>28</v>
      </c>
      <c r="BB3" s="4"/>
    </row>
    <row r="4" spans="2:55" ht="15" customHeight="1">
      <c r="B4" s="4" t="s">
        <v>29</v>
      </c>
      <c r="C4" s="7">
        <v>635.9</v>
      </c>
      <c r="D4" s="7">
        <v>631.04</v>
      </c>
      <c r="E4" s="7">
        <v>626.12</v>
      </c>
      <c r="F4" s="7">
        <v>621.14</v>
      </c>
      <c r="G4" s="7">
        <v>616.11</v>
      </c>
      <c r="H4" s="10" t="s">
        <v>30</v>
      </c>
      <c r="I4" s="10" t="s">
        <v>30</v>
      </c>
      <c r="J4" s="10" t="s">
        <v>30</v>
      </c>
      <c r="K4" s="10" t="s">
        <v>30</v>
      </c>
      <c r="L4" s="10" t="s">
        <v>30</v>
      </c>
      <c r="N4" s="4" t="s">
        <v>29</v>
      </c>
      <c r="Q4" s="7"/>
      <c r="R4" s="12"/>
      <c r="Z4" s="4" t="s">
        <v>29</v>
      </c>
      <c r="AA4" s="7">
        <v>17.149999999999999</v>
      </c>
      <c r="AC4" s="7">
        <v>16.05</v>
      </c>
      <c r="AD4" s="63">
        <f>0.5*(AC4+AE4)</f>
        <v>15.495000000000001</v>
      </c>
      <c r="AE4" s="4">
        <v>14.94</v>
      </c>
      <c r="AF4" s="10" t="s">
        <v>31</v>
      </c>
      <c r="AH4" s="10" t="s">
        <v>31</v>
      </c>
      <c r="AJ4" s="10" t="s">
        <v>31</v>
      </c>
      <c r="AL4" s="4" t="s">
        <v>29</v>
      </c>
      <c r="AM4" s="8"/>
      <c r="AN4" s="8"/>
      <c r="AO4" s="8"/>
      <c r="AQ4" s="8"/>
      <c r="AX4" s="4" t="s">
        <v>29</v>
      </c>
      <c r="AY4" s="4">
        <v>143.5</v>
      </c>
      <c r="AZ4" s="18">
        <f t="shared" ref="AZ4:AZ15" si="0">AY4-273.15</f>
        <v>-129.64999999999998</v>
      </c>
    </row>
    <row r="5" spans="2:55" ht="15" customHeight="1">
      <c r="B5" s="4" t="s">
        <v>32</v>
      </c>
      <c r="C5" s="7">
        <v>668.37</v>
      </c>
      <c r="D5" s="7">
        <v>663.91</v>
      </c>
      <c r="E5" s="7">
        <v>659.42</v>
      </c>
      <c r="F5" s="7">
        <v>654.89</v>
      </c>
      <c r="G5" s="7">
        <v>650.33000000000004</v>
      </c>
      <c r="H5" s="10" t="s">
        <v>30</v>
      </c>
      <c r="I5" s="10" t="s">
        <v>30</v>
      </c>
      <c r="J5" s="10" t="s">
        <v>30</v>
      </c>
      <c r="K5" s="10" t="s">
        <v>30</v>
      </c>
      <c r="L5" s="10" t="s">
        <v>30</v>
      </c>
      <c r="N5" s="4" t="s">
        <v>32</v>
      </c>
      <c r="Q5" s="7"/>
      <c r="R5" s="12">
        <v>0.2949</v>
      </c>
      <c r="W5" s="10" t="s">
        <v>33</v>
      </c>
      <c r="Z5" s="4" t="s">
        <v>32</v>
      </c>
      <c r="AA5" s="7">
        <v>19.420000000000002</v>
      </c>
      <c r="AC5" s="7">
        <v>18.399999999999999</v>
      </c>
      <c r="AD5" s="63">
        <f t="shared" ref="AD5:AD15" si="1">0.5*(AC5+AE5)</f>
        <v>17.89</v>
      </c>
      <c r="AE5" s="4">
        <v>17.38</v>
      </c>
      <c r="AF5" s="10" t="s">
        <v>31</v>
      </c>
      <c r="AH5" s="10" t="s">
        <v>31</v>
      </c>
      <c r="AJ5" s="10" t="s">
        <v>31</v>
      </c>
      <c r="AL5" s="4" t="s">
        <v>32</v>
      </c>
      <c r="AM5" s="8"/>
      <c r="AN5" s="8"/>
      <c r="AO5" s="8"/>
      <c r="AQ5" s="8"/>
      <c r="AX5" s="4" t="s">
        <v>32</v>
      </c>
      <c r="AY5" s="4">
        <v>177.8</v>
      </c>
      <c r="AZ5" s="18">
        <f t="shared" si="0"/>
        <v>-95.349999999999966</v>
      </c>
    </row>
    <row r="6" spans="2:55" ht="15" customHeight="1">
      <c r="B6" s="4" t="s">
        <v>34</v>
      </c>
      <c r="C6" s="7">
        <v>692.4</v>
      </c>
      <c r="D6" s="7">
        <v>688.2</v>
      </c>
      <c r="E6" s="7">
        <v>683.99</v>
      </c>
      <c r="F6" s="7">
        <v>679.75</v>
      </c>
      <c r="G6" s="7">
        <v>675.49</v>
      </c>
      <c r="H6" s="10" t="s">
        <v>30</v>
      </c>
      <c r="I6" s="10" t="s">
        <v>30</v>
      </c>
      <c r="J6" s="10" t="s">
        <v>30</v>
      </c>
      <c r="K6" s="10" t="s">
        <v>30</v>
      </c>
      <c r="L6" s="10" t="s">
        <v>30</v>
      </c>
      <c r="N6" s="4" t="s">
        <v>34</v>
      </c>
      <c r="Q6" s="7"/>
      <c r="R6" s="12">
        <v>0.38900000000000001</v>
      </c>
      <c r="W6" s="10" t="s">
        <v>33</v>
      </c>
      <c r="Z6" s="4" t="s">
        <v>34</v>
      </c>
      <c r="AA6" s="7">
        <v>21.12</v>
      </c>
      <c r="AC6" s="7">
        <v>20.14</v>
      </c>
      <c r="AD6" s="63">
        <f t="shared" si="1"/>
        <v>19.655000000000001</v>
      </c>
      <c r="AE6" s="4">
        <v>19.170000000000002</v>
      </c>
      <c r="AF6" s="10" t="s">
        <v>31</v>
      </c>
      <c r="AH6" s="10" t="s">
        <v>31</v>
      </c>
      <c r="AJ6" s="10" t="s">
        <v>31</v>
      </c>
      <c r="AL6" s="4" t="s">
        <v>34</v>
      </c>
      <c r="AM6" s="8"/>
      <c r="AN6" s="8"/>
      <c r="AO6" s="8"/>
      <c r="AQ6" s="8"/>
      <c r="AX6" s="4" t="s">
        <v>34</v>
      </c>
      <c r="AY6" s="4">
        <v>182.6</v>
      </c>
      <c r="AZ6" s="18">
        <f t="shared" si="0"/>
        <v>-90.549999999999983</v>
      </c>
    </row>
    <row r="7" spans="2:55" ht="15" customHeight="1">
      <c r="B7" s="4" t="s">
        <v>35</v>
      </c>
      <c r="C7" s="7"/>
      <c r="D7" s="7"/>
      <c r="F7" s="7"/>
      <c r="G7" s="7"/>
      <c r="N7" s="4" t="s">
        <v>35</v>
      </c>
      <c r="Q7" s="7"/>
      <c r="R7" s="12">
        <v>0.50919999999999999</v>
      </c>
      <c r="W7" s="10" t="s">
        <v>33</v>
      </c>
      <c r="Z7" s="4" t="s">
        <v>35</v>
      </c>
      <c r="AA7" s="7">
        <v>22.57</v>
      </c>
      <c r="AC7" s="7">
        <v>21.62</v>
      </c>
      <c r="AD7" s="63">
        <f t="shared" si="1"/>
        <v>21.145000000000003</v>
      </c>
      <c r="AE7" s="4">
        <v>20.67</v>
      </c>
      <c r="AF7" s="10" t="s">
        <v>31</v>
      </c>
      <c r="AH7" s="10" t="s">
        <v>31</v>
      </c>
      <c r="AJ7" s="10" t="s">
        <v>31</v>
      </c>
      <c r="AL7" s="4" t="s">
        <v>35</v>
      </c>
      <c r="AM7" s="8"/>
      <c r="AN7" s="8">
        <v>1.988</v>
      </c>
      <c r="AO7" s="8">
        <v>2.14</v>
      </c>
      <c r="AP7" s="8">
        <v>2.3559999999999999</v>
      </c>
      <c r="AQ7" s="8">
        <v>2.633</v>
      </c>
      <c r="AS7" s="10" t="s">
        <v>36</v>
      </c>
      <c r="AT7" s="10" t="s">
        <v>36</v>
      </c>
      <c r="AU7" s="10" t="s">
        <v>36</v>
      </c>
      <c r="AV7" s="10" t="s">
        <v>36</v>
      </c>
      <c r="AX7" s="4" t="s">
        <v>35</v>
      </c>
      <c r="AY7" s="4">
        <v>216.4</v>
      </c>
      <c r="AZ7" s="18">
        <f t="shared" si="0"/>
        <v>-56.749999999999972</v>
      </c>
    </row>
    <row r="8" spans="2:55" ht="15" customHeight="1">
      <c r="B8" s="4" t="s">
        <v>37</v>
      </c>
      <c r="C8" s="7"/>
      <c r="D8" s="7"/>
      <c r="F8" s="7"/>
      <c r="G8" s="7"/>
      <c r="N8" s="4" t="s">
        <v>37</v>
      </c>
      <c r="Q8" s="7"/>
      <c r="R8" s="12"/>
      <c r="Z8" s="4" t="s">
        <v>37</v>
      </c>
      <c r="AA8" s="7">
        <v>23.79</v>
      </c>
      <c r="AC8" s="7">
        <v>22.85</v>
      </c>
      <c r="AD8" s="63">
        <f t="shared" si="1"/>
        <v>22.385000000000002</v>
      </c>
      <c r="AE8" s="4">
        <v>21.92</v>
      </c>
      <c r="AF8" s="10" t="s">
        <v>31</v>
      </c>
      <c r="AH8" s="10" t="s">
        <v>31</v>
      </c>
      <c r="AJ8" s="10" t="s">
        <v>31</v>
      </c>
      <c r="AL8" s="4" t="s">
        <v>37</v>
      </c>
      <c r="AM8" s="8"/>
      <c r="AN8" s="8">
        <v>1.5249999999999999</v>
      </c>
      <c r="AO8" s="8">
        <v>1.6259999999999999</v>
      </c>
      <c r="AP8" s="8">
        <v>1.772</v>
      </c>
      <c r="AQ8" s="8">
        <v>1.9610000000000001</v>
      </c>
      <c r="AS8" s="10" t="s">
        <v>36</v>
      </c>
      <c r="AT8" s="10" t="s">
        <v>36</v>
      </c>
      <c r="AU8" s="10" t="s">
        <v>36</v>
      </c>
      <c r="AV8" s="10" t="s">
        <v>36</v>
      </c>
      <c r="AX8" s="4" t="s">
        <v>37</v>
      </c>
      <c r="AY8" s="4">
        <v>219.7</v>
      </c>
      <c r="AZ8" s="18">
        <f t="shared" si="0"/>
        <v>-53.449999999999989</v>
      </c>
    </row>
    <row r="9" spans="2:55" ht="15" customHeight="1">
      <c r="B9" s="4" t="s">
        <v>38</v>
      </c>
      <c r="C9" s="7"/>
      <c r="D9" s="7"/>
      <c r="F9" s="7"/>
      <c r="G9" s="7"/>
      <c r="N9" s="4" t="s">
        <v>38</v>
      </c>
      <c r="Q9" s="7"/>
      <c r="R9" s="12">
        <v>0.8498</v>
      </c>
      <c r="W9" s="10" t="s">
        <v>33</v>
      </c>
      <c r="Z9" s="4" t="s">
        <v>38</v>
      </c>
      <c r="AA9" s="7">
        <v>24.75</v>
      </c>
      <c r="AC9" s="7">
        <v>23.83</v>
      </c>
      <c r="AD9" s="63">
        <f t="shared" si="1"/>
        <v>23.369999999999997</v>
      </c>
      <c r="AE9" s="4">
        <v>22.91</v>
      </c>
      <c r="AF9" s="10" t="s">
        <v>31</v>
      </c>
      <c r="AH9" s="10" t="s">
        <v>31</v>
      </c>
      <c r="AJ9" s="10" t="s">
        <v>31</v>
      </c>
      <c r="AL9" s="4" t="s">
        <v>38</v>
      </c>
      <c r="AM9" s="8"/>
      <c r="AN9" s="8">
        <v>1.165</v>
      </c>
      <c r="AO9" s="8">
        <v>1.268</v>
      </c>
      <c r="AP9" s="8">
        <v>1.3859999999999999</v>
      </c>
      <c r="AQ9" s="8">
        <v>1.5589999999999999</v>
      </c>
      <c r="AS9" s="10" t="s">
        <v>36</v>
      </c>
      <c r="AT9" s="10" t="s">
        <v>36</v>
      </c>
      <c r="AU9" s="10" t="s">
        <v>36</v>
      </c>
      <c r="AV9" s="10" t="s">
        <v>36</v>
      </c>
      <c r="AX9" s="4" t="s">
        <v>38</v>
      </c>
      <c r="AY9" s="4">
        <v>243.5</v>
      </c>
      <c r="AZ9" s="18">
        <f t="shared" si="0"/>
        <v>-29.649999999999977</v>
      </c>
    </row>
    <row r="10" spans="2:55" ht="15" customHeight="1">
      <c r="B10" s="4" t="s">
        <v>39</v>
      </c>
      <c r="C10" s="7"/>
      <c r="D10" s="7"/>
      <c r="F10" s="7"/>
      <c r="G10" s="7"/>
      <c r="N10" s="4" t="s">
        <v>39</v>
      </c>
      <c r="Q10" s="7"/>
      <c r="R10" s="12"/>
      <c r="Z10" s="4" t="s">
        <v>39</v>
      </c>
      <c r="AA10" s="7">
        <v>25.56</v>
      </c>
      <c r="AC10" s="7">
        <v>24.66</v>
      </c>
      <c r="AD10" s="63">
        <f t="shared" si="1"/>
        <v>24.21</v>
      </c>
      <c r="AE10" s="4">
        <v>23.76</v>
      </c>
      <c r="AF10" s="10" t="s">
        <v>31</v>
      </c>
      <c r="AH10" s="10" t="s">
        <v>31</v>
      </c>
      <c r="AJ10" s="10" t="s">
        <v>31</v>
      </c>
      <c r="AL10" s="4" t="s">
        <v>39</v>
      </c>
      <c r="AM10" s="8"/>
      <c r="AN10" s="8">
        <v>0.93100000000000005</v>
      </c>
      <c r="AO10" s="8">
        <v>1.0089999999999999</v>
      </c>
      <c r="AP10" s="8">
        <v>1.1120000000000001</v>
      </c>
      <c r="AQ10" s="8">
        <v>1.248</v>
      </c>
      <c r="AS10" s="10" t="s">
        <v>36</v>
      </c>
      <c r="AT10" s="10" t="s">
        <v>36</v>
      </c>
      <c r="AU10" s="10" t="s">
        <v>36</v>
      </c>
      <c r="AV10" s="10" t="s">
        <v>36</v>
      </c>
      <c r="AX10" s="4" t="s">
        <v>39</v>
      </c>
      <c r="AY10" s="4">
        <v>247.6</v>
      </c>
      <c r="AZ10" s="18">
        <f t="shared" si="0"/>
        <v>-25.549999999999983</v>
      </c>
    </row>
    <row r="11" spans="2:55" ht="15" customHeight="1">
      <c r="B11" s="4" t="s">
        <v>40</v>
      </c>
      <c r="C11" s="7"/>
      <c r="D11" s="7"/>
      <c r="F11" s="7"/>
      <c r="G11" s="7"/>
      <c r="N11" s="4" t="s">
        <v>40</v>
      </c>
      <c r="Q11" s="7"/>
      <c r="R11" s="12">
        <v>1.3585</v>
      </c>
      <c r="W11" s="10" t="s">
        <v>33</v>
      </c>
      <c r="Z11" s="4" t="s">
        <v>40</v>
      </c>
      <c r="AA11" s="7">
        <v>26.24</v>
      </c>
      <c r="AC11" s="7">
        <v>25.35</v>
      </c>
      <c r="AD11" s="63">
        <f t="shared" si="1"/>
        <v>24.91</v>
      </c>
      <c r="AE11" s="4">
        <v>24.47</v>
      </c>
      <c r="AF11" s="10" t="s">
        <v>31</v>
      </c>
      <c r="AH11" s="10" t="s">
        <v>31</v>
      </c>
      <c r="AJ11" s="10" t="s">
        <v>31</v>
      </c>
      <c r="AL11" s="4" t="s">
        <v>40</v>
      </c>
      <c r="AM11" s="8"/>
      <c r="AN11" s="8">
        <v>0.70799999999999996</v>
      </c>
      <c r="AO11" s="8">
        <v>0.78800000000000003</v>
      </c>
      <c r="AP11" s="8">
        <v>0.871</v>
      </c>
      <c r="AQ11" s="8">
        <v>0.996</v>
      </c>
      <c r="AS11" s="10" t="s">
        <v>36</v>
      </c>
      <c r="AT11" s="10" t="s">
        <v>36</v>
      </c>
      <c r="AU11" s="10" t="s">
        <v>36</v>
      </c>
      <c r="AV11" s="10" t="s">
        <v>36</v>
      </c>
      <c r="AX11" s="4" t="s">
        <v>40</v>
      </c>
      <c r="AY11" s="4">
        <v>263.60000000000002</v>
      </c>
      <c r="AZ11" s="18">
        <f t="shared" si="0"/>
        <v>-9.5499999999999545</v>
      </c>
    </row>
    <row r="12" spans="2:55" ht="15" customHeight="1">
      <c r="B12" s="4" t="s">
        <v>41</v>
      </c>
      <c r="C12" s="7"/>
      <c r="D12" s="7"/>
      <c r="F12" s="7"/>
      <c r="G12" s="7"/>
      <c r="N12" s="4" t="s">
        <v>41</v>
      </c>
      <c r="Q12" s="7"/>
      <c r="R12" s="12"/>
      <c r="Z12" s="4" t="s">
        <v>41</v>
      </c>
      <c r="AA12" s="7">
        <v>26.86</v>
      </c>
      <c r="AC12" s="7">
        <v>25.99</v>
      </c>
      <c r="AD12" s="63">
        <f t="shared" si="1"/>
        <v>25.549999999999997</v>
      </c>
      <c r="AE12" s="4">
        <v>25.11</v>
      </c>
      <c r="AF12" s="10" t="s">
        <v>31</v>
      </c>
      <c r="AH12" s="10" t="s">
        <v>31</v>
      </c>
      <c r="AJ12" s="10" t="s">
        <v>31</v>
      </c>
      <c r="AL12" s="4" t="s">
        <v>41</v>
      </c>
      <c r="AM12" s="8"/>
      <c r="AN12" s="8">
        <v>0.56499999999999995</v>
      </c>
      <c r="AO12" s="8">
        <v>0.64</v>
      </c>
      <c r="AP12" s="8">
        <v>0.70699999999999996</v>
      </c>
      <c r="AQ12" s="8">
        <v>0.80500000000000005</v>
      </c>
      <c r="AS12" s="10" t="s">
        <v>36</v>
      </c>
      <c r="AT12" s="10" t="s">
        <v>36</v>
      </c>
      <c r="AU12" s="10" t="s">
        <v>36</v>
      </c>
      <c r="AV12" s="10" t="s">
        <v>36</v>
      </c>
      <c r="AX12" s="4" t="s">
        <v>41</v>
      </c>
      <c r="AY12" s="4">
        <v>267.8</v>
      </c>
      <c r="AZ12" s="18">
        <f t="shared" si="0"/>
        <v>-5.3499999999999659</v>
      </c>
    </row>
    <row r="13" spans="2:55" ht="15" customHeight="1">
      <c r="B13" s="4" t="s">
        <v>42</v>
      </c>
      <c r="C13" s="7"/>
      <c r="D13" s="7"/>
      <c r="F13" s="7"/>
      <c r="G13" s="7"/>
      <c r="N13" s="4" t="s">
        <v>42</v>
      </c>
      <c r="Q13" s="7"/>
      <c r="R13" s="12">
        <v>2.0779999999999998</v>
      </c>
      <c r="W13" s="10" t="s">
        <v>33</v>
      </c>
      <c r="Z13" s="4" t="s">
        <v>42</v>
      </c>
      <c r="AA13" s="7">
        <v>27.43</v>
      </c>
      <c r="AC13" s="7">
        <v>26.56</v>
      </c>
      <c r="AD13" s="63">
        <f t="shared" si="1"/>
        <v>26.125</v>
      </c>
      <c r="AE13" s="4">
        <v>25.69</v>
      </c>
      <c r="AF13" s="10" t="s">
        <v>31</v>
      </c>
      <c r="AH13" s="10" t="s">
        <v>31</v>
      </c>
      <c r="AJ13" s="10" t="s">
        <v>31</v>
      </c>
      <c r="AL13" s="4" t="s">
        <v>42</v>
      </c>
      <c r="AM13" s="8"/>
      <c r="AN13" s="8">
        <v>0.443</v>
      </c>
      <c r="AO13" s="8">
        <v>0.495</v>
      </c>
      <c r="AP13" s="8">
        <v>0.55000000000000004</v>
      </c>
      <c r="AQ13" s="8">
        <v>0.63700000000000001</v>
      </c>
      <c r="AS13" s="10" t="s">
        <v>36</v>
      </c>
      <c r="AT13" s="10" t="s">
        <v>36</v>
      </c>
      <c r="AU13" s="10" t="s">
        <v>36</v>
      </c>
      <c r="AV13" s="10" t="s">
        <v>36</v>
      </c>
      <c r="AX13" s="4" t="s">
        <v>42</v>
      </c>
      <c r="AY13" s="4">
        <v>279</v>
      </c>
      <c r="AZ13" s="18">
        <f t="shared" si="0"/>
        <v>5.8500000000000227</v>
      </c>
    </row>
    <row r="14" spans="2:55" ht="15" customHeight="1">
      <c r="B14" s="4" t="s">
        <v>43</v>
      </c>
      <c r="C14" s="7"/>
      <c r="D14" s="7"/>
      <c r="F14" s="7"/>
      <c r="G14" s="7"/>
      <c r="N14" s="4" t="s">
        <v>43</v>
      </c>
      <c r="Q14" s="7"/>
      <c r="Z14" s="4" t="s">
        <v>43</v>
      </c>
      <c r="AC14" s="7">
        <v>27.07</v>
      </c>
      <c r="AD14" s="63">
        <f t="shared" si="1"/>
        <v>26.64</v>
      </c>
      <c r="AE14" s="4">
        <v>26.21</v>
      </c>
      <c r="AH14" s="10" t="s">
        <v>31</v>
      </c>
      <c r="AJ14" s="10" t="s">
        <v>31</v>
      </c>
      <c r="AL14" s="4" t="s">
        <v>43</v>
      </c>
      <c r="AM14" s="8"/>
      <c r="AN14" s="8">
        <v>0.35699999999999998</v>
      </c>
      <c r="AO14" s="8">
        <v>0.40400000000000003</v>
      </c>
      <c r="AP14" s="8">
        <v>0.46100000000000002</v>
      </c>
      <c r="AQ14" s="8">
        <v>0.53500000000000003</v>
      </c>
      <c r="AS14" s="10" t="s">
        <v>36</v>
      </c>
      <c r="AT14" s="10" t="s">
        <v>36</v>
      </c>
      <c r="AU14" s="10" t="s">
        <v>36</v>
      </c>
      <c r="AV14" s="10" t="s">
        <v>36</v>
      </c>
      <c r="AX14" s="4" t="s">
        <v>43</v>
      </c>
      <c r="AY14" s="4">
        <v>283.10000000000002</v>
      </c>
      <c r="AZ14" s="18">
        <f t="shared" si="0"/>
        <v>9.9500000000000455</v>
      </c>
    </row>
    <row r="15" spans="2:55" ht="15" customHeight="1">
      <c r="B15" s="4" t="s">
        <v>44</v>
      </c>
      <c r="C15" s="7"/>
      <c r="D15" s="7"/>
      <c r="F15" s="7"/>
      <c r="G15" s="7"/>
      <c r="N15" s="4" t="s">
        <v>44</v>
      </c>
      <c r="Q15" s="7"/>
      <c r="Z15" s="4" t="s">
        <v>44</v>
      </c>
      <c r="AC15" s="7">
        <v>27.47</v>
      </c>
      <c r="AD15" s="63">
        <f t="shared" si="1"/>
        <v>27.045000000000002</v>
      </c>
      <c r="AE15" s="4">
        <v>26.62</v>
      </c>
      <c r="AH15" s="10" t="s">
        <v>31</v>
      </c>
      <c r="AJ15" s="10" t="s">
        <v>31</v>
      </c>
      <c r="AL15" s="4" t="s">
        <v>44</v>
      </c>
      <c r="AM15" s="8"/>
      <c r="AN15" s="16"/>
      <c r="AO15" s="8">
        <v>0.34100000000000003</v>
      </c>
      <c r="AP15" s="8">
        <v>0.38700000000000001</v>
      </c>
      <c r="AQ15" s="8">
        <v>0.44600000000000001</v>
      </c>
      <c r="AT15" s="10" t="s">
        <v>36</v>
      </c>
      <c r="AU15" s="10" t="s">
        <v>36</v>
      </c>
      <c r="AV15" s="10" t="s">
        <v>36</v>
      </c>
      <c r="AX15" s="4" t="s">
        <v>44</v>
      </c>
      <c r="AY15" s="4">
        <v>291.10000000000002</v>
      </c>
      <c r="AZ15" s="18">
        <f t="shared" si="0"/>
        <v>17.950000000000045</v>
      </c>
    </row>
    <row r="16" spans="2:55" ht="15" customHeight="1">
      <c r="Q16" s="7"/>
      <c r="AM16" s="8"/>
      <c r="AN16" s="16"/>
      <c r="AO16" s="8"/>
      <c r="AQ16" s="8"/>
    </row>
    <row r="17" spans="2:43" ht="15" customHeight="1">
      <c r="Q17" s="7"/>
      <c r="AM17" s="8"/>
      <c r="AN17" s="16"/>
      <c r="AO17" s="8"/>
      <c r="AQ17" s="8"/>
    </row>
    <row r="18" spans="2:43" ht="15" customHeight="1">
      <c r="B18" s="17" t="s">
        <v>8</v>
      </c>
      <c r="C18" s="84" t="s">
        <v>19</v>
      </c>
      <c r="D18" s="84"/>
      <c r="E18" s="84"/>
      <c r="F18" s="84"/>
      <c r="G18" s="84"/>
    </row>
    <row r="19" spans="2:43" ht="15" customHeight="1">
      <c r="B19" s="17" t="s">
        <v>23</v>
      </c>
      <c r="C19" s="4">
        <v>10</v>
      </c>
      <c r="D19" s="4">
        <v>15</v>
      </c>
      <c r="E19" s="4">
        <v>20</v>
      </c>
      <c r="F19" s="4">
        <v>25</v>
      </c>
      <c r="G19" s="4">
        <v>30</v>
      </c>
      <c r="H19" s="10">
        <v>10</v>
      </c>
      <c r="I19" s="10">
        <v>15</v>
      </c>
      <c r="J19" s="10">
        <v>20</v>
      </c>
      <c r="K19" s="10">
        <v>25</v>
      </c>
      <c r="L19" s="10">
        <v>30</v>
      </c>
    </row>
    <row r="20" spans="2:43" ht="15" customHeight="1">
      <c r="B20" s="4" t="s">
        <v>29</v>
      </c>
      <c r="C20" s="7"/>
      <c r="D20" s="7"/>
      <c r="E20" s="7">
        <v>626.20000000000005</v>
      </c>
      <c r="F20" s="7"/>
      <c r="G20" s="7"/>
      <c r="J20" s="10" t="s">
        <v>45</v>
      </c>
    </row>
    <row r="21" spans="2:43" ht="15" customHeight="1">
      <c r="B21" s="4" t="s">
        <v>32</v>
      </c>
      <c r="C21" s="7"/>
      <c r="D21" s="7"/>
      <c r="F21" s="7">
        <v>660.6</v>
      </c>
      <c r="G21" s="7"/>
      <c r="K21" s="10" t="s">
        <v>45</v>
      </c>
    </row>
    <row r="22" spans="2:43" ht="15" customHeight="1">
      <c r="B22" s="4" t="s">
        <v>34</v>
      </c>
      <c r="C22" s="7"/>
      <c r="D22" s="7"/>
      <c r="F22" s="7">
        <v>679.5</v>
      </c>
      <c r="G22" s="7"/>
      <c r="K22" s="10" t="s">
        <v>45</v>
      </c>
    </row>
    <row r="23" spans="2:43" ht="15" customHeight="1">
      <c r="B23" s="4" t="s">
        <v>35</v>
      </c>
      <c r="C23" s="7"/>
      <c r="D23" s="7"/>
      <c r="F23" s="7">
        <v>698.6</v>
      </c>
      <c r="G23" s="7"/>
      <c r="K23" s="10" t="s">
        <v>45</v>
      </c>
    </row>
    <row r="24" spans="2:43" ht="15" customHeight="1">
      <c r="B24" s="4" t="s">
        <v>37</v>
      </c>
      <c r="C24" s="7"/>
      <c r="D24" s="7"/>
      <c r="E24" s="7">
        <v>719.2</v>
      </c>
      <c r="F24" s="7"/>
      <c r="G24" s="7"/>
      <c r="J24" s="10" t="s">
        <v>45</v>
      </c>
    </row>
    <row r="25" spans="2:43" ht="15" customHeight="1">
      <c r="B25" s="4" t="s">
        <v>38</v>
      </c>
      <c r="C25" s="7"/>
      <c r="D25" s="7"/>
      <c r="F25" s="7">
        <v>726.6</v>
      </c>
      <c r="G25" s="7"/>
      <c r="K25" s="10" t="s">
        <v>45</v>
      </c>
    </row>
    <row r="26" spans="2:43" ht="15" customHeight="1">
      <c r="B26" s="4" t="s">
        <v>39</v>
      </c>
      <c r="C26" s="7"/>
      <c r="D26" s="7"/>
      <c r="E26" s="7">
        <v>740.2</v>
      </c>
      <c r="F26" s="7"/>
      <c r="G26" s="7"/>
      <c r="J26" s="10" t="s">
        <v>45</v>
      </c>
    </row>
    <row r="27" spans="2:43" ht="15" customHeight="1">
      <c r="B27" s="4" t="s">
        <v>40</v>
      </c>
      <c r="C27" s="7"/>
      <c r="D27" s="7"/>
      <c r="E27" s="7">
        <v>749.5</v>
      </c>
      <c r="F27" s="7"/>
      <c r="G27" s="7"/>
      <c r="J27" s="10" t="s">
        <v>45</v>
      </c>
    </row>
    <row r="28" spans="2:43" ht="15" customHeight="1">
      <c r="B28" s="4" t="s">
        <v>41</v>
      </c>
      <c r="C28" s="7"/>
      <c r="D28" s="7"/>
      <c r="E28" s="7">
        <v>756.4</v>
      </c>
      <c r="F28" s="7"/>
      <c r="G28" s="7"/>
      <c r="J28" s="10" t="s">
        <v>45</v>
      </c>
    </row>
    <row r="29" spans="2:43" ht="15" customHeight="1">
      <c r="B29" s="4" t="s">
        <v>42</v>
      </c>
      <c r="C29" s="7"/>
      <c r="D29" s="7"/>
      <c r="E29" s="7">
        <v>759.6</v>
      </c>
      <c r="F29" s="7"/>
      <c r="G29" s="7"/>
      <c r="J29" s="10" t="s">
        <v>45</v>
      </c>
    </row>
    <row r="30" spans="2:43" ht="15" customHeight="1">
      <c r="B30" s="4" t="s">
        <v>43</v>
      </c>
      <c r="C30" s="7"/>
      <c r="D30" s="7"/>
      <c r="E30" s="7">
        <v>768.5</v>
      </c>
      <c r="F30" s="7"/>
      <c r="G30" s="7"/>
      <c r="J30" s="10" t="s">
        <v>45</v>
      </c>
    </row>
    <row r="31" spans="2:43" ht="15" customHeight="1">
      <c r="B31" s="4" t="s">
        <v>44</v>
      </c>
      <c r="C31" s="7"/>
      <c r="D31" s="7"/>
      <c r="F31" s="7">
        <v>770.1</v>
      </c>
      <c r="G31" s="7"/>
      <c r="K31" s="10" t="s">
        <v>45</v>
      </c>
    </row>
    <row r="33" spans="6:14" ht="15" customHeight="1">
      <c r="F33" s="5"/>
    </row>
    <row r="46" spans="6:14" ht="15" customHeight="1">
      <c r="N46" s="17"/>
    </row>
  </sheetData>
  <mergeCells count="7">
    <mergeCell ref="C18:G18"/>
    <mergeCell ref="H2:L2"/>
    <mergeCell ref="AY2:AZ2"/>
    <mergeCell ref="C2:G2"/>
    <mergeCell ref="O2:S2"/>
    <mergeCell ref="AA2:AE2"/>
    <mergeCell ref="AM2:AQ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C32"/>
  <sheetViews>
    <sheetView workbookViewId="0">
      <selection activeCell="C42" sqref="C42"/>
    </sheetView>
  </sheetViews>
  <sheetFormatPr defaultColWidth="8.875" defaultRowHeight="15.75"/>
  <cols>
    <col min="3" max="3" width="187.125" customWidth="1"/>
  </cols>
  <sheetData>
    <row r="2" spans="2:3">
      <c r="B2" s="3"/>
      <c r="C2" s="9" t="s">
        <v>58</v>
      </c>
    </row>
    <row r="3" spans="2:3">
      <c r="B3" s="3">
        <v>1</v>
      </c>
      <c r="C3" s="9" t="s">
        <v>59</v>
      </c>
    </row>
    <row r="4" spans="2:3">
      <c r="B4" s="3">
        <v>2</v>
      </c>
      <c r="C4" s="9" t="s">
        <v>60</v>
      </c>
    </row>
    <row r="5" spans="2:3">
      <c r="B5" s="3">
        <v>3</v>
      </c>
      <c r="C5" s="9" t="s">
        <v>61</v>
      </c>
    </row>
    <row r="6" spans="2:3">
      <c r="B6" s="3">
        <v>4</v>
      </c>
      <c r="C6" s="9" t="s">
        <v>62</v>
      </c>
    </row>
    <row r="7" spans="2:3">
      <c r="B7" s="3">
        <v>5</v>
      </c>
      <c r="C7" s="9" t="s">
        <v>63</v>
      </c>
    </row>
    <row r="8" spans="2:3">
      <c r="B8" s="3">
        <v>6</v>
      </c>
      <c r="C8" s="9"/>
    </row>
    <row r="9" spans="2:3">
      <c r="B9" s="3">
        <v>7</v>
      </c>
      <c r="C9" s="9"/>
    </row>
    <row r="10" spans="2:3">
      <c r="B10" s="3">
        <v>8</v>
      </c>
      <c r="C10" s="9"/>
    </row>
    <row r="11" spans="2:3">
      <c r="B11" s="3">
        <v>9</v>
      </c>
      <c r="C11" s="9"/>
    </row>
    <row r="12" spans="2:3">
      <c r="B12" s="3">
        <v>10</v>
      </c>
      <c r="C12" s="9"/>
    </row>
    <row r="13" spans="2:3">
      <c r="B13" s="3">
        <v>11</v>
      </c>
      <c r="C13" s="9"/>
    </row>
    <row r="14" spans="2:3">
      <c r="B14" s="3">
        <v>12</v>
      </c>
      <c r="C14" s="9"/>
    </row>
    <row r="15" spans="2:3">
      <c r="B15" s="3">
        <v>13</v>
      </c>
      <c r="C15" s="9"/>
    </row>
    <row r="16" spans="2:3">
      <c r="B16" s="3">
        <v>14</v>
      </c>
      <c r="C16" s="9"/>
    </row>
    <row r="17" spans="2:3">
      <c r="B17" s="3">
        <v>15</v>
      </c>
      <c r="C17" s="9"/>
    </row>
    <row r="18" spans="2:3">
      <c r="B18" s="3">
        <v>16</v>
      </c>
      <c r="C18" s="9"/>
    </row>
    <row r="19" spans="2:3">
      <c r="B19" s="3">
        <v>17</v>
      </c>
      <c r="C19" s="9"/>
    </row>
    <row r="20" spans="2:3">
      <c r="B20" s="3">
        <v>18</v>
      </c>
      <c r="C20" s="9"/>
    </row>
    <row r="21" spans="2:3">
      <c r="B21" s="3">
        <v>19</v>
      </c>
      <c r="C21" s="9"/>
    </row>
    <row r="22" spans="2:3">
      <c r="B22" s="3">
        <v>20</v>
      </c>
      <c r="C22" s="9"/>
    </row>
    <row r="23" spans="2:3">
      <c r="B23" s="3">
        <v>21</v>
      </c>
      <c r="C23" s="9"/>
    </row>
    <row r="24" spans="2:3">
      <c r="B24" s="3">
        <v>22</v>
      </c>
      <c r="C24" s="9"/>
    </row>
    <row r="25" spans="2:3">
      <c r="B25" s="3">
        <v>23</v>
      </c>
      <c r="C25" s="9"/>
    </row>
    <row r="26" spans="2:3">
      <c r="B26" s="3">
        <v>24</v>
      </c>
      <c r="C26" s="9"/>
    </row>
    <row r="27" spans="2:3">
      <c r="B27" s="3">
        <v>25</v>
      </c>
      <c r="C27" s="9"/>
    </row>
    <row r="28" spans="2:3">
      <c r="B28" s="3">
        <v>26</v>
      </c>
      <c r="C28" s="9"/>
    </row>
    <row r="29" spans="2:3">
      <c r="B29" s="3">
        <v>27</v>
      </c>
      <c r="C29" s="9"/>
    </row>
    <row r="30" spans="2:3">
      <c r="B30" s="3">
        <v>28</v>
      </c>
      <c r="C30" s="9"/>
    </row>
    <row r="31" spans="2:3">
      <c r="B31" s="3">
        <v>29</v>
      </c>
      <c r="C31" s="9"/>
    </row>
    <row r="32" spans="2:3">
      <c r="B32" s="3">
        <v>30</v>
      </c>
      <c r="C32"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4" customFormat="1" ht="15" customHeight="1">
      <c r="B3" s="4" t="s">
        <v>46</v>
      </c>
      <c r="C3" s="6"/>
      <c r="D3" s="6"/>
      <c r="E3" s="6"/>
      <c r="F3" s="6"/>
      <c r="G3" s="6"/>
      <c r="H3" s="10"/>
      <c r="I3" s="10"/>
      <c r="J3" s="10"/>
      <c r="K3" s="10"/>
      <c r="L3" s="10"/>
      <c r="T3" s="10"/>
      <c r="U3" s="10"/>
      <c r="V3" s="10"/>
      <c r="W3" s="10"/>
      <c r="X3" s="10"/>
      <c r="AC3" s="7"/>
      <c r="AD3" s="8"/>
      <c r="AF3" s="10"/>
      <c r="AG3" s="10"/>
      <c r="AH3" s="10"/>
      <c r="AI3" s="10"/>
      <c r="AJ3" s="10"/>
      <c r="AN3" s="12"/>
      <c r="AP3" s="8"/>
      <c r="AR3" s="10"/>
      <c r="AS3" s="10"/>
      <c r="AT3" s="10"/>
      <c r="AU3" s="10"/>
      <c r="AV3" s="10"/>
      <c r="BB3" s="8"/>
      <c r="BD3" s="10"/>
      <c r="BE3" s="10"/>
      <c r="BF3" s="10"/>
      <c r="BG3" s="10"/>
      <c r="BH3" s="10"/>
    </row>
    <row r="4" spans="2:60" s="4" customFormat="1" ht="15" customHeight="1">
      <c r="D4" s="4" t="s">
        <v>47</v>
      </c>
      <c r="E4" s="7" t="s">
        <v>48</v>
      </c>
      <c r="F4" s="4" t="s">
        <v>49</v>
      </c>
      <c r="H4" s="85" t="s">
        <v>20</v>
      </c>
      <c r="I4" s="85"/>
      <c r="J4" s="85"/>
      <c r="K4" s="85"/>
      <c r="L4" s="85"/>
      <c r="O4" s="6"/>
      <c r="P4" s="6"/>
      <c r="Q4" s="6"/>
      <c r="R4" s="6"/>
      <c r="S4" s="6"/>
      <c r="T4" s="85" t="s">
        <v>20</v>
      </c>
      <c r="U4" s="85"/>
      <c r="V4" s="85"/>
      <c r="W4" s="85"/>
      <c r="X4" s="85"/>
      <c r="AC4" s="7"/>
      <c r="AD4" s="8"/>
      <c r="AF4" s="85" t="s">
        <v>20</v>
      </c>
      <c r="AG4" s="85"/>
      <c r="AH4" s="85"/>
      <c r="AI4" s="85"/>
      <c r="AJ4" s="85"/>
      <c r="AN4" s="12"/>
      <c r="AP4" s="8"/>
      <c r="AR4" s="85" t="s">
        <v>20</v>
      </c>
      <c r="AS4" s="85"/>
      <c r="AT4" s="85"/>
      <c r="AU4" s="85"/>
      <c r="AV4" s="85"/>
      <c r="BB4" s="8"/>
      <c r="BD4" s="85" t="s">
        <v>20</v>
      </c>
      <c r="BE4" s="85"/>
      <c r="BF4" s="85"/>
      <c r="BG4" s="85"/>
      <c r="BH4" s="85"/>
    </row>
    <row r="5" spans="2:60" s="4" customFormat="1" ht="15" customHeight="1">
      <c r="B5" s="17" t="s">
        <v>50</v>
      </c>
      <c r="C5" s="4" t="s">
        <v>23</v>
      </c>
      <c r="D5" s="4" t="s">
        <v>24</v>
      </c>
      <c r="E5" s="7" t="s">
        <v>25</v>
      </c>
      <c r="F5" s="4" t="s">
        <v>26</v>
      </c>
      <c r="G5" s="4" t="s">
        <v>51</v>
      </c>
      <c r="H5" s="10" t="s">
        <v>23</v>
      </c>
      <c r="I5" s="10" t="s">
        <v>24</v>
      </c>
      <c r="J5" s="11" t="s">
        <v>25</v>
      </c>
      <c r="K5" s="10" t="s">
        <v>26</v>
      </c>
      <c r="L5" s="10" t="s">
        <v>52</v>
      </c>
      <c r="N5" s="17" t="s">
        <v>53</v>
      </c>
      <c r="O5" s="4" t="s">
        <v>23</v>
      </c>
      <c r="P5" s="4" t="s">
        <v>24</v>
      </c>
      <c r="Q5" s="4" t="s">
        <v>25</v>
      </c>
      <c r="R5" s="4" t="s">
        <v>26</v>
      </c>
      <c r="S5" s="4" t="s">
        <v>51</v>
      </c>
      <c r="T5" s="10" t="s">
        <v>23</v>
      </c>
      <c r="U5" s="10" t="s">
        <v>24</v>
      </c>
      <c r="V5" s="11" t="s">
        <v>25</v>
      </c>
      <c r="W5" s="10" t="s">
        <v>26</v>
      </c>
      <c r="X5" s="10" t="s">
        <v>52</v>
      </c>
      <c r="Z5" s="17" t="s">
        <v>54</v>
      </c>
      <c r="AA5" s="4" t="s">
        <v>23</v>
      </c>
      <c r="AB5" s="4" t="s">
        <v>24</v>
      </c>
      <c r="AC5" s="7" t="s">
        <v>25</v>
      </c>
      <c r="AD5" s="8" t="s">
        <v>26</v>
      </c>
      <c r="AE5" s="4" t="s">
        <v>51</v>
      </c>
      <c r="AF5" s="10" t="s">
        <v>23</v>
      </c>
      <c r="AG5" s="10" t="s">
        <v>24</v>
      </c>
      <c r="AH5" s="11" t="s">
        <v>25</v>
      </c>
      <c r="AI5" s="10" t="s">
        <v>26</v>
      </c>
      <c r="AJ5" s="10" t="s">
        <v>52</v>
      </c>
      <c r="AL5" s="17" t="s">
        <v>55</v>
      </c>
      <c r="AM5" s="4" t="s">
        <v>23</v>
      </c>
      <c r="AN5" s="12" t="s">
        <v>24</v>
      </c>
      <c r="AO5" s="4" t="s">
        <v>25</v>
      </c>
      <c r="AP5" s="8" t="s">
        <v>26</v>
      </c>
      <c r="AQ5" s="4" t="s">
        <v>51</v>
      </c>
      <c r="AR5" s="10" t="s">
        <v>23</v>
      </c>
      <c r="AS5" s="10" t="s">
        <v>24</v>
      </c>
      <c r="AT5" s="11" t="s">
        <v>25</v>
      </c>
      <c r="AU5" s="10" t="s">
        <v>26</v>
      </c>
      <c r="AV5" s="10" t="s">
        <v>52</v>
      </c>
      <c r="AX5" s="17" t="s">
        <v>56</v>
      </c>
      <c r="AY5" s="4" t="s">
        <v>23</v>
      </c>
      <c r="AZ5" s="4" t="s">
        <v>24</v>
      </c>
      <c r="BA5" s="4" t="s">
        <v>25</v>
      </c>
      <c r="BB5" s="8" t="s">
        <v>26</v>
      </c>
      <c r="BC5" s="4" t="s">
        <v>51</v>
      </c>
      <c r="BD5" s="10" t="s">
        <v>23</v>
      </c>
      <c r="BE5" s="10" t="s">
        <v>24</v>
      </c>
      <c r="BF5" s="11" t="s">
        <v>25</v>
      </c>
      <c r="BG5" s="10" t="s">
        <v>26</v>
      </c>
      <c r="BH5" s="10" t="s">
        <v>52</v>
      </c>
    </row>
    <row r="6" spans="2:60" s="4" customFormat="1" ht="15" customHeight="1">
      <c r="B6" s="4" t="s">
        <v>29</v>
      </c>
      <c r="E6" s="7">
        <v>17.149999999999999</v>
      </c>
      <c r="H6" s="10"/>
      <c r="I6" s="10"/>
      <c r="J6" s="10" t="s">
        <v>31</v>
      </c>
      <c r="K6" s="10"/>
      <c r="L6" s="10"/>
      <c r="N6" s="4" t="s">
        <v>29</v>
      </c>
      <c r="T6" s="10"/>
      <c r="U6" s="10"/>
      <c r="V6" s="10"/>
      <c r="W6" s="10"/>
      <c r="X6" s="10"/>
      <c r="Z6" s="4" t="s">
        <v>29</v>
      </c>
      <c r="AC6" s="7">
        <v>16.05</v>
      </c>
      <c r="AD6" s="8"/>
      <c r="AF6" s="10"/>
      <c r="AG6" s="10"/>
      <c r="AH6" s="10" t="s">
        <v>31</v>
      </c>
      <c r="AI6" s="10"/>
      <c r="AJ6" s="10"/>
      <c r="AL6" s="4" t="s">
        <v>29</v>
      </c>
      <c r="AN6" s="12"/>
      <c r="AP6" s="8"/>
      <c r="AR6" s="10"/>
      <c r="AS6" s="10"/>
      <c r="AT6" s="10"/>
      <c r="AU6" s="10"/>
      <c r="AV6" s="10"/>
      <c r="AX6" s="4" t="s">
        <v>29</v>
      </c>
      <c r="BA6" s="4">
        <v>14.94</v>
      </c>
      <c r="BB6" s="8"/>
      <c r="BD6" s="10"/>
      <c r="BE6" s="10"/>
      <c r="BF6" s="10" t="s">
        <v>31</v>
      </c>
      <c r="BG6" s="10"/>
      <c r="BH6" s="10"/>
    </row>
    <row r="7" spans="2:60" s="4" customFormat="1" ht="15" customHeight="1">
      <c r="B7" s="4" t="s">
        <v>32</v>
      </c>
      <c r="E7" s="7">
        <v>19.420000000000002</v>
      </c>
      <c r="H7" s="10"/>
      <c r="I7" s="10"/>
      <c r="J7" s="10" t="s">
        <v>31</v>
      </c>
      <c r="K7" s="10"/>
      <c r="L7" s="10"/>
      <c r="N7" s="4" t="s">
        <v>32</v>
      </c>
      <c r="T7" s="10"/>
      <c r="U7" s="10"/>
      <c r="V7" s="10"/>
      <c r="W7" s="10"/>
      <c r="X7" s="10"/>
      <c r="Z7" s="4" t="s">
        <v>32</v>
      </c>
      <c r="AC7" s="7">
        <v>18.399999999999999</v>
      </c>
      <c r="AD7" s="8"/>
      <c r="AF7" s="10"/>
      <c r="AG7" s="10"/>
      <c r="AH7" s="10" t="s">
        <v>31</v>
      </c>
      <c r="AI7" s="10"/>
      <c r="AJ7" s="10"/>
      <c r="AL7" s="4" t="s">
        <v>32</v>
      </c>
      <c r="AN7" s="12">
        <v>0.2949</v>
      </c>
      <c r="AP7" s="8"/>
      <c r="AR7" s="10"/>
      <c r="AS7" s="10" t="s">
        <v>33</v>
      </c>
      <c r="AT7" s="10"/>
      <c r="AU7" s="10"/>
      <c r="AV7" s="10"/>
      <c r="AX7" s="4" t="s">
        <v>32</v>
      </c>
      <c r="BA7" s="4">
        <v>17.38</v>
      </c>
      <c r="BB7" s="8"/>
      <c r="BD7" s="10"/>
      <c r="BE7" s="10"/>
      <c r="BF7" s="10" t="s">
        <v>31</v>
      </c>
      <c r="BG7" s="10"/>
      <c r="BH7" s="10"/>
    </row>
    <row r="8" spans="2:60" s="4" customFormat="1" ht="15" customHeight="1">
      <c r="B8" s="4" t="s">
        <v>34</v>
      </c>
      <c r="E8" s="7">
        <v>21.12</v>
      </c>
      <c r="H8" s="10"/>
      <c r="I8" s="10"/>
      <c r="J8" s="10" t="s">
        <v>31</v>
      </c>
      <c r="K8" s="10"/>
      <c r="L8" s="10"/>
      <c r="N8" s="4" t="s">
        <v>34</v>
      </c>
      <c r="T8" s="10"/>
      <c r="U8" s="10"/>
      <c r="V8" s="10"/>
      <c r="W8" s="10"/>
      <c r="X8" s="10"/>
      <c r="Z8" s="4" t="s">
        <v>34</v>
      </c>
      <c r="AC8" s="7">
        <v>20.14</v>
      </c>
      <c r="AD8" s="8"/>
      <c r="AF8" s="10"/>
      <c r="AG8" s="10"/>
      <c r="AH8" s="10" t="s">
        <v>31</v>
      </c>
      <c r="AI8" s="10"/>
      <c r="AJ8" s="10"/>
      <c r="AL8" s="4" t="s">
        <v>34</v>
      </c>
      <c r="AN8" s="12">
        <v>0.38900000000000001</v>
      </c>
      <c r="AP8" s="8"/>
      <c r="AR8" s="10"/>
      <c r="AS8" s="10" t="s">
        <v>33</v>
      </c>
      <c r="AT8" s="10"/>
      <c r="AU8" s="10"/>
      <c r="AV8" s="10"/>
      <c r="AX8" s="4" t="s">
        <v>34</v>
      </c>
      <c r="BA8" s="4">
        <v>19.170000000000002</v>
      </c>
      <c r="BB8" s="8"/>
      <c r="BD8" s="10"/>
      <c r="BE8" s="10"/>
      <c r="BF8" s="10" t="s">
        <v>31</v>
      </c>
      <c r="BG8" s="10"/>
      <c r="BH8" s="10"/>
    </row>
    <row r="9" spans="2:60" s="4" customFormat="1" ht="15" customHeight="1">
      <c r="B9" s="4" t="s">
        <v>35</v>
      </c>
      <c r="E9" s="7">
        <v>22.57</v>
      </c>
      <c r="H9" s="10"/>
      <c r="I9" s="10"/>
      <c r="J9" s="10" t="s">
        <v>31</v>
      </c>
      <c r="K9" s="10"/>
      <c r="L9" s="10"/>
      <c r="N9" s="4" t="s">
        <v>35</v>
      </c>
      <c r="T9" s="10"/>
      <c r="U9" s="10"/>
      <c r="V9" s="10"/>
      <c r="W9" s="10"/>
      <c r="X9" s="10"/>
      <c r="Z9" s="4" t="s">
        <v>35</v>
      </c>
      <c r="AC9" s="7">
        <v>21.62</v>
      </c>
      <c r="AD9" s="8"/>
      <c r="AF9" s="10"/>
      <c r="AG9" s="10"/>
      <c r="AH9" s="10" t="s">
        <v>31</v>
      </c>
      <c r="AI9" s="10"/>
      <c r="AJ9" s="10"/>
      <c r="AL9" s="4" t="s">
        <v>35</v>
      </c>
      <c r="AN9" s="12">
        <v>0.50919999999999999</v>
      </c>
      <c r="AP9" s="8"/>
      <c r="AR9" s="10"/>
      <c r="AS9" s="10" t="s">
        <v>33</v>
      </c>
      <c r="AT9" s="10"/>
      <c r="AU9" s="10"/>
      <c r="AV9" s="10"/>
      <c r="AX9" s="4" t="s">
        <v>35</v>
      </c>
      <c r="BA9" s="4">
        <v>20.67</v>
      </c>
      <c r="BB9" s="8"/>
      <c r="BD9" s="10"/>
      <c r="BE9" s="10"/>
      <c r="BF9" s="10" t="s">
        <v>31</v>
      </c>
      <c r="BG9" s="10"/>
      <c r="BH9" s="10"/>
    </row>
    <row r="10" spans="2:60" s="4" customFormat="1" ht="15" customHeight="1">
      <c r="B10" s="4" t="s">
        <v>37</v>
      </c>
      <c r="E10" s="7">
        <v>23.79</v>
      </c>
      <c r="H10" s="10"/>
      <c r="I10" s="10"/>
      <c r="J10" s="10" t="s">
        <v>31</v>
      </c>
      <c r="K10" s="10"/>
      <c r="L10" s="10"/>
      <c r="N10" s="4" t="s">
        <v>37</v>
      </c>
      <c r="T10" s="10"/>
      <c r="U10" s="10"/>
      <c r="V10" s="10"/>
      <c r="W10" s="10"/>
      <c r="X10" s="10"/>
      <c r="Z10" s="4" t="s">
        <v>37</v>
      </c>
      <c r="AC10" s="7">
        <v>22.85</v>
      </c>
      <c r="AD10" s="8"/>
      <c r="AF10" s="10"/>
      <c r="AG10" s="10"/>
      <c r="AH10" s="10" t="s">
        <v>31</v>
      </c>
      <c r="AI10" s="10"/>
      <c r="AJ10" s="10"/>
      <c r="AL10" s="4" t="s">
        <v>37</v>
      </c>
      <c r="AN10" s="12"/>
      <c r="AP10" s="8"/>
      <c r="AR10" s="10"/>
      <c r="AS10" s="10"/>
      <c r="AT10" s="10"/>
      <c r="AU10" s="10"/>
      <c r="AV10" s="10"/>
      <c r="AX10" s="4" t="s">
        <v>37</v>
      </c>
      <c r="BA10" s="4">
        <v>21.92</v>
      </c>
      <c r="BB10" s="8"/>
      <c r="BD10" s="10"/>
      <c r="BE10" s="10"/>
      <c r="BF10" s="10" t="s">
        <v>31</v>
      </c>
      <c r="BG10" s="10"/>
      <c r="BH10" s="10"/>
    </row>
    <row r="11" spans="2:60" s="4" customFormat="1" ht="15" customHeight="1">
      <c r="B11" s="4" t="s">
        <v>38</v>
      </c>
      <c r="E11" s="7">
        <v>24.75</v>
      </c>
      <c r="H11" s="10"/>
      <c r="I11" s="10"/>
      <c r="J11" s="10" t="s">
        <v>31</v>
      </c>
      <c r="K11" s="10"/>
      <c r="L11" s="10"/>
      <c r="N11" s="4" t="s">
        <v>38</v>
      </c>
      <c r="R11" s="4">
        <v>1.165</v>
      </c>
      <c r="T11" s="10"/>
      <c r="U11" s="10"/>
      <c r="V11" s="10"/>
      <c r="W11" s="10" t="s">
        <v>36</v>
      </c>
      <c r="X11" s="10"/>
      <c r="Z11" s="4" t="s">
        <v>38</v>
      </c>
      <c r="AC11" s="7">
        <v>23.83</v>
      </c>
      <c r="AD11" s="8">
        <v>1.268</v>
      </c>
      <c r="AF11" s="10"/>
      <c r="AG11" s="10"/>
      <c r="AH11" s="10" t="s">
        <v>31</v>
      </c>
      <c r="AI11" s="10" t="s">
        <v>36</v>
      </c>
      <c r="AJ11" s="10"/>
      <c r="AL11" s="4" t="s">
        <v>38</v>
      </c>
      <c r="AN11" s="12">
        <v>0.8498</v>
      </c>
      <c r="AP11" s="8">
        <v>1.3859999999999999</v>
      </c>
      <c r="AR11" s="10"/>
      <c r="AS11" s="10" t="s">
        <v>33</v>
      </c>
      <c r="AT11" s="10"/>
      <c r="AU11" s="10" t="s">
        <v>36</v>
      </c>
      <c r="AV11" s="10"/>
      <c r="AX11" s="4" t="s">
        <v>38</v>
      </c>
      <c r="BA11" s="4">
        <v>22.91</v>
      </c>
      <c r="BB11" s="8">
        <v>1.5589999999999999</v>
      </c>
      <c r="BD11" s="10"/>
      <c r="BE11" s="10"/>
      <c r="BF11" s="10" t="s">
        <v>31</v>
      </c>
      <c r="BG11" s="10" t="s">
        <v>36</v>
      </c>
      <c r="BH11" s="10"/>
    </row>
    <row r="12" spans="2:60" s="4" customFormat="1" ht="15" customHeight="1">
      <c r="B12" s="4" t="s">
        <v>39</v>
      </c>
      <c r="E12" s="7">
        <v>25.56</v>
      </c>
      <c r="H12" s="10"/>
      <c r="I12" s="10"/>
      <c r="J12" s="10" t="s">
        <v>31</v>
      </c>
      <c r="K12" s="10"/>
      <c r="L12" s="10"/>
      <c r="N12" s="4" t="s">
        <v>39</v>
      </c>
      <c r="R12" s="4">
        <v>0.93100000000000005</v>
      </c>
      <c r="T12" s="10"/>
      <c r="U12" s="10"/>
      <c r="V12" s="10"/>
      <c r="W12" s="10" t="s">
        <v>36</v>
      </c>
      <c r="X12" s="10"/>
      <c r="Z12" s="4" t="s">
        <v>39</v>
      </c>
      <c r="AC12" s="7">
        <v>24.66</v>
      </c>
      <c r="AD12" s="8">
        <v>1.0089999999999999</v>
      </c>
      <c r="AF12" s="10"/>
      <c r="AG12" s="10"/>
      <c r="AH12" s="10" t="s">
        <v>31</v>
      </c>
      <c r="AI12" s="10" t="s">
        <v>36</v>
      </c>
      <c r="AJ12" s="10"/>
      <c r="AL12" s="4" t="s">
        <v>39</v>
      </c>
      <c r="AN12" s="12"/>
      <c r="AP12" s="8">
        <v>1.1120000000000001</v>
      </c>
      <c r="AR12" s="10"/>
      <c r="AS12" s="10"/>
      <c r="AT12" s="10"/>
      <c r="AU12" s="10" t="s">
        <v>36</v>
      </c>
      <c r="AV12" s="10"/>
      <c r="AX12" s="4" t="s">
        <v>39</v>
      </c>
      <c r="BA12" s="4">
        <v>23.76</v>
      </c>
      <c r="BB12" s="8">
        <v>1.248</v>
      </c>
      <c r="BD12" s="10"/>
      <c r="BE12" s="10"/>
      <c r="BF12" s="10" t="s">
        <v>31</v>
      </c>
      <c r="BG12" s="10" t="s">
        <v>36</v>
      </c>
      <c r="BH12" s="10"/>
    </row>
    <row r="13" spans="2:60" s="4" customFormat="1" ht="15" customHeight="1">
      <c r="B13" s="4" t="s">
        <v>40</v>
      </c>
      <c r="E13" s="7">
        <v>26.24</v>
      </c>
      <c r="H13" s="10"/>
      <c r="I13" s="10"/>
      <c r="J13" s="10" t="s">
        <v>31</v>
      </c>
      <c r="K13" s="10"/>
      <c r="L13" s="10"/>
      <c r="N13" s="4" t="s">
        <v>40</v>
      </c>
      <c r="R13" s="4">
        <v>0.70799999999999996</v>
      </c>
      <c r="T13" s="10"/>
      <c r="U13" s="10"/>
      <c r="V13" s="10"/>
      <c r="W13" s="10" t="s">
        <v>36</v>
      </c>
      <c r="X13" s="10"/>
      <c r="Z13" s="4" t="s">
        <v>40</v>
      </c>
      <c r="AC13" s="7">
        <v>25.35</v>
      </c>
      <c r="AD13" s="8">
        <v>0.78800000000000003</v>
      </c>
      <c r="AF13" s="10"/>
      <c r="AG13" s="10"/>
      <c r="AH13" s="10" t="s">
        <v>31</v>
      </c>
      <c r="AI13" s="10" t="s">
        <v>36</v>
      </c>
      <c r="AJ13" s="10"/>
      <c r="AL13" s="4" t="s">
        <v>40</v>
      </c>
      <c r="AN13" s="12">
        <v>1.3585</v>
      </c>
      <c r="AP13" s="8">
        <v>0.871</v>
      </c>
      <c r="AR13" s="10"/>
      <c r="AS13" s="10" t="s">
        <v>33</v>
      </c>
      <c r="AT13" s="10"/>
      <c r="AU13" s="10" t="s">
        <v>36</v>
      </c>
      <c r="AV13" s="10"/>
      <c r="AX13" s="4" t="s">
        <v>40</v>
      </c>
      <c r="BA13" s="4">
        <v>24.47</v>
      </c>
      <c r="BB13" s="8">
        <v>0.996</v>
      </c>
      <c r="BD13" s="10"/>
      <c r="BE13" s="10"/>
      <c r="BF13" s="10" t="s">
        <v>31</v>
      </c>
      <c r="BG13" s="10" t="s">
        <v>36</v>
      </c>
      <c r="BH13" s="10"/>
    </row>
    <row r="14" spans="2:60" s="4" customFormat="1" ht="15" customHeight="1">
      <c r="B14" s="4" t="s">
        <v>41</v>
      </c>
      <c r="E14" s="7">
        <v>26.86</v>
      </c>
      <c r="H14" s="10"/>
      <c r="I14" s="10"/>
      <c r="J14" s="10" t="s">
        <v>31</v>
      </c>
      <c r="K14" s="10"/>
      <c r="L14" s="10"/>
      <c r="N14" s="4" t="s">
        <v>41</v>
      </c>
      <c r="R14" s="4">
        <v>0.56499999999999995</v>
      </c>
      <c r="T14" s="10"/>
      <c r="U14" s="10"/>
      <c r="V14" s="10"/>
      <c r="W14" s="10" t="s">
        <v>36</v>
      </c>
      <c r="X14" s="10"/>
      <c r="Z14" s="4" t="s">
        <v>41</v>
      </c>
      <c r="AC14" s="7">
        <v>25.99</v>
      </c>
      <c r="AD14" s="8">
        <v>0.64</v>
      </c>
      <c r="AF14" s="10"/>
      <c r="AG14" s="10"/>
      <c r="AH14" s="10" t="s">
        <v>31</v>
      </c>
      <c r="AI14" s="10" t="s">
        <v>36</v>
      </c>
      <c r="AJ14" s="10"/>
      <c r="AL14" s="4" t="s">
        <v>41</v>
      </c>
      <c r="AN14" s="12"/>
      <c r="AP14" s="8">
        <v>0.70699999999999996</v>
      </c>
      <c r="AR14" s="10"/>
      <c r="AS14" s="10"/>
      <c r="AT14" s="10"/>
      <c r="AU14" s="10" t="s">
        <v>36</v>
      </c>
      <c r="AV14" s="10"/>
      <c r="AX14" s="4" t="s">
        <v>41</v>
      </c>
      <c r="BA14" s="4">
        <v>25.11</v>
      </c>
      <c r="BB14" s="8">
        <v>0.80500000000000005</v>
      </c>
      <c r="BD14" s="10"/>
      <c r="BE14" s="10"/>
      <c r="BF14" s="10" t="s">
        <v>31</v>
      </c>
      <c r="BG14" s="10" t="s">
        <v>36</v>
      </c>
      <c r="BH14" s="10"/>
    </row>
    <row r="15" spans="2:60" s="4" customFormat="1" ht="15" customHeight="1">
      <c r="B15" s="4" t="s">
        <v>42</v>
      </c>
      <c r="E15" s="7">
        <v>27.43</v>
      </c>
      <c r="H15" s="10"/>
      <c r="I15" s="10"/>
      <c r="J15" s="10" t="s">
        <v>31</v>
      </c>
      <c r="K15" s="10"/>
      <c r="L15" s="10"/>
      <c r="N15" s="4" t="s">
        <v>42</v>
      </c>
      <c r="R15" s="4">
        <v>0.443</v>
      </c>
      <c r="T15" s="10"/>
      <c r="U15" s="10"/>
      <c r="V15" s="10"/>
      <c r="W15" s="10" t="s">
        <v>36</v>
      </c>
      <c r="X15" s="10"/>
      <c r="Z15" s="4" t="s">
        <v>42</v>
      </c>
      <c r="AC15" s="7">
        <v>26.56</v>
      </c>
      <c r="AD15" s="8">
        <v>0.495</v>
      </c>
      <c r="AF15" s="10"/>
      <c r="AG15" s="10"/>
      <c r="AH15" s="10" t="s">
        <v>31</v>
      </c>
      <c r="AI15" s="10" t="s">
        <v>36</v>
      </c>
      <c r="AJ15" s="10"/>
      <c r="AL15" s="4" t="s">
        <v>42</v>
      </c>
      <c r="AN15" s="12">
        <v>2.0779999999999998</v>
      </c>
      <c r="AP15" s="8">
        <v>0.55000000000000004</v>
      </c>
      <c r="AR15" s="10"/>
      <c r="AS15" s="10" t="s">
        <v>33</v>
      </c>
      <c r="AT15" s="10"/>
      <c r="AU15" s="10" t="s">
        <v>36</v>
      </c>
      <c r="AV15" s="10"/>
      <c r="AX15" s="4" t="s">
        <v>42</v>
      </c>
      <c r="BA15" s="4">
        <v>25.69</v>
      </c>
      <c r="BB15" s="8">
        <v>0.63700000000000001</v>
      </c>
      <c r="BD15" s="10"/>
      <c r="BE15" s="10"/>
      <c r="BF15" s="10" t="s">
        <v>31</v>
      </c>
      <c r="BG15" s="10" t="s">
        <v>36</v>
      </c>
      <c r="BH15" s="10"/>
    </row>
    <row r="16" spans="2:60" s="4" customFormat="1" ht="15" customHeight="1">
      <c r="B16" s="4" t="s">
        <v>43</v>
      </c>
      <c r="E16" s="7"/>
      <c r="H16" s="10"/>
      <c r="I16" s="10"/>
      <c r="J16" s="10"/>
      <c r="K16" s="10"/>
      <c r="L16" s="10"/>
      <c r="N16" s="4" t="s">
        <v>43</v>
      </c>
      <c r="R16" s="4">
        <v>0.35699999999999998</v>
      </c>
      <c r="T16" s="10"/>
      <c r="U16" s="10"/>
      <c r="V16" s="10"/>
      <c r="W16" s="10" t="s">
        <v>36</v>
      </c>
      <c r="X16" s="10"/>
      <c r="Z16" s="4" t="s">
        <v>43</v>
      </c>
      <c r="AC16" s="7">
        <v>27.07</v>
      </c>
      <c r="AD16" s="8">
        <v>0.40400000000000003</v>
      </c>
      <c r="AF16" s="10"/>
      <c r="AG16" s="10"/>
      <c r="AH16" s="10" t="s">
        <v>31</v>
      </c>
      <c r="AI16" s="10" t="s">
        <v>36</v>
      </c>
      <c r="AJ16" s="10"/>
      <c r="AL16" s="4" t="s">
        <v>43</v>
      </c>
      <c r="AN16" s="12"/>
      <c r="AP16" s="8">
        <v>0.46100000000000002</v>
      </c>
      <c r="AR16" s="10"/>
      <c r="AS16" s="10"/>
      <c r="AT16" s="10"/>
      <c r="AU16" s="10" t="s">
        <v>36</v>
      </c>
      <c r="AV16" s="10"/>
      <c r="AX16" s="4" t="s">
        <v>43</v>
      </c>
      <c r="BA16" s="4">
        <v>26.21</v>
      </c>
      <c r="BB16" s="8">
        <v>0.53500000000000003</v>
      </c>
      <c r="BD16" s="10"/>
      <c r="BE16" s="10"/>
      <c r="BF16" s="10" t="s">
        <v>31</v>
      </c>
      <c r="BG16" s="10" t="s">
        <v>36</v>
      </c>
      <c r="BH16" s="10"/>
    </row>
    <row r="17" spans="2:60" s="4" customFormat="1" ht="15" customHeight="1">
      <c r="B17" s="4" t="s">
        <v>44</v>
      </c>
      <c r="E17" s="7"/>
      <c r="F17" s="5"/>
      <c r="H17" s="10"/>
      <c r="I17" s="10"/>
      <c r="J17" s="10"/>
      <c r="K17" s="10"/>
      <c r="L17" s="10"/>
      <c r="N17" s="4" t="s">
        <v>44</v>
      </c>
      <c r="R17" s="5" t="s">
        <v>57</v>
      </c>
      <c r="T17" s="10"/>
      <c r="U17" s="10"/>
      <c r="V17" s="10"/>
      <c r="W17" s="10"/>
      <c r="X17" s="10"/>
      <c r="Z17" s="4" t="s">
        <v>44</v>
      </c>
      <c r="AC17" s="7">
        <v>27.47</v>
      </c>
      <c r="AD17" s="8">
        <v>0.34100000000000003</v>
      </c>
      <c r="AF17" s="10"/>
      <c r="AG17" s="10"/>
      <c r="AH17" s="10" t="s">
        <v>31</v>
      </c>
      <c r="AI17" s="10" t="s">
        <v>36</v>
      </c>
      <c r="AJ17" s="10"/>
      <c r="AL17" s="4" t="s">
        <v>44</v>
      </c>
      <c r="AN17" s="12"/>
      <c r="AP17" s="8">
        <v>0.38700000000000001</v>
      </c>
      <c r="AR17" s="10"/>
      <c r="AS17" s="10"/>
      <c r="AT17" s="10"/>
      <c r="AU17" s="10" t="s">
        <v>36</v>
      </c>
      <c r="AV17" s="10"/>
      <c r="AX17" s="4" t="s">
        <v>44</v>
      </c>
      <c r="BA17" s="4">
        <v>26.62</v>
      </c>
      <c r="BB17" s="8">
        <v>0.44600000000000001</v>
      </c>
      <c r="BD17" s="10"/>
      <c r="BE17" s="10"/>
      <c r="BF17" s="10" t="s">
        <v>31</v>
      </c>
      <c r="BG17" s="10" t="s">
        <v>36</v>
      </c>
      <c r="BH17" s="10"/>
    </row>
  </sheetData>
  <mergeCells count="5">
    <mergeCell ref="BD4:BH4"/>
    <mergeCell ref="H4:L4"/>
    <mergeCell ref="T4:X4"/>
    <mergeCell ref="AF4:AJ4"/>
    <mergeCell ref="AR4:AV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19"/>
  <sheetViews>
    <sheetView workbookViewId="0">
      <selection activeCell="D31" sqref="D31"/>
    </sheetView>
  </sheetViews>
  <sheetFormatPr defaultColWidth="10.875" defaultRowHeight="15.75"/>
  <cols>
    <col min="1" max="1" width="10.875" style="1"/>
    <col min="2" max="2" width="38.375" style="1" customWidth="1"/>
    <col min="3" max="3" width="13" style="1" customWidth="1"/>
    <col min="4" max="5" width="10.875" style="1"/>
    <col min="6" max="6" width="21.37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10</v>
      </c>
      <c r="F3" s="1" t="s">
        <v>8</v>
      </c>
      <c r="G3" s="1" t="s">
        <v>9</v>
      </c>
    </row>
    <row r="4" spans="2:9">
      <c r="F4" s="1" t="s">
        <v>10</v>
      </c>
      <c r="G4" s="1" t="s">
        <v>11</v>
      </c>
    </row>
    <row r="5" spans="2:9">
      <c r="F5" s="1" t="s">
        <v>15</v>
      </c>
      <c r="G5" s="1" t="s">
        <v>9</v>
      </c>
      <c r="I5" s="1" t="s">
        <v>79</v>
      </c>
    </row>
    <row r="7" spans="2:9">
      <c r="C7" s="1" t="s">
        <v>12</v>
      </c>
      <c r="E7" s="1">
        <v>10</v>
      </c>
      <c r="F7" s="1" t="s">
        <v>13</v>
      </c>
      <c r="G7" s="1" t="s">
        <v>9</v>
      </c>
      <c r="I7" s="1" t="s">
        <v>77</v>
      </c>
    </row>
    <row r="8" spans="2:9">
      <c r="E8" s="1">
        <v>10</v>
      </c>
      <c r="F8" s="1" t="s">
        <v>14</v>
      </c>
      <c r="G8" s="1" t="s">
        <v>9</v>
      </c>
    </row>
    <row r="10" spans="2:9">
      <c r="B10" s="1" t="s">
        <v>76</v>
      </c>
      <c r="C10" s="1" t="s">
        <v>7</v>
      </c>
      <c r="E10" s="1">
        <v>10</v>
      </c>
      <c r="F10" s="1" t="s">
        <v>15</v>
      </c>
      <c r="G10" s="1" t="s">
        <v>9</v>
      </c>
      <c r="I10" s="1" t="s">
        <v>78</v>
      </c>
    </row>
    <row r="13" spans="2:9">
      <c r="B13" s="1" t="s">
        <v>16</v>
      </c>
      <c r="E13" s="1">
        <v>100</v>
      </c>
    </row>
    <row r="16" spans="2:9">
      <c r="B16" s="1" t="s">
        <v>17</v>
      </c>
      <c r="E16" s="1">
        <v>50</v>
      </c>
    </row>
    <row r="19" spans="2:5">
      <c r="B19" s="1" t="s">
        <v>18</v>
      </c>
      <c r="E19" s="1">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38"/>
  <sheetViews>
    <sheetView workbookViewId="0">
      <selection activeCell="B48" sqref="B48"/>
    </sheetView>
  </sheetViews>
  <sheetFormatPr defaultColWidth="10.875" defaultRowHeight="15.75"/>
  <cols>
    <col min="1" max="1" width="3.875" style="19" customWidth="1"/>
    <col min="2" max="2" width="44.5" style="19" customWidth="1"/>
    <col min="3" max="3" width="11.125" style="19" customWidth="1"/>
    <col min="4" max="4" width="8.375" style="19" customWidth="1"/>
    <col min="5" max="5" width="18" style="19" customWidth="1"/>
    <col min="6" max="11" width="10.875" style="19"/>
    <col min="12" max="12" width="11.125" style="19" bestFit="1" customWidth="1"/>
    <col min="13" max="13" width="12.875" style="19" customWidth="1"/>
    <col min="14" max="14" width="10.5" style="19" customWidth="1"/>
    <col min="15" max="15" width="8.375" style="19" customWidth="1"/>
    <col min="16" max="16" width="10.875" style="26"/>
    <col min="17" max="17" width="9" style="19" customWidth="1"/>
    <col min="18" max="18" width="9" style="32" customWidth="1"/>
    <col min="19" max="20" width="9" style="19" customWidth="1"/>
    <col min="21" max="21" width="9" style="32" customWidth="1"/>
    <col min="22" max="22" width="9" style="19" customWidth="1"/>
    <col min="23" max="23" width="38.625" style="19" customWidth="1"/>
    <col min="24" max="24" width="37.125" style="19" customWidth="1"/>
    <col min="25" max="16384" width="10.875" style="19"/>
  </cols>
  <sheetData>
    <row r="2" spans="2:24">
      <c r="B2" s="19" t="s">
        <v>80</v>
      </c>
      <c r="Q2"/>
      <c r="R2" s="30"/>
      <c r="S2"/>
      <c r="T2"/>
    </row>
    <row r="3" spans="2:24">
      <c r="K3" s="19" t="s">
        <v>87</v>
      </c>
      <c r="M3" s="81" t="s">
        <v>82</v>
      </c>
      <c r="N3" s="81"/>
      <c r="O3" s="81"/>
      <c r="Q3" s="81" t="s">
        <v>103</v>
      </c>
      <c r="R3" s="81"/>
      <c r="S3" s="81"/>
      <c r="T3" s="81"/>
      <c r="U3" s="81"/>
      <c r="V3" s="81"/>
      <c r="W3" s="81"/>
    </row>
    <row r="4" spans="2:24" s="20" customFormat="1">
      <c r="B4" s="20" t="s">
        <v>81</v>
      </c>
      <c r="C4" s="20" t="s">
        <v>93</v>
      </c>
      <c r="D4" s="20" t="s">
        <v>64</v>
      </c>
      <c r="E4" s="20" t="s">
        <v>0</v>
      </c>
      <c r="F4" s="20" t="s">
        <v>1</v>
      </c>
      <c r="G4" s="20" t="s">
        <v>84</v>
      </c>
      <c r="H4" s="20" t="s">
        <v>85</v>
      </c>
      <c r="I4" s="20" t="s">
        <v>91</v>
      </c>
      <c r="J4" s="20" t="s">
        <v>89</v>
      </c>
      <c r="K4" s="20" t="s">
        <v>86</v>
      </c>
      <c r="L4" s="20" t="s">
        <v>88</v>
      </c>
      <c r="M4" s="20" t="s">
        <v>97</v>
      </c>
      <c r="N4" s="20" t="s">
        <v>98</v>
      </c>
      <c r="O4" s="20" t="s">
        <v>94</v>
      </c>
      <c r="P4" s="27"/>
      <c r="Q4" s="20" t="s">
        <v>104</v>
      </c>
      <c r="R4" s="31" t="s">
        <v>106</v>
      </c>
      <c r="S4" s="20" t="s">
        <v>105</v>
      </c>
      <c r="T4" s="20" t="s">
        <v>104</v>
      </c>
      <c r="U4" s="31" t="s">
        <v>106</v>
      </c>
      <c r="V4" s="20" t="s">
        <v>105</v>
      </c>
      <c r="W4" s="20" t="s">
        <v>145</v>
      </c>
      <c r="X4" s="20" t="s">
        <v>5</v>
      </c>
    </row>
    <row r="5" spans="2:24" s="52" customFormat="1">
      <c r="B5" s="52" t="s">
        <v>83</v>
      </c>
      <c r="C5" s="52" t="s">
        <v>44</v>
      </c>
      <c r="D5" s="52">
        <v>1024</v>
      </c>
      <c r="E5" s="52" t="s">
        <v>101</v>
      </c>
      <c r="F5" s="52" t="s">
        <v>7</v>
      </c>
      <c r="G5" s="52">
        <v>298</v>
      </c>
      <c r="H5" s="52">
        <v>1</v>
      </c>
      <c r="I5" s="53" t="s">
        <v>57</v>
      </c>
      <c r="J5" s="52">
        <v>2</v>
      </c>
      <c r="K5" s="52">
        <v>10</v>
      </c>
      <c r="L5" s="52">
        <f t="shared" ref="L5:L10" si="0">1000000*K5/J5</f>
        <v>5000000</v>
      </c>
      <c r="P5" s="54"/>
      <c r="Q5" s="52" t="s">
        <v>23</v>
      </c>
      <c r="R5" s="52" t="s">
        <v>107</v>
      </c>
      <c r="S5" s="52">
        <v>794.41200000000003</v>
      </c>
      <c r="T5" s="52" t="s">
        <v>26</v>
      </c>
      <c r="U5" s="56" t="s">
        <v>108</v>
      </c>
      <c r="V5" s="52">
        <v>0.4728</v>
      </c>
      <c r="W5" s="53" t="s">
        <v>112</v>
      </c>
    </row>
    <row r="6" spans="2:24" s="52" customFormat="1">
      <c r="D6" s="53"/>
      <c r="E6" s="52" t="s">
        <v>15</v>
      </c>
      <c r="F6" s="52" t="s">
        <v>7</v>
      </c>
      <c r="G6" s="52">
        <v>298</v>
      </c>
      <c r="H6" s="52">
        <v>1</v>
      </c>
      <c r="J6" s="52">
        <v>2</v>
      </c>
      <c r="K6" s="52">
        <v>10</v>
      </c>
      <c r="L6" s="52">
        <f t="shared" si="0"/>
        <v>5000000</v>
      </c>
      <c r="P6" s="54"/>
      <c r="Q6" s="52" t="s">
        <v>24</v>
      </c>
      <c r="R6" s="52" t="s">
        <v>109</v>
      </c>
    </row>
    <row r="7" spans="2:24" s="52" customFormat="1">
      <c r="E7" s="52" t="s">
        <v>15</v>
      </c>
      <c r="F7" s="52" t="s">
        <v>7</v>
      </c>
      <c r="G7" s="52">
        <v>298</v>
      </c>
      <c r="H7" s="52">
        <v>1</v>
      </c>
      <c r="J7" s="52">
        <v>2</v>
      </c>
      <c r="K7" s="52">
        <v>10</v>
      </c>
      <c r="L7" s="52">
        <f t="shared" si="0"/>
        <v>5000000</v>
      </c>
      <c r="P7" s="54"/>
      <c r="Q7" s="52" t="s">
        <v>24</v>
      </c>
      <c r="R7" s="52" t="s">
        <v>109</v>
      </c>
    </row>
    <row r="8" spans="2:24" s="52" customFormat="1">
      <c r="E8" s="52" t="s">
        <v>15</v>
      </c>
      <c r="F8" s="52" t="s">
        <v>7</v>
      </c>
      <c r="G8" s="52">
        <v>298</v>
      </c>
      <c r="H8" s="52">
        <v>1</v>
      </c>
      <c r="J8" s="52">
        <v>2</v>
      </c>
      <c r="K8" s="52">
        <v>10</v>
      </c>
      <c r="L8" s="52">
        <f t="shared" si="0"/>
        <v>5000000</v>
      </c>
      <c r="P8" s="54"/>
      <c r="Q8" s="52" t="s">
        <v>24</v>
      </c>
      <c r="R8" s="52" t="s">
        <v>109</v>
      </c>
    </row>
    <row r="9" spans="2:24" s="52" customFormat="1">
      <c r="E9" s="52" t="s">
        <v>15</v>
      </c>
      <c r="F9" s="52" t="s">
        <v>7</v>
      </c>
      <c r="G9" s="52">
        <v>298</v>
      </c>
      <c r="H9" s="52">
        <v>1</v>
      </c>
      <c r="J9" s="52">
        <v>2</v>
      </c>
      <c r="K9" s="52">
        <v>10</v>
      </c>
      <c r="L9" s="52">
        <f t="shared" si="0"/>
        <v>5000000</v>
      </c>
      <c r="P9" s="54"/>
      <c r="Q9" s="52" t="s">
        <v>24</v>
      </c>
      <c r="R9" s="52" t="s">
        <v>109</v>
      </c>
    </row>
    <row r="10" spans="2:24" s="52" customFormat="1">
      <c r="E10" s="52" t="s">
        <v>15</v>
      </c>
      <c r="F10" s="52" t="s">
        <v>7</v>
      </c>
      <c r="G10" s="52">
        <v>298</v>
      </c>
      <c r="H10" s="52">
        <v>1</v>
      </c>
      <c r="J10" s="52">
        <v>2</v>
      </c>
      <c r="K10" s="52">
        <v>10</v>
      </c>
      <c r="L10" s="52">
        <f t="shared" si="0"/>
        <v>5000000</v>
      </c>
      <c r="P10" s="54"/>
      <c r="Q10" s="52" t="s">
        <v>24</v>
      </c>
      <c r="R10" s="52" t="s">
        <v>109</v>
      </c>
    </row>
    <row r="11" spans="2:24" s="52" customFormat="1">
      <c r="E11" s="52" t="s">
        <v>13</v>
      </c>
      <c r="F11" s="52" t="s">
        <v>102</v>
      </c>
      <c r="P11" s="54"/>
    </row>
    <row r="12" spans="2:24" s="52" customFormat="1">
      <c r="P12" s="54"/>
    </row>
    <row r="13" spans="2:24" s="52" customFormat="1">
      <c r="B13" s="52" t="s">
        <v>92</v>
      </c>
      <c r="C13" s="52" t="s">
        <v>44</v>
      </c>
      <c r="D13" s="52">
        <v>1024</v>
      </c>
      <c r="E13" s="52" t="s">
        <v>110</v>
      </c>
      <c r="F13" s="52" t="s">
        <v>7</v>
      </c>
      <c r="G13" s="52" t="s">
        <v>90</v>
      </c>
      <c r="H13" s="52">
        <v>1</v>
      </c>
      <c r="I13" s="53" t="s">
        <v>57</v>
      </c>
      <c r="J13" s="52">
        <v>2</v>
      </c>
      <c r="K13" s="52">
        <v>200</v>
      </c>
      <c r="L13" s="52">
        <f>1000000*K13/J13</f>
        <v>100000000</v>
      </c>
      <c r="M13" s="52" t="s">
        <v>95</v>
      </c>
      <c r="N13" s="52" t="s">
        <v>96</v>
      </c>
      <c r="O13" s="52">
        <v>2</v>
      </c>
      <c r="P13" s="54"/>
    </row>
    <row r="14" spans="2:24" s="52" customFormat="1">
      <c r="P14" s="54"/>
    </row>
    <row r="15" spans="2:24" s="52" customFormat="1">
      <c r="P15" s="54"/>
    </row>
    <row r="16" spans="2:24" s="52" customFormat="1">
      <c r="P16" s="54"/>
    </row>
    <row r="17" spans="2:22" s="52" customFormat="1">
      <c r="P17" s="54"/>
    </row>
    <row r="18" spans="2:22" s="61" customFormat="1">
      <c r="P18" s="62"/>
    </row>
    <row r="19" spans="2:22" s="52" customFormat="1">
      <c r="B19" s="52" t="s">
        <v>100</v>
      </c>
      <c r="C19" s="52" t="s">
        <v>43</v>
      </c>
      <c r="D19" s="52">
        <v>1024</v>
      </c>
      <c r="E19" s="52" t="s">
        <v>99</v>
      </c>
      <c r="F19" s="52" t="s">
        <v>7</v>
      </c>
      <c r="G19" s="52">
        <v>298</v>
      </c>
      <c r="H19" s="52">
        <v>1</v>
      </c>
      <c r="I19" s="53" t="s">
        <v>57</v>
      </c>
      <c r="J19" s="52">
        <v>2</v>
      </c>
      <c r="K19" s="52">
        <v>10</v>
      </c>
      <c r="L19" s="52">
        <f t="shared" ref="L19:L24" si="1">1000000*K19/J19</f>
        <v>5000000</v>
      </c>
      <c r="P19" s="54"/>
      <c r="Q19" s="52" t="s">
        <v>23</v>
      </c>
      <c r="R19" s="52" t="s">
        <v>107</v>
      </c>
      <c r="S19" s="52">
        <v>786.97</v>
      </c>
      <c r="T19" s="52" t="s">
        <v>26</v>
      </c>
      <c r="U19" s="56" t="s">
        <v>108</v>
      </c>
      <c r="V19" s="52">
        <v>0.623</v>
      </c>
    </row>
    <row r="20" spans="2:22" s="52" customFormat="1">
      <c r="D20" s="53"/>
      <c r="E20" s="52" t="s">
        <v>15</v>
      </c>
      <c r="F20" s="52" t="s">
        <v>7</v>
      </c>
      <c r="G20" s="52">
        <v>298</v>
      </c>
      <c r="H20" s="52">
        <v>1</v>
      </c>
      <c r="J20" s="52">
        <v>2</v>
      </c>
      <c r="K20" s="52">
        <v>10</v>
      </c>
      <c r="L20" s="52">
        <f t="shared" si="1"/>
        <v>5000000</v>
      </c>
      <c r="P20" s="54"/>
      <c r="Q20" s="52" t="s">
        <v>24</v>
      </c>
      <c r="R20" s="52" t="s">
        <v>109</v>
      </c>
    </row>
    <row r="21" spans="2:22" s="52" customFormat="1">
      <c r="E21" s="52" t="s">
        <v>15</v>
      </c>
      <c r="F21" s="52" t="s">
        <v>7</v>
      </c>
      <c r="G21" s="52">
        <v>298</v>
      </c>
      <c r="H21" s="52">
        <v>1</v>
      </c>
      <c r="J21" s="52">
        <v>2</v>
      </c>
      <c r="K21" s="52">
        <v>10</v>
      </c>
      <c r="L21" s="52">
        <f t="shared" si="1"/>
        <v>5000000</v>
      </c>
      <c r="P21" s="54"/>
      <c r="Q21" s="52" t="s">
        <v>24</v>
      </c>
      <c r="R21" s="52" t="s">
        <v>109</v>
      </c>
    </row>
    <row r="22" spans="2:22" s="52" customFormat="1">
      <c r="E22" s="52" t="s">
        <v>15</v>
      </c>
      <c r="F22" s="52" t="s">
        <v>7</v>
      </c>
      <c r="G22" s="52">
        <v>298</v>
      </c>
      <c r="H22" s="52">
        <v>1</v>
      </c>
      <c r="J22" s="52">
        <v>2</v>
      </c>
      <c r="K22" s="52">
        <v>10</v>
      </c>
      <c r="L22" s="52">
        <f t="shared" si="1"/>
        <v>5000000</v>
      </c>
      <c r="P22" s="54"/>
      <c r="Q22" s="52" t="s">
        <v>24</v>
      </c>
      <c r="R22" s="52" t="s">
        <v>109</v>
      </c>
    </row>
    <row r="23" spans="2:22" s="52" customFormat="1">
      <c r="E23" s="52" t="s">
        <v>15</v>
      </c>
      <c r="F23" s="52" t="s">
        <v>7</v>
      </c>
      <c r="G23" s="52">
        <v>298</v>
      </c>
      <c r="H23" s="52">
        <v>1</v>
      </c>
      <c r="J23" s="52">
        <v>2</v>
      </c>
      <c r="K23" s="52">
        <v>10</v>
      </c>
      <c r="L23" s="52">
        <f t="shared" si="1"/>
        <v>5000000</v>
      </c>
      <c r="P23" s="54"/>
      <c r="Q23" s="52" t="s">
        <v>24</v>
      </c>
      <c r="R23" s="52" t="s">
        <v>109</v>
      </c>
    </row>
    <row r="24" spans="2:22" s="52" customFormat="1">
      <c r="E24" s="52" t="s">
        <v>15</v>
      </c>
      <c r="F24" s="52" t="s">
        <v>7</v>
      </c>
      <c r="G24" s="52">
        <v>298</v>
      </c>
      <c r="H24" s="52">
        <v>1</v>
      </c>
      <c r="J24" s="52">
        <v>2</v>
      </c>
      <c r="K24" s="52">
        <v>10</v>
      </c>
      <c r="L24" s="52">
        <f t="shared" si="1"/>
        <v>5000000</v>
      </c>
      <c r="P24" s="54"/>
      <c r="Q24" s="52" t="s">
        <v>24</v>
      </c>
      <c r="R24" s="52" t="s">
        <v>109</v>
      </c>
    </row>
    <row r="25" spans="2:22" s="52" customFormat="1">
      <c r="E25" s="52" t="s">
        <v>13</v>
      </c>
      <c r="F25" s="52" t="s">
        <v>102</v>
      </c>
      <c r="P25" s="54"/>
    </row>
    <row r="26" spans="2:22" s="52" customFormat="1">
      <c r="P26" s="54"/>
    </row>
    <row r="27" spans="2:22" s="52" customFormat="1">
      <c r="B27" s="52" t="s">
        <v>111</v>
      </c>
      <c r="C27" s="52" t="s">
        <v>43</v>
      </c>
      <c r="D27" s="52">
        <v>1024</v>
      </c>
      <c r="E27" s="52" t="s">
        <v>110</v>
      </c>
      <c r="F27" s="52" t="s">
        <v>7</v>
      </c>
      <c r="G27" s="52" t="s">
        <v>90</v>
      </c>
      <c r="H27" s="52">
        <v>1</v>
      </c>
      <c r="I27" s="53" t="s">
        <v>57</v>
      </c>
      <c r="J27" s="52">
        <v>2</v>
      </c>
      <c r="K27" s="52">
        <v>200</v>
      </c>
      <c r="L27" s="52">
        <f>1000000*K27/J27</f>
        <v>100000000</v>
      </c>
      <c r="M27" s="52" t="s">
        <v>95</v>
      </c>
      <c r="N27" s="52" t="s">
        <v>96</v>
      </c>
      <c r="O27" s="52">
        <v>2</v>
      </c>
      <c r="P27" s="54"/>
    </row>
    <row r="28" spans="2:22" s="52" customFormat="1">
      <c r="P28" s="54"/>
    </row>
    <row r="29" spans="2:22" s="52" customFormat="1">
      <c r="P29" s="54"/>
    </row>
    <row r="30" spans="2:22" s="52" customFormat="1">
      <c r="P30" s="54"/>
    </row>
    <row r="31" spans="2:22" s="61" customFormat="1">
      <c r="P31" s="62"/>
    </row>
    <row r="32" spans="2:22" s="52" customFormat="1">
      <c r="B32" s="52" t="s">
        <v>113</v>
      </c>
      <c r="C32" s="52" t="s">
        <v>35</v>
      </c>
      <c r="D32" s="52">
        <v>2048</v>
      </c>
      <c r="E32" s="52" t="s">
        <v>99</v>
      </c>
      <c r="F32" s="52" t="s">
        <v>7</v>
      </c>
      <c r="G32" s="52">
        <v>298</v>
      </c>
      <c r="H32" s="52">
        <v>1</v>
      </c>
      <c r="I32" s="53" t="s">
        <v>57</v>
      </c>
      <c r="J32" s="52">
        <v>2</v>
      </c>
      <c r="K32" s="52">
        <v>10</v>
      </c>
      <c r="L32" s="52">
        <f t="shared" ref="L32:L37" si="2">1000000*K32/J32</f>
        <v>5000000</v>
      </c>
      <c r="P32" s="54"/>
      <c r="Q32" s="52" t="s">
        <v>23</v>
      </c>
      <c r="R32" s="52" t="s">
        <v>107</v>
      </c>
      <c r="T32" s="52" t="s">
        <v>26</v>
      </c>
      <c r="U32" s="56" t="s">
        <v>108</v>
      </c>
    </row>
    <row r="33" spans="5:18" s="52" customFormat="1">
      <c r="E33" s="52" t="s">
        <v>15</v>
      </c>
      <c r="F33" s="52" t="s">
        <v>7</v>
      </c>
      <c r="G33" s="52">
        <v>298</v>
      </c>
      <c r="H33" s="52">
        <v>1</v>
      </c>
      <c r="J33" s="52">
        <v>2</v>
      </c>
      <c r="K33" s="52">
        <v>10</v>
      </c>
      <c r="L33" s="52">
        <f t="shared" si="2"/>
        <v>5000000</v>
      </c>
      <c r="P33" s="54"/>
      <c r="Q33" s="52" t="s">
        <v>24</v>
      </c>
      <c r="R33" s="52" t="s">
        <v>109</v>
      </c>
    </row>
    <row r="34" spans="5:18" s="52" customFormat="1">
      <c r="E34" s="52" t="s">
        <v>15</v>
      </c>
      <c r="F34" s="52" t="s">
        <v>7</v>
      </c>
      <c r="G34" s="52">
        <v>298</v>
      </c>
      <c r="H34" s="52">
        <v>1</v>
      </c>
      <c r="J34" s="52">
        <v>2</v>
      </c>
      <c r="K34" s="52">
        <v>10</v>
      </c>
      <c r="L34" s="52">
        <f t="shared" si="2"/>
        <v>5000000</v>
      </c>
      <c r="P34" s="54"/>
      <c r="Q34" s="52" t="s">
        <v>24</v>
      </c>
      <c r="R34" s="52" t="s">
        <v>109</v>
      </c>
    </row>
    <row r="35" spans="5:18" s="52" customFormat="1">
      <c r="E35" s="52" t="s">
        <v>15</v>
      </c>
      <c r="F35" s="52" t="s">
        <v>7</v>
      </c>
      <c r="G35" s="52">
        <v>298</v>
      </c>
      <c r="H35" s="52">
        <v>1</v>
      </c>
      <c r="J35" s="52">
        <v>2</v>
      </c>
      <c r="K35" s="52">
        <v>10</v>
      </c>
      <c r="L35" s="52">
        <f t="shared" si="2"/>
        <v>5000000</v>
      </c>
      <c r="P35" s="54"/>
      <c r="Q35" s="52" t="s">
        <v>24</v>
      </c>
      <c r="R35" s="52" t="s">
        <v>109</v>
      </c>
    </row>
    <row r="36" spans="5:18" s="52" customFormat="1">
      <c r="E36" s="52" t="s">
        <v>15</v>
      </c>
      <c r="F36" s="52" t="s">
        <v>7</v>
      </c>
      <c r="G36" s="52">
        <v>298</v>
      </c>
      <c r="H36" s="52">
        <v>1</v>
      </c>
      <c r="J36" s="52">
        <v>2</v>
      </c>
      <c r="K36" s="52">
        <v>10</v>
      </c>
      <c r="L36" s="52">
        <f t="shared" si="2"/>
        <v>5000000</v>
      </c>
      <c r="P36" s="54"/>
      <c r="Q36" s="52" t="s">
        <v>24</v>
      </c>
      <c r="R36" s="52" t="s">
        <v>109</v>
      </c>
    </row>
    <row r="37" spans="5:18" s="52" customFormat="1">
      <c r="E37" s="52" t="s">
        <v>15</v>
      </c>
      <c r="F37" s="52" t="s">
        <v>7</v>
      </c>
      <c r="G37" s="52">
        <v>298</v>
      </c>
      <c r="H37" s="52">
        <v>1</v>
      </c>
      <c r="J37" s="52">
        <v>2</v>
      </c>
      <c r="K37" s="52">
        <v>10</v>
      </c>
      <c r="L37" s="52">
        <f t="shared" si="2"/>
        <v>5000000</v>
      </c>
      <c r="P37" s="54"/>
      <c r="Q37" s="52" t="s">
        <v>24</v>
      </c>
      <c r="R37" s="52" t="s">
        <v>109</v>
      </c>
    </row>
    <row r="38" spans="5:18" s="52" customFormat="1">
      <c r="P38" s="54"/>
    </row>
  </sheetData>
  <mergeCells count="2">
    <mergeCell ref="M3:O3"/>
    <mergeCell ref="Q3:W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2:AB11"/>
  <sheetViews>
    <sheetView topLeftCell="B1" workbookViewId="0">
      <selection activeCell="B16" sqref="B16"/>
    </sheetView>
  </sheetViews>
  <sheetFormatPr defaultColWidth="10.875" defaultRowHeight="15.75"/>
  <cols>
    <col min="1" max="1" width="3.875" style="19" customWidth="1"/>
    <col min="2" max="2" width="44.5" style="19" customWidth="1"/>
    <col min="3" max="3" width="10.625" style="19" customWidth="1"/>
    <col min="4" max="6" width="9.125" style="23" customWidth="1"/>
    <col min="7" max="7" width="11.125" style="19" customWidth="1"/>
    <col min="8" max="8" width="8.375" style="19" customWidth="1"/>
    <col min="9" max="9" width="18" style="19" customWidth="1"/>
    <col min="10" max="15" width="10.875" style="19"/>
    <col min="16" max="16" width="11.125" style="19" bestFit="1" customWidth="1"/>
    <col min="17" max="17" width="12.875" style="19" customWidth="1"/>
    <col min="18" max="18" width="10.5" style="19" customWidth="1"/>
    <col min="19" max="19" width="8.375" style="26" customWidth="1"/>
    <col min="20" max="20" width="10.875" style="48"/>
    <col min="21" max="21" width="9" style="19" customWidth="1"/>
    <col min="22" max="22" width="9" style="32" customWidth="1"/>
    <col min="23" max="24" width="9" style="19" customWidth="1"/>
    <col min="25" max="25" width="9" style="32" customWidth="1"/>
    <col min="26" max="26" width="9" style="19" customWidth="1"/>
    <col min="27" max="27" width="47" style="19" customWidth="1"/>
    <col min="28" max="28" width="68" style="50" customWidth="1"/>
    <col min="29" max="16384" width="10.875" style="19"/>
  </cols>
  <sheetData>
    <row r="2" spans="2:28">
      <c r="U2"/>
      <c r="V2" s="30"/>
      <c r="W2"/>
      <c r="X2"/>
    </row>
    <row r="3" spans="2:28">
      <c r="C3" s="19" t="s">
        <v>138</v>
      </c>
      <c r="O3" s="19" t="s">
        <v>87</v>
      </c>
      <c r="Q3" s="81" t="s">
        <v>82</v>
      </c>
      <c r="R3" s="81"/>
      <c r="S3" s="82"/>
      <c r="U3" s="81" t="s">
        <v>103</v>
      </c>
      <c r="V3" s="81"/>
      <c r="W3" s="81"/>
      <c r="X3" s="81"/>
      <c r="Y3" s="81"/>
      <c r="Z3" s="81"/>
      <c r="AA3" s="81"/>
    </row>
    <row r="4" spans="2:28" s="20" customFormat="1">
      <c r="B4" s="20" t="s">
        <v>81</v>
      </c>
      <c r="C4" s="20" t="s">
        <v>130</v>
      </c>
      <c r="D4" s="24" t="s">
        <v>133</v>
      </c>
      <c r="E4" s="24" t="s">
        <v>134</v>
      </c>
      <c r="F4" s="24" t="s">
        <v>135</v>
      </c>
      <c r="G4" s="20" t="s">
        <v>93</v>
      </c>
      <c r="H4" s="20" t="s">
        <v>64</v>
      </c>
      <c r="I4" s="20" t="s">
        <v>0</v>
      </c>
      <c r="J4" s="20" t="s">
        <v>1</v>
      </c>
      <c r="K4" s="20" t="s">
        <v>84</v>
      </c>
      <c r="L4" s="20" t="s">
        <v>85</v>
      </c>
      <c r="M4" s="20" t="s">
        <v>91</v>
      </c>
      <c r="N4" s="20" t="s">
        <v>89</v>
      </c>
      <c r="O4" s="20" t="s">
        <v>86</v>
      </c>
      <c r="P4" s="20" t="s">
        <v>88</v>
      </c>
      <c r="Q4" s="20" t="s">
        <v>97</v>
      </c>
      <c r="R4" s="20" t="s">
        <v>98</v>
      </c>
      <c r="S4" s="27" t="s">
        <v>94</v>
      </c>
      <c r="T4" s="49" t="s">
        <v>142</v>
      </c>
      <c r="U4" s="20" t="s">
        <v>104</v>
      </c>
      <c r="V4" s="31" t="s">
        <v>106</v>
      </c>
      <c r="W4" s="20" t="s">
        <v>105</v>
      </c>
      <c r="X4" s="20" t="s">
        <v>104</v>
      </c>
      <c r="Y4" s="31" t="s">
        <v>106</v>
      </c>
      <c r="Z4" s="20" t="s">
        <v>105</v>
      </c>
      <c r="AA4" s="20" t="s">
        <v>5</v>
      </c>
      <c r="AB4" s="51" t="s">
        <v>5</v>
      </c>
    </row>
    <row r="5" spans="2:28" s="52" customFormat="1">
      <c r="B5" s="52" t="s">
        <v>136</v>
      </c>
      <c r="C5" s="52" t="s">
        <v>140</v>
      </c>
      <c r="D5" s="59">
        <v>1.25</v>
      </c>
      <c r="E5" s="59">
        <v>1.05</v>
      </c>
      <c r="F5" s="59">
        <v>1.05</v>
      </c>
      <c r="G5" s="52" t="s">
        <v>44</v>
      </c>
      <c r="H5" s="52">
        <v>1024</v>
      </c>
      <c r="I5" s="52" t="s">
        <v>101</v>
      </c>
      <c r="J5" s="52" t="s">
        <v>7</v>
      </c>
      <c r="K5" s="52">
        <v>298</v>
      </c>
      <c r="L5" s="52">
        <v>1</v>
      </c>
      <c r="M5" s="53" t="s">
        <v>57</v>
      </c>
      <c r="N5" s="52">
        <v>1</v>
      </c>
      <c r="O5" s="52">
        <v>5</v>
      </c>
      <c r="P5" s="52">
        <f t="shared" ref="P5" si="0">1000000*O5/N5</f>
        <v>5000000</v>
      </c>
      <c r="S5" s="54"/>
      <c r="T5" s="55">
        <v>27.507000000000001</v>
      </c>
      <c r="U5" s="52" t="s">
        <v>23</v>
      </c>
      <c r="V5" s="52" t="s">
        <v>137</v>
      </c>
      <c r="W5" s="52">
        <v>767.95699999999999</v>
      </c>
      <c r="X5" s="52" t="s">
        <v>26</v>
      </c>
      <c r="Y5" s="56" t="s">
        <v>137</v>
      </c>
      <c r="Z5" s="52">
        <v>0.23219999999999999</v>
      </c>
      <c r="AA5" s="53" t="s">
        <v>139</v>
      </c>
      <c r="AB5" s="57"/>
    </row>
    <row r="6" spans="2:28" s="52" customFormat="1">
      <c r="C6" s="52" t="s">
        <v>131</v>
      </c>
      <c r="D6" s="59">
        <v>1.1499999999999999</v>
      </c>
      <c r="E6" s="59">
        <v>1.05</v>
      </c>
      <c r="F6" s="59">
        <v>1.05</v>
      </c>
      <c r="G6" s="52" t="s">
        <v>44</v>
      </c>
      <c r="H6" s="52">
        <v>1024</v>
      </c>
      <c r="I6" s="52" t="s">
        <v>101</v>
      </c>
      <c r="J6" s="52" t="s">
        <v>7</v>
      </c>
      <c r="K6" s="52">
        <v>298</v>
      </c>
      <c r="L6" s="52">
        <v>1</v>
      </c>
      <c r="M6" s="53" t="s">
        <v>57</v>
      </c>
      <c r="N6" s="52">
        <v>1</v>
      </c>
      <c r="O6" s="52">
        <v>5</v>
      </c>
      <c r="P6" s="52">
        <f t="shared" ref="P6:P7" si="1">1000000*O6/N6</f>
        <v>5000000</v>
      </c>
      <c r="S6" s="54"/>
      <c r="T6" s="55">
        <v>31.248999999999999</v>
      </c>
      <c r="U6" s="52" t="s">
        <v>23</v>
      </c>
      <c r="V6" s="52" t="s">
        <v>137</v>
      </c>
      <c r="W6" s="52">
        <v>768.41700000000003</v>
      </c>
      <c r="X6" s="52" t="s">
        <v>26</v>
      </c>
      <c r="Y6" s="56" t="s">
        <v>137</v>
      </c>
      <c r="Z6" s="52">
        <v>0.24929999999999999</v>
      </c>
      <c r="AA6" s="53" t="s">
        <v>143</v>
      </c>
      <c r="AB6" s="57"/>
    </row>
    <row r="7" spans="2:28" s="52" customFormat="1">
      <c r="C7" s="52" t="s">
        <v>141</v>
      </c>
      <c r="D7" s="59">
        <v>1.25</v>
      </c>
      <c r="E7" s="59">
        <v>1.05</v>
      </c>
      <c r="F7" s="59">
        <v>1.05</v>
      </c>
      <c r="G7" s="52" t="s">
        <v>44</v>
      </c>
      <c r="H7" s="52">
        <v>1024</v>
      </c>
      <c r="I7" s="52" t="s">
        <v>101</v>
      </c>
      <c r="J7" s="52" t="s">
        <v>7</v>
      </c>
      <c r="K7" s="52">
        <v>298</v>
      </c>
      <c r="L7" s="52">
        <v>1</v>
      </c>
      <c r="M7" s="53" t="s">
        <v>57</v>
      </c>
      <c r="N7" s="52">
        <v>1</v>
      </c>
      <c r="O7" s="52">
        <v>5</v>
      </c>
      <c r="P7" s="52">
        <f t="shared" si="1"/>
        <v>5000000</v>
      </c>
      <c r="S7" s="54"/>
      <c r="T7" s="55">
        <v>22.291</v>
      </c>
      <c r="U7" s="52" t="s">
        <v>23</v>
      </c>
      <c r="V7" s="52" t="s">
        <v>137</v>
      </c>
      <c r="W7" s="52">
        <v>775.88400000000001</v>
      </c>
      <c r="X7" s="52" t="s">
        <v>26</v>
      </c>
      <c r="Y7" s="56" t="s">
        <v>137</v>
      </c>
      <c r="Z7" s="52">
        <v>0.21210000000000001</v>
      </c>
      <c r="AA7" s="53" t="s">
        <v>144</v>
      </c>
      <c r="AB7" s="57"/>
    </row>
    <row r="8" spans="2:28" s="52" customFormat="1">
      <c r="C8" s="52" t="s">
        <v>132</v>
      </c>
      <c r="D8" s="59">
        <v>1.1499999999999999</v>
      </c>
      <c r="E8" s="59">
        <v>1.05</v>
      </c>
      <c r="F8" s="59">
        <v>1.05</v>
      </c>
      <c r="G8" s="52" t="s">
        <v>44</v>
      </c>
      <c r="H8" s="52">
        <v>1024</v>
      </c>
      <c r="I8" s="52" t="s">
        <v>101</v>
      </c>
      <c r="J8" s="52" t="s">
        <v>7</v>
      </c>
      <c r="K8" s="52">
        <v>298</v>
      </c>
      <c r="L8" s="52">
        <v>1</v>
      </c>
      <c r="M8" s="53" t="s">
        <v>57</v>
      </c>
      <c r="N8" s="52">
        <v>1</v>
      </c>
      <c r="O8" s="52">
        <v>5</v>
      </c>
      <c r="P8" s="52">
        <f t="shared" ref="P8" si="2">1000000*O8/N8</f>
        <v>5000000</v>
      </c>
      <c r="S8" s="54"/>
      <c r="T8" s="55">
        <v>26.669</v>
      </c>
      <c r="U8" s="52" t="s">
        <v>23</v>
      </c>
      <c r="V8" s="52" t="s">
        <v>137</v>
      </c>
      <c r="W8" s="52">
        <v>771.99900000000002</v>
      </c>
      <c r="X8" s="52" t="s">
        <v>26</v>
      </c>
      <c r="Y8" s="56" t="s">
        <v>137</v>
      </c>
      <c r="Z8" s="52">
        <v>0.2487</v>
      </c>
      <c r="AA8" s="52" t="s">
        <v>146</v>
      </c>
      <c r="AB8" s="57" t="s">
        <v>147</v>
      </c>
    </row>
    <row r="10" spans="2:28" s="20" customFormat="1">
      <c r="B10" s="20" t="s">
        <v>243</v>
      </c>
      <c r="D10" s="24"/>
      <c r="E10" s="24"/>
      <c r="F10" s="24"/>
      <c r="S10" s="27"/>
      <c r="T10" s="49"/>
      <c r="V10" s="31"/>
      <c r="Y10" s="31"/>
      <c r="AB10" s="51"/>
    </row>
    <row r="11" spans="2:28">
      <c r="D11" s="23">
        <v>1.05</v>
      </c>
      <c r="E11" s="23">
        <v>1</v>
      </c>
      <c r="F11" s="23">
        <v>1</v>
      </c>
    </row>
  </sheetData>
  <mergeCells count="2">
    <mergeCell ref="Q3:S3"/>
    <mergeCell ref="U3:AA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0"/>
  <sheetViews>
    <sheetView workbookViewId="0">
      <pane xSplit="2" ySplit="4" topLeftCell="C5" activePane="bottomRight" state="frozen"/>
      <selection pane="topRight" activeCell="C1" sqref="C1"/>
      <selection pane="bottomLeft" activeCell="A5" sqref="A5"/>
      <selection pane="bottomRight" activeCell="A13" sqref="A13:XFD13"/>
    </sheetView>
  </sheetViews>
  <sheetFormatPr defaultColWidth="10.875" defaultRowHeight="15.75"/>
  <cols>
    <col min="1" max="1" width="3.875" style="19" customWidth="1"/>
    <col min="2" max="2" width="55.25" style="19" customWidth="1"/>
    <col min="3" max="5" width="11.875" style="19" customWidth="1"/>
    <col min="6" max="8" width="9.125" style="23" customWidth="1"/>
    <col min="9" max="9" width="11.125" style="19" customWidth="1"/>
    <col min="10" max="10" width="8.375" style="19" customWidth="1"/>
    <col min="11" max="11" width="18" style="19" customWidth="1"/>
    <col min="12" max="17" width="10.875" style="19"/>
    <col min="18" max="18" width="11.125" style="19" bestFit="1" customWidth="1"/>
    <col min="19" max="19" width="12.875" style="19" customWidth="1"/>
    <col min="20" max="20" width="10.5" style="19" customWidth="1"/>
    <col min="21" max="21" width="8.375" style="26" customWidth="1"/>
    <col min="22" max="22" width="10.875" style="48"/>
    <col min="23" max="23" width="9" style="19" customWidth="1"/>
    <col min="24" max="24" width="9" style="32" customWidth="1"/>
    <col min="25" max="26" width="9" style="19" customWidth="1"/>
    <col min="27" max="27" width="9" style="32" customWidth="1"/>
    <col min="28" max="28" width="9" style="38" customWidth="1"/>
    <col min="29" max="29" width="47" style="19" customWidth="1"/>
    <col min="30" max="16384" width="10.875" style="19"/>
  </cols>
  <sheetData>
    <row r="2" spans="2:29">
      <c r="W2"/>
      <c r="X2" s="30"/>
      <c r="Y2"/>
      <c r="Z2"/>
    </row>
    <row r="3" spans="2:29">
      <c r="C3" s="19" t="s">
        <v>148</v>
      </c>
      <c r="Q3" s="19" t="s">
        <v>87</v>
      </c>
      <c r="S3" s="81" t="s">
        <v>82</v>
      </c>
      <c r="T3" s="81"/>
      <c r="U3" s="82"/>
      <c r="W3" s="81" t="s">
        <v>103</v>
      </c>
      <c r="X3" s="81"/>
      <c r="Y3" s="81"/>
      <c r="Z3" s="81"/>
      <c r="AA3" s="81"/>
      <c r="AB3" s="81"/>
      <c r="AC3" s="81"/>
    </row>
    <row r="4" spans="2:29" s="20" customFormat="1">
      <c r="B4" s="20" t="s">
        <v>81</v>
      </c>
      <c r="C4" s="20" t="s">
        <v>168</v>
      </c>
      <c r="D4" s="20" t="s">
        <v>228</v>
      </c>
      <c r="E4" s="20" t="s">
        <v>227</v>
      </c>
      <c r="F4" s="24" t="s">
        <v>133</v>
      </c>
      <c r="G4" s="24" t="s">
        <v>134</v>
      </c>
      <c r="H4" s="24" t="s">
        <v>135</v>
      </c>
      <c r="I4" s="20" t="s">
        <v>93</v>
      </c>
      <c r="J4" s="20" t="s">
        <v>64</v>
      </c>
      <c r="K4" s="20" t="s">
        <v>0</v>
      </c>
      <c r="L4" s="20" t="s">
        <v>1</v>
      </c>
      <c r="M4" s="20" t="s">
        <v>84</v>
      </c>
      <c r="N4" s="20" t="s">
        <v>85</v>
      </c>
      <c r="O4" s="20" t="s">
        <v>91</v>
      </c>
      <c r="P4" s="20" t="s">
        <v>89</v>
      </c>
      <c r="Q4" s="20" t="s">
        <v>86</v>
      </c>
      <c r="R4" s="20" t="s">
        <v>88</v>
      </c>
      <c r="S4" s="20" t="s">
        <v>97</v>
      </c>
      <c r="T4" s="20" t="s">
        <v>98</v>
      </c>
      <c r="U4" s="27" t="s">
        <v>94</v>
      </c>
      <c r="V4" s="49" t="s">
        <v>142</v>
      </c>
      <c r="W4" s="20" t="s">
        <v>104</v>
      </c>
      <c r="X4" s="31" t="s">
        <v>106</v>
      </c>
      <c r="Y4" s="20" t="s">
        <v>105</v>
      </c>
      <c r="Z4" s="20" t="s">
        <v>104</v>
      </c>
      <c r="AA4" s="31" t="s">
        <v>106</v>
      </c>
      <c r="AB4" s="39" t="s">
        <v>105</v>
      </c>
      <c r="AC4" s="20" t="s">
        <v>5</v>
      </c>
    </row>
    <row r="5" spans="2:29" s="52" customFormat="1">
      <c r="B5" s="52" t="s">
        <v>152</v>
      </c>
      <c r="C5" s="52">
        <v>7</v>
      </c>
      <c r="F5" s="58">
        <v>1.1499999999999999</v>
      </c>
      <c r="G5" s="59">
        <v>1.1499999999999999</v>
      </c>
      <c r="H5" s="59">
        <v>1.05</v>
      </c>
      <c r="I5" s="52" t="s">
        <v>44</v>
      </c>
      <c r="J5" s="52">
        <v>1024</v>
      </c>
      <c r="K5" s="52" t="s">
        <v>101</v>
      </c>
      <c r="L5" s="52" t="s">
        <v>7</v>
      </c>
      <c r="M5" s="52">
        <v>298</v>
      </c>
      <c r="N5" s="52">
        <v>1</v>
      </c>
      <c r="O5" s="53" t="s">
        <v>57</v>
      </c>
      <c r="P5" s="52">
        <v>1</v>
      </c>
      <c r="Q5" s="52">
        <v>5</v>
      </c>
      <c r="R5" s="52">
        <f t="shared" ref="R5:R6" si="0">1000000*Q5/P5</f>
        <v>5000000</v>
      </c>
      <c r="U5" s="54"/>
      <c r="V5" s="55">
        <v>13.738</v>
      </c>
      <c r="W5" s="52" t="s">
        <v>23</v>
      </c>
      <c r="X5" s="52" t="s">
        <v>137</v>
      </c>
      <c r="Y5" s="52">
        <v>786.67399999999998</v>
      </c>
      <c r="Z5" s="52" t="s">
        <v>26</v>
      </c>
      <c r="AA5" s="56" t="s">
        <v>137</v>
      </c>
      <c r="AB5" s="60">
        <v>0.32929999999999998</v>
      </c>
      <c r="AC5" s="53" t="s">
        <v>150</v>
      </c>
    </row>
    <row r="6" spans="2:29" s="52" customFormat="1">
      <c r="C6" s="52">
        <v>7</v>
      </c>
      <c r="F6" s="59">
        <v>1.05</v>
      </c>
      <c r="G6" s="59">
        <v>1.05</v>
      </c>
      <c r="H6" s="59">
        <v>1.05</v>
      </c>
      <c r="I6" s="52" t="s">
        <v>44</v>
      </c>
      <c r="J6" s="52">
        <v>1024</v>
      </c>
      <c r="K6" s="52" t="s">
        <v>101</v>
      </c>
      <c r="L6" s="52" t="s">
        <v>7</v>
      </c>
      <c r="M6" s="52">
        <v>298</v>
      </c>
      <c r="N6" s="52">
        <v>1</v>
      </c>
      <c r="O6" s="53" t="s">
        <v>57</v>
      </c>
      <c r="P6" s="52">
        <v>1</v>
      </c>
      <c r="Q6" s="52">
        <v>5</v>
      </c>
      <c r="R6" s="52">
        <f t="shared" si="0"/>
        <v>5000000</v>
      </c>
      <c r="U6" s="54"/>
      <c r="V6" s="55">
        <v>15.555</v>
      </c>
      <c r="W6" s="52" t="s">
        <v>23</v>
      </c>
      <c r="X6" s="52" t="s">
        <v>137</v>
      </c>
      <c r="Y6" s="52">
        <v>786.36199999999997</v>
      </c>
      <c r="Z6" s="52" t="s">
        <v>26</v>
      </c>
      <c r="AA6" s="56" t="s">
        <v>137</v>
      </c>
      <c r="AB6" s="60">
        <v>0.33310000000000001</v>
      </c>
      <c r="AC6" s="53" t="s">
        <v>149</v>
      </c>
    </row>
    <row r="7" spans="2:29" s="52" customFormat="1">
      <c r="B7" s="52" t="s">
        <v>151</v>
      </c>
      <c r="C7" s="52">
        <v>4</v>
      </c>
      <c r="F7" s="58">
        <v>1.1499999999999999</v>
      </c>
      <c r="G7" s="59">
        <v>1.1499999999999999</v>
      </c>
      <c r="H7" s="59">
        <v>1.05</v>
      </c>
      <c r="I7" s="52" t="s">
        <v>44</v>
      </c>
      <c r="J7" s="52">
        <v>1024</v>
      </c>
      <c r="K7" s="52" t="s">
        <v>101</v>
      </c>
      <c r="L7" s="52" t="s">
        <v>7</v>
      </c>
      <c r="M7" s="52">
        <v>298</v>
      </c>
      <c r="N7" s="52">
        <v>1</v>
      </c>
      <c r="O7" s="53" t="s">
        <v>57</v>
      </c>
      <c r="P7" s="52">
        <v>1</v>
      </c>
      <c r="Q7" s="52">
        <v>5</v>
      </c>
      <c r="R7" s="52">
        <f t="shared" ref="R7:R8" si="1">1000000*Q7/P7</f>
        <v>5000000</v>
      </c>
      <c r="U7" s="54"/>
      <c r="V7" s="55">
        <v>14.615</v>
      </c>
      <c r="W7" s="52" t="s">
        <v>23</v>
      </c>
      <c r="X7" s="52" t="s">
        <v>137</v>
      </c>
      <c r="Y7" s="52">
        <v>790.35900000000004</v>
      </c>
      <c r="Z7" s="52" t="s">
        <v>26</v>
      </c>
      <c r="AA7" s="56" t="s">
        <v>137</v>
      </c>
      <c r="AB7" s="60">
        <v>0.29289999999999999</v>
      </c>
      <c r="AC7" s="52" t="s">
        <v>153</v>
      </c>
    </row>
    <row r="8" spans="2:29" s="52" customFormat="1">
      <c r="C8" s="52">
        <v>4</v>
      </c>
      <c r="F8" s="59">
        <v>1.05</v>
      </c>
      <c r="G8" s="59">
        <v>1.05</v>
      </c>
      <c r="H8" s="59">
        <v>1.05</v>
      </c>
      <c r="I8" s="52" t="s">
        <v>44</v>
      </c>
      <c r="J8" s="52">
        <v>1024</v>
      </c>
      <c r="K8" s="52" t="s">
        <v>101</v>
      </c>
      <c r="L8" s="52" t="s">
        <v>7</v>
      </c>
      <c r="M8" s="52">
        <v>298</v>
      </c>
      <c r="N8" s="52">
        <v>1</v>
      </c>
      <c r="O8" s="53" t="s">
        <v>57</v>
      </c>
      <c r="P8" s="52">
        <v>1</v>
      </c>
      <c r="Q8" s="52">
        <v>5</v>
      </c>
      <c r="R8" s="52">
        <f t="shared" si="1"/>
        <v>5000000</v>
      </c>
      <c r="U8" s="54"/>
      <c r="V8" s="55">
        <v>16.268999999999998</v>
      </c>
      <c r="W8" s="52" t="s">
        <v>23</v>
      </c>
      <c r="X8" s="52" t="s">
        <v>137</v>
      </c>
      <c r="Y8" s="52">
        <v>790.34900000000005</v>
      </c>
      <c r="Z8" s="52" t="s">
        <v>26</v>
      </c>
      <c r="AA8" s="56" t="s">
        <v>137</v>
      </c>
      <c r="AB8" s="60">
        <v>0.30399999999999999</v>
      </c>
      <c r="AC8" s="52" t="s">
        <v>154</v>
      </c>
    </row>
    <row r="9" spans="2:29" s="52" customFormat="1">
      <c r="F9" s="59"/>
      <c r="G9" s="59"/>
      <c r="H9" s="59"/>
      <c r="U9" s="54"/>
      <c r="V9" s="55"/>
      <c r="AB9" s="60"/>
    </row>
    <row r="10" spans="2:29" s="52" customFormat="1">
      <c r="B10" s="52" t="s">
        <v>167</v>
      </c>
      <c r="C10" s="52" t="s">
        <v>165</v>
      </c>
      <c r="F10" s="59">
        <v>1.05</v>
      </c>
      <c r="G10" s="59">
        <v>1.05</v>
      </c>
      <c r="H10" s="59">
        <v>1.05</v>
      </c>
      <c r="I10" s="52" t="s">
        <v>44</v>
      </c>
      <c r="J10" s="52">
        <v>1024</v>
      </c>
      <c r="K10" s="52" t="s">
        <v>101</v>
      </c>
      <c r="L10" s="52" t="s">
        <v>7</v>
      </c>
      <c r="M10" s="52">
        <v>298</v>
      </c>
      <c r="N10" s="52">
        <v>1</v>
      </c>
      <c r="O10" s="53" t="s">
        <v>57</v>
      </c>
      <c r="P10" s="52">
        <v>1</v>
      </c>
      <c r="Q10" s="52">
        <v>5</v>
      </c>
      <c r="R10" s="52">
        <f t="shared" ref="R10" si="2">1000000*Q10/P10</f>
        <v>5000000</v>
      </c>
      <c r="U10" s="54"/>
      <c r="V10" s="55">
        <v>40.869</v>
      </c>
      <c r="W10" s="52" t="s">
        <v>23</v>
      </c>
      <c r="X10" s="52" t="s">
        <v>137</v>
      </c>
      <c r="Y10" s="52">
        <v>787.04600000000005</v>
      </c>
      <c r="Z10" s="52" t="s">
        <v>26</v>
      </c>
      <c r="AA10" s="56" t="s">
        <v>137</v>
      </c>
      <c r="AB10" s="60">
        <v>0.31109999999999999</v>
      </c>
      <c r="AC10" s="52" t="s">
        <v>155</v>
      </c>
    </row>
    <row r="11" spans="2:29" s="52" customFormat="1">
      <c r="B11" s="52" t="s">
        <v>171</v>
      </c>
      <c r="C11" s="52" t="s">
        <v>165</v>
      </c>
      <c r="F11" s="58">
        <v>1.05</v>
      </c>
      <c r="G11" s="59">
        <v>1.05</v>
      </c>
      <c r="H11" s="59">
        <v>1</v>
      </c>
      <c r="I11" s="52" t="s">
        <v>44</v>
      </c>
      <c r="J11" s="52">
        <v>1024</v>
      </c>
      <c r="K11" s="52" t="s">
        <v>101</v>
      </c>
      <c r="L11" s="52" t="s">
        <v>7</v>
      </c>
      <c r="M11" s="52">
        <v>298</v>
      </c>
      <c r="N11" s="52">
        <v>1</v>
      </c>
      <c r="O11" s="53" t="s">
        <v>57</v>
      </c>
      <c r="P11" s="52">
        <v>1</v>
      </c>
      <c r="Q11" s="52">
        <v>5</v>
      </c>
      <c r="R11" s="52">
        <f t="shared" ref="R11" si="3">1000000*Q11/P11</f>
        <v>5000000</v>
      </c>
      <c r="U11" s="54"/>
      <c r="V11" s="55"/>
      <c r="W11" s="52" t="s">
        <v>23</v>
      </c>
      <c r="X11" s="52" t="s">
        <v>137</v>
      </c>
      <c r="Z11" s="52" t="s">
        <v>26</v>
      </c>
      <c r="AA11" s="56" t="s">
        <v>137</v>
      </c>
      <c r="AB11" s="60"/>
    </row>
    <row r="12" spans="2:29" s="52" customFormat="1">
      <c r="B12" s="52" t="s">
        <v>170</v>
      </c>
      <c r="C12" s="52" t="s">
        <v>165</v>
      </c>
      <c r="F12" s="59">
        <v>1</v>
      </c>
      <c r="G12" s="59">
        <v>1</v>
      </c>
      <c r="H12" s="59">
        <v>1</v>
      </c>
      <c r="I12" s="52" t="s">
        <v>44</v>
      </c>
      <c r="J12" s="52">
        <v>1024</v>
      </c>
      <c r="K12" s="52" t="s">
        <v>101</v>
      </c>
      <c r="L12" s="52" t="s">
        <v>7</v>
      </c>
      <c r="M12" s="52">
        <v>298</v>
      </c>
      <c r="N12" s="52">
        <v>1</v>
      </c>
      <c r="O12" s="53" t="s">
        <v>57</v>
      </c>
      <c r="P12" s="52">
        <v>1</v>
      </c>
      <c r="Q12" s="52">
        <v>5</v>
      </c>
      <c r="R12" s="52">
        <f t="shared" ref="R12" si="4">1000000*Q12/P12</f>
        <v>5000000</v>
      </c>
      <c r="U12" s="54"/>
      <c r="V12" s="55"/>
      <c r="W12" s="52" t="s">
        <v>23</v>
      </c>
      <c r="X12" s="52" t="s">
        <v>137</v>
      </c>
      <c r="Z12" s="52" t="s">
        <v>26</v>
      </c>
      <c r="AA12" s="56" t="s">
        <v>137</v>
      </c>
      <c r="AB12" s="60"/>
    </row>
    <row r="13" spans="2:29" s="52" customFormat="1">
      <c r="B13" s="53" t="s">
        <v>172</v>
      </c>
      <c r="C13" s="52" t="s">
        <v>165</v>
      </c>
      <c r="F13" s="58">
        <v>1.05</v>
      </c>
      <c r="G13" s="59">
        <v>1.05</v>
      </c>
      <c r="H13" s="59">
        <v>1.05</v>
      </c>
      <c r="I13" s="52" t="s">
        <v>44</v>
      </c>
      <c r="J13" s="52">
        <v>1024</v>
      </c>
      <c r="K13" s="52" t="s">
        <v>101</v>
      </c>
      <c r="L13" s="52" t="s">
        <v>7</v>
      </c>
      <c r="M13" s="52">
        <v>298</v>
      </c>
      <c r="N13" s="52">
        <v>1</v>
      </c>
      <c r="O13" s="53" t="s">
        <v>57</v>
      </c>
      <c r="P13" s="52">
        <v>1</v>
      </c>
      <c r="Q13" s="52">
        <v>5</v>
      </c>
      <c r="R13" s="52">
        <f t="shared" ref="R13:R15" si="5">1000000*Q13/P13</f>
        <v>5000000</v>
      </c>
      <c r="U13" s="54"/>
      <c r="V13" s="55">
        <v>19.827999999999999</v>
      </c>
      <c r="W13" s="52" t="s">
        <v>23</v>
      </c>
      <c r="X13" s="52" t="s">
        <v>137</v>
      </c>
      <c r="Y13" s="52">
        <v>786.56299999999999</v>
      </c>
      <c r="Z13" s="52" t="s">
        <v>26</v>
      </c>
      <c r="AA13" s="56" t="s">
        <v>137</v>
      </c>
      <c r="AB13" s="60">
        <v>0.31119999999999998</v>
      </c>
      <c r="AC13" s="52" t="s">
        <v>156</v>
      </c>
    </row>
    <row r="14" spans="2:29" s="52" customFormat="1">
      <c r="F14" s="59"/>
      <c r="G14" s="59"/>
      <c r="H14" s="59"/>
      <c r="U14" s="54"/>
      <c r="V14" s="55"/>
      <c r="AB14" s="60"/>
    </row>
    <row r="15" spans="2:29" s="52" customFormat="1">
      <c r="B15" s="52" t="s">
        <v>166</v>
      </c>
      <c r="C15" s="52" t="s">
        <v>165</v>
      </c>
      <c r="F15" s="59">
        <v>1</v>
      </c>
      <c r="G15" s="59">
        <v>1</v>
      </c>
      <c r="H15" s="59">
        <v>1</v>
      </c>
      <c r="I15" s="52" t="s">
        <v>44</v>
      </c>
      <c r="J15" s="52">
        <v>1024</v>
      </c>
      <c r="K15" s="52" t="s">
        <v>164</v>
      </c>
      <c r="L15" s="52" t="s">
        <v>7</v>
      </c>
      <c r="N15" s="52">
        <v>1</v>
      </c>
      <c r="P15" s="52">
        <v>1</v>
      </c>
      <c r="Q15" s="52">
        <v>100</v>
      </c>
      <c r="R15" s="52">
        <f t="shared" si="5"/>
        <v>100000000</v>
      </c>
      <c r="U15" s="54"/>
      <c r="V15" s="55"/>
      <c r="AB15" s="60"/>
    </row>
    <row r="17" spans="2:29" s="20" customFormat="1">
      <c r="B17" s="20" t="s">
        <v>173</v>
      </c>
      <c r="F17" s="24"/>
      <c r="G17" s="24"/>
      <c r="H17" s="24"/>
      <c r="U17" s="27"/>
      <c r="V17" s="49"/>
      <c r="X17" s="31"/>
      <c r="AA17" s="31"/>
      <c r="AB17" s="39"/>
    </row>
    <row r="18" spans="2:29" s="77" customFormat="1">
      <c r="F18" s="76"/>
      <c r="G18" s="76"/>
      <c r="H18" s="76"/>
      <c r="U18" s="78"/>
      <c r="V18" s="79"/>
      <c r="AB18" s="80"/>
    </row>
    <row r="19" spans="2:29" s="77" customFormat="1">
      <c r="B19" s="77" t="s">
        <v>221</v>
      </c>
      <c r="C19" s="77" t="s">
        <v>220</v>
      </c>
      <c r="D19" s="77" t="s">
        <v>229</v>
      </c>
      <c r="E19" s="77" t="s">
        <v>222</v>
      </c>
      <c r="F19" s="76">
        <v>1.05</v>
      </c>
      <c r="G19" s="76">
        <v>1.05</v>
      </c>
      <c r="H19" s="76">
        <v>1</v>
      </c>
      <c r="I19" s="77" t="s">
        <v>44</v>
      </c>
      <c r="J19" s="77">
        <v>1024</v>
      </c>
      <c r="M19" s="77">
        <v>298</v>
      </c>
      <c r="N19" s="77">
        <v>1</v>
      </c>
      <c r="U19" s="78"/>
      <c r="V19" s="79"/>
      <c r="AB19" s="80"/>
    </row>
    <row r="20" spans="2:29" s="77" customFormat="1">
      <c r="B20" s="77" t="s">
        <v>223</v>
      </c>
      <c r="C20" s="77" t="s">
        <v>165</v>
      </c>
      <c r="E20" s="77" t="s">
        <v>222</v>
      </c>
      <c r="F20" s="76">
        <v>1.05</v>
      </c>
      <c r="G20" s="76">
        <v>1.05</v>
      </c>
      <c r="H20" s="76">
        <v>1</v>
      </c>
      <c r="I20" s="77" t="s">
        <v>44</v>
      </c>
      <c r="J20" s="77">
        <v>1024</v>
      </c>
      <c r="M20" s="77">
        <v>298</v>
      </c>
      <c r="N20" s="77">
        <v>1</v>
      </c>
      <c r="U20" s="78"/>
      <c r="V20" s="79"/>
      <c r="AB20" s="80"/>
    </row>
    <row r="21" spans="2:29" s="77" customFormat="1">
      <c r="F21" s="76"/>
      <c r="G21" s="76"/>
      <c r="H21" s="76"/>
      <c r="U21" s="78"/>
      <c r="V21" s="79"/>
      <c r="AB21" s="80"/>
    </row>
    <row r="22" spans="2:29" s="77" customFormat="1">
      <c r="C22" s="77" t="s">
        <v>220</v>
      </c>
      <c r="D22" s="77" t="s">
        <v>229</v>
      </c>
      <c r="E22" s="77" t="s">
        <v>224</v>
      </c>
      <c r="F22" s="76">
        <v>1.05</v>
      </c>
      <c r="G22" s="76">
        <v>1.05</v>
      </c>
      <c r="H22" s="76">
        <v>1</v>
      </c>
      <c r="I22" s="77" t="s">
        <v>44</v>
      </c>
      <c r="J22" s="77">
        <v>1024</v>
      </c>
      <c r="M22" s="77">
        <v>298</v>
      </c>
      <c r="N22" s="77">
        <v>1</v>
      </c>
      <c r="U22" s="78"/>
      <c r="V22" s="79"/>
      <c r="AB22" s="80"/>
      <c r="AC22" s="77" t="s">
        <v>225</v>
      </c>
    </row>
    <row r="23" spans="2:29" s="77" customFormat="1">
      <c r="C23" s="77" t="s">
        <v>165</v>
      </c>
      <c r="E23" s="77" t="s">
        <v>224</v>
      </c>
      <c r="F23" s="76">
        <v>1.05</v>
      </c>
      <c r="G23" s="76">
        <v>1.05</v>
      </c>
      <c r="H23" s="76">
        <v>1</v>
      </c>
      <c r="I23" s="77" t="s">
        <v>44</v>
      </c>
      <c r="J23" s="77">
        <v>1024</v>
      </c>
      <c r="M23" s="77">
        <v>298</v>
      </c>
      <c r="N23" s="77">
        <v>1</v>
      </c>
      <c r="U23" s="78"/>
      <c r="V23" s="79"/>
      <c r="AB23" s="80"/>
      <c r="AC23" s="77" t="s">
        <v>226</v>
      </c>
    </row>
    <row r="24" spans="2:29" s="77" customFormat="1">
      <c r="F24" s="76"/>
      <c r="G24" s="76"/>
      <c r="H24" s="76"/>
      <c r="U24" s="78"/>
      <c r="V24" s="79"/>
      <c r="AB24" s="80"/>
    </row>
    <row r="25" spans="2:29" s="77" customFormat="1">
      <c r="B25" s="77" t="s">
        <v>232</v>
      </c>
      <c r="C25" s="77" t="s">
        <v>220</v>
      </c>
      <c r="D25" s="77" t="s">
        <v>230</v>
      </c>
      <c r="E25" s="77" t="s">
        <v>224</v>
      </c>
      <c r="F25" s="76">
        <v>1.05</v>
      </c>
      <c r="G25" s="76">
        <v>1.05</v>
      </c>
      <c r="H25" s="76">
        <v>1</v>
      </c>
      <c r="I25" s="77" t="s">
        <v>44</v>
      </c>
      <c r="J25" s="77">
        <v>1024</v>
      </c>
      <c r="M25" s="77">
        <v>298</v>
      </c>
      <c r="N25" s="77">
        <v>1</v>
      </c>
      <c r="U25" s="78"/>
      <c r="V25" s="79"/>
      <c r="AB25" s="80"/>
      <c r="AC25" s="77" t="s">
        <v>234</v>
      </c>
    </row>
    <row r="26" spans="2:29" s="77" customFormat="1">
      <c r="B26" s="77" t="s">
        <v>233</v>
      </c>
      <c r="C26" s="77" t="s">
        <v>165</v>
      </c>
      <c r="E26" s="77" t="s">
        <v>224</v>
      </c>
      <c r="F26" s="76">
        <v>1.05</v>
      </c>
      <c r="G26" s="76">
        <v>1.05</v>
      </c>
      <c r="H26" s="76">
        <v>1</v>
      </c>
      <c r="I26" s="77" t="s">
        <v>44</v>
      </c>
      <c r="J26" s="77">
        <v>1024</v>
      </c>
      <c r="M26" s="77">
        <v>298</v>
      </c>
      <c r="N26" s="77">
        <v>1</v>
      </c>
      <c r="U26" s="78"/>
      <c r="V26" s="79"/>
      <c r="AB26" s="80"/>
      <c r="AC26" s="77" t="s">
        <v>235</v>
      </c>
    </row>
    <row r="27" spans="2:29" s="77" customFormat="1">
      <c r="F27" s="76"/>
      <c r="G27" s="76"/>
      <c r="H27" s="76"/>
      <c r="U27" s="78"/>
      <c r="V27" s="79"/>
      <c r="AB27" s="80"/>
    </row>
    <row r="28" spans="2:29" s="77" customFormat="1">
      <c r="B28" s="77" t="s">
        <v>236</v>
      </c>
      <c r="C28" s="77">
        <v>4</v>
      </c>
      <c r="F28" s="76"/>
      <c r="G28" s="76"/>
      <c r="H28" s="76"/>
      <c r="U28" s="78"/>
      <c r="V28" s="79"/>
      <c r="AB28" s="80"/>
      <c r="AC28" s="77" t="s">
        <v>237</v>
      </c>
    </row>
    <row r="29" spans="2:29" s="77" customFormat="1">
      <c r="F29" s="76"/>
      <c r="G29" s="76"/>
      <c r="H29" s="76"/>
      <c r="U29" s="78"/>
      <c r="V29" s="79"/>
      <c r="AB29" s="80"/>
    </row>
    <row r="30" spans="2:29" s="77" customFormat="1">
      <c r="B30" s="77" t="s">
        <v>241</v>
      </c>
      <c r="C30" s="77">
        <v>4</v>
      </c>
      <c r="D30" s="77" t="s">
        <v>230</v>
      </c>
      <c r="E30" s="77" t="s">
        <v>224</v>
      </c>
      <c r="F30" s="76">
        <v>0.8</v>
      </c>
      <c r="G30" s="76">
        <v>0.8</v>
      </c>
      <c r="H30" s="76">
        <v>0.8</v>
      </c>
      <c r="I30" s="77" t="s">
        <v>44</v>
      </c>
      <c r="J30" s="77">
        <v>1024</v>
      </c>
      <c r="M30" s="77">
        <v>298</v>
      </c>
      <c r="N30" s="77">
        <v>1</v>
      </c>
      <c r="U30" s="78"/>
      <c r="V30" s="79"/>
      <c r="AB30" s="80"/>
      <c r="AC30" s="77" t="s">
        <v>240</v>
      </c>
    </row>
    <row r="31" spans="2:29" s="77" customFormat="1">
      <c r="B31" s="77" t="s">
        <v>244</v>
      </c>
      <c r="F31" s="76"/>
      <c r="G31" s="76"/>
      <c r="H31" s="76"/>
      <c r="U31" s="78"/>
      <c r="V31" s="79"/>
      <c r="AB31" s="80"/>
    </row>
    <row r="32" spans="2:29" s="77" customFormat="1">
      <c r="F32" s="76"/>
      <c r="G32" s="76"/>
      <c r="H32" s="76"/>
      <c r="U32" s="78"/>
      <c r="V32" s="79"/>
      <c r="AB32" s="80"/>
    </row>
    <row r="33" spans="2:28" s="77" customFormat="1">
      <c r="B33" s="77" t="s">
        <v>242</v>
      </c>
      <c r="F33" s="76"/>
      <c r="G33" s="76"/>
      <c r="H33" s="76"/>
      <c r="U33" s="78"/>
      <c r="V33" s="79"/>
      <c r="AB33" s="80"/>
    </row>
    <row r="34" spans="2:28" s="77" customFormat="1">
      <c r="F34" s="76"/>
      <c r="G34" s="76"/>
      <c r="H34" s="76"/>
      <c r="U34" s="78"/>
      <c r="V34" s="79"/>
      <c r="AB34" s="80"/>
    </row>
    <row r="35" spans="2:28" s="77" customFormat="1">
      <c r="F35" s="76"/>
      <c r="G35" s="76"/>
      <c r="H35" s="76"/>
      <c r="U35" s="78"/>
      <c r="V35" s="79"/>
      <c r="AB35" s="80"/>
    </row>
    <row r="36" spans="2:28" s="77" customFormat="1">
      <c r="F36" s="76"/>
      <c r="G36" s="76"/>
      <c r="H36" s="76"/>
      <c r="U36" s="78"/>
      <c r="V36" s="79"/>
      <c r="AB36" s="80"/>
    </row>
    <row r="37" spans="2:28" s="77" customFormat="1">
      <c r="F37" s="76"/>
      <c r="G37" s="76"/>
      <c r="H37" s="76"/>
      <c r="U37" s="78"/>
      <c r="V37" s="79"/>
      <c r="AB37" s="80"/>
    </row>
    <row r="38" spans="2:28" s="77" customFormat="1">
      <c r="F38" s="76"/>
      <c r="G38" s="76"/>
      <c r="H38" s="76"/>
      <c r="U38" s="78"/>
      <c r="V38" s="79"/>
      <c r="AB38" s="80"/>
    </row>
    <row r="39" spans="2:28" s="77" customFormat="1">
      <c r="F39" s="76"/>
      <c r="G39" s="76"/>
      <c r="H39" s="76"/>
      <c r="U39" s="78"/>
      <c r="V39" s="79"/>
      <c r="AB39" s="80"/>
    </row>
    <row r="40" spans="2:28" s="77" customFormat="1">
      <c r="F40" s="76"/>
      <c r="G40" s="76"/>
      <c r="H40" s="76"/>
      <c r="U40" s="78"/>
      <c r="V40" s="79"/>
      <c r="AB40" s="80"/>
    </row>
    <row r="41" spans="2:28" s="77" customFormat="1">
      <c r="F41" s="76"/>
      <c r="G41" s="76"/>
      <c r="H41" s="76"/>
      <c r="U41" s="78"/>
      <c r="V41" s="79"/>
      <c r="AB41" s="80"/>
    </row>
    <row r="42" spans="2:28" s="77" customFormat="1">
      <c r="F42" s="76"/>
      <c r="G42" s="76"/>
      <c r="H42" s="76"/>
      <c r="U42" s="78"/>
      <c r="V42" s="79"/>
      <c r="AB42" s="80"/>
    </row>
    <row r="43" spans="2:28" s="77" customFormat="1">
      <c r="F43" s="76"/>
      <c r="G43" s="76"/>
      <c r="H43" s="76"/>
      <c r="U43" s="78"/>
      <c r="V43" s="79"/>
      <c r="AB43" s="80"/>
    </row>
    <row r="44" spans="2:28" s="77" customFormat="1">
      <c r="F44" s="76"/>
      <c r="G44" s="76"/>
      <c r="H44" s="76"/>
      <c r="U44" s="78"/>
      <c r="V44" s="79"/>
      <c r="AB44" s="80"/>
    </row>
    <row r="45" spans="2:28" s="77" customFormat="1">
      <c r="F45" s="76"/>
      <c r="G45" s="76"/>
      <c r="H45" s="76"/>
      <c r="U45" s="78"/>
      <c r="V45" s="79"/>
      <c r="AB45" s="80"/>
    </row>
    <row r="46" spans="2:28" s="77" customFormat="1">
      <c r="F46" s="76"/>
      <c r="G46" s="76"/>
      <c r="H46" s="76"/>
      <c r="U46" s="78"/>
      <c r="V46" s="79"/>
      <c r="AB46" s="80"/>
    </row>
    <row r="47" spans="2:28" s="77" customFormat="1">
      <c r="F47" s="76"/>
      <c r="G47" s="76"/>
      <c r="H47" s="76"/>
      <c r="U47" s="78"/>
      <c r="V47" s="79"/>
      <c r="AB47" s="80"/>
    </row>
    <row r="48" spans="2:28" s="77" customFormat="1">
      <c r="F48" s="76"/>
      <c r="G48" s="76"/>
      <c r="H48" s="76"/>
      <c r="U48" s="78"/>
      <c r="V48" s="79"/>
      <c r="AB48" s="80"/>
    </row>
    <row r="49" spans="6:28" s="77" customFormat="1">
      <c r="F49" s="76"/>
      <c r="G49" s="76"/>
      <c r="H49" s="76"/>
      <c r="U49" s="78"/>
      <c r="V49" s="79"/>
      <c r="AB49" s="80"/>
    </row>
    <row r="50" spans="6:28" s="77" customFormat="1">
      <c r="F50" s="76"/>
      <c r="G50" s="76"/>
      <c r="H50" s="76"/>
      <c r="U50" s="78"/>
      <c r="V50" s="79"/>
      <c r="AB50" s="80"/>
    </row>
  </sheetData>
  <mergeCells count="2">
    <mergeCell ref="S3:U3"/>
    <mergeCell ref="W3:A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1:K43"/>
  <sheetViews>
    <sheetView tabSelected="1" workbookViewId="0">
      <selection activeCell="F33" sqref="F33"/>
    </sheetView>
  </sheetViews>
  <sheetFormatPr defaultRowHeight="15.75"/>
  <cols>
    <col min="1" max="1" width="9" style="19"/>
    <col min="2" max="2" width="17.5" style="19" customWidth="1"/>
    <col min="3" max="3" width="9" style="19"/>
    <col min="4" max="4" width="9" style="34"/>
    <col min="5" max="16384" width="9" style="19"/>
  </cols>
  <sheetData>
    <row r="1" spans="2:11">
      <c r="G1" s="19" t="s">
        <v>74</v>
      </c>
    </row>
    <row r="2" spans="2:11">
      <c r="E2" s="19" t="s">
        <v>26</v>
      </c>
      <c r="F2" s="87" t="s">
        <v>24</v>
      </c>
      <c r="G2" s="19" t="s">
        <v>248</v>
      </c>
      <c r="H2" s="19" t="s">
        <v>249</v>
      </c>
      <c r="J2" s="50" t="s">
        <v>250</v>
      </c>
    </row>
    <row r="3" spans="2:11">
      <c r="B3" s="19" t="s">
        <v>246</v>
      </c>
      <c r="C3" s="19" t="s">
        <v>44</v>
      </c>
      <c r="D3" s="19"/>
    </row>
    <row r="4" spans="2:11">
      <c r="C4" s="19" t="s">
        <v>43</v>
      </c>
    </row>
    <row r="5" spans="2:11">
      <c r="C5" s="19" t="s">
        <v>35</v>
      </c>
    </row>
    <row r="7" spans="2:11">
      <c r="C7" s="81" t="s">
        <v>251</v>
      </c>
      <c r="D7" s="81"/>
      <c r="E7" s="81"/>
      <c r="F7" s="81"/>
      <c r="H7" s="81" t="s">
        <v>252</v>
      </c>
      <c r="I7" s="81"/>
      <c r="J7" s="81"/>
      <c r="K7" s="90"/>
    </row>
    <row r="8" spans="2:11" s="20" customFormat="1">
      <c r="D8" s="89" t="s">
        <v>245</v>
      </c>
      <c r="E8" s="20" t="s">
        <v>26</v>
      </c>
      <c r="F8" s="88" t="s">
        <v>23</v>
      </c>
      <c r="H8" s="89" t="s">
        <v>245</v>
      </c>
      <c r="I8" s="20" t="s">
        <v>26</v>
      </c>
      <c r="J8" s="88" t="s">
        <v>23</v>
      </c>
    </row>
    <row r="9" spans="2:11">
      <c r="B9" s="19" t="s">
        <v>247</v>
      </c>
      <c r="C9" s="19" t="s">
        <v>44</v>
      </c>
      <c r="D9" s="34">
        <v>0.01</v>
      </c>
      <c r="H9" s="19">
        <v>1.4E-2</v>
      </c>
    </row>
    <row r="10" spans="2:11">
      <c r="D10" s="34">
        <v>1.2E-2</v>
      </c>
      <c r="H10" s="19">
        <v>1.4999999999999999E-2</v>
      </c>
    </row>
    <row r="11" spans="2:11">
      <c r="D11" s="34">
        <v>1.4E-2</v>
      </c>
      <c r="H11" s="19">
        <v>1.6E-2</v>
      </c>
    </row>
    <row r="12" spans="2:11">
      <c r="D12" s="34">
        <v>1.6E-2</v>
      </c>
      <c r="H12" s="19">
        <v>1.7000000000000001E-2</v>
      </c>
    </row>
    <row r="13" spans="2:11">
      <c r="D13" s="34">
        <v>1.7999999999999999E-2</v>
      </c>
      <c r="H13" s="19">
        <v>1.7999999999999999E-2</v>
      </c>
    </row>
    <row r="14" spans="2:11">
      <c r="D14" s="34">
        <v>0.02</v>
      </c>
      <c r="H14" s="19">
        <v>1.9E-2</v>
      </c>
    </row>
    <row r="15" spans="2:11">
      <c r="D15" s="34">
        <v>2.1999999999999999E-2</v>
      </c>
      <c r="H15" s="19">
        <v>0.02</v>
      </c>
    </row>
    <row r="16" spans="2:11">
      <c r="D16" s="34">
        <v>2.4E-2</v>
      </c>
      <c r="H16" s="19">
        <v>2.1000000000000001E-2</v>
      </c>
    </row>
    <row r="17" spans="3:8">
      <c r="D17" s="34">
        <v>2.5999999999999999E-2</v>
      </c>
      <c r="H17" s="19">
        <v>2.1999999999999999E-2</v>
      </c>
    </row>
    <row r="18" spans="3:8">
      <c r="D18" s="34">
        <v>2.8000000000000001E-2</v>
      </c>
      <c r="H18" s="19">
        <v>2.3E-2</v>
      </c>
    </row>
    <row r="19" spans="3:8">
      <c r="D19" s="34">
        <v>0.03</v>
      </c>
      <c r="H19" s="19">
        <v>2.4E-2</v>
      </c>
    </row>
    <row r="21" spans="3:8">
      <c r="C21" s="19" t="s">
        <v>43</v>
      </c>
      <c r="D21" s="34">
        <v>0.01</v>
      </c>
    </row>
    <row r="22" spans="3:8">
      <c r="D22" s="34">
        <v>1.2E-2</v>
      </c>
    </row>
    <row r="23" spans="3:8">
      <c r="D23" s="34">
        <v>1.4E-2</v>
      </c>
    </row>
    <row r="24" spans="3:8">
      <c r="D24" s="34">
        <v>1.6E-2</v>
      </c>
    </row>
    <row r="25" spans="3:8">
      <c r="D25" s="34">
        <v>1.7999999999999999E-2</v>
      </c>
    </row>
    <row r="26" spans="3:8">
      <c r="D26" s="34">
        <v>0.02</v>
      </c>
    </row>
    <row r="27" spans="3:8">
      <c r="D27" s="34">
        <v>2.1999999999999999E-2</v>
      </c>
    </row>
    <row r="28" spans="3:8">
      <c r="D28" s="34">
        <v>2.4E-2</v>
      </c>
    </row>
    <row r="29" spans="3:8">
      <c r="D29" s="34">
        <v>2.5999999999999999E-2</v>
      </c>
    </row>
    <row r="30" spans="3:8">
      <c r="D30" s="34">
        <v>2.8000000000000001E-2</v>
      </c>
    </row>
    <row r="31" spans="3:8">
      <c r="D31" s="34">
        <v>0.03</v>
      </c>
    </row>
    <row r="33" spans="3:4">
      <c r="C33" s="19" t="s">
        <v>35</v>
      </c>
      <c r="D33" s="34">
        <v>0.01</v>
      </c>
    </row>
    <row r="34" spans="3:4">
      <c r="D34" s="34">
        <v>1.2E-2</v>
      </c>
    </row>
    <row r="35" spans="3:4">
      <c r="D35" s="34">
        <v>1.4E-2</v>
      </c>
    </row>
    <row r="36" spans="3:4">
      <c r="D36" s="34">
        <v>1.6E-2</v>
      </c>
    </row>
    <row r="37" spans="3:4">
      <c r="D37" s="34">
        <v>1.7999999999999999E-2</v>
      </c>
    </row>
    <row r="38" spans="3:4">
      <c r="D38" s="34">
        <v>0.02</v>
      </c>
    </row>
    <row r="39" spans="3:4">
      <c r="D39" s="34">
        <v>2.1999999999999999E-2</v>
      </c>
    </row>
    <row r="40" spans="3:4">
      <c r="D40" s="34">
        <v>2.4E-2</v>
      </c>
    </row>
    <row r="41" spans="3:4">
      <c r="D41" s="34">
        <v>2.5999999999999999E-2</v>
      </c>
    </row>
    <row r="42" spans="3:4">
      <c r="D42" s="34">
        <v>2.8000000000000001E-2</v>
      </c>
    </row>
    <row r="43" spans="3:4">
      <c r="D43" s="34">
        <v>0.03</v>
      </c>
    </row>
  </sheetData>
  <mergeCells count="2">
    <mergeCell ref="C7:F7"/>
    <mergeCell ref="H7:J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409B-F542-984C-90DD-63A5E341973F}">
  <dimension ref="B2:Y9"/>
  <sheetViews>
    <sheetView topLeftCell="N1" workbookViewId="0">
      <selection activeCell="X13" sqref="X13"/>
    </sheetView>
  </sheetViews>
  <sheetFormatPr defaultColWidth="10.875" defaultRowHeight="15.75"/>
  <cols>
    <col min="1" max="1" width="3.875" style="19" customWidth="1"/>
    <col min="2" max="2" width="58.5" style="19" customWidth="1"/>
    <col min="3" max="3" width="12" style="19" customWidth="1"/>
    <col min="4" max="4" width="11.125" style="19" customWidth="1"/>
    <col min="5" max="5" width="8.375" style="19" customWidth="1"/>
    <col min="6" max="6" width="18" style="19" customWidth="1"/>
    <col min="7" max="12" width="10.875" style="19"/>
    <col min="13" max="13" width="11.125" style="19" bestFit="1" customWidth="1"/>
    <col min="14" max="14" width="12.875" style="19" customWidth="1"/>
    <col min="15" max="15" width="10.5" style="19" customWidth="1"/>
    <col min="16" max="16" width="8.375" style="26" customWidth="1"/>
    <col min="17" max="17" width="10.875" style="48"/>
    <col min="18" max="18" width="9" style="19" customWidth="1"/>
    <col min="19" max="19" width="9" style="32" customWidth="1"/>
    <col min="20" max="21" width="9" style="19" customWidth="1"/>
    <col min="22" max="22" width="9" style="32" customWidth="1"/>
    <col min="23" max="23" width="9" style="38" customWidth="1"/>
    <col min="24" max="24" width="47" style="19" customWidth="1"/>
    <col min="25" max="25" width="34" style="19" customWidth="1"/>
    <col min="26" max="16384" width="10.875" style="19"/>
  </cols>
  <sheetData>
    <row r="2" spans="2:25">
      <c r="R2"/>
      <c r="S2" s="30"/>
      <c r="T2"/>
      <c r="U2"/>
    </row>
    <row r="3" spans="2:25">
      <c r="L3" s="19" t="s">
        <v>87</v>
      </c>
      <c r="N3" s="81" t="s">
        <v>82</v>
      </c>
      <c r="O3" s="81"/>
      <c r="P3" s="82"/>
      <c r="R3" s="81" t="s">
        <v>103</v>
      </c>
      <c r="S3" s="81"/>
      <c r="T3" s="81"/>
      <c r="U3" s="81"/>
      <c r="V3" s="81"/>
      <c r="W3" s="81"/>
      <c r="X3" s="81"/>
    </row>
    <row r="4" spans="2:25" s="20" customFormat="1">
      <c r="B4" s="20" t="s">
        <v>81</v>
      </c>
      <c r="C4" s="20" t="s">
        <v>159</v>
      </c>
      <c r="D4" s="20" t="s">
        <v>93</v>
      </c>
      <c r="E4" s="20" t="s">
        <v>64</v>
      </c>
      <c r="F4" s="20" t="s">
        <v>0</v>
      </c>
      <c r="G4" s="20" t="s">
        <v>1</v>
      </c>
      <c r="H4" s="20" t="s">
        <v>84</v>
      </c>
      <c r="I4" s="20" t="s">
        <v>85</v>
      </c>
      <c r="J4" s="20" t="s">
        <v>91</v>
      </c>
      <c r="K4" s="20" t="s">
        <v>89</v>
      </c>
      <c r="L4" s="20" t="s">
        <v>86</v>
      </c>
      <c r="M4" s="20" t="s">
        <v>88</v>
      </c>
      <c r="N4" s="20" t="s">
        <v>97</v>
      </c>
      <c r="O4" s="20" t="s">
        <v>98</v>
      </c>
      <c r="P4" s="27" t="s">
        <v>94</v>
      </c>
      <c r="Q4" s="49" t="s">
        <v>142</v>
      </c>
      <c r="R4" s="20" t="s">
        <v>104</v>
      </c>
      <c r="S4" s="31" t="s">
        <v>106</v>
      </c>
      <c r="T4" s="20" t="s">
        <v>105</v>
      </c>
      <c r="U4" s="20" t="s">
        <v>104</v>
      </c>
      <c r="V4" s="31" t="s">
        <v>106</v>
      </c>
      <c r="W4" s="39" t="s">
        <v>105</v>
      </c>
      <c r="X4" s="20" t="s">
        <v>5</v>
      </c>
      <c r="Y4" s="20" t="s">
        <v>5</v>
      </c>
    </row>
    <row r="5" spans="2:25">
      <c r="B5" s="19" t="s">
        <v>157</v>
      </c>
      <c r="C5" s="19" t="s">
        <v>160</v>
      </c>
      <c r="D5" s="19" t="s">
        <v>44</v>
      </c>
      <c r="E5" s="19">
        <v>1024</v>
      </c>
      <c r="F5" s="19" t="s">
        <v>101</v>
      </c>
      <c r="G5" s="19" t="s">
        <v>7</v>
      </c>
      <c r="H5" s="19">
        <v>298</v>
      </c>
      <c r="I5" s="19">
        <v>1</v>
      </c>
      <c r="J5" s="25" t="s">
        <v>57</v>
      </c>
      <c r="K5" s="19">
        <v>1</v>
      </c>
      <c r="L5" s="19">
        <v>5</v>
      </c>
      <c r="M5" s="19">
        <f t="shared" ref="M5" si="0">1000000*L5/K5</f>
        <v>5000000</v>
      </c>
      <c r="Q5" s="48">
        <v>41.469000000000001</v>
      </c>
      <c r="R5" s="19" t="s">
        <v>23</v>
      </c>
      <c r="S5" s="32" t="s">
        <v>137</v>
      </c>
      <c r="T5" s="19">
        <v>775.06899999999996</v>
      </c>
      <c r="U5" s="19" t="s">
        <v>26</v>
      </c>
      <c r="V5" s="33" t="s">
        <v>137</v>
      </c>
      <c r="W5" s="38">
        <v>0.2656</v>
      </c>
      <c r="X5" s="25" t="s">
        <v>158</v>
      </c>
      <c r="Y5" s="19" t="s">
        <v>169</v>
      </c>
    </row>
    <row r="6" spans="2:25">
      <c r="C6" s="19" t="s">
        <v>161</v>
      </c>
      <c r="D6" s="19" t="s">
        <v>44</v>
      </c>
      <c r="E6" s="19">
        <v>1024</v>
      </c>
      <c r="F6" s="19" t="s">
        <v>101</v>
      </c>
      <c r="G6" s="19" t="s">
        <v>7</v>
      </c>
      <c r="H6" s="19">
        <v>298</v>
      </c>
      <c r="I6" s="19">
        <v>1</v>
      </c>
      <c r="J6" s="25" t="s">
        <v>57</v>
      </c>
      <c r="K6" s="19">
        <v>1</v>
      </c>
      <c r="L6" s="19">
        <v>5</v>
      </c>
      <c r="M6" s="19">
        <f t="shared" ref="M6" si="1">1000000*L6/K6</f>
        <v>5000000</v>
      </c>
      <c r="Q6" s="48">
        <v>40.271000000000001</v>
      </c>
      <c r="R6" s="19" t="s">
        <v>23</v>
      </c>
      <c r="S6" s="32" t="s">
        <v>137</v>
      </c>
      <c r="T6" s="19">
        <v>790.25</v>
      </c>
      <c r="U6" s="19" t="s">
        <v>26</v>
      </c>
      <c r="V6" s="33" t="s">
        <v>137</v>
      </c>
      <c r="W6" s="38">
        <v>0.1439</v>
      </c>
      <c r="X6" s="19" t="s">
        <v>163</v>
      </c>
    </row>
    <row r="9" spans="2:25">
      <c r="B9" s="19" t="s">
        <v>162</v>
      </c>
      <c r="C9" s="19" t="s">
        <v>160</v>
      </c>
      <c r="D9" s="19" t="s">
        <v>44</v>
      </c>
      <c r="E9" s="19">
        <v>1024</v>
      </c>
      <c r="F9" s="19" t="s">
        <v>164</v>
      </c>
      <c r="G9" s="19" t="s">
        <v>7</v>
      </c>
      <c r="H9" s="25" t="s">
        <v>57</v>
      </c>
      <c r="I9" s="19">
        <v>1</v>
      </c>
      <c r="J9" s="25" t="s">
        <v>57</v>
      </c>
      <c r="K9" s="19">
        <v>1</v>
      </c>
      <c r="L9" s="19">
        <v>100</v>
      </c>
      <c r="M9" s="19">
        <v>100000000</v>
      </c>
      <c r="N9" s="19" t="s">
        <v>95</v>
      </c>
      <c r="O9" s="19" t="s">
        <v>96</v>
      </c>
      <c r="P9" s="19">
        <v>1</v>
      </c>
    </row>
  </sheetData>
  <mergeCells count="2">
    <mergeCell ref="N3:P3"/>
    <mergeCell ref="R3:X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9"/>
  <sheetViews>
    <sheetView workbookViewId="0">
      <selection activeCell="K6" sqref="K6"/>
    </sheetView>
  </sheetViews>
  <sheetFormatPr defaultColWidth="10.875" defaultRowHeight="15.75"/>
  <cols>
    <col min="1" max="7" width="10.875" style="19"/>
    <col min="8" max="8" width="10.875" style="21"/>
    <col min="9" max="10" width="10.875" style="23"/>
    <col min="11" max="11" width="10.875" style="28"/>
    <col min="12" max="16384" width="10.875" style="19"/>
  </cols>
  <sheetData>
    <row r="1" spans="2:11">
      <c r="D1" s="19" t="s">
        <v>69</v>
      </c>
      <c r="E1" s="19" t="s">
        <v>68</v>
      </c>
      <c r="G1" s="19" t="s">
        <v>74</v>
      </c>
      <c r="H1" s="21" t="s">
        <v>72</v>
      </c>
      <c r="J1" s="23" t="s">
        <v>74</v>
      </c>
      <c r="K1" s="28" t="s">
        <v>75</v>
      </c>
    </row>
    <row r="2" spans="2:11" s="20" customFormat="1">
      <c r="B2" s="20" t="s">
        <v>67</v>
      </c>
      <c r="C2" s="20" t="s">
        <v>64</v>
      </c>
      <c r="D2" s="20" t="s">
        <v>65</v>
      </c>
      <c r="E2" s="20" t="s">
        <v>23</v>
      </c>
      <c r="F2" s="20" t="s">
        <v>66</v>
      </c>
      <c r="G2" s="20" t="s">
        <v>73</v>
      </c>
      <c r="H2" s="22" t="s">
        <v>71</v>
      </c>
      <c r="I2" s="24" t="s">
        <v>70</v>
      </c>
      <c r="J2" s="24" t="s">
        <v>126</v>
      </c>
      <c r="K2" s="29" t="s">
        <v>126</v>
      </c>
    </row>
    <row r="3" spans="2:11">
      <c r="B3" s="19" t="s">
        <v>44</v>
      </c>
      <c r="C3" s="19">
        <v>1024</v>
      </c>
      <c r="D3" s="19">
        <v>0.22639999999999999</v>
      </c>
      <c r="E3" s="7">
        <v>770.1</v>
      </c>
      <c r="F3" s="19">
        <v>0.7</v>
      </c>
      <c r="G3" s="19">
        <v>0.2</v>
      </c>
      <c r="H3" s="21">
        <f>C3*D3/(E3*F3*0.0006022)</f>
        <v>714.15168393046042</v>
      </c>
      <c r="I3" s="23">
        <f>H3^(1/3)</f>
        <v>8.9384762016850914</v>
      </c>
      <c r="J3" s="23">
        <f>H3^(1/3)-G3</f>
        <v>8.7384762016850921</v>
      </c>
      <c r="K3" s="28">
        <f>J3*10</f>
        <v>87.384762016850914</v>
      </c>
    </row>
    <row r="4" spans="2:11">
      <c r="B4" s="19" t="s">
        <v>43</v>
      </c>
      <c r="C4" s="19">
        <v>1024</v>
      </c>
      <c r="D4" s="19">
        <v>0.21240000000000001</v>
      </c>
      <c r="E4" s="7">
        <v>768.5</v>
      </c>
      <c r="F4" s="19">
        <v>1</v>
      </c>
      <c r="G4" s="19">
        <v>0.25</v>
      </c>
      <c r="H4" s="21">
        <f>C4*D4/(E4*F4*0.0006022)</f>
        <v>469.96968608055437</v>
      </c>
      <c r="I4" s="23">
        <f>H4^(1/3)</f>
        <v>7.7748129376349988</v>
      </c>
      <c r="J4" s="23">
        <f>H4^(1/3)-G4</f>
        <v>7.5248129376349988</v>
      </c>
      <c r="K4" s="28">
        <f>J4*10</f>
        <v>75.248129376349993</v>
      </c>
    </row>
    <row r="6" spans="2:11">
      <c r="B6" s="19" t="s">
        <v>35</v>
      </c>
      <c r="C6" s="19">
        <v>2048</v>
      </c>
      <c r="D6" s="19">
        <v>0.1142</v>
      </c>
      <c r="E6" s="7">
        <v>698.6</v>
      </c>
      <c r="F6" s="19">
        <v>1</v>
      </c>
      <c r="G6" s="19">
        <v>0.2</v>
      </c>
      <c r="H6" s="21">
        <f>C6*D6/(E6*F6*0.0006022)</f>
        <v>555.93846515443943</v>
      </c>
      <c r="I6" s="23">
        <f>H6^(1/3)</f>
        <v>8.2225951532387516</v>
      </c>
      <c r="J6" s="23">
        <f>H6^(1/3)-G6</f>
        <v>8.0225951532387523</v>
      </c>
      <c r="K6" s="28">
        <f>J6*10</f>
        <v>80.225951532387526</v>
      </c>
    </row>
    <row r="7" spans="2:11">
      <c r="B7" s="19" t="s">
        <v>34</v>
      </c>
      <c r="C7" s="19">
        <v>2048</v>
      </c>
      <c r="D7" s="19">
        <v>0.1002</v>
      </c>
      <c r="E7" s="7">
        <v>679.5</v>
      </c>
      <c r="F7" s="19">
        <v>1</v>
      </c>
      <c r="G7" s="19">
        <v>0.25</v>
      </c>
      <c r="H7" s="21">
        <f>C7*D7/(E7*F7*0.0006022)</f>
        <v>501.49598638692709</v>
      </c>
      <c r="I7" s="23">
        <f>H7^(1/3)</f>
        <v>7.9449131462311176</v>
      </c>
      <c r="J7" s="23">
        <f>H7^(1/3)-G7</f>
        <v>7.6949131462311176</v>
      </c>
      <c r="K7" s="28">
        <f>J7*10</f>
        <v>76.949131462311172</v>
      </c>
    </row>
    <row r="9" spans="2:11">
      <c r="E9"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02" zoomScaleNormal="100" workbookViewId="0">
      <selection activeCell="F22" sqref="F22"/>
    </sheetView>
  </sheetViews>
  <sheetFormatPr defaultColWidth="10.875" defaultRowHeight="15.75"/>
  <cols>
    <col min="1" max="4" width="10.875" style="19"/>
    <col min="5" max="5" width="10.875" style="34"/>
    <col min="6" max="6" width="10.875" style="36"/>
    <col min="7" max="7" width="12.125" style="38" bestFit="1" customWidth="1"/>
    <col min="8" max="8" width="12.125" style="34" customWidth="1"/>
    <col min="9" max="9" width="15.625" style="43" customWidth="1"/>
    <col min="10" max="11" width="10.875" style="38"/>
    <col min="12" max="16384" width="10.875" style="19"/>
  </cols>
  <sheetData>
    <row r="1" spans="2:17">
      <c r="I1" s="83" t="s">
        <v>123</v>
      </c>
      <c r="J1" s="83"/>
      <c r="K1" s="83"/>
      <c r="L1" s="83"/>
      <c r="M1" s="83"/>
      <c r="N1" s="83"/>
      <c r="O1" s="83"/>
    </row>
    <row r="2" spans="2:17">
      <c r="C2" s="81" t="s">
        <v>115</v>
      </c>
      <c r="D2" s="81"/>
      <c r="F2" s="36" t="s">
        <v>119</v>
      </c>
      <c r="I2" s="83" t="s">
        <v>121</v>
      </c>
      <c r="J2" s="83"/>
      <c r="K2" s="83"/>
      <c r="L2" s="19" t="s">
        <v>122</v>
      </c>
      <c r="M2" s="19" t="s">
        <v>122</v>
      </c>
    </row>
    <row r="3" spans="2:17" s="20" customFormat="1">
      <c r="B3" s="20" t="s">
        <v>114</v>
      </c>
      <c r="C3" s="20" t="s">
        <v>116</v>
      </c>
      <c r="D3" s="20" t="s">
        <v>117</v>
      </c>
      <c r="E3" s="35" t="s">
        <v>120</v>
      </c>
      <c r="F3" s="37" t="s">
        <v>118</v>
      </c>
      <c r="G3" s="39" t="s">
        <v>91</v>
      </c>
      <c r="H3" s="20" t="s">
        <v>125</v>
      </c>
      <c r="I3" s="42"/>
      <c r="J3" s="40"/>
      <c r="K3" s="40"/>
      <c r="M3" s="20" t="s">
        <v>124</v>
      </c>
    </row>
    <row r="4" spans="2:17">
      <c r="B4" s="19" t="s">
        <v>44</v>
      </c>
      <c r="C4" s="19">
        <v>3.01</v>
      </c>
      <c r="D4" s="19">
        <v>770</v>
      </c>
      <c r="E4" s="34">
        <v>7.8543099999999999</v>
      </c>
      <c r="F4" s="36">
        <f>1/332</f>
        <v>3.0120481927710845E-3</v>
      </c>
      <c r="G4" s="44">
        <f>2*PI()*F4*C4*1000/(D4*E4)</f>
        <v>9.4191023645437116E-3</v>
      </c>
      <c r="H4" s="41">
        <f>D4*E4*E4*(0.000001)/(C4*0.001)</f>
        <v>15.78121026365349</v>
      </c>
    </row>
    <row r="5" spans="2:17">
      <c r="B5" s="19" t="s">
        <v>43</v>
      </c>
      <c r="F5" s="36">
        <f>1/300</f>
        <v>3.3333333333333335E-3</v>
      </c>
      <c r="G5" s="44"/>
      <c r="H5" s="41"/>
    </row>
    <row r="6" spans="2:17">
      <c r="B6" s="19" t="s">
        <v>35</v>
      </c>
      <c r="G6" s="44"/>
      <c r="H6" s="41"/>
    </row>
    <row r="7" spans="2:17">
      <c r="B7" s="19" t="s">
        <v>34</v>
      </c>
      <c r="G7" s="44"/>
      <c r="H7" s="41"/>
    </row>
    <row r="8" spans="2:17">
      <c r="G8" s="44"/>
      <c r="H8" s="41"/>
    </row>
    <row r="9" spans="2:17" s="20" customFormat="1">
      <c r="E9" s="35"/>
      <c r="F9" s="37"/>
      <c r="G9" s="45"/>
      <c r="H9" s="46"/>
      <c r="I9" s="47"/>
      <c r="J9" s="39"/>
      <c r="K9" s="39"/>
    </row>
    <row r="10" spans="2:17">
      <c r="B10" s="19" t="s">
        <v>44</v>
      </c>
      <c r="G10" s="38">
        <v>1E-3</v>
      </c>
      <c r="I10" s="43">
        <f>1000/587.575</f>
        <v>1.7019103944177338</v>
      </c>
      <c r="J10" s="38">
        <f>1000/393.087</f>
        <v>2.5439660940198991</v>
      </c>
      <c r="K10" s="38">
        <f>1000/524.365</f>
        <v>1.9070685495790145</v>
      </c>
      <c r="L10" s="19">
        <f>1000/429.592</f>
        <v>2.3277900892009162</v>
      </c>
      <c r="M10" s="19">
        <f>1000/471.267</f>
        <v>2.1219393677045071</v>
      </c>
      <c r="P10" s="36">
        <f>SUM(I10:O10)/5</f>
        <v>2.1205348989844142</v>
      </c>
    </row>
    <row r="11" spans="2:17">
      <c r="G11" s="38">
        <v>2E-3</v>
      </c>
      <c r="I11" s="43">
        <f>1000/ 539.436</f>
        <v>1.8537880304614447</v>
      </c>
      <c r="J11" s="38">
        <f>1000/427.898</f>
        <v>2.3370055480511711</v>
      </c>
      <c r="K11" s="38">
        <f>1000/482.665</f>
        <v>2.0718303585302436</v>
      </c>
      <c r="L11" s="19">
        <f>1000/425.574</f>
        <v>2.3497676079835705</v>
      </c>
      <c r="M11" s="19">
        <f>1000/450.603</f>
        <v>2.2192484293269241</v>
      </c>
      <c r="P11" s="36">
        <f t="shared" ref="P11:P14" si="0">SUM(I11:O11)/5</f>
        <v>2.1663279948706711</v>
      </c>
    </row>
    <row r="12" spans="2:17">
      <c r="G12" s="38">
        <v>3.0000000000000001E-3</v>
      </c>
      <c r="I12" s="43">
        <f>1000/511.599</f>
        <v>1.9546558926033866</v>
      </c>
      <c r="J12" s="38">
        <f>1000/463.492</f>
        <v>2.1575345421280194</v>
      </c>
      <c r="K12" s="38">
        <f>1000/428.438</f>
        <v>2.3340600040145834</v>
      </c>
      <c r="L12" s="19">
        <f>1000/484.767</f>
        <v>2.0628466871713629</v>
      </c>
      <c r="M12" s="19">
        <f>1000/456.876</f>
        <v>2.1887776989817809</v>
      </c>
      <c r="P12" s="36">
        <f t="shared" si="0"/>
        <v>2.1395749649798268</v>
      </c>
      <c r="Q12" s="36"/>
    </row>
    <row r="13" spans="2:17">
      <c r="G13" s="38">
        <v>6.0000000000000001E-3</v>
      </c>
      <c r="I13" s="43">
        <f>1000/468.013</f>
        <v>2.1366927841747985</v>
      </c>
      <c r="J13" s="38">
        <f>1000/484.467</f>
        <v>2.0641240786266146</v>
      </c>
      <c r="K13" s="38">
        <f>1000/495.902</f>
        <v>2.01652745905441</v>
      </c>
      <c r="L13" s="19">
        <f>1000/476.432</f>
        <v>2.0989354199549988</v>
      </c>
      <c r="M13" s="19">
        <f>1000/480.887</f>
        <v>2.0794906079806692</v>
      </c>
      <c r="P13" s="36">
        <f t="shared" si="0"/>
        <v>2.0791540699582982</v>
      </c>
      <c r="Q13" s="36"/>
    </row>
    <row r="14" spans="2:17">
      <c r="G14" s="38">
        <v>1.2E-2</v>
      </c>
      <c r="I14" s="43">
        <f>1000/561.938</f>
        <v>1.7795557517021452</v>
      </c>
      <c r="J14" s="38">
        <f>1000/567.598</f>
        <v>1.7618102953146417</v>
      </c>
      <c r="K14" s="38">
        <f>1000/573.548</f>
        <v>1.7435332352305299</v>
      </c>
      <c r="L14" s="19">
        <f>1000/580.314</f>
        <v>1.7232050234872847</v>
      </c>
      <c r="M14" s="19">
        <f>1000/559.257</f>
        <v>1.7880866935952524</v>
      </c>
      <c r="P14" s="36">
        <f t="shared" si="0"/>
        <v>1.7592381998659707</v>
      </c>
    </row>
    <row r="15" spans="2:17">
      <c r="I15" s="43" t="s">
        <v>128</v>
      </c>
    </row>
    <row r="16" spans="2:17">
      <c r="I16" s="43" t="s">
        <v>127</v>
      </c>
    </row>
    <row r="17" spans="2:9">
      <c r="B17" s="19" t="s">
        <v>44</v>
      </c>
      <c r="G17" s="38">
        <v>2.5000000000000001E-3</v>
      </c>
      <c r="I17" s="43">
        <f>1000/447.965</f>
        <v>2.232317256928555</v>
      </c>
    </row>
    <row r="18" spans="2:9">
      <c r="G18" s="38">
        <v>3.5000000000000001E-3</v>
      </c>
      <c r="I18" s="43">
        <f>1000/462.314</f>
        <v>2.1630320518089436</v>
      </c>
    </row>
    <row r="19" spans="2:9">
      <c r="G19" s="38">
        <v>5.0000000000000001E-3</v>
      </c>
      <c r="I19" s="43">
        <f>1000/473.077</f>
        <v>2.1138207945006839</v>
      </c>
    </row>
    <row r="20" spans="2:9">
      <c r="G20" s="38">
        <v>7.1000000000000004E-3</v>
      </c>
      <c r="I20" s="43">
        <f>1000/490.985</f>
        <v>2.0367220994531401</v>
      </c>
    </row>
    <row r="21" spans="2:9">
      <c r="G21" s="38">
        <v>0.01</v>
      </c>
      <c r="I21" s="43">
        <f>1000/537.393</f>
        <v>1.8608355523797295</v>
      </c>
    </row>
    <row r="22" spans="2:9">
      <c r="G22" s="38">
        <v>1.41E-2</v>
      </c>
      <c r="I22" s="43">
        <f>1000/618.682</f>
        <v>1.6163392502125487</v>
      </c>
    </row>
    <row r="23" spans="2:9">
      <c r="G23" s="38">
        <v>0.02</v>
      </c>
      <c r="I23" s="43">
        <f>1000/768.18</f>
        <v>1.3017782290608972</v>
      </c>
    </row>
    <row r="25" spans="2:9">
      <c r="I25" s="43" t="s">
        <v>129</v>
      </c>
    </row>
    <row r="26" spans="2:9">
      <c r="I26" s="43" t="s">
        <v>127</v>
      </c>
    </row>
    <row r="27" spans="2:9">
      <c r="G27" s="38">
        <v>2.5000000000000001E-3</v>
      </c>
      <c r="I27" s="43">
        <f>1000/450.232</f>
        <v>2.2210771335666943</v>
      </c>
    </row>
    <row r="28" spans="2:9">
      <c r="G28" s="38">
        <v>3.5000000000000001E-3</v>
      </c>
      <c r="I28" s="43">
        <f>1000/467.009</f>
        <v>2.1412863563657232</v>
      </c>
    </row>
    <row r="29" spans="2:9">
      <c r="G29" s="38">
        <v>5.0000000000000001E-3</v>
      </c>
      <c r="I29" s="43">
        <f>1000/468.867</f>
        <v>2.132800986207176</v>
      </c>
    </row>
    <row r="30" spans="2:9">
      <c r="G30" s="38">
        <v>7.1000000000000004E-3</v>
      </c>
      <c r="I30" s="43">
        <f>1000/490.496</f>
        <v>2.0387526096033404</v>
      </c>
    </row>
    <row r="31" spans="2:9">
      <c r="G31" s="38">
        <v>0.01</v>
      </c>
      <c r="I31" s="43">
        <f>1000/523.234</f>
        <v>1.9111907865314561</v>
      </c>
    </row>
    <row r="32" spans="2:9">
      <c r="G32" s="38">
        <v>1.41E-2</v>
      </c>
      <c r="I32" s="43">
        <f>1000/599.115</f>
        <v>1.6691286313979787</v>
      </c>
    </row>
    <row r="33" spans="7:9">
      <c r="G33" s="38">
        <v>0.02</v>
      </c>
      <c r="I33" s="43">
        <f>1000/741.736</f>
        <v>1.348188573832199</v>
      </c>
    </row>
  </sheetData>
  <mergeCells count="3">
    <mergeCell ref="C2:D2"/>
    <mergeCell ref="I2:K2"/>
    <mergeCell ref="I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Sim matrix</vt:lpstr>
      <vt:lpstr>Outline</vt:lpstr>
      <vt:lpstr>PYS-W</vt:lpstr>
      <vt:lpstr>Sun9-6</vt:lpstr>
      <vt:lpstr>FlexWilliams</vt:lpstr>
      <vt:lpstr>WilliamsOpt</vt:lpstr>
      <vt:lpstr>CHARMM36</vt:lpstr>
      <vt:lpstr>box_sizes</vt:lpstr>
      <vt:lpstr>cos-acc tests</vt:lpstr>
      <vt:lpstr>Expr data</vt:lpstr>
      <vt:lpstr>Ref</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2019-04-05T18:52:50Z</dcterms:modified>
  <cp:category/>
  <cp:contentStatus/>
</cp:coreProperties>
</file>