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mc:AlternateContent xmlns:mc="http://schemas.openxmlformats.org/markup-compatibility/2006">
    <mc:Choice Requires="x15">
      <x15ac:absPath xmlns:x15ac="http://schemas.microsoft.com/office/spreadsheetml/2010/11/ac" url="B:\Dropbox\Github_Dropbox\AlkaneStudy.Gromacs\"/>
    </mc:Choice>
  </mc:AlternateContent>
  <xr:revisionPtr revIDLastSave="0" documentId="13_ncr:1_{028A75F5-F758-40C8-9F99-83CE0157445E}" xr6:coauthVersionLast="43" xr6:coauthVersionMax="43" xr10:uidLastSave="{00000000-0000-0000-0000-000000000000}"/>
  <bookViews>
    <workbookView xWindow="-120" yWindow="-120" windowWidth="38640" windowHeight="21240" xr2:uid="{EF8A33E0-ACA8-D640-B463-6863C93E9688}"/>
  </bookViews>
  <sheets>
    <sheet name="Sim matrix" sheetId="13" r:id="rId1"/>
    <sheet name="Outline" sheetId="1" r:id="rId2"/>
    <sheet name="PYS-W" sheetId="6" r:id="rId3"/>
    <sheet name="Sun9-6" sheetId="9" r:id="rId4"/>
    <sheet name="FlexWilliams" sheetId="10" r:id="rId5"/>
    <sheet name="WilliamsOpt" sheetId="14" r:id="rId6"/>
    <sheet name="CHARMM36" sheetId="11" r:id="rId7"/>
    <sheet name="Expr data" sheetId="2" r:id="rId8"/>
    <sheet name="Ref" sheetId="3" r:id="rId9"/>
    <sheet name="box_sizes" sheetId="5" r:id="rId10"/>
    <sheet name="cos-acc tests" sheetId="7" r:id="rId11"/>
    <sheet name="Expr old" sheetId="4" state="hidden" r:id="rId1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9" i="14" l="1"/>
  <c r="I9" i="14"/>
  <c r="I33" i="14" l="1"/>
  <c r="I21" i="14"/>
  <c r="J10" i="14"/>
  <c r="J11" i="14"/>
  <c r="J12" i="14"/>
  <c r="J13" i="14"/>
  <c r="J14" i="14"/>
  <c r="J15" i="14"/>
  <c r="J16" i="14"/>
  <c r="J17" i="14"/>
  <c r="J18" i="14"/>
  <c r="J19" i="14"/>
  <c r="I34" i="14"/>
  <c r="I35" i="14"/>
  <c r="I36" i="14"/>
  <c r="I37" i="14"/>
  <c r="I38" i="14"/>
  <c r="I39" i="14"/>
  <c r="I40" i="14"/>
  <c r="I41" i="14"/>
  <c r="I42" i="14"/>
  <c r="I43" i="14"/>
  <c r="I22" i="14"/>
  <c r="I23" i="14"/>
  <c r="I24" i="14"/>
  <c r="I25" i="14"/>
  <c r="I26" i="14"/>
  <c r="I27" i="14"/>
  <c r="I28" i="14"/>
  <c r="I29" i="14"/>
  <c r="I30" i="14"/>
  <c r="I31" i="14"/>
  <c r="I10" i="14"/>
  <c r="I11" i="14"/>
  <c r="I12" i="14"/>
  <c r="I13" i="14"/>
  <c r="I14" i="14"/>
  <c r="I15" i="14"/>
  <c r="I16" i="14"/>
  <c r="I17" i="14"/>
  <c r="I18" i="14"/>
  <c r="I19" i="14"/>
  <c r="H34" i="14"/>
  <c r="H35" i="14"/>
  <c r="H36" i="14"/>
  <c r="H37" i="14"/>
  <c r="H38" i="14"/>
  <c r="H39" i="14"/>
  <c r="H40" i="14"/>
  <c r="H41" i="14"/>
  <c r="H42" i="14"/>
  <c r="H43" i="14"/>
  <c r="H33" i="14"/>
  <c r="H24" i="14"/>
  <c r="H22" i="14"/>
  <c r="H23" i="14"/>
  <c r="H25" i="14"/>
  <c r="H26" i="14"/>
  <c r="H27" i="14"/>
  <c r="H28" i="14"/>
  <c r="H29" i="14"/>
  <c r="H30" i="14"/>
  <c r="H31" i="14"/>
  <c r="H21" i="14"/>
  <c r="H10" i="14"/>
  <c r="H11" i="14"/>
  <c r="H12" i="14"/>
  <c r="H13" i="14"/>
  <c r="H14" i="14"/>
  <c r="H15" i="14"/>
  <c r="H16" i="14"/>
  <c r="H17" i="14"/>
  <c r="H18" i="14"/>
  <c r="H19" i="14"/>
  <c r="H9" i="14"/>
  <c r="F14" i="2"/>
  <c r="F3" i="14"/>
  <c r="F4" i="14" l="1"/>
  <c r="F5" i="14"/>
  <c r="AD5" i="2" l="1"/>
  <c r="AD6" i="2"/>
  <c r="AD7" i="2"/>
  <c r="AD8" i="2"/>
  <c r="AD9" i="2"/>
  <c r="AD10" i="2"/>
  <c r="AD11" i="2"/>
  <c r="AD12" i="2"/>
  <c r="AD13" i="2"/>
  <c r="AD14" i="2"/>
  <c r="AD15" i="2"/>
  <c r="AD4" i="2"/>
  <c r="R15" i="10" l="1"/>
  <c r="R12" i="10"/>
  <c r="R11" i="10"/>
  <c r="M6" i="11"/>
  <c r="M5" i="11"/>
  <c r="R13" i="10"/>
  <c r="R10" i="10"/>
  <c r="R8" i="10"/>
  <c r="R7" i="10"/>
  <c r="R6" i="10" l="1"/>
  <c r="R5" i="10"/>
  <c r="P7" i="9"/>
  <c r="P6" i="9"/>
  <c r="P8" i="9"/>
  <c r="P5" i="9"/>
  <c r="I33" i="7" l="1"/>
  <c r="I32" i="7"/>
  <c r="I31" i="7"/>
  <c r="I30" i="7"/>
  <c r="I29" i="7"/>
  <c r="I28" i="7"/>
  <c r="I27" i="7"/>
  <c r="F4" i="7"/>
  <c r="F5" i="7"/>
  <c r="I23" i="7"/>
  <c r="I22" i="7"/>
  <c r="I21" i="7"/>
  <c r="I20" i="7"/>
  <c r="I19" i="7"/>
  <c r="I18" i="7"/>
  <c r="I17" i="7"/>
  <c r="H4" i="7"/>
  <c r="G4" i="7"/>
  <c r="M14" i="7"/>
  <c r="M13" i="7"/>
  <c r="M12" i="7"/>
  <c r="M11" i="7"/>
  <c r="M10" i="7"/>
  <c r="L14" i="7"/>
  <c r="L13" i="7"/>
  <c r="L12" i="7"/>
  <c r="L11" i="7"/>
  <c r="L10" i="7"/>
  <c r="K14" i="7"/>
  <c r="K13" i="7"/>
  <c r="K12" i="7"/>
  <c r="K11" i="7"/>
  <c r="K10" i="7"/>
  <c r="J14" i="7"/>
  <c r="J13" i="7"/>
  <c r="J12" i="7"/>
  <c r="J11" i="7"/>
  <c r="J10" i="7"/>
  <c r="I14" i="7"/>
  <c r="P14" i="7" s="1"/>
  <c r="I13" i="7"/>
  <c r="P13" i="7" s="1"/>
  <c r="I12" i="7"/>
  <c r="P12" i="7" s="1"/>
  <c r="I11" i="7"/>
  <c r="P11" i="7" s="1"/>
  <c r="I10" i="7"/>
  <c r="P10" i="7" s="1"/>
  <c r="L37" i="6" l="1"/>
  <c r="L36" i="6"/>
  <c r="L35" i="6"/>
  <c r="L34" i="6"/>
  <c r="L33" i="6"/>
  <c r="L32" i="6"/>
  <c r="H7" i="5"/>
  <c r="J7" i="5" s="1"/>
  <c r="K7" i="5" s="1"/>
  <c r="H6" i="5"/>
  <c r="J6" i="5" s="1"/>
  <c r="K6" i="5" s="1"/>
  <c r="L27" i="6"/>
  <c r="I7" i="5" l="1"/>
  <c r="I6" i="5"/>
  <c r="L13" i="6"/>
  <c r="L24" i="6"/>
  <c r="L23" i="6"/>
  <c r="L22" i="6"/>
  <c r="L21" i="6"/>
  <c r="L20" i="6"/>
  <c r="L19" i="6"/>
  <c r="L10" i="6"/>
  <c r="L9" i="6"/>
  <c r="L8" i="6"/>
  <c r="L7" i="6"/>
  <c r="L6" i="6"/>
  <c r="L5" i="6"/>
  <c r="H4" i="5" l="1"/>
  <c r="I4" i="5" s="1"/>
  <c r="J4" i="5" l="1"/>
  <c r="K4" i="5" s="1"/>
  <c r="H3" i="5"/>
  <c r="J3" i="5" s="1"/>
  <c r="K3" i="5" s="1"/>
  <c r="I3" i="5" l="1"/>
  <c r="AZ5" i="2"/>
  <c r="AZ6" i="2"/>
  <c r="AZ7" i="2"/>
  <c r="AZ8" i="2"/>
  <c r="AZ9" i="2"/>
  <c r="AZ10" i="2"/>
  <c r="AZ11" i="2"/>
  <c r="AZ12" i="2"/>
  <c r="AZ13" i="2"/>
  <c r="AZ14" i="2"/>
  <c r="AZ15" i="2"/>
  <c r="AZ4" i="2"/>
</calcChain>
</file>

<file path=xl/sharedStrings.xml><?xml version="1.0" encoding="utf-8"?>
<sst xmlns="http://schemas.openxmlformats.org/spreadsheetml/2006/main" count="1134" uniqueCount="279">
  <si>
    <t>Study</t>
  </si>
  <si>
    <t>Ensemble</t>
  </si>
  <si>
    <t>Length (ns)</t>
  </si>
  <si>
    <t>Property</t>
  </si>
  <si>
    <t>Tool</t>
  </si>
  <si>
    <t>Notes</t>
  </si>
  <si>
    <t>Equilibrium properties</t>
  </si>
  <si>
    <t>NPT</t>
  </si>
  <si>
    <t>Density</t>
  </si>
  <si>
    <t>gmx energy</t>
  </si>
  <si>
    <t>Diffusion coeff.</t>
  </si>
  <si>
    <t>gmx msd</t>
  </si>
  <si>
    <t>NVT-interface</t>
  </si>
  <si>
    <t>Surface tension</t>
  </si>
  <si>
    <t>Water interface tension</t>
  </si>
  <si>
    <t>Viscosity</t>
  </si>
  <si>
    <t>Melting point (hysteresis method)</t>
  </si>
  <si>
    <t>Melting point (dihedral evolution method)</t>
  </si>
  <si>
    <t>Pressure-induced phase change</t>
  </si>
  <si>
    <t>Temperature (°C)</t>
  </si>
  <si>
    <t>References</t>
  </si>
  <si>
    <t>Self diffusion coefficient</t>
  </si>
  <si>
    <t>Melting temperature</t>
  </si>
  <si>
    <t>ρ</t>
  </si>
  <si>
    <t>η</t>
  </si>
  <si>
    <t>γ</t>
  </si>
  <si>
    <t>D</t>
  </si>
  <si>
    <t>Tmelt (K)</t>
  </si>
  <si>
    <t>Tmelt (°C)</t>
  </si>
  <si>
    <t>C5</t>
  </si>
  <si>
    <t>[5]</t>
  </si>
  <si>
    <t>[3]</t>
  </si>
  <si>
    <t>C6</t>
  </si>
  <si>
    <t>[4]</t>
  </si>
  <si>
    <t>C7</t>
  </si>
  <si>
    <t>C8</t>
  </si>
  <si>
    <t>[1]</t>
  </si>
  <si>
    <t>C9</t>
  </si>
  <si>
    <t>C10</t>
  </si>
  <si>
    <t>C11</t>
  </si>
  <si>
    <t>C12</t>
  </si>
  <si>
    <t>C13</t>
  </si>
  <si>
    <t>C14</t>
  </si>
  <si>
    <t>C15</t>
  </si>
  <si>
    <t>C16</t>
  </si>
  <si>
    <t>CRC</t>
  </si>
  <si>
    <t>Old layout:</t>
  </si>
  <si>
    <t>mPa.s</t>
  </si>
  <si>
    <t>mN/m</t>
  </si>
  <si>
    <t>1E-9m2/s</t>
  </si>
  <si>
    <t>10C</t>
  </si>
  <si>
    <r>
      <t>T</t>
    </r>
    <r>
      <rPr>
        <vertAlign val="subscript"/>
        <sz val="11"/>
        <color theme="1"/>
        <rFont val="Calibri (Body)"/>
      </rPr>
      <t>melt</t>
    </r>
  </si>
  <si>
    <t>Tm</t>
  </si>
  <si>
    <t>15C</t>
  </si>
  <si>
    <t>20C</t>
  </si>
  <si>
    <t>25C</t>
  </si>
  <si>
    <t>30C</t>
  </si>
  <si>
    <t>-</t>
  </si>
  <si>
    <t>Tofts, P. S., et al. "Test liquids for quantitative MRI measurements of self‐diffusion coefficient in vivo." Magnetic Resonance in Medicine: An Official Journal of the International Society for Magnetic Resonance in Medicine 43.3 (2000): 368-374.</t>
  </si>
  <si>
    <t>Jasper, Joseph J., E. Robert Kerr, and Frederick Gregorich. "The Orthobaric Surface Tensions and Thermodynamic Properties of the Liquid Surfaces of the n—Alkanes, C5 to C28." Journal of the American Chemical Society 75.21 (1953): 5252-5254.</t>
  </si>
  <si>
    <t>Jasper, Joseph J. "The surface tension of pure liquid compounds." Journal of physical and chemical reference data 1.4 (1972): 841-1010.</t>
  </si>
  <si>
    <t>Dymond, J. H., and H. A. O/ye. "Viscosity of selected liquid n‐alkanes." Journal of physical and chemical reference data 23.1 (1994): 41-53.</t>
  </si>
  <si>
    <t>Ramos-Estrada, Mariana, Gustavo A. Iglesias-Silva, and Kenneth R. Hall. "Experimental measurements and prediction of liquid densities for n-alkane mixtures." The Journal of Chemical Thermodynamics 38.3 (2006): 337-347.</t>
  </si>
  <si>
    <t>N</t>
  </si>
  <si>
    <t>M</t>
  </si>
  <si>
    <t>Multiplier</t>
  </si>
  <si>
    <t>Name</t>
  </si>
  <si>
    <t>kg/m3</t>
  </si>
  <si>
    <t>kg/mol</t>
  </si>
  <si>
    <t>L</t>
  </si>
  <si>
    <t>V</t>
  </si>
  <si>
    <t>nm3</t>
  </si>
  <si>
    <t>Buffer/Tol</t>
  </si>
  <si>
    <t>nm</t>
  </si>
  <si>
    <t>Angstom</t>
  </si>
  <si>
    <t>Cos-acceleration viscosity (NEMD)</t>
  </si>
  <si>
    <t>Has to average pressure tensor, which fluctuates a lot</t>
  </si>
  <si>
    <t>Characteristic time scale L^2/ν, velocity profile has to equilibrate</t>
  </si>
  <si>
    <t xml:space="preserve">Not used before, </t>
  </si>
  <si>
    <t>Chronological list of simulations</t>
  </si>
  <si>
    <t>Folder</t>
  </si>
  <si>
    <t>Annealing schedule</t>
  </si>
  <si>
    <t>PYS-W_1024xC16_measure_properties</t>
  </si>
  <si>
    <t>T (K)</t>
  </si>
  <si>
    <t>P (bar)</t>
  </si>
  <si>
    <t>t (ns)</t>
  </si>
  <si>
    <t>Total time</t>
  </si>
  <si>
    <t>steps</t>
  </si>
  <si>
    <t>Δt (fs)</t>
  </si>
  <si>
    <t>Variable</t>
  </si>
  <si>
    <t>cos-acc</t>
  </si>
  <si>
    <t>PYS-W_1024xC16_anneal_340-240-340K_100ns_x2</t>
  </si>
  <si>
    <t>n-alkane</t>
  </si>
  <si>
    <t>Cycles</t>
  </si>
  <si>
    <t>340-240-340</t>
  </si>
  <si>
    <t>0-50-100</t>
  </si>
  <si>
    <t>Temps (K)</t>
  </si>
  <si>
    <t>Times (ns)</t>
  </si>
  <si>
    <t>Density, Diffusion</t>
  </si>
  <si>
    <t>PYS-W_1024xC15_measure_properties</t>
  </si>
  <si>
    <t>Density, diffusion</t>
  </si>
  <si>
    <t>NVT</t>
  </si>
  <si>
    <t>Results</t>
  </si>
  <si>
    <t>Prop.</t>
  </si>
  <si>
    <t>Value</t>
  </si>
  <si>
    <t>t range</t>
  </si>
  <si>
    <t>0,10</t>
  </si>
  <si>
    <t>6,10</t>
  </si>
  <si>
    <t>4,10</t>
  </si>
  <si>
    <t>T cycle (large range)</t>
  </si>
  <si>
    <t>PYS-W_1024xC15_anneal_340-240-340K_100ns_x2</t>
  </si>
  <si>
    <t>-mol; Std. Dev. = 0.3693 Error = 0.0115</t>
  </si>
  <si>
    <t>PYS-W_1024xC8_measure_properties</t>
  </si>
  <si>
    <t>Compound</t>
  </si>
  <si>
    <t>Experimental values</t>
  </si>
  <si>
    <t>η (mPs)</t>
  </si>
  <si>
    <t>ρ (kg/m3)</t>
  </si>
  <si>
    <t>max shear</t>
  </si>
  <si>
    <t>(ps-1)</t>
  </si>
  <si>
    <t>Lz (nm)</t>
  </si>
  <si>
    <t>4ns</t>
  </si>
  <si>
    <t>10ns</t>
  </si>
  <si>
    <t>Viscosity (from MD)</t>
  </si>
  <si>
    <t>x10 nst energy</t>
  </si>
  <si>
    <t>τ_R (ps)</t>
  </si>
  <si>
    <t>L_packmol</t>
  </si>
  <si>
    <t>8ns @ a=0.01</t>
  </si>
  <si>
    <t>Var run time NPT</t>
  </si>
  <si>
    <t>Var run time NVT</t>
  </si>
  <si>
    <t>Coulomb</t>
  </si>
  <si>
    <t>RF0</t>
  </si>
  <si>
    <t>PME</t>
  </si>
  <si>
    <t>rlist</t>
  </si>
  <si>
    <t>rcoulomb</t>
  </si>
  <si>
    <t>rvdw</t>
  </si>
  <si>
    <t>COMPASS_PME-vs-RF0_1024xC16_298K_1bar_tests</t>
  </si>
  <si>
    <t>1,5</t>
  </si>
  <si>
    <t>CG = charge groups</t>
  </si>
  <si>
    <t>&lt;D&gt; = 0.2346 Std. Dev. = 0.1910 Error = 0.0060</t>
  </si>
  <si>
    <t>RF0, CGs</t>
  </si>
  <si>
    <t>PME, CGs</t>
  </si>
  <si>
    <t>ns/day</t>
  </si>
  <si>
    <t>&lt;D&gt; = 0.2481 Std. Dev. = 0.2071 Error = 0.0065</t>
  </si>
  <si>
    <t>&lt;D&gt; = 0.2143 Std. Dev. = 0.1602 Error = 0.0050</t>
  </si>
  <si>
    <t>Error logs</t>
  </si>
  <si>
    <t>&lt;D&gt; = 0.2478 Std. Dev. = 0.1982 Error = 0.0062</t>
  </si>
  <si>
    <t>Good balance of accuracy and speed</t>
  </si>
  <si>
    <t>Param set.</t>
  </si>
  <si>
    <t>&lt;D&gt; = 0.3342 Std. Dev. = 0.2569 Error = 0.0080</t>
  </si>
  <si>
    <t>&lt;D&gt; = 0.3256 Std. Dev. = 0.2601 Error = 0.0081</t>
  </si>
  <si>
    <t>FlexWilliams4_1024xC16_298K_1bar_tests</t>
  </si>
  <si>
    <t>FlexWilliams7_1024xC16_298K_1bar_tests</t>
  </si>
  <si>
    <t>&lt;D&gt; = 0.2950 Std. Dev. = 0.2232 Error = 0.0070</t>
  </si>
  <si>
    <t>&lt;D&gt; = 0.3029 Std. Dev. = 0.2292 Error = 0.0072</t>
  </si>
  <si>
    <t>&lt;D&gt; = 0.3124 Std. Dev. = 0.2604 Error = 0.0081</t>
  </si>
  <si>
    <t>&lt;D&gt; = 0.3137 Std. Dev. = 0.2464 Error = 0.0077</t>
  </si>
  <si>
    <t>CHARMM36_1024xC16_298K_1bar_tests</t>
  </si>
  <si>
    <t>&lt;D&gt; = 0.2665 Std. Dev. = 0.1961 Error = 0.0061</t>
  </si>
  <si>
    <t>atom types</t>
  </si>
  <si>
    <t>CTL, HAL</t>
  </si>
  <si>
    <t>CG, HGA</t>
  </si>
  <si>
    <t>GPU-101_CHARMM36-CTL_1024xC16_anneal_340-240-340K_100ns</t>
  </si>
  <si>
    <t>&lt;D&gt; = 0.1437 Std. Dev. = 0.1162 Error = 0.0036</t>
  </si>
  <si>
    <t>Annealing</t>
  </si>
  <si>
    <t>7T</t>
  </si>
  <si>
    <t>FlexWilliams7T_1024xC16_anneal_340-240-340K_100ns</t>
  </si>
  <si>
    <t>FlexWilliams7T_1024xC16_298K_1bar_tests</t>
  </si>
  <si>
    <t>T = tabulated</t>
  </si>
  <si>
    <t>Lipid parameters seem better</t>
  </si>
  <si>
    <t>Unbuffered 1.0nm</t>
  </si>
  <si>
    <t>Buffered 1.05-1.0nm</t>
  </si>
  <si>
    <t>0.001 nm table spacing</t>
  </si>
  <si>
    <t>Correct sims below this line</t>
  </si>
  <si>
    <t>25 interp</t>
  </si>
  <si>
    <t>Mixed phase evolution</t>
  </si>
  <si>
    <t>TraPPE</t>
  </si>
  <si>
    <t>PYS</t>
  </si>
  <si>
    <t>CHARMM36</t>
  </si>
  <si>
    <t>L-OPLS</t>
  </si>
  <si>
    <t>Flex-Williams</t>
  </si>
  <si>
    <t>Properties (NPT +  NVT interface)</t>
  </si>
  <si>
    <t>Key</t>
  </si>
  <si>
    <t>Input files prepared</t>
  </si>
  <si>
    <t>Not started</t>
  </si>
  <si>
    <t>Results checked</t>
  </si>
  <si>
    <r>
      <t>Annealing (</t>
    </r>
    <r>
      <rPr>
        <sz val="12"/>
        <color theme="1"/>
        <rFont val="Calibri"/>
        <family val="2"/>
      </rPr>
      <t>± 50K)</t>
    </r>
  </si>
  <si>
    <t>COMPASS</t>
  </si>
  <si>
    <t>Force field notes</t>
  </si>
  <si>
    <t>GPU</t>
  </si>
  <si>
    <t>COMPASS 9-6</t>
  </si>
  <si>
    <t>Trying to simplify COMPASS for Gromacs is probably a bad idea,</t>
  </si>
  <si>
    <t>better to use the 9-6 non-bonded potential with a standard harmonic+dihedral bonding potential.</t>
  </si>
  <si>
    <t>Outstanding problems</t>
  </si>
  <si>
    <t>FlexWilliams</t>
  </si>
  <si>
    <t>Simulation notes</t>
  </si>
  <si>
    <t>Should test parameter versions 4 and 7.</t>
  </si>
  <si>
    <t>Also test with and without C-H bond constraints.</t>
  </si>
  <si>
    <t>After correcting bonding parameters, C16 now freezes at 298K so can't measure properties.</t>
  </si>
  <si>
    <t>Possible solutions</t>
  </si>
  <si>
    <t>Box volume fluctuates wildly - maybe a resonance effect.</t>
  </si>
  <si>
    <t>Try changing time constant of pressure couping. Check FF parameters.</t>
  </si>
  <si>
    <t>SS</t>
  </si>
  <si>
    <t>EB</t>
  </si>
  <si>
    <t>Try alternative bonding potential - needs to be dihedral potential without 1-4 interactions</t>
  </si>
  <si>
    <t>Choice of time step</t>
  </si>
  <si>
    <t>If we decide to fix C-H bonds (probable), then 1fs time step may be unnecessary</t>
  </si>
  <si>
    <t>Stick with 1fs for the main all-atom sims, but do some with 2fs as tests or for longer runs when needed</t>
  </si>
  <si>
    <t>▪ V4 Lincs version (C-H length fixed) seems better - avoids inaccuracies due to fast C-H vibration frequency? Still crystalizes at 298K given enough time.</t>
  </si>
  <si>
    <t>▪ OPLS-UA torsion (as used by TraPPE) can be used if 1-5 CH and 1-6 HH interactions excluded (Chen, J. Phys. Chem. B 1998, 102, 2578)</t>
  </si>
  <si>
    <t>Slow performance when using Buckingham potential instead of tabulated version</t>
  </si>
  <si>
    <t>Try different Gromacs version</t>
  </si>
  <si>
    <t>Flex Williams</t>
  </si>
  <si>
    <t>Unclear which bonding potential to use</t>
  </si>
  <si>
    <t>Just compare the simplified COMPASS to a generic alternative like OPLS</t>
  </si>
  <si>
    <t>Production simulation ran</t>
  </si>
  <si>
    <t>Testing ongoing</t>
  </si>
  <si>
    <t>4T</t>
  </si>
  <si>
    <t>FlexWilliams4TL_1024xC16_properties_298K_1bar</t>
  </si>
  <si>
    <t>Das (2003)</t>
  </si>
  <si>
    <t>FlexWilliams7TL_1024xC16_properties_298K_1bar</t>
  </si>
  <si>
    <t>OPLS-UA</t>
  </si>
  <si>
    <t>&lt;D&gt; = 0.1786 Std. Dev. = 0.1535 Error = 0.0048</t>
  </si>
  <si>
    <t>&lt;D&gt; = 0.1877 Std. Dev. = 0.1574 Error = 0.0049</t>
  </si>
  <si>
    <t>Torsion</t>
  </si>
  <si>
    <t>Bond/angle</t>
  </si>
  <si>
    <t>Smith</t>
  </si>
  <si>
    <t>OPLS</t>
  </si>
  <si>
    <r>
      <t xml:space="preserve">Try Lincs version, </t>
    </r>
    <r>
      <rPr>
        <b/>
        <sz val="12"/>
        <color theme="1"/>
        <rFont val="Calibri"/>
        <family val="2"/>
        <scheme val="minor"/>
      </rPr>
      <t>untabulated version</t>
    </r>
    <r>
      <rPr>
        <sz val="12"/>
        <color theme="1"/>
        <rFont val="Calibri"/>
        <family val="2"/>
        <scheme val="minor"/>
      </rPr>
      <t>, or shorter cutoffs (Williams used &lt;0.7 nm)</t>
    </r>
  </si>
  <si>
    <t>FlexWilliams4TL-OPLS_1024xC16_properties_298K_1bar</t>
  </si>
  <si>
    <t>FlexWilliams7TL-OPLS_1024xC16_properties_298K_1bar</t>
  </si>
  <si>
    <t>&lt;D&gt; = 0.1779 Std. Dev. = 0.1373 Error = 0.0043</t>
  </si>
  <si>
    <t>&lt;D&gt; = 0.1812 Std. Dev. = 0.1503 Error = 0.0047</t>
  </si>
  <si>
    <t>FlexWilliams4L-OPLS_1024xC16_properties_298K_1bar</t>
  </si>
  <si>
    <t>&lt;D&gt; = 0.1834 Std. Dev. = 0.1476 Error = 0.0046</t>
  </si>
  <si>
    <t>Try optimizing geometry using H-C-H angle of 106 degrees to get consistent C-C-C and C-C-H angles</t>
  </si>
  <si>
    <t>Try shorter cutoff, shift potential in table file and zero after cutoff</t>
  </si>
  <si>
    <t>&lt;D&gt; = 0.2048 Std. Dev. = 0.1764 Error = 0.0055</t>
  </si>
  <si>
    <t>FlexWilliams4L-OPLS_rc0.8_1024xC16_properties_298K_1bar</t>
  </si>
  <si>
    <t>FlexWilliams7L-rescaled_1024xC16_properties_298K_1bar</t>
  </si>
  <si>
    <t>Corrected sims below this line</t>
  </si>
  <si>
    <t>FlexWilliams4L-OPLS_rc0.6_1024xC16_properties_298K_1bar</t>
  </si>
  <si>
    <t>Δε</t>
  </si>
  <si>
    <t>Simulation</t>
  </si>
  <si>
    <t>Phase 1</t>
  </si>
  <si>
    <t>Phase 2</t>
  </si>
  <si>
    <t>Sun 9-6</t>
  </si>
  <si>
    <t>~COMPASS</t>
  </si>
  <si>
    <t>SUM</t>
  </si>
  <si>
    <t>R</t>
  </si>
  <si>
    <t>D+FSC</t>
  </si>
  <si>
    <t>ξ</t>
  </si>
  <si>
    <t>Wu, Jianging, Abdulghanni H. Nhaesi, and Abdul-Fattah A. Asfour. "Viscosities of eight binary liquid n-alkane systems at 293.15 K and 298.15 K." Journal of Chemical &amp; Engineering Data 44.5 (1999): 990-993.</t>
  </si>
  <si>
    <t>[6]</t>
  </si>
  <si>
    <t>Aucejo, Antonio, et al. "Densities, viscosities, and refractive indices of some n-alkane binary liquid systems at 298.15 K." Journal of Chemical and Engineering Data 40.1 (1995): 141-147.</t>
  </si>
  <si>
    <t>[7]</t>
  </si>
  <si>
    <r>
      <t>10</t>
    </r>
    <r>
      <rPr>
        <vertAlign val="superscript"/>
        <sz val="12"/>
        <color theme="1"/>
        <rFont val="Calibri"/>
        <family val="2"/>
        <scheme val="minor"/>
      </rPr>
      <t>-9</t>
    </r>
    <r>
      <rPr>
        <sz val="12"/>
        <color theme="1"/>
        <rFont val="Calibri"/>
        <family val="2"/>
        <scheme val="minor"/>
      </rPr>
      <t>m</t>
    </r>
    <r>
      <rPr>
        <vertAlign val="superscript"/>
        <sz val="12"/>
        <color theme="1"/>
        <rFont val="Calibri"/>
        <family val="2"/>
        <scheme val="minor"/>
      </rPr>
      <t>2</t>
    </r>
    <r>
      <rPr>
        <sz val="12"/>
        <color theme="1"/>
        <rFont val="Calibri"/>
        <family val="2"/>
        <scheme val="minor"/>
      </rPr>
      <t>/s</t>
    </r>
  </si>
  <si>
    <t>m Pas</t>
  </si>
  <si>
    <t>Mol</t>
  </si>
  <si>
    <t>TOT SUM</t>
  </si>
  <si>
    <r>
      <t>kg/m</t>
    </r>
    <r>
      <rPr>
        <vertAlign val="superscript"/>
        <sz val="11"/>
        <color theme="1"/>
        <rFont val="Calibri"/>
        <family val="2"/>
        <scheme val="minor"/>
      </rPr>
      <t>3</t>
    </r>
  </si>
  <si>
    <r>
      <t>10</t>
    </r>
    <r>
      <rPr>
        <vertAlign val="superscript"/>
        <sz val="12"/>
        <color theme="1"/>
        <rFont val="Calibri"/>
        <family val="2"/>
        <scheme val="minor"/>
      </rPr>
      <t>-9</t>
    </r>
    <r>
      <rPr>
        <sz val="12"/>
        <color theme="1"/>
        <rFont val="Calibri"/>
        <family val="2"/>
        <scheme val="minor"/>
      </rPr>
      <t>m</t>
    </r>
    <r>
      <rPr>
        <vertAlign val="superscript"/>
        <sz val="12"/>
        <color theme="1"/>
        <rFont val="Calibri"/>
        <family val="2"/>
        <scheme val="minor"/>
      </rPr>
      <t>2</t>
    </r>
    <r>
      <rPr>
        <sz val="12"/>
        <color theme="1"/>
        <rFont val="Calibri"/>
        <family val="2"/>
        <scheme val="minor"/>
      </rPr>
      <t>/s</t>
    </r>
  </si>
  <si>
    <t>Moore, James W., and Robert M. Wellek. "Diffusion coefficients of n-heptane and n-decane in n-alkanes and n-alcohols at several temperatures." Journal of Chemical and Engineering data 19.2 (1974): 136-140.</t>
  </si>
  <si>
    <t>[8]</t>
  </si>
  <si>
    <t>Harris, Kenneth R. "Temperature and density dependence of the self-diffusion coefficient of n-hexane from 223 to 333 K and up to 400 MPa." Journal of the Chemical Society, Faraday Transactions 1: Physical Chemistry in Condensed Phases 78.7 (1982): 2265-2274.</t>
  </si>
  <si>
    <t>[9]</t>
  </si>
  <si>
    <t>22 SGSTE</t>
  </si>
  <si>
    <t>22 SGSE</t>
  </si>
  <si>
    <t>Rata, D. G., et al. "Self-diffusion measurements by a mobile single-sided NMR sensor with improved magnetic field gradient." Journal of Magnetic Resonance 180.2 (2006): 229-235.</t>
  </si>
  <si>
    <t>[10]</t>
  </si>
  <si>
    <t>OLD</t>
  </si>
  <si>
    <t>Daridon, Jean-Luc, Hervé Carrier, and Bernard Lagourette. "Pressure dependence of the thermophysical properties of n-pentadecane and n-heptadecane." International Journal of Thermophysics 23.3 (2002): 697-708.</t>
  </si>
  <si>
    <t>Refs (copy MLA citation from Google scholar)</t>
  </si>
  <si>
    <t>C15 density</t>
  </si>
  <si>
    <t>[11]</t>
  </si>
  <si>
    <t>Properties (Viscosity)</t>
  </si>
  <si>
    <t>Flex-Williams 7T</t>
  </si>
  <si>
    <t>Williams 2019</t>
  </si>
  <si>
    <t>Optimized</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</si>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</sst>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
    <numFmt numFmtId="167" formatCode="0.00000"/>
    <numFmt numFmtId="168" formatCode="0.000000"/>
  </numFmts>
  <fonts count="2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vertAlign val="subscript"/>
      <sz val="11"/>
      <color theme="1"/>
      <name val="Calibri (Body)"/>
    </font>
    <font>
      <sz val="11"/>
      <color rgb="FF808080"/>
      <name val="Calibri"/>
      <family val="2"/>
      <scheme val="minor"/>
    </font>
    <font>
      <sz val="11"/>
      <color rgb="FF000000"/>
      <name val="Calibri"/>
      <family val="2"/>
      <scheme val="minor"/>
    </font>
    <font>
      <b/>
      <sz val="12"/>
      <color theme="1"/>
      <name val="Calibri"/>
      <family val="2"/>
      <scheme val="minor"/>
    </font>
    <font>
      <sz val="12"/>
      <color theme="1" tint="0.499984740745262"/>
      <name val="Calibri"/>
      <family val="2"/>
      <scheme val="minor"/>
    </font>
    <font>
      <sz val="12"/>
      <color theme="0" tint="-0.34998626667073579"/>
      <name val="Calibri"/>
      <family val="2"/>
      <scheme val="minor"/>
    </font>
    <font>
      <b/>
      <sz val="12"/>
      <color theme="0" tint="-0.34998626667073579"/>
      <name val="Calibri"/>
      <family val="2"/>
      <scheme val="minor"/>
    </font>
    <font>
      <sz val="12"/>
      <color theme="1"/>
      <name val="Calibri"/>
      <family val="2"/>
    </font>
    <font>
      <sz val="12"/>
      <color theme="0"/>
      <name val="Calibri"/>
      <family val="2"/>
      <scheme val="minor"/>
    </font>
    <font>
      <sz val="12"/>
      <name val="Calibri"/>
      <family val="2"/>
      <scheme val="minor"/>
    </font>
    <font>
      <vertAlign val="superscript"/>
      <sz val="12"/>
      <color theme="1"/>
      <name val="Calibri"/>
      <family val="2"/>
      <scheme val="minor"/>
    </font>
    <font>
      <sz val="12"/>
      <color theme="1"/>
      <name val="Calibri"/>
      <family val="2"/>
      <scheme val="minor"/>
    </font>
    <font>
      <b/>
      <sz val="11"/>
      <color theme="0"/>
      <name val="Calibri"/>
      <family val="2"/>
      <scheme val="minor"/>
    </font>
    <font>
      <vertAlign val="superscript"/>
      <sz val="11"/>
      <color theme="1"/>
      <name val="Calibri"/>
      <family val="2"/>
      <scheme val="minor"/>
    </font>
    <font>
      <sz val="11"/>
      <color theme="4"/>
      <name val="Calibri"/>
      <family val="2"/>
      <scheme val="minor"/>
    </font>
    <font>
      <sz val="11"/>
      <color theme="9" tint="-0.249977111117893"/>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1" tint="0.14999847407452621"/>
        <bgColor indexed="64"/>
      </patternFill>
    </fill>
  </fills>
  <borders count="12">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theme="0" tint="-0.499984740745262"/>
      </top>
      <bottom style="thin">
        <color theme="0" tint="-0.499984740745262"/>
      </bottom>
      <diagonal/>
    </border>
    <border>
      <left/>
      <right/>
      <top style="thin">
        <color theme="0" tint="-0.499984740745262"/>
      </top>
      <bottom/>
      <diagonal/>
    </border>
    <border>
      <left/>
      <right/>
      <top/>
      <bottom style="thin">
        <color theme="0" tint="-0.499984740745262"/>
      </bottom>
      <diagonal/>
    </border>
  </borders>
  <cellStyleXfs count="1">
    <xf numFmtId="0" fontId="0" fillId="0" borderId="0"/>
  </cellStyleXfs>
  <cellXfs count="123">
    <xf numFmtId="0" fontId="0" fillId="0" borderId="0" xfId="0"/>
    <xf numFmtId="0" fontId="0" fillId="0" borderId="0" xfId="0" applyAlignment="1">
      <alignment horizontal="left" vertical="center"/>
    </xf>
    <xf numFmtId="0" fontId="0" fillId="0" borderId="1" xfId="0" applyBorder="1" applyAlignment="1">
      <alignment horizontal="left" vertical="center"/>
    </xf>
    <xf numFmtId="0" fontId="4" fillId="0" borderId="0" xfId="0" applyFont="1" applyAlignment="1">
      <alignment horizontal="center"/>
    </xf>
    <xf numFmtId="0" fontId="4" fillId="0" borderId="0" xfId="0" quotePrefix="1" applyFont="1" applyAlignment="1">
      <alignment horizontal="center"/>
    </xf>
    <xf numFmtId="0" fontId="4" fillId="0" borderId="0" xfId="0" applyFont="1"/>
    <xf numFmtId="2" fontId="4" fillId="0" borderId="0" xfId="0" applyNumberFormat="1" applyFont="1" applyAlignment="1">
      <alignment horizontal="center"/>
    </xf>
    <xf numFmtId="164" fontId="4" fillId="0" borderId="0" xfId="0" applyNumberFormat="1"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165" fontId="4" fillId="0" borderId="0" xfId="0" applyNumberFormat="1" applyFont="1" applyAlignment="1">
      <alignment horizontal="center"/>
    </xf>
    <xf numFmtId="164" fontId="4" fillId="0" borderId="0" xfId="0" quotePrefix="1" applyNumberFormat="1" applyFont="1" applyAlignment="1">
      <alignment horizontal="center"/>
    </xf>
    <xf numFmtId="0" fontId="5" fillId="0" borderId="0" xfId="0" applyFont="1" applyAlignment="1">
      <alignment horizontal="center"/>
    </xf>
    <xf numFmtId="0" fontId="8"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166" fontId="0" fillId="0" borderId="0" xfId="0" applyNumberFormat="1" applyAlignment="1">
      <alignment horizontal="center"/>
    </xf>
    <xf numFmtId="166" fontId="0" fillId="0" borderId="1" xfId="0" applyNumberFormat="1" applyBorder="1" applyAlignment="1">
      <alignment horizontal="center"/>
    </xf>
    <xf numFmtId="2" fontId="0" fillId="0" borderId="0" xfId="0" applyNumberFormat="1" applyAlignment="1">
      <alignment horizontal="center"/>
    </xf>
    <xf numFmtId="2" fontId="0" fillId="0" borderId="1" xfId="0" applyNumberFormat="1" applyBorder="1" applyAlignment="1">
      <alignment horizontal="center"/>
    </xf>
    <xf numFmtId="0" fontId="0" fillId="0" borderId="0" xfId="0" quotePrefix="1" applyAlignment="1">
      <alignment horizontal="center"/>
    </xf>
    <xf numFmtId="0" fontId="0" fillId="0" borderId="2" xfId="0" applyBorder="1" applyAlignment="1">
      <alignment horizontal="center"/>
    </xf>
    <xf numFmtId="0" fontId="0" fillId="0" borderId="3" xfId="0" applyBorder="1" applyAlignment="1">
      <alignment horizontal="center"/>
    </xf>
    <xf numFmtId="166" fontId="9" fillId="0" borderId="0" xfId="0" applyNumberFormat="1" applyFont="1" applyAlignment="1">
      <alignment horizontal="center"/>
    </xf>
    <xf numFmtId="166" fontId="9" fillId="0" borderId="1" xfId="0" applyNumberFormat="1" applyFont="1" applyBorder="1" applyAlignment="1">
      <alignment horizontal="center"/>
    </xf>
    <xf numFmtId="0" fontId="10" fillId="0" borderId="0" xfId="0" applyFont="1"/>
    <xf numFmtId="0" fontId="10" fillId="0" borderId="1" xfId="0" applyFont="1" applyBorder="1" applyAlignment="1">
      <alignment horizontal="center"/>
    </xf>
    <xf numFmtId="0" fontId="10" fillId="0" borderId="0" xfId="0" applyFont="1" applyAlignment="1">
      <alignment horizontal="center"/>
    </xf>
    <xf numFmtId="16" fontId="10" fillId="0" borderId="0" xfId="0" applyNumberFormat="1" applyFont="1" applyAlignment="1">
      <alignment horizontal="center"/>
    </xf>
    <xf numFmtId="164" fontId="0" fillId="0" borderId="0" xfId="0" applyNumberFormat="1" applyAlignment="1">
      <alignment horizontal="center"/>
    </xf>
    <xf numFmtId="164" fontId="0" fillId="0" borderId="1" xfId="0" applyNumberFormat="1" applyBorder="1" applyAlignment="1">
      <alignment horizontal="center"/>
    </xf>
    <xf numFmtId="167" fontId="0" fillId="0" borderId="0" xfId="0" applyNumberFormat="1" applyAlignment="1">
      <alignment horizontal="center"/>
    </xf>
    <xf numFmtId="167" fontId="0" fillId="0" borderId="1" xfId="0" applyNumberFormat="1" applyBorder="1" applyAlignment="1">
      <alignment horizontal="center"/>
    </xf>
    <xf numFmtId="165" fontId="0" fillId="0" borderId="0" xfId="0" applyNumberFormat="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164" fontId="9" fillId="0" borderId="0" xfId="0" applyNumberFormat="1" applyFont="1" applyAlignment="1">
      <alignment horizontal="center"/>
    </xf>
    <xf numFmtId="1" fontId="0" fillId="0" borderId="5" xfId="0" applyNumberFormat="1" applyBorder="1" applyAlignment="1">
      <alignment horizontal="center"/>
    </xf>
    <xf numFmtId="165" fontId="0" fillId="0" borderId="4" xfId="0" applyNumberFormat="1" applyBorder="1" applyAlignment="1">
      <alignment horizontal="center"/>
    </xf>
    <xf numFmtId="165" fontId="9" fillId="0" borderId="0" xfId="0" applyNumberFormat="1" applyFont="1" applyAlignment="1">
      <alignment horizontal="center"/>
    </xf>
    <xf numFmtId="165" fontId="9" fillId="0" borderId="1" xfId="0" applyNumberFormat="1" applyFont="1" applyBorder="1" applyAlignment="1">
      <alignment horizontal="center"/>
    </xf>
    <xf numFmtId="164" fontId="9" fillId="0" borderId="1" xfId="0" applyNumberFormat="1" applyFont="1" applyBorder="1" applyAlignment="1">
      <alignment horizontal="center"/>
    </xf>
    <xf numFmtId="165" fontId="0" fillId="0" borderId="5"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left"/>
    </xf>
    <xf numFmtId="0" fontId="0" fillId="0" borderId="1" xfId="0" applyBorder="1" applyAlignment="1">
      <alignment horizontal="left"/>
    </xf>
    <xf numFmtId="0" fontId="11" fillId="0" borderId="0" xfId="0" applyFont="1" applyAlignment="1">
      <alignment horizontal="center"/>
    </xf>
    <xf numFmtId="0" fontId="11" fillId="0" borderId="0" xfId="0" quotePrefix="1" applyFont="1" applyAlignment="1">
      <alignment horizontal="center"/>
    </xf>
    <xf numFmtId="0" fontId="11" fillId="0" borderId="2" xfId="0" applyFont="1" applyBorder="1" applyAlignment="1">
      <alignment horizontal="center"/>
    </xf>
    <xf numFmtId="0" fontId="11" fillId="0" borderId="6" xfId="0" applyFont="1" applyBorder="1" applyAlignment="1">
      <alignment horizontal="center"/>
    </xf>
    <xf numFmtId="16" fontId="11" fillId="0" borderId="0" xfId="0" applyNumberFormat="1" applyFont="1" applyAlignment="1">
      <alignment horizontal="center"/>
    </xf>
    <xf numFmtId="0" fontId="11" fillId="0" borderId="0" xfId="0" applyFont="1" applyAlignment="1">
      <alignment horizontal="left"/>
    </xf>
    <xf numFmtId="2" fontId="12" fillId="0" borderId="0" xfId="0" applyNumberFormat="1" applyFont="1" applyAlignment="1">
      <alignment horizontal="center"/>
    </xf>
    <xf numFmtId="2" fontId="11" fillId="0" borderId="0" xfId="0" applyNumberFormat="1" applyFont="1" applyAlignment="1">
      <alignment horizontal="center"/>
    </xf>
    <xf numFmtId="165" fontId="11" fillId="0" borderId="0" xfId="0" applyNumberFormat="1" applyFont="1" applyAlignment="1">
      <alignment horizontal="center"/>
    </xf>
    <xf numFmtId="0" fontId="11" fillId="0" borderId="1" xfId="0" applyFont="1" applyBorder="1" applyAlignment="1">
      <alignment horizontal="center"/>
    </xf>
    <xf numFmtId="0" fontId="11" fillId="0" borderId="3" xfId="0" applyFont="1" applyBorder="1" applyAlignment="1">
      <alignment horizontal="center"/>
    </xf>
    <xf numFmtId="0" fontId="0" fillId="0" borderId="8" xfId="0" applyBorder="1" applyAlignment="1">
      <alignment horizontal="center"/>
    </xf>
    <xf numFmtId="0" fontId="0" fillId="0" borderId="8" xfId="0" applyBorder="1"/>
    <xf numFmtId="0" fontId="0" fillId="0" borderId="1" xfId="0" applyBorder="1"/>
    <xf numFmtId="0" fontId="14" fillId="2" borderId="1" xfId="0" applyFont="1" applyFill="1" applyBorder="1" applyAlignment="1">
      <alignment horizontal="center"/>
    </xf>
    <xf numFmtId="0" fontId="13" fillId="0" borderId="0" xfId="0" applyFont="1" applyAlignment="1">
      <alignment horizontal="left"/>
    </xf>
    <xf numFmtId="0" fontId="0" fillId="0" borderId="10" xfId="0" applyBorder="1" applyAlignment="1">
      <alignment horizontal="center"/>
    </xf>
    <xf numFmtId="0" fontId="0" fillId="0" borderId="10" xfId="0" applyBorder="1" applyAlignment="1">
      <alignment horizontal="left"/>
    </xf>
    <xf numFmtId="0" fontId="13" fillId="0" borderId="10" xfId="0" applyFont="1" applyBorder="1" applyAlignment="1">
      <alignment horizontal="left"/>
    </xf>
    <xf numFmtId="0" fontId="0" fillId="0" borderId="11" xfId="0" applyBorder="1" applyAlignment="1">
      <alignment horizontal="center"/>
    </xf>
    <xf numFmtId="0" fontId="0" fillId="0" borderId="11" xfId="0" applyBorder="1" applyAlignment="1">
      <alignment horizontal="left"/>
    </xf>
    <xf numFmtId="0" fontId="0" fillId="0" borderId="9" xfId="0" applyBorder="1" applyAlignment="1">
      <alignment horizontal="center"/>
    </xf>
    <xf numFmtId="0" fontId="0" fillId="0" borderId="9" xfId="0" applyBorder="1" applyAlignment="1">
      <alignment horizontal="left"/>
    </xf>
    <xf numFmtId="2" fontId="15" fillId="0" borderId="0" xfId="0" applyNumberFormat="1" applyFont="1" applyAlignment="1">
      <alignment horizontal="center"/>
    </xf>
    <xf numFmtId="0" fontId="15" fillId="0" borderId="0" xfId="0" applyFont="1" applyAlignment="1">
      <alignment horizontal="center"/>
    </xf>
    <xf numFmtId="0" fontId="15" fillId="0" borderId="2" xfId="0" applyFont="1" applyBorder="1" applyAlignment="1">
      <alignment horizontal="center"/>
    </xf>
    <xf numFmtId="0" fontId="15" fillId="0" borderId="6" xfId="0" applyFont="1" applyBorder="1" applyAlignment="1">
      <alignment horizontal="center"/>
    </xf>
    <xf numFmtId="165" fontId="15" fillId="0" borderId="0" xfId="0" applyNumberFormat="1"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5" fillId="0" borderId="0" xfId="0" applyFont="1" applyAlignment="1">
      <alignment horizontal="center"/>
    </xf>
    <xf numFmtId="0" fontId="13" fillId="0" borderId="0" xfId="0" applyFont="1" applyAlignment="1">
      <alignment horizontal="center"/>
    </xf>
    <xf numFmtId="0" fontId="13" fillId="0" borderId="1" xfId="0" applyFont="1" applyBorder="1" applyAlignment="1">
      <alignment horizontal="center"/>
    </xf>
    <xf numFmtId="164" fontId="13" fillId="0" borderId="1" xfId="0" applyNumberFormat="1" applyFont="1" applyBorder="1" applyAlignment="1">
      <alignment horizontal="center"/>
    </xf>
    <xf numFmtId="164" fontId="13" fillId="0" borderId="0" xfId="0" applyNumberFormat="1" applyFont="1" applyAlignment="1">
      <alignment horizontal="center"/>
    </xf>
    <xf numFmtId="165" fontId="3" fillId="0" borderId="0" xfId="0" applyNumberFormat="1" applyFont="1" applyAlignment="1">
      <alignment horizontal="center"/>
    </xf>
    <xf numFmtId="0" fontId="0" fillId="0" borderId="0" xfId="0" applyFont="1" applyAlignment="1"/>
    <xf numFmtId="164" fontId="0" fillId="0" borderId="0" xfId="0" applyNumberFormat="1" applyFont="1" applyAlignment="1">
      <alignment horizontal="center"/>
    </xf>
    <xf numFmtId="0" fontId="0" fillId="0" borderId="0" xfId="0" applyFont="1" applyAlignment="1">
      <alignment horizontal="center"/>
    </xf>
    <xf numFmtId="0" fontId="0" fillId="0" borderId="0" xfId="0" applyFont="1" applyAlignment="1">
      <alignment horizontal="left"/>
    </xf>
    <xf numFmtId="165" fontId="0" fillId="0" borderId="0" xfId="0" applyNumberFormat="1" applyFont="1" applyAlignment="1">
      <alignment horizontal="center"/>
    </xf>
    <xf numFmtId="0" fontId="0" fillId="0" borderId="0" xfId="0" applyFont="1" applyAlignment="1">
      <alignment horizontal="center"/>
    </xf>
    <xf numFmtId="164" fontId="0" fillId="0" borderId="0" xfId="0" applyNumberFormat="1" applyFont="1" applyAlignment="1">
      <alignment horizontal="left"/>
    </xf>
    <xf numFmtId="0" fontId="0" fillId="0" borderId="1" xfId="0" applyFont="1" applyBorder="1" applyAlignment="1">
      <alignment horizontal="center"/>
    </xf>
    <xf numFmtId="164" fontId="0" fillId="0" borderId="1" xfId="0" applyNumberFormat="1"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0" xfId="0" applyFont="1" applyAlignment="1"/>
    <xf numFmtId="0" fontId="2" fillId="0" borderId="0" xfId="0" applyFont="1"/>
    <xf numFmtId="2" fontId="2" fillId="0" borderId="0" xfId="0" applyNumberFormat="1" applyFont="1" applyAlignment="1">
      <alignment horizontal="center"/>
    </xf>
    <xf numFmtId="164" fontId="2" fillId="0" borderId="0" xfId="0" applyNumberFormat="1" applyFont="1" applyAlignment="1">
      <alignment horizontal="center"/>
    </xf>
    <xf numFmtId="164" fontId="20" fillId="0" borderId="0" xfId="0" applyNumberFormat="1" applyFont="1" applyAlignment="1">
      <alignment horizontal="center"/>
    </xf>
    <xf numFmtId="0" fontId="18" fillId="3" borderId="0" xfId="0" applyFont="1" applyFill="1" applyAlignment="1">
      <alignment horizontal="center"/>
    </xf>
    <xf numFmtId="2" fontId="18" fillId="3" borderId="0" xfId="0" applyNumberFormat="1" applyFont="1" applyFill="1" applyAlignment="1">
      <alignment horizontal="center"/>
    </xf>
    <xf numFmtId="164" fontId="18" fillId="3" borderId="0" xfId="0" applyNumberFormat="1" applyFont="1" applyFill="1" applyAlignment="1">
      <alignment horizontal="center"/>
    </xf>
    <xf numFmtId="165" fontId="18" fillId="3" borderId="0" xfId="0" applyNumberFormat="1" applyFont="1" applyFill="1" applyAlignment="1">
      <alignment horizontal="center"/>
    </xf>
    <xf numFmtId="165" fontId="0" fillId="0" borderId="1" xfId="0" applyNumberFormat="1" applyFont="1" applyBorder="1" applyAlignment="1">
      <alignment horizontal="center"/>
    </xf>
    <xf numFmtId="165" fontId="13" fillId="0" borderId="0" xfId="0" applyNumberFormat="1" applyFont="1" applyAlignment="1">
      <alignment horizontal="center"/>
    </xf>
    <xf numFmtId="164" fontId="21" fillId="0" borderId="0" xfId="0" applyNumberFormat="1" applyFont="1" applyAlignment="1">
      <alignment horizontal="center"/>
    </xf>
    <xf numFmtId="0" fontId="21" fillId="0" borderId="0" xfId="0" applyFont="1" applyAlignment="1">
      <alignment horizontal="center"/>
    </xf>
    <xf numFmtId="2" fontId="21" fillId="0" borderId="0" xfId="0" applyNumberFormat="1" applyFont="1" applyAlignment="1">
      <alignment horizontal="center"/>
    </xf>
    <xf numFmtId="0" fontId="5" fillId="0" borderId="1" xfId="0" applyFont="1" applyBorder="1" applyAlignment="1">
      <alignment horizontal="left"/>
    </xf>
    <xf numFmtId="0" fontId="5" fillId="0" borderId="1" xfId="0" applyFont="1" applyBorder="1" applyAlignment="1">
      <alignment horizontal="right"/>
    </xf>
    <xf numFmtId="0" fontId="5" fillId="0" borderId="1" xfId="0" applyFont="1" applyBorder="1"/>
    <xf numFmtId="0" fontId="2" fillId="0" borderId="0" xfId="0" applyFont="1" applyAlignment="1">
      <alignment horizontal="right"/>
    </xf>
    <xf numFmtId="2" fontId="0" fillId="0" borderId="0" xfId="0" applyNumberFormat="1" applyFont="1" applyAlignment="1">
      <alignment horizontal="center"/>
    </xf>
    <xf numFmtId="168" fontId="0" fillId="0" borderId="0" xfId="0" applyNumberFormat="1" applyFont="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2" fillId="0" borderId="0" xfId="0" applyFont="1" applyAlignment="1">
      <alignment horizontal="center"/>
    </xf>
    <xf numFmtId="165" fontId="0" fillId="0" borderId="0" xfId="0" applyNumberFormat="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0"/>
          </c:trendline>
          <c:xVal>
            <c:numRef>
              <c:f>WilliamsOpt!$D$9:$D$19</c:f>
              <c:numCache>
                <c:formatCode>0.000</c:formatCode>
                <c:ptCount val="11"/>
                <c:pt idx="0">
                  <c:v>0.01</c:v>
                </c:pt>
                <c:pt idx="1">
                  <c:v>1.2E-2</c:v>
                </c:pt>
                <c:pt idx="2">
                  <c:v>1.4E-2</c:v>
                </c:pt>
                <c:pt idx="3">
                  <c:v>1.6E-2</c:v>
                </c:pt>
                <c:pt idx="4">
                  <c:v>1.7999999999999999E-2</c:v>
                </c:pt>
                <c:pt idx="5">
                  <c:v>0.02</c:v>
                </c:pt>
                <c:pt idx="6">
                  <c:v>2.1999999999999999E-2</c:v>
                </c:pt>
                <c:pt idx="7">
                  <c:v>2.4E-2</c:v>
                </c:pt>
                <c:pt idx="8">
                  <c:v>2.5999999999999999E-2</c:v>
                </c:pt>
                <c:pt idx="9">
                  <c:v>2.8000000000000001E-2</c:v>
                </c:pt>
                <c:pt idx="10">
                  <c:v>0.03</c:v>
                </c:pt>
              </c:numCache>
            </c:numRef>
          </c:xVal>
          <c:yVal>
            <c:numRef>
              <c:f>WilliamsOpt!$J$9:$J$19</c:f>
              <c:numCache>
                <c:formatCode>0.000000</c:formatCode>
                <c:ptCount val="11"/>
                <c:pt idx="0">
                  <c:v>0.15080993086311401</c:v>
                </c:pt>
                <c:pt idx="1">
                  <c:v>0.10392223160637679</c:v>
                </c:pt>
                <c:pt idx="2">
                  <c:v>6.846090679015647E-2</c:v>
                </c:pt>
                <c:pt idx="3">
                  <c:v>6.3899020788525177E-2</c:v>
                </c:pt>
                <c:pt idx="4">
                  <c:v>1.6418088036741173E-2</c:v>
                </c:pt>
                <c:pt idx="5">
                  <c:v>3.4159613555745184E-2</c:v>
                </c:pt>
                <c:pt idx="6">
                  <c:v>2.3377149515878035E-2</c:v>
                </c:pt>
                <c:pt idx="7">
                  <c:v>4.916235671942655E-2</c:v>
                </c:pt>
                <c:pt idx="8">
                  <c:v>9.3731112624836202E-2</c:v>
                </c:pt>
                <c:pt idx="9">
                  <c:v>0.10666187349319943</c:v>
                </c:pt>
                <c:pt idx="10">
                  <c:v>0.18810473179140902</c:v>
                </c:pt>
              </c:numCache>
            </c:numRef>
          </c:yVal>
          <c:smooth val="1"/>
          <c:extLst>
            <c:ext xmlns:c16="http://schemas.microsoft.com/office/drawing/2014/chart" uri="{C3380CC4-5D6E-409C-BE32-E72D297353CC}">
              <c16:uniqueId val="{00000000-620B-4599-9191-1C05947C722C}"/>
            </c:ext>
          </c:extLst>
        </c:ser>
        <c:dLbls>
          <c:showLegendKey val="0"/>
          <c:showVal val="0"/>
          <c:showCatName val="0"/>
          <c:showSerName val="0"/>
          <c:showPercent val="0"/>
          <c:showBubbleSize val="0"/>
        </c:dLbls>
        <c:axId val="574646848"/>
        <c:axId val="814491552"/>
      </c:scatterChart>
      <c:valAx>
        <c:axId val="574646848"/>
        <c:scaling>
          <c:orientation val="minMax"/>
          <c:max val="3.0000000000000006E-2"/>
          <c:min val="1.0000000000000002E-2"/>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491552"/>
        <c:crosses val="autoZero"/>
        <c:crossBetween val="midCat"/>
        <c:majorUnit val="2.0000000000000005E-3"/>
      </c:valAx>
      <c:valAx>
        <c:axId val="814491552"/>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4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4417147571985761E-2"/>
                  <c:y val="2.000156852052599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tests'!$I$17:$I$23</c:f>
              <c:numCache>
                <c:formatCode>0.0000</c:formatCode>
                <c:ptCount val="7"/>
                <c:pt idx="0">
                  <c:v>2.232317256928555</c:v>
                </c:pt>
                <c:pt idx="1">
                  <c:v>2.1630320518089436</c:v>
                </c:pt>
                <c:pt idx="2">
                  <c:v>2.1138207945006839</c:v>
                </c:pt>
                <c:pt idx="3">
                  <c:v>2.0367220994531401</c:v>
                </c:pt>
                <c:pt idx="4">
                  <c:v>1.8608355523797295</c:v>
                </c:pt>
                <c:pt idx="5">
                  <c:v>1.6163392502125487</c:v>
                </c:pt>
                <c:pt idx="6">
                  <c:v>1.3017782290608972</c:v>
                </c:pt>
              </c:numCache>
            </c:numRef>
          </c:yVal>
          <c:smooth val="0"/>
          <c:extLst>
            <c:ext xmlns:c16="http://schemas.microsoft.com/office/drawing/2014/chart" uri="{C3380CC4-5D6E-409C-BE32-E72D297353CC}">
              <c16:uniqueId val="{00000000-4EA3-2E41-88AE-D4E5A32F47D4}"/>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1.8422870029510324E-3"/>
                  <c:y val="-0.164428959579812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tests'!$I$27:$I$33</c:f>
              <c:numCache>
                <c:formatCode>0.0000</c:formatCode>
                <c:ptCount val="7"/>
                <c:pt idx="0">
                  <c:v>2.2210771335666943</c:v>
                </c:pt>
                <c:pt idx="1">
                  <c:v>2.1412863563657232</c:v>
                </c:pt>
                <c:pt idx="2">
                  <c:v>2.132800986207176</c:v>
                </c:pt>
                <c:pt idx="3">
                  <c:v>2.0387526096033404</c:v>
                </c:pt>
                <c:pt idx="4">
                  <c:v>1.9111907865314561</c:v>
                </c:pt>
                <c:pt idx="5">
                  <c:v>1.6691286313979787</c:v>
                </c:pt>
                <c:pt idx="6">
                  <c:v>1.348188573832199</c:v>
                </c:pt>
              </c:numCache>
            </c:numRef>
          </c:yVal>
          <c:smooth val="0"/>
          <c:extLst>
            <c:ext xmlns:c16="http://schemas.microsoft.com/office/drawing/2014/chart" uri="{C3380CC4-5D6E-409C-BE32-E72D297353CC}">
              <c16:uniqueId val="{00000001-4EA3-2E41-88AE-D4E5A32F47D4}"/>
            </c:ext>
          </c:extLst>
        </c:ser>
        <c:dLbls>
          <c:showLegendKey val="0"/>
          <c:showVal val="0"/>
          <c:showCatName val="0"/>
          <c:showSerName val="0"/>
          <c:showPercent val="0"/>
          <c:showBubbleSize val="0"/>
        </c:dLbls>
        <c:axId val="1069648719"/>
        <c:axId val="1069650399"/>
      </c:scatterChart>
      <c:valAx>
        <c:axId val="1069648719"/>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50399"/>
        <c:crosses val="autoZero"/>
        <c:crossBetween val="midCat"/>
      </c:valAx>
      <c:valAx>
        <c:axId val="106965039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48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66674</xdr:colOff>
      <xdr:row>17</xdr:row>
      <xdr:rowOff>28575</xdr:rowOff>
    </xdr:from>
    <xdr:to>
      <xdr:col>26</xdr:col>
      <xdr:colOff>57149</xdr:colOff>
      <xdr:row>36</xdr:row>
      <xdr:rowOff>95250</xdr:rowOff>
    </xdr:to>
    <xdr:graphicFrame macro="">
      <xdr:nvGraphicFramePr>
        <xdr:cNvPr id="3" name="Chart 2">
          <a:extLst>
            <a:ext uri="{FF2B5EF4-FFF2-40B4-BE49-F238E27FC236}">
              <a16:creationId xmlns:a16="http://schemas.microsoft.com/office/drawing/2014/main" id="{E7C9A876-38B6-4960-A806-1DA94CEE0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122834</xdr:colOff>
      <xdr:row>15</xdr:row>
      <xdr:rowOff>51415</xdr:rowOff>
    </xdr:from>
    <xdr:to>
      <xdr:col>15</xdr:col>
      <xdr:colOff>723762</xdr:colOff>
      <xdr:row>32</xdr:row>
      <xdr:rowOff>163871</xdr:rowOff>
    </xdr:to>
    <xdr:graphicFrame macro="">
      <xdr:nvGraphicFramePr>
        <xdr:cNvPr id="10" name="Chart 9">
          <a:extLst>
            <a:ext uri="{FF2B5EF4-FFF2-40B4-BE49-F238E27FC236}">
              <a16:creationId xmlns:a16="http://schemas.microsoft.com/office/drawing/2014/main" id="{E9132E75-2893-6D47-9195-80FB37921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6099B-77F6-4CCD-9B30-DB7CF2E469C9}">
  <dimension ref="B2:M57"/>
  <sheetViews>
    <sheetView tabSelected="1" workbookViewId="0">
      <selection activeCell="L13" sqref="L13"/>
    </sheetView>
  </sheetViews>
  <sheetFormatPr defaultColWidth="9" defaultRowHeight="15.75"/>
  <cols>
    <col min="1" max="2" width="9" style="14"/>
    <col min="3" max="3" width="44.625" style="14" customWidth="1"/>
    <col min="4" max="7" width="12.625" style="14" customWidth="1"/>
    <col min="8" max="8" width="15.125" style="14" customWidth="1"/>
    <col min="9" max="9" width="15.125" style="92" customWidth="1"/>
    <col min="10" max="10" width="12.625" style="14" customWidth="1"/>
    <col min="11" max="12" width="9" style="14"/>
    <col min="13" max="13" width="27.5" style="14" customWidth="1"/>
    <col min="14" max="14" width="17.625" style="14" customWidth="1"/>
    <col min="15" max="15" width="32.5" style="14" customWidth="1"/>
    <col min="16" max="16" width="65.625" style="14" customWidth="1"/>
    <col min="17" max="16384" width="9" style="14"/>
  </cols>
  <sheetData>
    <row r="2" spans="2:13">
      <c r="H2" s="14" t="s">
        <v>167</v>
      </c>
      <c r="I2" s="92" t="s">
        <v>277</v>
      </c>
      <c r="J2" s="14" t="s">
        <v>246</v>
      </c>
    </row>
    <row r="3" spans="2:13" s="15" customFormat="1">
      <c r="D3" s="15" t="s">
        <v>175</v>
      </c>
      <c r="E3" s="15" t="s">
        <v>176</v>
      </c>
      <c r="F3" s="15" t="s">
        <v>177</v>
      </c>
      <c r="G3" s="15" t="s">
        <v>178</v>
      </c>
      <c r="H3" s="15" t="s">
        <v>275</v>
      </c>
      <c r="I3" s="15" t="s">
        <v>276</v>
      </c>
      <c r="J3" s="15" t="s">
        <v>245</v>
      </c>
      <c r="L3" s="15" t="s">
        <v>181</v>
      </c>
    </row>
    <row r="4" spans="2:13" ht="15.75" customHeight="1">
      <c r="B4" s="14" t="s">
        <v>44</v>
      </c>
      <c r="C4" s="14" t="s">
        <v>180</v>
      </c>
      <c r="D4" s="14">
        <v>3</v>
      </c>
      <c r="E4" s="14">
        <v>3</v>
      </c>
      <c r="F4" s="14">
        <v>3</v>
      </c>
      <c r="G4" s="14">
        <v>2</v>
      </c>
      <c r="H4" s="14">
        <v>2</v>
      </c>
      <c r="I4" s="92">
        <v>0</v>
      </c>
      <c r="J4" s="14">
        <v>3</v>
      </c>
      <c r="L4" s="14">
        <v>0</v>
      </c>
      <c r="M4" s="14" t="s">
        <v>183</v>
      </c>
    </row>
    <row r="5" spans="2:13" s="92" customFormat="1" ht="15.75" customHeight="1">
      <c r="C5" s="92" t="s">
        <v>274</v>
      </c>
      <c r="D5" s="92">
        <v>0</v>
      </c>
      <c r="E5" s="92">
        <v>0</v>
      </c>
      <c r="F5" s="92">
        <v>0</v>
      </c>
      <c r="G5" s="92">
        <v>0</v>
      </c>
      <c r="H5" s="92">
        <v>0</v>
      </c>
      <c r="I5" s="92">
        <v>0</v>
      </c>
      <c r="J5" s="92">
        <v>0</v>
      </c>
      <c r="L5" s="14">
        <v>1</v>
      </c>
      <c r="M5" s="14" t="s">
        <v>182</v>
      </c>
    </row>
    <row r="6" spans="2:13">
      <c r="C6" s="14" t="s">
        <v>185</v>
      </c>
      <c r="D6" s="14">
        <v>3</v>
      </c>
      <c r="E6" s="14">
        <v>3</v>
      </c>
      <c r="F6" s="14">
        <v>3</v>
      </c>
      <c r="G6" s="14">
        <v>2</v>
      </c>
      <c r="H6" s="14">
        <v>2</v>
      </c>
      <c r="I6" s="92">
        <v>1</v>
      </c>
      <c r="J6" s="14">
        <v>3</v>
      </c>
      <c r="L6" s="14">
        <v>2</v>
      </c>
      <c r="M6" s="14" t="s">
        <v>215</v>
      </c>
    </row>
    <row r="7" spans="2:13">
      <c r="C7" s="14" t="s">
        <v>174</v>
      </c>
      <c r="D7" s="14">
        <v>0</v>
      </c>
      <c r="E7" s="14">
        <v>0</v>
      </c>
      <c r="F7" s="14">
        <v>0</v>
      </c>
      <c r="G7" s="14">
        <v>0</v>
      </c>
      <c r="H7" s="14">
        <v>0</v>
      </c>
      <c r="I7" s="92">
        <v>0</v>
      </c>
      <c r="J7" s="14">
        <v>0</v>
      </c>
      <c r="L7" s="14">
        <v>3</v>
      </c>
      <c r="M7" s="14" t="s">
        <v>214</v>
      </c>
    </row>
    <row r="8" spans="2:13">
      <c r="B8" s="14" t="s">
        <v>43</v>
      </c>
      <c r="C8" s="14" t="s">
        <v>180</v>
      </c>
      <c r="D8" s="14">
        <v>3</v>
      </c>
      <c r="E8" s="14">
        <v>3</v>
      </c>
      <c r="F8" s="14">
        <v>3</v>
      </c>
      <c r="G8" s="14">
        <v>0</v>
      </c>
      <c r="H8" s="14">
        <v>1</v>
      </c>
      <c r="I8" s="92">
        <v>0</v>
      </c>
      <c r="J8" s="14">
        <v>3</v>
      </c>
      <c r="L8" s="14">
        <v>4</v>
      </c>
      <c r="M8" s="14" t="s">
        <v>184</v>
      </c>
    </row>
    <row r="9" spans="2:13" s="92" customFormat="1">
      <c r="C9" s="92" t="s">
        <v>274</v>
      </c>
      <c r="D9" s="92">
        <v>0</v>
      </c>
      <c r="E9" s="92">
        <v>0</v>
      </c>
      <c r="F9" s="92">
        <v>0</v>
      </c>
      <c r="G9" s="92">
        <v>0</v>
      </c>
      <c r="H9" s="92">
        <v>0</v>
      </c>
      <c r="I9" s="92">
        <v>0</v>
      </c>
      <c r="J9" s="92">
        <v>0</v>
      </c>
    </row>
    <row r="10" spans="2:13">
      <c r="C10" s="14" t="s">
        <v>185</v>
      </c>
      <c r="D10" s="14">
        <v>1</v>
      </c>
      <c r="E10" s="14">
        <v>3</v>
      </c>
      <c r="F10" s="14">
        <v>3</v>
      </c>
      <c r="G10" s="14">
        <v>0</v>
      </c>
      <c r="H10" s="14">
        <v>0</v>
      </c>
      <c r="I10" s="92">
        <v>0</v>
      </c>
      <c r="J10" s="14">
        <v>1</v>
      </c>
    </row>
    <row r="11" spans="2:13">
      <c r="C11" s="14" t="s">
        <v>174</v>
      </c>
      <c r="D11" s="14">
        <v>0</v>
      </c>
      <c r="E11" s="14">
        <v>0</v>
      </c>
      <c r="F11" s="14">
        <v>0</v>
      </c>
      <c r="G11" s="14">
        <v>0</v>
      </c>
      <c r="H11" s="14">
        <v>0</v>
      </c>
      <c r="I11" s="92">
        <v>0</v>
      </c>
      <c r="J11" s="14">
        <v>0</v>
      </c>
    </row>
    <row r="12" spans="2:13">
      <c r="B12" s="14" t="s">
        <v>35</v>
      </c>
      <c r="C12" s="14" t="s">
        <v>180</v>
      </c>
      <c r="D12" s="14">
        <v>3</v>
      </c>
      <c r="E12" s="14">
        <v>3</v>
      </c>
      <c r="F12" s="14">
        <v>0</v>
      </c>
      <c r="G12" s="14">
        <v>0</v>
      </c>
      <c r="H12" s="14">
        <v>0</v>
      </c>
      <c r="I12" s="92">
        <v>0</v>
      </c>
      <c r="J12" s="14">
        <v>0</v>
      </c>
    </row>
    <row r="13" spans="2:13" s="92" customFormat="1">
      <c r="C13" s="92" t="s">
        <v>274</v>
      </c>
      <c r="D13" s="92">
        <v>0</v>
      </c>
      <c r="E13" s="92">
        <v>0</v>
      </c>
      <c r="F13" s="92">
        <v>0</v>
      </c>
      <c r="G13" s="92">
        <v>0</v>
      </c>
      <c r="H13" s="92">
        <v>0</v>
      </c>
      <c r="I13" s="92">
        <v>0</v>
      </c>
      <c r="J13" s="92">
        <v>0</v>
      </c>
    </row>
    <row r="14" spans="2:13">
      <c r="C14" s="14" t="s">
        <v>185</v>
      </c>
      <c r="D14" s="14">
        <v>1</v>
      </c>
      <c r="E14" s="14">
        <v>0</v>
      </c>
      <c r="F14" s="14">
        <v>3</v>
      </c>
      <c r="G14" s="14">
        <v>0</v>
      </c>
      <c r="H14" s="14">
        <v>0</v>
      </c>
      <c r="I14" s="92">
        <v>0</v>
      </c>
      <c r="J14" s="14">
        <v>0</v>
      </c>
    </row>
    <row r="15" spans="2:13">
      <c r="C15" s="14" t="s">
        <v>174</v>
      </c>
      <c r="D15" s="14">
        <v>0</v>
      </c>
      <c r="E15" s="14">
        <v>0</v>
      </c>
      <c r="F15" s="14">
        <v>0</v>
      </c>
      <c r="G15" s="14">
        <v>0</v>
      </c>
      <c r="H15" s="14">
        <v>0</v>
      </c>
      <c r="I15" s="92">
        <v>0</v>
      </c>
      <c r="J15" s="14">
        <v>0</v>
      </c>
    </row>
    <row r="17" spans="2:10" s="15" customFormat="1">
      <c r="D17" s="15" t="s">
        <v>175</v>
      </c>
      <c r="E17" s="15" t="s">
        <v>176</v>
      </c>
      <c r="F17" s="15" t="s">
        <v>177</v>
      </c>
      <c r="G17" s="15" t="s">
        <v>178</v>
      </c>
      <c r="H17" s="15" t="s">
        <v>275</v>
      </c>
      <c r="I17" s="15" t="s">
        <v>276</v>
      </c>
      <c r="J17" s="15" t="s">
        <v>245</v>
      </c>
    </row>
    <row r="18" spans="2:10">
      <c r="B18" s="14" t="s">
        <v>44</v>
      </c>
      <c r="C18" s="14" t="s">
        <v>180</v>
      </c>
      <c r="J18" s="14" t="s">
        <v>201</v>
      </c>
    </row>
    <row r="19" spans="2:10" s="92" customFormat="1">
      <c r="C19" s="92" t="s">
        <v>274</v>
      </c>
    </row>
    <row r="20" spans="2:10">
      <c r="C20" s="14" t="s">
        <v>185</v>
      </c>
      <c r="D20" s="14" t="s">
        <v>201</v>
      </c>
      <c r="F20" s="14" t="s">
        <v>188</v>
      </c>
      <c r="G20" s="14" t="s">
        <v>188</v>
      </c>
    </row>
    <row r="21" spans="2:10">
      <c r="C21" s="14" t="s">
        <v>174</v>
      </c>
      <c r="F21" s="14" t="s">
        <v>188</v>
      </c>
    </row>
    <row r="22" spans="2:10">
      <c r="B22" s="14" t="s">
        <v>43</v>
      </c>
      <c r="C22" s="14" t="s">
        <v>180</v>
      </c>
    </row>
    <row r="23" spans="2:10" s="92" customFormat="1">
      <c r="C23" s="92" t="s">
        <v>274</v>
      </c>
    </row>
    <row r="24" spans="2:10">
      <c r="C24" s="14" t="s">
        <v>185</v>
      </c>
      <c r="D24" s="14" t="s">
        <v>202</v>
      </c>
      <c r="F24" s="14" t="s">
        <v>188</v>
      </c>
      <c r="G24" s="14" t="s">
        <v>188</v>
      </c>
    </row>
    <row r="25" spans="2:10">
      <c r="C25" s="14" t="s">
        <v>174</v>
      </c>
      <c r="F25" s="14" t="s">
        <v>188</v>
      </c>
    </row>
    <row r="26" spans="2:10">
      <c r="B26" s="14" t="s">
        <v>35</v>
      </c>
      <c r="C26" s="14" t="s">
        <v>180</v>
      </c>
    </row>
    <row r="27" spans="2:10" s="92" customFormat="1">
      <c r="C27" s="92" t="s">
        <v>274</v>
      </c>
    </row>
    <row r="28" spans="2:10">
      <c r="C28" s="14" t="s">
        <v>185</v>
      </c>
      <c r="D28" s="14" t="s">
        <v>201</v>
      </c>
      <c r="F28" s="14" t="s">
        <v>188</v>
      </c>
      <c r="G28" s="14" t="s">
        <v>188</v>
      </c>
    </row>
    <row r="29" spans="2:10">
      <c r="C29" s="14" t="s">
        <v>174</v>
      </c>
      <c r="F29" s="14" t="s">
        <v>188</v>
      </c>
    </row>
    <row r="33" spans="3:13" s="15" customFormat="1">
      <c r="C33" s="61" t="s">
        <v>187</v>
      </c>
      <c r="M33" s="61" t="s">
        <v>194</v>
      </c>
    </row>
    <row r="34" spans="3:13">
      <c r="C34" s="14" t="s">
        <v>179</v>
      </c>
      <c r="D34" s="59" t="s">
        <v>195</v>
      </c>
      <c r="E34" s="59"/>
      <c r="F34" s="59"/>
      <c r="G34" s="59"/>
      <c r="H34" s="59"/>
      <c r="I34" s="59"/>
      <c r="J34" s="59"/>
      <c r="M34" s="58" t="s">
        <v>180</v>
      </c>
    </row>
    <row r="35" spans="3:13">
      <c r="D35" t="s">
        <v>196</v>
      </c>
      <c r="E35"/>
      <c r="F35"/>
      <c r="G35"/>
      <c r="H35"/>
      <c r="I35"/>
      <c r="J35"/>
      <c r="M35" s="14" t="s">
        <v>163</v>
      </c>
    </row>
    <row r="36" spans="3:13">
      <c r="C36" s="14" t="s">
        <v>189</v>
      </c>
      <c r="D36" t="s">
        <v>190</v>
      </c>
      <c r="E36"/>
      <c r="F36"/>
      <c r="G36"/>
      <c r="H36"/>
      <c r="I36"/>
      <c r="J36"/>
      <c r="M36" s="14" t="s">
        <v>174</v>
      </c>
    </row>
    <row r="37" spans="3:13">
      <c r="D37" t="s">
        <v>191</v>
      </c>
      <c r="E37"/>
      <c r="F37"/>
      <c r="G37"/>
      <c r="H37"/>
      <c r="I37"/>
      <c r="J37"/>
    </row>
    <row r="38" spans="3:13">
      <c r="D38"/>
      <c r="E38"/>
      <c r="F38"/>
      <c r="G38"/>
      <c r="H38"/>
      <c r="I38"/>
      <c r="J38"/>
    </row>
    <row r="39" spans="3:13">
      <c r="D39"/>
      <c r="E39"/>
      <c r="F39"/>
      <c r="G39"/>
      <c r="H39"/>
      <c r="I39"/>
      <c r="J39"/>
    </row>
    <row r="40" spans="3:13">
      <c r="D40"/>
      <c r="E40"/>
      <c r="F40"/>
      <c r="G40"/>
      <c r="H40"/>
      <c r="I40"/>
      <c r="J40"/>
    </row>
    <row r="41" spans="3:13">
      <c r="D41"/>
      <c r="E41"/>
      <c r="F41"/>
      <c r="G41"/>
      <c r="H41"/>
      <c r="I41"/>
      <c r="J41"/>
    </row>
    <row r="42" spans="3:13" s="15" customFormat="1">
      <c r="C42" s="61" t="s">
        <v>192</v>
      </c>
      <c r="D42" s="60"/>
      <c r="E42" s="60"/>
      <c r="F42" s="60"/>
      <c r="G42" s="60"/>
      <c r="H42" s="60"/>
      <c r="I42" s="60"/>
      <c r="J42" s="60"/>
      <c r="M42" s="61" t="s">
        <v>198</v>
      </c>
    </row>
    <row r="43" spans="3:13">
      <c r="C43" s="14" t="s">
        <v>193</v>
      </c>
      <c r="D43" s="45" t="s">
        <v>197</v>
      </c>
      <c r="M43" s="45" t="s">
        <v>227</v>
      </c>
    </row>
    <row r="44" spans="3:13">
      <c r="D44" s="45"/>
      <c r="M44" s="62" t="s">
        <v>207</v>
      </c>
    </row>
    <row r="45" spans="3:13">
      <c r="D45" s="45"/>
      <c r="M45" s="62" t="s">
        <v>203</v>
      </c>
    </row>
    <row r="46" spans="3:13">
      <c r="D46" s="45"/>
      <c r="M46" s="62" t="s">
        <v>208</v>
      </c>
    </row>
    <row r="47" spans="3:13">
      <c r="D47" s="45"/>
      <c r="M47" s="62" t="s">
        <v>234</v>
      </c>
    </row>
    <row r="48" spans="3:13">
      <c r="D48" s="45"/>
      <c r="M48" s="62" t="s">
        <v>235</v>
      </c>
    </row>
    <row r="49" spans="3:13" s="63" customFormat="1">
      <c r="C49" s="63" t="s">
        <v>211</v>
      </c>
      <c r="D49" s="64" t="s">
        <v>209</v>
      </c>
      <c r="M49" s="65" t="s">
        <v>210</v>
      </c>
    </row>
    <row r="50" spans="3:13" s="68" customFormat="1">
      <c r="C50" s="68" t="s">
        <v>178</v>
      </c>
      <c r="D50" s="69" t="s">
        <v>199</v>
      </c>
      <c r="M50" s="69" t="s">
        <v>200</v>
      </c>
    </row>
    <row r="51" spans="3:13" s="68" customFormat="1">
      <c r="C51" s="68" t="s">
        <v>204</v>
      </c>
      <c r="D51" s="69" t="s">
        <v>205</v>
      </c>
      <c r="M51" s="69" t="s">
        <v>206</v>
      </c>
    </row>
    <row r="52" spans="3:13" s="66" customFormat="1">
      <c r="C52" s="66" t="s">
        <v>186</v>
      </c>
      <c r="D52" s="67" t="s">
        <v>212</v>
      </c>
      <c r="M52" s="67" t="s">
        <v>213</v>
      </c>
    </row>
    <row r="53" spans="3:13">
      <c r="D53" s="45"/>
      <c r="M53" s="45"/>
    </row>
    <row r="54" spans="3:13">
      <c r="D54" s="45"/>
      <c r="M54" s="45"/>
    </row>
    <row r="55" spans="3:13">
      <c r="D55" s="45"/>
      <c r="M55" s="45"/>
    </row>
    <row r="56" spans="3:13">
      <c r="M56" s="45"/>
    </row>
    <row r="57" spans="3:13">
      <c r="M57" s="45"/>
    </row>
  </sheetData>
  <conditionalFormatting sqref="L11">
    <cfRule type="colorScale" priority="5">
      <colorScale>
        <cfvo type="min"/>
        <cfvo type="percentile" val="50"/>
        <cfvo type="max"/>
        <color theme="5" tint="0.39997558519241921"/>
        <color theme="7" tint="0.59999389629810485"/>
        <color theme="9" tint="0.59999389629810485"/>
      </colorScale>
    </cfRule>
  </conditionalFormatting>
  <conditionalFormatting sqref="L4:L8 D4:J15">
    <cfRule type="colorScale" priority="1">
      <colorScale>
        <cfvo type="min"/>
        <cfvo type="max"/>
        <color rgb="FFFCFCFF"/>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DBDFB-84C9-0D42-9872-D0E4DAFE61DB}">
  <dimension ref="B1:K9"/>
  <sheetViews>
    <sheetView workbookViewId="0">
      <selection activeCell="G44" sqref="G44"/>
    </sheetView>
  </sheetViews>
  <sheetFormatPr defaultColWidth="10.875" defaultRowHeight="15.75"/>
  <cols>
    <col min="1" max="7" width="10.875" style="14"/>
    <col min="8" max="8" width="10.875" style="16"/>
    <col min="9" max="10" width="10.875" style="18"/>
    <col min="11" max="11" width="10.875" style="23"/>
    <col min="12" max="16384" width="10.875" style="14"/>
  </cols>
  <sheetData>
    <row r="1" spans="2:11">
      <c r="D1" s="14" t="s">
        <v>68</v>
      </c>
      <c r="E1" s="14" t="s">
        <v>67</v>
      </c>
      <c r="G1" s="14" t="s">
        <v>73</v>
      </c>
      <c r="H1" s="16" t="s">
        <v>71</v>
      </c>
      <c r="J1" s="18" t="s">
        <v>73</v>
      </c>
      <c r="K1" s="23" t="s">
        <v>74</v>
      </c>
    </row>
    <row r="2" spans="2:11" s="15" customFormat="1">
      <c r="B2" s="15" t="s">
        <v>66</v>
      </c>
      <c r="C2" s="15" t="s">
        <v>63</v>
      </c>
      <c r="D2" s="15" t="s">
        <v>64</v>
      </c>
      <c r="E2" s="15" t="s">
        <v>23</v>
      </c>
      <c r="F2" s="15" t="s">
        <v>65</v>
      </c>
      <c r="G2" s="15" t="s">
        <v>72</v>
      </c>
      <c r="H2" s="17" t="s">
        <v>70</v>
      </c>
      <c r="I2" s="19" t="s">
        <v>69</v>
      </c>
      <c r="J2" s="19" t="s">
        <v>125</v>
      </c>
      <c r="K2" s="24" t="s">
        <v>125</v>
      </c>
    </row>
    <row r="3" spans="2:11">
      <c r="B3" s="14" t="s">
        <v>44</v>
      </c>
      <c r="C3" s="14">
        <v>1024</v>
      </c>
      <c r="D3" s="14">
        <v>0.22639999999999999</v>
      </c>
      <c r="E3" s="6">
        <v>770.1</v>
      </c>
      <c r="F3" s="14">
        <v>0.7</v>
      </c>
      <c r="G3" s="14">
        <v>0.2</v>
      </c>
      <c r="H3" s="16">
        <f>C3*D3/(E3*F3*0.0006022)</f>
        <v>714.15168393046042</v>
      </c>
      <c r="I3" s="18">
        <f>H3^(1/3)</f>
        <v>8.9384762016850914</v>
      </c>
      <c r="J3" s="18">
        <f>H3^(1/3)-G3</f>
        <v>8.7384762016850921</v>
      </c>
      <c r="K3" s="23">
        <f>J3*10</f>
        <v>87.384762016850914</v>
      </c>
    </row>
    <row r="4" spans="2:11">
      <c r="B4" s="14" t="s">
        <v>43</v>
      </c>
      <c r="C4" s="14">
        <v>1024</v>
      </c>
      <c r="D4" s="14">
        <v>0.21240000000000001</v>
      </c>
      <c r="E4" s="6">
        <v>768.5</v>
      </c>
      <c r="F4" s="14">
        <v>1</v>
      </c>
      <c r="G4" s="14">
        <v>0.25</v>
      </c>
      <c r="H4" s="16">
        <f>C4*D4/(E4*F4*0.0006022)</f>
        <v>469.96968608055437</v>
      </c>
      <c r="I4" s="18">
        <f>H4^(1/3)</f>
        <v>7.7748129376349988</v>
      </c>
      <c r="J4" s="18">
        <f>H4^(1/3)-G4</f>
        <v>7.5248129376349988</v>
      </c>
      <c r="K4" s="23">
        <f>J4*10</f>
        <v>75.248129376349993</v>
      </c>
    </row>
    <row r="6" spans="2:11">
      <c r="B6" s="14" t="s">
        <v>35</v>
      </c>
      <c r="C6" s="14">
        <v>2048</v>
      </c>
      <c r="D6" s="14">
        <v>0.1142</v>
      </c>
      <c r="E6" s="6">
        <v>698.6</v>
      </c>
      <c r="F6" s="14">
        <v>1</v>
      </c>
      <c r="G6" s="14">
        <v>0.2</v>
      </c>
      <c r="H6" s="16">
        <f>C6*D6/(E6*F6*0.0006022)</f>
        <v>555.93846515443943</v>
      </c>
      <c r="I6" s="18">
        <f>H6^(1/3)</f>
        <v>8.2225951532387516</v>
      </c>
      <c r="J6" s="18">
        <f>H6^(1/3)-G6</f>
        <v>8.0225951532387523</v>
      </c>
      <c r="K6" s="23">
        <f>J6*10</f>
        <v>80.225951532387526</v>
      </c>
    </row>
    <row r="7" spans="2:11">
      <c r="B7" s="14" t="s">
        <v>34</v>
      </c>
      <c r="C7" s="14">
        <v>2048</v>
      </c>
      <c r="D7" s="14">
        <v>0.1002</v>
      </c>
      <c r="E7" s="6">
        <v>679.5</v>
      </c>
      <c r="F7" s="14">
        <v>1</v>
      </c>
      <c r="G7" s="14">
        <v>0.25</v>
      </c>
      <c r="H7" s="16">
        <f>C7*D7/(E7*F7*0.0006022)</f>
        <v>501.49598638692709</v>
      </c>
      <c r="I7" s="18">
        <f>H7^(1/3)</f>
        <v>7.9449131462311176</v>
      </c>
      <c r="J7" s="18">
        <f>H7^(1/3)-G7</f>
        <v>7.6949131462311176</v>
      </c>
      <c r="K7" s="23">
        <f>J7*10</f>
        <v>76.949131462311172</v>
      </c>
    </row>
    <row r="9" spans="2:11">
      <c r="E9"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5DD15-E630-164A-9911-8F448DFCB0FA}">
  <dimension ref="B1:Q33"/>
  <sheetViews>
    <sheetView zoomScale="102" zoomScaleNormal="100" workbookViewId="0">
      <selection activeCell="D12" sqref="D12"/>
    </sheetView>
  </sheetViews>
  <sheetFormatPr defaultColWidth="10.875" defaultRowHeight="15.75"/>
  <cols>
    <col min="1" max="4" width="10.875" style="14"/>
    <col min="5" max="5" width="10.875" style="29"/>
    <col min="6" max="6" width="10.875" style="31"/>
    <col min="7" max="7" width="12.125" style="33" bestFit="1" customWidth="1"/>
    <col min="8" max="8" width="12.125" style="29" customWidth="1"/>
    <col min="9" max="9" width="15.625" style="38" customWidth="1"/>
    <col min="10" max="11" width="10.875" style="33"/>
    <col min="12" max="16384" width="10.875" style="14"/>
  </cols>
  <sheetData>
    <row r="1" spans="2:17">
      <c r="I1" s="121" t="s">
        <v>122</v>
      </c>
      <c r="J1" s="121"/>
      <c r="K1" s="121"/>
      <c r="L1" s="121"/>
      <c r="M1" s="121"/>
      <c r="N1" s="121"/>
      <c r="O1" s="121"/>
    </row>
    <row r="2" spans="2:17">
      <c r="C2" s="115" t="s">
        <v>114</v>
      </c>
      <c r="D2" s="115"/>
      <c r="F2" s="31" t="s">
        <v>118</v>
      </c>
      <c r="I2" s="121" t="s">
        <v>120</v>
      </c>
      <c r="J2" s="121"/>
      <c r="K2" s="121"/>
      <c r="L2" s="14" t="s">
        <v>121</v>
      </c>
      <c r="M2" s="14" t="s">
        <v>121</v>
      </c>
    </row>
    <row r="3" spans="2:17" s="15" customFormat="1">
      <c r="B3" s="15" t="s">
        <v>113</v>
      </c>
      <c r="C3" s="15" t="s">
        <v>115</v>
      </c>
      <c r="D3" s="15" t="s">
        <v>116</v>
      </c>
      <c r="E3" s="30" t="s">
        <v>119</v>
      </c>
      <c r="F3" s="32" t="s">
        <v>117</v>
      </c>
      <c r="G3" s="34" t="s">
        <v>90</v>
      </c>
      <c r="H3" s="15" t="s">
        <v>124</v>
      </c>
      <c r="I3" s="37"/>
      <c r="J3" s="35"/>
      <c r="K3" s="35"/>
      <c r="M3" s="15" t="s">
        <v>123</v>
      </c>
    </row>
    <row r="4" spans="2:17">
      <c r="B4" s="14" t="s">
        <v>44</v>
      </c>
      <c r="C4" s="14">
        <v>3.01</v>
      </c>
      <c r="D4" s="14">
        <v>770</v>
      </c>
      <c r="E4" s="29">
        <v>7.8543099999999999</v>
      </c>
      <c r="F4" s="31">
        <f>1/332</f>
        <v>3.0120481927710845E-3</v>
      </c>
      <c r="G4" s="39">
        <f>2*PI()*F4*C4*1000/(D4*E4)</f>
        <v>9.4191023645437116E-3</v>
      </c>
      <c r="H4" s="36">
        <f>D4*E4*E4*(0.000001)/(C4*0.001)</f>
        <v>15.78121026365349</v>
      </c>
    </row>
    <row r="5" spans="2:17">
      <c r="B5" s="14" t="s">
        <v>43</v>
      </c>
      <c r="F5" s="31">
        <f>1/300</f>
        <v>3.3333333333333335E-3</v>
      </c>
      <c r="G5" s="39"/>
      <c r="H5" s="36"/>
    </row>
    <row r="6" spans="2:17">
      <c r="B6" s="14" t="s">
        <v>35</v>
      </c>
      <c r="G6" s="39"/>
      <c r="H6" s="36"/>
    </row>
    <row r="7" spans="2:17">
      <c r="B7" s="14" t="s">
        <v>34</v>
      </c>
      <c r="G7" s="39"/>
      <c r="H7" s="36"/>
    </row>
    <row r="8" spans="2:17">
      <c r="G8" s="39"/>
      <c r="H8" s="36"/>
    </row>
    <row r="9" spans="2:17" s="15" customFormat="1">
      <c r="E9" s="30"/>
      <c r="F9" s="32"/>
      <c r="G9" s="40"/>
      <c r="H9" s="41"/>
      <c r="I9" s="42"/>
      <c r="J9" s="34"/>
      <c r="K9" s="34"/>
    </row>
    <row r="10" spans="2:17">
      <c r="B10" s="14" t="s">
        <v>44</v>
      </c>
      <c r="G10" s="33">
        <v>1E-3</v>
      </c>
      <c r="I10" s="38">
        <f>1000/587.575</f>
        <v>1.7019103944177338</v>
      </c>
      <c r="J10" s="33">
        <f>1000/393.087</f>
        <v>2.5439660940198991</v>
      </c>
      <c r="K10" s="33">
        <f>1000/524.365</f>
        <v>1.9070685495790145</v>
      </c>
      <c r="L10" s="14">
        <f>1000/429.592</f>
        <v>2.3277900892009162</v>
      </c>
      <c r="M10" s="14">
        <f>1000/471.267</f>
        <v>2.1219393677045071</v>
      </c>
      <c r="P10" s="31">
        <f>SUM(I10:O10)/5</f>
        <v>2.1205348989844142</v>
      </c>
    </row>
    <row r="11" spans="2:17">
      <c r="G11" s="33">
        <v>2E-3</v>
      </c>
      <c r="I11" s="38">
        <f>1000/ 539.436</f>
        <v>1.8537880304614447</v>
      </c>
      <c r="J11" s="33">
        <f>1000/427.898</f>
        <v>2.3370055480511711</v>
      </c>
      <c r="K11" s="33">
        <f>1000/482.665</f>
        <v>2.0718303585302436</v>
      </c>
      <c r="L11" s="14">
        <f>1000/425.574</f>
        <v>2.3497676079835705</v>
      </c>
      <c r="M11" s="14">
        <f>1000/450.603</f>
        <v>2.2192484293269241</v>
      </c>
      <c r="P11" s="31">
        <f>SUM(I11:O11)/5</f>
        <v>2.1663279948706711</v>
      </c>
    </row>
    <row r="12" spans="2:17">
      <c r="G12" s="33">
        <v>3.0000000000000001E-3</v>
      </c>
      <c r="I12" s="38">
        <f>1000/511.599</f>
        <v>1.9546558926033866</v>
      </c>
      <c r="J12" s="33">
        <f>1000/463.492</f>
        <v>2.1575345421280194</v>
      </c>
      <c r="K12" s="33">
        <f>1000/428.438</f>
        <v>2.3340600040145834</v>
      </c>
      <c r="L12" s="14">
        <f>1000/484.767</f>
        <v>2.0628466871713629</v>
      </c>
      <c r="M12" s="14">
        <f>1000/456.876</f>
        <v>2.1887776989817809</v>
      </c>
      <c r="P12" s="31">
        <f>SUM(I12:O12)/5</f>
        <v>2.1395749649798268</v>
      </c>
      <c r="Q12" s="31"/>
    </row>
    <row r="13" spans="2:17">
      <c r="G13" s="33">
        <v>6.0000000000000001E-3</v>
      </c>
      <c r="I13" s="38">
        <f>1000/468.013</f>
        <v>2.1366927841747985</v>
      </c>
      <c r="J13" s="33">
        <f>1000/484.467</f>
        <v>2.0641240786266146</v>
      </c>
      <c r="K13" s="33">
        <f>1000/495.902</f>
        <v>2.01652745905441</v>
      </c>
      <c r="L13" s="14">
        <f>1000/476.432</f>
        <v>2.0989354199549988</v>
      </c>
      <c r="M13" s="14">
        <f>1000/480.887</f>
        <v>2.0794906079806692</v>
      </c>
      <c r="P13" s="31">
        <f>SUM(I13:O13)/5</f>
        <v>2.0791540699582982</v>
      </c>
      <c r="Q13" s="31"/>
    </row>
    <row r="14" spans="2:17">
      <c r="G14" s="33">
        <v>1.2E-2</v>
      </c>
      <c r="I14" s="38">
        <f>1000/561.938</f>
        <v>1.7795557517021452</v>
      </c>
      <c r="J14" s="33">
        <f>1000/567.598</f>
        <v>1.7618102953146417</v>
      </c>
      <c r="K14" s="33">
        <f>1000/573.548</f>
        <v>1.7435332352305299</v>
      </c>
      <c r="L14" s="14">
        <f>1000/580.314</f>
        <v>1.7232050234872847</v>
      </c>
      <c r="M14" s="14">
        <f>1000/559.257</f>
        <v>1.7880866935952524</v>
      </c>
      <c r="P14" s="31">
        <f>SUM(I14:O14)/5</f>
        <v>1.7592381998659707</v>
      </c>
    </row>
    <row r="15" spans="2:17">
      <c r="I15" s="38" t="s">
        <v>127</v>
      </c>
    </row>
    <row r="16" spans="2:17">
      <c r="I16" s="38" t="s">
        <v>126</v>
      </c>
    </row>
    <row r="17" spans="2:9">
      <c r="B17" s="14" t="s">
        <v>44</v>
      </c>
      <c r="G17" s="33">
        <v>2.5000000000000001E-3</v>
      </c>
      <c r="I17" s="38">
        <f>1000/447.965</f>
        <v>2.232317256928555</v>
      </c>
    </row>
    <row r="18" spans="2:9">
      <c r="G18" s="33">
        <v>3.5000000000000001E-3</v>
      </c>
      <c r="I18" s="38">
        <f>1000/462.314</f>
        <v>2.1630320518089436</v>
      </c>
    </row>
    <row r="19" spans="2:9">
      <c r="G19" s="33">
        <v>5.0000000000000001E-3</v>
      </c>
      <c r="I19" s="38">
        <f>1000/473.077</f>
        <v>2.1138207945006839</v>
      </c>
    </row>
    <row r="20" spans="2:9">
      <c r="G20" s="33">
        <v>7.1000000000000004E-3</v>
      </c>
      <c r="I20" s="38">
        <f>1000/490.985</f>
        <v>2.0367220994531401</v>
      </c>
    </row>
    <row r="21" spans="2:9">
      <c r="G21" s="33">
        <v>0.01</v>
      </c>
      <c r="I21" s="38">
        <f>1000/537.393</f>
        <v>1.8608355523797295</v>
      </c>
    </row>
    <row r="22" spans="2:9">
      <c r="G22" s="33">
        <v>1.41E-2</v>
      </c>
      <c r="I22" s="38">
        <f>1000/618.682</f>
        <v>1.6163392502125487</v>
      </c>
    </row>
    <row r="23" spans="2:9">
      <c r="G23" s="33">
        <v>0.02</v>
      </c>
      <c r="I23" s="38">
        <f>1000/768.18</f>
        <v>1.3017782290608972</v>
      </c>
    </row>
    <row r="25" spans="2:9">
      <c r="I25" s="38" t="s">
        <v>128</v>
      </c>
    </row>
    <row r="26" spans="2:9">
      <c r="I26" s="38" t="s">
        <v>126</v>
      </c>
    </row>
    <row r="27" spans="2:9">
      <c r="G27" s="33">
        <v>2.5000000000000001E-3</v>
      </c>
      <c r="I27" s="38">
        <f>1000/450.232</f>
        <v>2.2210771335666943</v>
      </c>
    </row>
    <row r="28" spans="2:9">
      <c r="G28" s="33">
        <v>3.5000000000000001E-3</v>
      </c>
      <c r="I28" s="38">
        <f>1000/467.009</f>
        <v>2.1412863563657232</v>
      </c>
    </row>
    <row r="29" spans="2:9">
      <c r="G29" s="33">
        <v>5.0000000000000001E-3</v>
      </c>
      <c r="I29" s="38">
        <f>1000/468.867</f>
        <v>2.132800986207176</v>
      </c>
    </row>
    <row r="30" spans="2:9">
      <c r="G30" s="33">
        <v>7.1000000000000004E-3</v>
      </c>
      <c r="I30" s="38">
        <f>1000/490.496</f>
        <v>2.0387526096033404</v>
      </c>
    </row>
    <row r="31" spans="2:9">
      <c r="G31" s="33">
        <v>0.01</v>
      </c>
      <c r="I31" s="38">
        <f>1000/523.234</f>
        <v>1.9111907865314561</v>
      </c>
    </row>
    <row r="32" spans="2:9">
      <c r="G32" s="33">
        <v>1.41E-2</v>
      </c>
      <c r="I32" s="38">
        <f>1000/599.115</f>
        <v>1.6691286313979787</v>
      </c>
    </row>
    <row r="33" spans="7:9">
      <c r="G33" s="33">
        <v>0.02</v>
      </c>
      <c r="I33" s="38">
        <f>1000/741.736</f>
        <v>1.348188573832199</v>
      </c>
    </row>
  </sheetData>
  <mergeCells count="3">
    <mergeCell ref="C2:D2"/>
    <mergeCell ref="I2:K2"/>
    <mergeCell ref="I1:O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A9FB-F8D3-4917-BFAB-FBE43DD433AF}">
  <dimension ref="B3:BH17"/>
  <sheetViews>
    <sheetView topLeftCell="Z1" workbookViewId="0">
      <selection activeCell="AL22" sqref="AL22"/>
    </sheetView>
  </sheetViews>
  <sheetFormatPr defaultColWidth="8.875" defaultRowHeight="15.75"/>
  <cols>
    <col min="8" max="12" width="4" customWidth="1"/>
    <col min="20" max="24" width="4" customWidth="1"/>
    <col min="32" max="36" width="4" customWidth="1"/>
    <col min="44" max="48" width="4" customWidth="1"/>
    <col min="56" max="60" width="4" customWidth="1"/>
  </cols>
  <sheetData>
    <row r="3" spans="2:60" s="3" customFormat="1" ht="15" customHeight="1">
      <c r="B3" s="3" t="s">
        <v>46</v>
      </c>
      <c r="C3" s="5"/>
      <c r="D3" s="5"/>
      <c r="E3" s="5"/>
      <c r="F3" s="5"/>
      <c r="G3" s="5"/>
      <c r="H3" s="8"/>
      <c r="I3" s="8"/>
      <c r="J3" s="8"/>
      <c r="K3" s="8"/>
      <c r="L3" s="8"/>
      <c r="T3" s="8"/>
      <c r="U3" s="8"/>
      <c r="V3" s="8"/>
      <c r="W3" s="8"/>
      <c r="X3" s="8"/>
      <c r="AC3" s="6"/>
      <c r="AD3" s="7"/>
      <c r="AF3" s="8"/>
      <c r="AG3" s="8"/>
      <c r="AH3" s="8"/>
      <c r="AI3" s="8"/>
      <c r="AJ3" s="8"/>
      <c r="AN3" s="10"/>
      <c r="AP3" s="7"/>
      <c r="AR3" s="8"/>
      <c r="AS3" s="8"/>
      <c r="AT3" s="8"/>
      <c r="AU3" s="8"/>
      <c r="AV3" s="8"/>
      <c r="BB3" s="7"/>
      <c r="BD3" s="8"/>
      <c r="BE3" s="8"/>
      <c r="BF3" s="8"/>
      <c r="BG3" s="8"/>
      <c r="BH3" s="8"/>
    </row>
    <row r="4" spans="2:60" s="3" customFormat="1" ht="15" customHeight="1">
      <c r="D4" s="3" t="s">
        <v>47</v>
      </c>
      <c r="E4" s="6" t="s">
        <v>48</v>
      </c>
      <c r="F4" s="3" t="s">
        <v>49</v>
      </c>
      <c r="H4" s="119" t="s">
        <v>20</v>
      </c>
      <c r="I4" s="119"/>
      <c r="J4" s="119"/>
      <c r="K4" s="119"/>
      <c r="L4" s="119"/>
      <c r="O4" s="5"/>
      <c r="P4" s="5"/>
      <c r="Q4" s="5"/>
      <c r="R4" s="5"/>
      <c r="S4" s="5"/>
      <c r="T4" s="119" t="s">
        <v>20</v>
      </c>
      <c r="U4" s="119"/>
      <c r="V4" s="119"/>
      <c r="W4" s="119"/>
      <c r="X4" s="119"/>
      <c r="AC4" s="6"/>
      <c r="AD4" s="7"/>
      <c r="AF4" s="119" t="s">
        <v>20</v>
      </c>
      <c r="AG4" s="119"/>
      <c r="AH4" s="119"/>
      <c r="AI4" s="119"/>
      <c r="AJ4" s="119"/>
      <c r="AN4" s="10"/>
      <c r="AP4" s="7"/>
      <c r="AR4" s="119" t="s">
        <v>20</v>
      </c>
      <c r="AS4" s="119"/>
      <c r="AT4" s="119"/>
      <c r="AU4" s="119"/>
      <c r="AV4" s="119"/>
      <c r="BB4" s="7"/>
      <c r="BD4" s="119" t="s">
        <v>20</v>
      </c>
      <c r="BE4" s="119"/>
      <c r="BF4" s="119"/>
      <c r="BG4" s="119"/>
      <c r="BH4" s="119"/>
    </row>
    <row r="5" spans="2:60" s="3" customFormat="1" ht="15" customHeight="1">
      <c r="B5" s="12" t="s">
        <v>50</v>
      </c>
      <c r="C5" s="3" t="s">
        <v>23</v>
      </c>
      <c r="D5" s="3" t="s">
        <v>24</v>
      </c>
      <c r="E5" s="6" t="s">
        <v>25</v>
      </c>
      <c r="F5" s="3" t="s">
        <v>26</v>
      </c>
      <c r="G5" s="3" t="s">
        <v>51</v>
      </c>
      <c r="H5" s="8" t="s">
        <v>23</v>
      </c>
      <c r="I5" s="8" t="s">
        <v>24</v>
      </c>
      <c r="J5" s="9" t="s">
        <v>25</v>
      </c>
      <c r="K5" s="8" t="s">
        <v>26</v>
      </c>
      <c r="L5" s="8" t="s">
        <v>52</v>
      </c>
      <c r="N5" s="12" t="s">
        <v>53</v>
      </c>
      <c r="O5" s="3" t="s">
        <v>23</v>
      </c>
      <c r="P5" s="3" t="s">
        <v>24</v>
      </c>
      <c r="Q5" s="3" t="s">
        <v>25</v>
      </c>
      <c r="R5" s="3" t="s">
        <v>26</v>
      </c>
      <c r="S5" s="3" t="s">
        <v>51</v>
      </c>
      <c r="T5" s="8" t="s">
        <v>23</v>
      </c>
      <c r="U5" s="8" t="s">
        <v>24</v>
      </c>
      <c r="V5" s="9" t="s">
        <v>25</v>
      </c>
      <c r="W5" s="8" t="s">
        <v>26</v>
      </c>
      <c r="X5" s="8" t="s">
        <v>52</v>
      </c>
      <c r="Z5" s="12" t="s">
        <v>54</v>
      </c>
      <c r="AA5" s="3" t="s">
        <v>23</v>
      </c>
      <c r="AB5" s="3" t="s">
        <v>24</v>
      </c>
      <c r="AC5" s="6" t="s">
        <v>25</v>
      </c>
      <c r="AD5" s="7" t="s">
        <v>26</v>
      </c>
      <c r="AE5" s="3" t="s">
        <v>51</v>
      </c>
      <c r="AF5" s="8" t="s">
        <v>23</v>
      </c>
      <c r="AG5" s="8" t="s">
        <v>24</v>
      </c>
      <c r="AH5" s="9" t="s">
        <v>25</v>
      </c>
      <c r="AI5" s="8" t="s">
        <v>26</v>
      </c>
      <c r="AJ5" s="8" t="s">
        <v>52</v>
      </c>
      <c r="AL5" s="12" t="s">
        <v>55</v>
      </c>
      <c r="AM5" s="3" t="s">
        <v>23</v>
      </c>
      <c r="AN5" s="10" t="s">
        <v>24</v>
      </c>
      <c r="AO5" s="3" t="s">
        <v>25</v>
      </c>
      <c r="AP5" s="7" t="s">
        <v>26</v>
      </c>
      <c r="AQ5" s="3" t="s">
        <v>51</v>
      </c>
      <c r="AR5" s="8" t="s">
        <v>23</v>
      </c>
      <c r="AS5" s="8" t="s">
        <v>24</v>
      </c>
      <c r="AT5" s="9" t="s">
        <v>25</v>
      </c>
      <c r="AU5" s="8" t="s">
        <v>26</v>
      </c>
      <c r="AV5" s="8" t="s">
        <v>52</v>
      </c>
      <c r="AX5" s="12" t="s">
        <v>56</v>
      </c>
      <c r="AY5" s="3" t="s">
        <v>23</v>
      </c>
      <c r="AZ5" s="3" t="s">
        <v>24</v>
      </c>
      <c r="BA5" s="3" t="s">
        <v>25</v>
      </c>
      <c r="BB5" s="7" t="s">
        <v>26</v>
      </c>
      <c r="BC5" s="3" t="s">
        <v>51</v>
      </c>
      <c r="BD5" s="8" t="s">
        <v>23</v>
      </c>
      <c r="BE5" s="8" t="s">
        <v>24</v>
      </c>
      <c r="BF5" s="9" t="s">
        <v>25</v>
      </c>
      <c r="BG5" s="8" t="s">
        <v>26</v>
      </c>
      <c r="BH5" s="8" t="s">
        <v>52</v>
      </c>
    </row>
    <row r="6" spans="2:60" s="3" customFormat="1" ht="15" customHeight="1">
      <c r="B6" s="3" t="s">
        <v>29</v>
      </c>
      <c r="E6" s="6">
        <v>17.149999999999999</v>
      </c>
      <c r="H6" s="8"/>
      <c r="I6" s="8"/>
      <c r="J6" s="8" t="s">
        <v>31</v>
      </c>
      <c r="K6" s="8"/>
      <c r="L6" s="8"/>
      <c r="N6" s="3" t="s">
        <v>29</v>
      </c>
      <c r="T6" s="8"/>
      <c r="U6" s="8"/>
      <c r="V6" s="8"/>
      <c r="W6" s="8"/>
      <c r="X6" s="8"/>
      <c r="Z6" s="3" t="s">
        <v>29</v>
      </c>
      <c r="AC6" s="6">
        <v>16.05</v>
      </c>
      <c r="AD6" s="7"/>
      <c r="AF6" s="8"/>
      <c r="AG6" s="8"/>
      <c r="AH6" s="8" t="s">
        <v>31</v>
      </c>
      <c r="AI6" s="8"/>
      <c r="AJ6" s="8"/>
      <c r="AL6" s="3" t="s">
        <v>29</v>
      </c>
      <c r="AN6" s="10"/>
      <c r="AP6" s="7"/>
      <c r="AR6" s="8"/>
      <c r="AS6" s="8"/>
      <c r="AT6" s="8"/>
      <c r="AU6" s="8"/>
      <c r="AV6" s="8"/>
      <c r="AX6" s="3" t="s">
        <v>29</v>
      </c>
      <c r="BA6" s="3">
        <v>14.94</v>
      </c>
      <c r="BB6" s="7"/>
      <c r="BD6" s="8"/>
      <c r="BE6" s="8"/>
      <c r="BF6" s="8" t="s">
        <v>31</v>
      </c>
      <c r="BG6" s="8"/>
      <c r="BH6" s="8"/>
    </row>
    <row r="7" spans="2:60" s="3" customFormat="1" ht="15" customHeight="1">
      <c r="B7" s="3" t="s">
        <v>32</v>
      </c>
      <c r="E7" s="6">
        <v>19.420000000000002</v>
      </c>
      <c r="H7" s="8"/>
      <c r="I7" s="8"/>
      <c r="J7" s="8" t="s">
        <v>31</v>
      </c>
      <c r="K7" s="8"/>
      <c r="L7" s="8"/>
      <c r="N7" s="3" t="s">
        <v>32</v>
      </c>
      <c r="T7" s="8"/>
      <c r="U7" s="8"/>
      <c r="V7" s="8"/>
      <c r="W7" s="8"/>
      <c r="X7" s="8"/>
      <c r="Z7" s="3" t="s">
        <v>32</v>
      </c>
      <c r="AC7" s="6">
        <v>18.399999999999999</v>
      </c>
      <c r="AD7" s="7"/>
      <c r="AF7" s="8"/>
      <c r="AG7" s="8"/>
      <c r="AH7" s="8" t="s">
        <v>31</v>
      </c>
      <c r="AI7" s="8"/>
      <c r="AJ7" s="8"/>
      <c r="AL7" s="3" t="s">
        <v>32</v>
      </c>
      <c r="AN7" s="10">
        <v>0.2949</v>
      </c>
      <c r="AP7" s="7"/>
      <c r="AR7" s="8"/>
      <c r="AS7" s="8" t="s">
        <v>33</v>
      </c>
      <c r="AT7" s="8"/>
      <c r="AU7" s="8"/>
      <c r="AV7" s="8"/>
      <c r="AX7" s="3" t="s">
        <v>32</v>
      </c>
      <c r="BA7" s="3">
        <v>17.38</v>
      </c>
      <c r="BB7" s="7"/>
      <c r="BD7" s="8"/>
      <c r="BE7" s="8"/>
      <c r="BF7" s="8" t="s">
        <v>31</v>
      </c>
      <c r="BG7" s="8"/>
      <c r="BH7" s="8"/>
    </row>
    <row r="8" spans="2:60" s="3" customFormat="1" ht="15" customHeight="1">
      <c r="B8" s="3" t="s">
        <v>34</v>
      </c>
      <c r="E8" s="6">
        <v>21.12</v>
      </c>
      <c r="H8" s="8"/>
      <c r="I8" s="8"/>
      <c r="J8" s="8" t="s">
        <v>31</v>
      </c>
      <c r="K8" s="8"/>
      <c r="L8" s="8"/>
      <c r="N8" s="3" t="s">
        <v>34</v>
      </c>
      <c r="T8" s="8"/>
      <c r="U8" s="8"/>
      <c r="V8" s="8"/>
      <c r="W8" s="8"/>
      <c r="X8" s="8"/>
      <c r="Z8" s="3" t="s">
        <v>34</v>
      </c>
      <c r="AC8" s="6">
        <v>20.14</v>
      </c>
      <c r="AD8" s="7"/>
      <c r="AF8" s="8"/>
      <c r="AG8" s="8"/>
      <c r="AH8" s="8" t="s">
        <v>31</v>
      </c>
      <c r="AI8" s="8"/>
      <c r="AJ8" s="8"/>
      <c r="AL8" s="3" t="s">
        <v>34</v>
      </c>
      <c r="AN8" s="10">
        <v>0.38900000000000001</v>
      </c>
      <c r="AP8" s="7"/>
      <c r="AR8" s="8"/>
      <c r="AS8" s="8" t="s">
        <v>33</v>
      </c>
      <c r="AT8" s="8"/>
      <c r="AU8" s="8"/>
      <c r="AV8" s="8"/>
      <c r="AX8" s="3" t="s">
        <v>34</v>
      </c>
      <c r="BA8" s="3">
        <v>19.170000000000002</v>
      </c>
      <c r="BB8" s="7"/>
      <c r="BD8" s="8"/>
      <c r="BE8" s="8"/>
      <c r="BF8" s="8" t="s">
        <v>31</v>
      </c>
      <c r="BG8" s="8"/>
      <c r="BH8" s="8"/>
    </row>
    <row r="9" spans="2:60" s="3" customFormat="1" ht="15" customHeight="1">
      <c r="B9" s="3" t="s">
        <v>35</v>
      </c>
      <c r="E9" s="6">
        <v>22.57</v>
      </c>
      <c r="H9" s="8"/>
      <c r="I9" s="8"/>
      <c r="J9" s="8" t="s">
        <v>31</v>
      </c>
      <c r="K9" s="8"/>
      <c r="L9" s="8"/>
      <c r="N9" s="3" t="s">
        <v>35</v>
      </c>
      <c r="T9" s="8"/>
      <c r="U9" s="8"/>
      <c r="V9" s="8"/>
      <c r="W9" s="8"/>
      <c r="X9" s="8"/>
      <c r="Z9" s="3" t="s">
        <v>35</v>
      </c>
      <c r="AC9" s="6">
        <v>21.62</v>
      </c>
      <c r="AD9" s="7"/>
      <c r="AF9" s="8"/>
      <c r="AG9" s="8"/>
      <c r="AH9" s="8" t="s">
        <v>31</v>
      </c>
      <c r="AI9" s="8"/>
      <c r="AJ9" s="8"/>
      <c r="AL9" s="3" t="s">
        <v>35</v>
      </c>
      <c r="AN9" s="10">
        <v>0.50919999999999999</v>
      </c>
      <c r="AP9" s="7"/>
      <c r="AR9" s="8"/>
      <c r="AS9" s="8" t="s">
        <v>33</v>
      </c>
      <c r="AT9" s="8"/>
      <c r="AU9" s="8"/>
      <c r="AV9" s="8"/>
      <c r="AX9" s="3" t="s">
        <v>35</v>
      </c>
      <c r="BA9" s="3">
        <v>20.67</v>
      </c>
      <c r="BB9" s="7"/>
      <c r="BD9" s="8"/>
      <c r="BE9" s="8"/>
      <c r="BF9" s="8" t="s">
        <v>31</v>
      </c>
      <c r="BG9" s="8"/>
      <c r="BH9" s="8"/>
    </row>
    <row r="10" spans="2:60" s="3" customFormat="1" ht="15" customHeight="1">
      <c r="B10" s="3" t="s">
        <v>37</v>
      </c>
      <c r="E10" s="6">
        <v>23.79</v>
      </c>
      <c r="H10" s="8"/>
      <c r="I10" s="8"/>
      <c r="J10" s="8" t="s">
        <v>31</v>
      </c>
      <c r="K10" s="8"/>
      <c r="L10" s="8"/>
      <c r="N10" s="3" t="s">
        <v>37</v>
      </c>
      <c r="T10" s="8"/>
      <c r="U10" s="8"/>
      <c r="V10" s="8"/>
      <c r="W10" s="8"/>
      <c r="X10" s="8"/>
      <c r="Z10" s="3" t="s">
        <v>37</v>
      </c>
      <c r="AC10" s="6">
        <v>22.85</v>
      </c>
      <c r="AD10" s="7"/>
      <c r="AF10" s="8"/>
      <c r="AG10" s="8"/>
      <c r="AH10" s="8" t="s">
        <v>31</v>
      </c>
      <c r="AI10" s="8"/>
      <c r="AJ10" s="8"/>
      <c r="AL10" s="3" t="s">
        <v>37</v>
      </c>
      <c r="AN10" s="10"/>
      <c r="AP10" s="7"/>
      <c r="AR10" s="8"/>
      <c r="AS10" s="8"/>
      <c r="AT10" s="8"/>
      <c r="AU10" s="8"/>
      <c r="AV10" s="8"/>
      <c r="AX10" s="3" t="s">
        <v>37</v>
      </c>
      <c r="BA10" s="3">
        <v>21.92</v>
      </c>
      <c r="BB10" s="7"/>
      <c r="BD10" s="8"/>
      <c r="BE10" s="8"/>
      <c r="BF10" s="8" t="s">
        <v>31</v>
      </c>
      <c r="BG10" s="8"/>
      <c r="BH10" s="8"/>
    </row>
    <row r="11" spans="2:60" s="3" customFormat="1" ht="15" customHeight="1">
      <c r="B11" s="3" t="s">
        <v>38</v>
      </c>
      <c r="E11" s="6">
        <v>24.75</v>
      </c>
      <c r="H11" s="8"/>
      <c r="I11" s="8"/>
      <c r="J11" s="8" t="s">
        <v>31</v>
      </c>
      <c r="K11" s="8"/>
      <c r="L11" s="8"/>
      <c r="N11" s="3" t="s">
        <v>38</v>
      </c>
      <c r="R11" s="3">
        <v>1.165</v>
      </c>
      <c r="T11" s="8"/>
      <c r="U11" s="8"/>
      <c r="V11" s="8"/>
      <c r="W11" s="8" t="s">
        <v>36</v>
      </c>
      <c r="X11" s="8"/>
      <c r="Z11" s="3" t="s">
        <v>38</v>
      </c>
      <c r="AC11" s="6">
        <v>23.83</v>
      </c>
      <c r="AD11" s="7">
        <v>1.268</v>
      </c>
      <c r="AF11" s="8"/>
      <c r="AG11" s="8"/>
      <c r="AH11" s="8" t="s">
        <v>31</v>
      </c>
      <c r="AI11" s="8" t="s">
        <v>36</v>
      </c>
      <c r="AJ11" s="8"/>
      <c r="AL11" s="3" t="s">
        <v>38</v>
      </c>
      <c r="AN11" s="10">
        <v>0.8498</v>
      </c>
      <c r="AP11" s="7">
        <v>1.3859999999999999</v>
      </c>
      <c r="AR11" s="8"/>
      <c r="AS11" s="8" t="s">
        <v>33</v>
      </c>
      <c r="AT11" s="8"/>
      <c r="AU11" s="8" t="s">
        <v>36</v>
      </c>
      <c r="AV11" s="8"/>
      <c r="AX11" s="3" t="s">
        <v>38</v>
      </c>
      <c r="BA11" s="3">
        <v>22.91</v>
      </c>
      <c r="BB11" s="7">
        <v>1.5589999999999999</v>
      </c>
      <c r="BD11" s="8"/>
      <c r="BE11" s="8"/>
      <c r="BF11" s="8" t="s">
        <v>31</v>
      </c>
      <c r="BG11" s="8" t="s">
        <v>36</v>
      </c>
      <c r="BH11" s="8"/>
    </row>
    <row r="12" spans="2:60" s="3" customFormat="1" ht="15" customHeight="1">
      <c r="B12" s="3" t="s">
        <v>39</v>
      </c>
      <c r="E12" s="6">
        <v>25.56</v>
      </c>
      <c r="H12" s="8"/>
      <c r="I12" s="8"/>
      <c r="J12" s="8" t="s">
        <v>31</v>
      </c>
      <c r="K12" s="8"/>
      <c r="L12" s="8"/>
      <c r="N12" s="3" t="s">
        <v>39</v>
      </c>
      <c r="R12" s="3">
        <v>0.93100000000000005</v>
      </c>
      <c r="T12" s="8"/>
      <c r="U12" s="8"/>
      <c r="V12" s="8"/>
      <c r="W12" s="8" t="s">
        <v>36</v>
      </c>
      <c r="X12" s="8"/>
      <c r="Z12" s="3" t="s">
        <v>39</v>
      </c>
      <c r="AC12" s="6">
        <v>24.66</v>
      </c>
      <c r="AD12" s="7">
        <v>1.0089999999999999</v>
      </c>
      <c r="AF12" s="8"/>
      <c r="AG12" s="8"/>
      <c r="AH12" s="8" t="s">
        <v>31</v>
      </c>
      <c r="AI12" s="8" t="s">
        <v>36</v>
      </c>
      <c r="AJ12" s="8"/>
      <c r="AL12" s="3" t="s">
        <v>39</v>
      </c>
      <c r="AN12" s="10"/>
      <c r="AP12" s="7">
        <v>1.1120000000000001</v>
      </c>
      <c r="AR12" s="8"/>
      <c r="AS12" s="8"/>
      <c r="AT12" s="8"/>
      <c r="AU12" s="8" t="s">
        <v>36</v>
      </c>
      <c r="AV12" s="8"/>
      <c r="AX12" s="3" t="s">
        <v>39</v>
      </c>
      <c r="BA12" s="3">
        <v>23.76</v>
      </c>
      <c r="BB12" s="7">
        <v>1.248</v>
      </c>
      <c r="BD12" s="8"/>
      <c r="BE12" s="8"/>
      <c r="BF12" s="8" t="s">
        <v>31</v>
      </c>
      <c r="BG12" s="8" t="s">
        <v>36</v>
      </c>
      <c r="BH12" s="8"/>
    </row>
    <row r="13" spans="2:60" s="3" customFormat="1" ht="15" customHeight="1">
      <c r="B13" s="3" t="s">
        <v>40</v>
      </c>
      <c r="E13" s="6">
        <v>26.24</v>
      </c>
      <c r="H13" s="8"/>
      <c r="I13" s="8"/>
      <c r="J13" s="8" t="s">
        <v>31</v>
      </c>
      <c r="K13" s="8"/>
      <c r="L13" s="8"/>
      <c r="N13" s="3" t="s">
        <v>40</v>
      </c>
      <c r="R13" s="3">
        <v>0.70799999999999996</v>
      </c>
      <c r="T13" s="8"/>
      <c r="U13" s="8"/>
      <c r="V13" s="8"/>
      <c r="W13" s="8" t="s">
        <v>36</v>
      </c>
      <c r="X13" s="8"/>
      <c r="Z13" s="3" t="s">
        <v>40</v>
      </c>
      <c r="AC13" s="6">
        <v>25.35</v>
      </c>
      <c r="AD13" s="7">
        <v>0.78800000000000003</v>
      </c>
      <c r="AF13" s="8"/>
      <c r="AG13" s="8"/>
      <c r="AH13" s="8" t="s">
        <v>31</v>
      </c>
      <c r="AI13" s="8" t="s">
        <v>36</v>
      </c>
      <c r="AJ13" s="8"/>
      <c r="AL13" s="3" t="s">
        <v>40</v>
      </c>
      <c r="AN13" s="10">
        <v>1.3585</v>
      </c>
      <c r="AP13" s="7">
        <v>0.871</v>
      </c>
      <c r="AR13" s="8"/>
      <c r="AS13" s="8" t="s">
        <v>33</v>
      </c>
      <c r="AT13" s="8"/>
      <c r="AU13" s="8" t="s">
        <v>36</v>
      </c>
      <c r="AV13" s="8"/>
      <c r="AX13" s="3" t="s">
        <v>40</v>
      </c>
      <c r="BA13" s="3">
        <v>24.47</v>
      </c>
      <c r="BB13" s="7">
        <v>0.996</v>
      </c>
      <c r="BD13" s="8"/>
      <c r="BE13" s="8"/>
      <c r="BF13" s="8" t="s">
        <v>31</v>
      </c>
      <c r="BG13" s="8" t="s">
        <v>36</v>
      </c>
      <c r="BH13" s="8"/>
    </row>
    <row r="14" spans="2:60" s="3" customFormat="1" ht="15" customHeight="1">
      <c r="B14" s="3" t="s">
        <v>41</v>
      </c>
      <c r="E14" s="6">
        <v>26.86</v>
      </c>
      <c r="H14" s="8"/>
      <c r="I14" s="8"/>
      <c r="J14" s="8" t="s">
        <v>31</v>
      </c>
      <c r="K14" s="8"/>
      <c r="L14" s="8"/>
      <c r="N14" s="3" t="s">
        <v>41</v>
      </c>
      <c r="R14" s="3">
        <v>0.56499999999999995</v>
      </c>
      <c r="T14" s="8"/>
      <c r="U14" s="8"/>
      <c r="V14" s="8"/>
      <c r="W14" s="8" t="s">
        <v>36</v>
      </c>
      <c r="X14" s="8"/>
      <c r="Z14" s="3" t="s">
        <v>41</v>
      </c>
      <c r="AC14" s="6">
        <v>25.99</v>
      </c>
      <c r="AD14" s="7">
        <v>0.64</v>
      </c>
      <c r="AF14" s="8"/>
      <c r="AG14" s="8"/>
      <c r="AH14" s="8" t="s">
        <v>31</v>
      </c>
      <c r="AI14" s="8" t="s">
        <v>36</v>
      </c>
      <c r="AJ14" s="8"/>
      <c r="AL14" s="3" t="s">
        <v>41</v>
      </c>
      <c r="AN14" s="10"/>
      <c r="AP14" s="7">
        <v>0.70699999999999996</v>
      </c>
      <c r="AR14" s="8"/>
      <c r="AS14" s="8"/>
      <c r="AT14" s="8"/>
      <c r="AU14" s="8" t="s">
        <v>36</v>
      </c>
      <c r="AV14" s="8"/>
      <c r="AX14" s="3" t="s">
        <v>41</v>
      </c>
      <c r="BA14" s="3">
        <v>25.11</v>
      </c>
      <c r="BB14" s="7">
        <v>0.80500000000000005</v>
      </c>
      <c r="BD14" s="8"/>
      <c r="BE14" s="8"/>
      <c r="BF14" s="8" t="s">
        <v>31</v>
      </c>
      <c r="BG14" s="8" t="s">
        <v>36</v>
      </c>
      <c r="BH14" s="8"/>
    </row>
    <row r="15" spans="2:60" s="3" customFormat="1" ht="15" customHeight="1">
      <c r="B15" s="3" t="s">
        <v>42</v>
      </c>
      <c r="E15" s="6">
        <v>27.43</v>
      </c>
      <c r="H15" s="8"/>
      <c r="I15" s="8"/>
      <c r="J15" s="8" t="s">
        <v>31</v>
      </c>
      <c r="K15" s="8"/>
      <c r="L15" s="8"/>
      <c r="N15" s="3" t="s">
        <v>42</v>
      </c>
      <c r="R15" s="3">
        <v>0.443</v>
      </c>
      <c r="T15" s="8"/>
      <c r="U15" s="8"/>
      <c r="V15" s="8"/>
      <c r="W15" s="8" t="s">
        <v>36</v>
      </c>
      <c r="X15" s="8"/>
      <c r="Z15" s="3" t="s">
        <v>42</v>
      </c>
      <c r="AC15" s="6">
        <v>26.56</v>
      </c>
      <c r="AD15" s="7">
        <v>0.495</v>
      </c>
      <c r="AF15" s="8"/>
      <c r="AG15" s="8"/>
      <c r="AH15" s="8" t="s">
        <v>31</v>
      </c>
      <c r="AI15" s="8" t="s">
        <v>36</v>
      </c>
      <c r="AJ15" s="8"/>
      <c r="AL15" s="3" t="s">
        <v>42</v>
      </c>
      <c r="AN15" s="10">
        <v>2.0779999999999998</v>
      </c>
      <c r="AP15" s="7">
        <v>0.55000000000000004</v>
      </c>
      <c r="AR15" s="8"/>
      <c r="AS15" s="8" t="s">
        <v>33</v>
      </c>
      <c r="AT15" s="8"/>
      <c r="AU15" s="8" t="s">
        <v>36</v>
      </c>
      <c r="AV15" s="8"/>
      <c r="AX15" s="3" t="s">
        <v>42</v>
      </c>
      <c r="BA15" s="3">
        <v>25.69</v>
      </c>
      <c r="BB15" s="7">
        <v>0.63700000000000001</v>
      </c>
      <c r="BD15" s="8"/>
      <c r="BE15" s="8"/>
      <c r="BF15" s="8" t="s">
        <v>31</v>
      </c>
      <c r="BG15" s="8" t="s">
        <v>36</v>
      </c>
      <c r="BH15" s="8"/>
    </row>
    <row r="16" spans="2:60" s="3" customFormat="1" ht="15" customHeight="1">
      <c r="B16" s="3" t="s">
        <v>43</v>
      </c>
      <c r="E16" s="6"/>
      <c r="H16" s="8"/>
      <c r="I16" s="8"/>
      <c r="J16" s="8"/>
      <c r="K16" s="8"/>
      <c r="L16" s="8"/>
      <c r="N16" s="3" t="s">
        <v>43</v>
      </c>
      <c r="R16" s="3">
        <v>0.35699999999999998</v>
      </c>
      <c r="T16" s="8"/>
      <c r="U16" s="8"/>
      <c r="V16" s="8"/>
      <c r="W16" s="8" t="s">
        <v>36</v>
      </c>
      <c r="X16" s="8"/>
      <c r="Z16" s="3" t="s">
        <v>43</v>
      </c>
      <c r="AC16" s="6">
        <v>27.07</v>
      </c>
      <c r="AD16" s="7">
        <v>0.40400000000000003</v>
      </c>
      <c r="AF16" s="8"/>
      <c r="AG16" s="8"/>
      <c r="AH16" s="8" t="s">
        <v>31</v>
      </c>
      <c r="AI16" s="8" t="s">
        <v>36</v>
      </c>
      <c r="AJ16" s="8"/>
      <c r="AL16" s="3" t="s">
        <v>43</v>
      </c>
      <c r="AN16" s="10"/>
      <c r="AP16" s="7">
        <v>0.46100000000000002</v>
      </c>
      <c r="AR16" s="8"/>
      <c r="AS16" s="8"/>
      <c r="AT16" s="8"/>
      <c r="AU16" s="8" t="s">
        <v>36</v>
      </c>
      <c r="AV16" s="8"/>
      <c r="AX16" s="3" t="s">
        <v>43</v>
      </c>
      <c r="BA16" s="3">
        <v>26.21</v>
      </c>
      <c r="BB16" s="7">
        <v>0.53500000000000003</v>
      </c>
      <c r="BD16" s="8"/>
      <c r="BE16" s="8"/>
      <c r="BF16" s="8" t="s">
        <v>31</v>
      </c>
      <c r="BG16" s="8" t="s">
        <v>36</v>
      </c>
      <c r="BH16" s="8"/>
    </row>
    <row r="17" spans="2:60" s="3" customFormat="1" ht="15" customHeight="1">
      <c r="B17" s="3" t="s">
        <v>44</v>
      </c>
      <c r="E17" s="6"/>
      <c r="F17" s="4"/>
      <c r="H17" s="8"/>
      <c r="I17" s="8"/>
      <c r="J17" s="8"/>
      <c r="K17" s="8"/>
      <c r="L17" s="8"/>
      <c r="N17" s="3" t="s">
        <v>44</v>
      </c>
      <c r="R17" s="4" t="s">
        <v>57</v>
      </c>
      <c r="T17" s="8"/>
      <c r="U17" s="8"/>
      <c r="V17" s="8"/>
      <c r="W17" s="8"/>
      <c r="X17" s="8"/>
      <c r="Z17" s="3" t="s">
        <v>44</v>
      </c>
      <c r="AC17" s="6">
        <v>27.47</v>
      </c>
      <c r="AD17" s="7">
        <v>0.34100000000000003</v>
      </c>
      <c r="AF17" s="8"/>
      <c r="AG17" s="8"/>
      <c r="AH17" s="8" t="s">
        <v>31</v>
      </c>
      <c r="AI17" s="8" t="s">
        <v>36</v>
      </c>
      <c r="AJ17" s="8"/>
      <c r="AL17" s="3" t="s">
        <v>44</v>
      </c>
      <c r="AN17" s="10"/>
      <c r="AP17" s="7">
        <v>0.38700000000000001</v>
      </c>
      <c r="AR17" s="8"/>
      <c r="AS17" s="8"/>
      <c r="AT17" s="8"/>
      <c r="AU17" s="8" t="s">
        <v>36</v>
      </c>
      <c r="AV17" s="8"/>
      <c r="AX17" s="3" t="s">
        <v>44</v>
      </c>
      <c r="BA17" s="3">
        <v>26.62</v>
      </c>
      <c r="BB17" s="7">
        <v>0.44600000000000001</v>
      </c>
      <c r="BD17" s="8"/>
      <c r="BE17" s="8"/>
      <c r="BF17" s="8" t="s">
        <v>31</v>
      </c>
      <c r="BG17" s="8" t="s">
        <v>36</v>
      </c>
      <c r="BH17" s="8"/>
    </row>
  </sheetData>
  <mergeCells count="5">
    <mergeCell ref="BD4:BH4"/>
    <mergeCell ref="H4:L4"/>
    <mergeCell ref="T4:X4"/>
    <mergeCell ref="AF4:AJ4"/>
    <mergeCell ref="AR4:AV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83C72-0DB7-F547-92F8-D3AA5971D5C0}">
  <dimension ref="B2:I19"/>
  <sheetViews>
    <sheetView workbookViewId="0">
      <selection activeCell="D31" sqref="D31"/>
    </sheetView>
  </sheetViews>
  <sheetFormatPr defaultColWidth="10.875" defaultRowHeight="15.75"/>
  <cols>
    <col min="1" max="1" width="10.875" style="1"/>
    <col min="2" max="2" width="38.375" style="1" customWidth="1"/>
    <col min="3" max="3" width="13" style="1" customWidth="1"/>
    <col min="4" max="5" width="10.875" style="1"/>
    <col min="6" max="6" width="21.375" style="1" customWidth="1"/>
    <col min="7" max="7" width="13.125" style="1" customWidth="1"/>
    <col min="8" max="8" width="10.875" style="1"/>
    <col min="9" max="9" width="56.125" style="1" customWidth="1"/>
    <col min="10" max="16384" width="10.875" style="1"/>
  </cols>
  <sheetData>
    <row r="2" spans="2:9" s="2" customFormat="1">
      <c r="B2" s="2" t="s">
        <v>0</v>
      </c>
      <c r="C2" s="2" t="s">
        <v>1</v>
      </c>
      <c r="E2" s="2" t="s">
        <v>2</v>
      </c>
      <c r="F2" s="2" t="s">
        <v>3</v>
      </c>
      <c r="G2" s="2" t="s">
        <v>4</v>
      </c>
      <c r="I2" s="2" t="s">
        <v>5</v>
      </c>
    </row>
    <row r="3" spans="2:9">
      <c r="B3" s="1" t="s">
        <v>6</v>
      </c>
      <c r="C3" s="1" t="s">
        <v>7</v>
      </c>
      <c r="E3" s="1">
        <v>10</v>
      </c>
      <c r="F3" s="1" t="s">
        <v>8</v>
      </c>
      <c r="G3" s="1" t="s">
        <v>9</v>
      </c>
    </row>
    <row r="4" spans="2:9">
      <c r="F4" s="1" t="s">
        <v>10</v>
      </c>
      <c r="G4" s="1" t="s">
        <v>11</v>
      </c>
    </row>
    <row r="5" spans="2:9">
      <c r="F5" s="1" t="s">
        <v>15</v>
      </c>
      <c r="G5" s="1" t="s">
        <v>9</v>
      </c>
      <c r="I5" s="1" t="s">
        <v>78</v>
      </c>
    </row>
    <row r="7" spans="2:9">
      <c r="C7" s="1" t="s">
        <v>12</v>
      </c>
      <c r="E7" s="1">
        <v>10</v>
      </c>
      <c r="F7" s="1" t="s">
        <v>13</v>
      </c>
      <c r="G7" s="1" t="s">
        <v>9</v>
      </c>
      <c r="I7" s="1" t="s">
        <v>76</v>
      </c>
    </row>
    <row r="8" spans="2:9">
      <c r="E8" s="1">
        <v>10</v>
      </c>
      <c r="F8" s="1" t="s">
        <v>14</v>
      </c>
      <c r="G8" s="1" t="s">
        <v>9</v>
      </c>
    </row>
    <row r="10" spans="2:9">
      <c r="B10" s="1" t="s">
        <v>75</v>
      </c>
      <c r="C10" s="1" t="s">
        <v>7</v>
      </c>
      <c r="E10" s="1">
        <v>10</v>
      </c>
      <c r="F10" s="1" t="s">
        <v>15</v>
      </c>
      <c r="G10" s="1" t="s">
        <v>9</v>
      </c>
      <c r="I10" s="1" t="s">
        <v>77</v>
      </c>
    </row>
    <row r="13" spans="2:9">
      <c r="B13" s="1" t="s">
        <v>16</v>
      </c>
      <c r="E13" s="1">
        <v>100</v>
      </c>
    </row>
    <row r="16" spans="2:9">
      <c r="B16" s="1" t="s">
        <v>17</v>
      </c>
      <c r="E16" s="1">
        <v>50</v>
      </c>
    </row>
    <row r="19" spans="2:5">
      <c r="B19" s="1" t="s">
        <v>18</v>
      </c>
      <c r="E19" s="1">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B50C4-06A1-EC49-9F2B-EE3AB2341EED}">
  <dimension ref="B2:X38"/>
  <sheetViews>
    <sheetView workbookViewId="0">
      <selection activeCell="B48" sqref="B48"/>
    </sheetView>
  </sheetViews>
  <sheetFormatPr defaultColWidth="10.875" defaultRowHeight="15.75"/>
  <cols>
    <col min="1" max="1" width="3.875" style="14" customWidth="1"/>
    <col min="2" max="2" width="44.5" style="14" customWidth="1"/>
    <col min="3" max="3" width="11.125" style="14" customWidth="1"/>
    <col min="4" max="4" width="8.375" style="14" customWidth="1"/>
    <col min="5" max="5" width="18" style="14" customWidth="1"/>
    <col min="6" max="11" width="10.875" style="14"/>
    <col min="12" max="12" width="11.125" style="14" bestFit="1" customWidth="1"/>
    <col min="13" max="13" width="12.875" style="14" customWidth="1"/>
    <col min="14" max="14" width="10.5" style="14" customWidth="1"/>
    <col min="15" max="15" width="8.375" style="14" customWidth="1"/>
    <col min="16" max="16" width="10.875" style="21"/>
    <col min="17" max="17" width="9" style="14" customWidth="1"/>
    <col min="18" max="18" width="9" style="27" customWidth="1"/>
    <col min="19" max="20" width="9" style="14" customWidth="1"/>
    <col min="21" max="21" width="9" style="27" customWidth="1"/>
    <col min="22" max="22" width="9" style="14" customWidth="1"/>
    <col min="23" max="23" width="38.625" style="14" customWidth="1"/>
    <col min="24" max="24" width="37.125" style="14" customWidth="1"/>
    <col min="25" max="16384" width="10.875" style="14"/>
  </cols>
  <sheetData>
    <row r="2" spans="2:24">
      <c r="B2" s="14" t="s">
        <v>79</v>
      </c>
      <c r="Q2"/>
      <c r="R2" s="25"/>
      <c r="S2"/>
      <c r="T2"/>
    </row>
    <row r="3" spans="2:24">
      <c r="K3" s="14" t="s">
        <v>86</v>
      </c>
      <c r="M3" s="115" t="s">
        <v>81</v>
      </c>
      <c r="N3" s="115"/>
      <c r="O3" s="115"/>
      <c r="Q3" s="115" t="s">
        <v>102</v>
      </c>
      <c r="R3" s="115"/>
      <c r="S3" s="115"/>
      <c r="T3" s="115"/>
      <c r="U3" s="115"/>
      <c r="V3" s="115"/>
      <c r="W3" s="115"/>
    </row>
    <row r="4" spans="2:24" s="15" customFormat="1">
      <c r="B4" s="15" t="s">
        <v>80</v>
      </c>
      <c r="C4" s="15" t="s">
        <v>92</v>
      </c>
      <c r="D4" s="15" t="s">
        <v>63</v>
      </c>
      <c r="E4" s="15" t="s">
        <v>0</v>
      </c>
      <c r="F4" s="15" t="s">
        <v>1</v>
      </c>
      <c r="G4" s="15" t="s">
        <v>83</v>
      </c>
      <c r="H4" s="15" t="s">
        <v>84</v>
      </c>
      <c r="I4" s="15" t="s">
        <v>90</v>
      </c>
      <c r="J4" s="15" t="s">
        <v>88</v>
      </c>
      <c r="K4" s="15" t="s">
        <v>85</v>
      </c>
      <c r="L4" s="15" t="s">
        <v>87</v>
      </c>
      <c r="M4" s="15" t="s">
        <v>96</v>
      </c>
      <c r="N4" s="15" t="s">
        <v>97</v>
      </c>
      <c r="O4" s="15" t="s">
        <v>93</v>
      </c>
      <c r="P4" s="22"/>
      <c r="Q4" s="15" t="s">
        <v>103</v>
      </c>
      <c r="R4" s="26" t="s">
        <v>105</v>
      </c>
      <c r="S4" s="15" t="s">
        <v>104</v>
      </c>
      <c r="T4" s="15" t="s">
        <v>103</v>
      </c>
      <c r="U4" s="26" t="s">
        <v>105</v>
      </c>
      <c r="V4" s="15" t="s">
        <v>104</v>
      </c>
      <c r="W4" s="15" t="s">
        <v>144</v>
      </c>
      <c r="X4" s="15" t="s">
        <v>5</v>
      </c>
    </row>
    <row r="5" spans="2:24" s="47" customFormat="1">
      <c r="B5" s="47" t="s">
        <v>82</v>
      </c>
      <c r="C5" s="47" t="s">
        <v>44</v>
      </c>
      <c r="D5" s="47">
        <v>1024</v>
      </c>
      <c r="E5" s="47" t="s">
        <v>100</v>
      </c>
      <c r="F5" s="47" t="s">
        <v>7</v>
      </c>
      <c r="G5" s="47">
        <v>298</v>
      </c>
      <c r="H5" s="47">
        <v>1</v>
      </c>
      <c r="I5" s="48" t="s">
        <v>57</v>
      </c>
      <c r="J5" s="47">
        <v>2</v>
      </c>
      <c r="K5" s="47">
        <v>10</v>
      </c>
      <c r="L5" s="47">
        <f t="shared" ref="L5:L10" si="0">1000000*K5/J5</f>
        <v>5000000</v>
      </c>
      <c r="P5" s="49"/>
      <c r="Q5" s="47" t="s">
        <v>23</v>
      </c>
      <c r="R5" s="47" t="s">
        <v>106</v>
      </c>
      <c r="S5" s="47">
        <v>794.41200000000003</v>
      </c>
      <c r="T5" s="47" t="s">
        <v>26</v>
      </c>
      <c r="U5" s="51" t="s">
        <v>107</v>
      </c>
      <c r="V5" s="47">
        <v>0.4728</v>
      </c>
      <c r="W5" s="48" t="s">
        <v>111</v>
      </c>
    </row>
    <row r="6" spans="2:24" s="47" customFormat="1">
      <c r="D6" s="48"/>
      <c r="E6" s="47" t="s">
        <v>15</v>
      </c>
      <c r="F6" s="47" t="s">
        <v>7</v>
      </c>
      <c r="G6" s="47">
        <v>298</v>
      </c>
      <c r="H6" s="47">
        <v>1</v>
      </c>
      <c r="J6" s="47">
        <v>2</v>
      </c>
      <c r="K6" s="47">
        <v>10</v>
      </c>
      <c r="L6" s="47">
        <f t="shared" si="0"/>
        <v>5000000</v>
      </c>
      <c r="P6" s="49"/>
      <c r="Q6" s="47" t="s">
        <v>24</v>
      </c>
      <c r="R6" s="47" t="s">
        <v>108</v>
      </c>
    </row>
    <row r="7" spans="2:24" s="47" customFormat="1">
      <c r="E7" s="47" t="s">
        <v>15</v>
      </c>
      <c r="F7" s="47" t="s">
        <v>7</v>
      </c>
      <c r="G7" s="47">
        <v>298</v>
      </c>
      <c r="H7" s="47">
        <v>1</v>
      </c>
      <c r="J7" s="47">
        <v>2</v>
      </c>
      <c r="K7" s="47">
        <v>10</v>
      </c>
      <c r="L7" s="47">
        <f t="shared" si="0"/>
        <v>5000000</v>
      </c>
      <c r="P7" s="49"/>
      <c r="Q7" s="47" t="s">
        <v>24</v>
      </c>
      <c r="R7" s="47" t="s">
        <v>108</v>
      </c>
    </row>
    <row r="8" spans="2:24" s="47" customFormat="1">
      <c r="E8" s="47" t="s">
        <v>15</v>
      </c>
      <c r="F8" s="47" t="s">
        <v>7</v>
      </c>
      <c r="G8" s="47">
        <v>298</v>
      </c>
      <c r="H8" s="47">
        <v>1</v>
      </c>
      <c r="J8" s="47">
        <v>2</v>
      </c>
      <c r="K8" s="47">
        <v>10</v>
      </c>
      <c r="L8" s="47">
        <f t="shared" si="0"/>
        <v>5000000</v>
      </c>
      <c r="P8" s="49"/>
      <c r="Q8" s="47" t="s">
        <v>24</v>
      </c>
      <c r="R8" s="47" t="s">
        <v>108</v>
      </c>
    </row>
    <row r="9" spans="2:24" s="47" customFormat="1">
      <c r="E9" s="47" t="s">
        <v>15</v>
      </c>
      <c r="F9" s="47" t="s">
        <v>7</v>
      </c>
      <c r="G9" s="47">
        <v>298</v>
      </c>
      <c r="H9" s="47">
        <v>1</v>
      </c>
      <c r="J9" s="47">
        <v>2</v>
      </c>
      <c r="K9" s="47">
        <v>10</v>
      </c>
      <c r="L9" s="47">
        <f t="shared" si="0"/>
        <v>5000000</v>
      </c>
      <c r="P9" s="49"/>
      <c r="Q9" s="47" t="s">
        <v>24</v>
      </c>
      <c r="R9" s="47" t="s">
        <v>108</v>
      </c>
    </row>
    <row r="10" spans="2:24" s="47" customFormat="1">
      <c r="E10" s="47" t="s">
        <v>15</v>
      </c>
      <c r="F10" s="47" t="s">
        <v>7</v>
      </c>
      <c r="G10" s="47">
        <v>298</v>
      </c>
      <c r="H10" s="47">
        <v>1</v>
      </c>
      <c r="J10" s="47">
        <v>2</v>
      </c>
      <c r="K10" s="47">
        <v>10</v>
      </c>
      <c r="L10" s="47">
        <f t="shared" si="0"/>
        <v>5000000</v>
      </c>
      <c r="P10" s="49"/>
      <c r="Q10" s="47" t="s">
        <v>24</v>
      </c>
      <c r="R10" s="47" t="s">
        <v>108</v>
      </c>
    </row>
    <row r="11" spans="2:24" s="47" customFormat="1">
      <c r="E11" s="47" t="s">
        <v>13</v>
      </c>
      <c r="F11" s="47" t="s">
        <v>101</v>
      </c>
      <c r="P11" s="49"/>
    </row>
    <row r="12" spans="2:24" s="47" customFormat="1">
      <c r="P12" s="49"/>
    </row>
    <row r="13" spans="2:24" s="47" customFormat="1">
      <c r="B13" s="47" t="s">
        <v>91</v>
      </c>
      <c r="C13" s="47" t="s">
        <v>44</v>
      </c>
      <c r="D13" s="47">
        <v>1024</v>
      </c>
      <c r="E13" s="47" t="s">
        <v>109</v>
      </c>
      <c r="F13" s="47" t="s">
        <v>7</v>
      </c>
      <c r="G13" s="47" t="s">
        <v>89</v>
      </c>
      <c r="H13" s="47">
        <v>1</v>
      </c>
      <c r="I13" s="48" t="s">
        <v>57</v>
      </c>
      <c r="J13" s="47">
        <v>2</v>
      </c>
      <c r="K13" s="47">
        <v>200</v>
      </c>
      <c r="L13" s="47">
        <f>1000000*K13/J13</f>
        <v>100000000</v>
      </c>
      <c r="M13" s="47" t="s">
        <v>94</v>
      </c>
      <c r="N13" s="47" t="s">
        <v>95</v>
      </c>
      <c r="O13" s="47">
        <v>2</v>
      </c>
      <c r="P13" s="49"/>
    </row>
    <row r="14" spans="2:24" s="47" customFormat="1">
      <c r="P14" s="49"/>
    </row>
    <row r="15" spans="2:24" s="47" customFormat="1">
      <c r="P15" s="49"/>
    </row>
    <row r="16" spans="2:24" s="47" customFormat="1">
      <c r="P16" s="49"/>
    </row>
    <row r="17" spans="2:22" s="47" customFormat="1">
      <c r="P17" s="49"/>
    </row>
    <row r="18" spans="2:22" s="56" customFormat="1">
      <c r="P18" s="57"/>
    </row>
    <row r="19" spans="2:22" s="47" customFormat="1">
      <c r="B19" s="47" t="s">
        <v>99</v>
      </c>
      <c r="C19" s="47" t="s">
        <v>43</v>
      </c>
      <c r="D19" s="47">
        <v>1024</v>
      </c>
      <c r="E19" s="47" t="s">
        <v>98</v>
      </c>
      <c r="F19" s="47" t="s">
        <v>7</v>
      </c>
      <c r="G19" s="47">
        <v>298</v>
      </c>
      <c r="H19" s="47">
        <v>1</v>
      </c>
      <c r="I19" s="48" t="s">
        <v>57</v>
      </c>
      <c r="J19" s="47">
        <v>2</v>
      </c>
      <c r="K19" s="47">
        <v>10</v>
      </c>
      <c r="L19" s="47">
        <f t="shared" ref="L19:L24" si="1">1000000*K19/J19</f>
        <v>5000000</v>
      </c>
      <c r="P19" s="49"/>
      <c r="Q19" s="47" t="s">
        <v>23</v>
      </c>
      <c r="R19" s="47" t="s">
        <v>106</v>
      </c>
      <c r="S19" s="47">
        <v>786.97</v>
      </c>
      <c r="T19" s="47" t="s">
        <v>26</v>
      </c>
      <c r="U19" s="51" t="s">
        <v>107</v>
      </c>
      <c r="V19" s="47">
        <v>0.623</v>
      </c>
    </row>
    <row r="20" spans="2:22" s="47" customFormat="1">
      <c r="D20" s="48"/>
      <c r="E20" s="47" t="s">
        <v>15</v>
      </c>
      <c r="F20" s="47" t="s">
        <v>7</v>
      </c>
      <c r="G20" s="47">
        <v>298</v>
      </c>
      <c r="H20" s="47">
        <v>1</v>
      </c>
      <c r="J20" s="47">
        <v>2</v>
      </c>
      <c r="K20" s="47">
        <v>10</v>
      </c>
      <c r="L20" s="47">
        <f t="shared" si="1"/>
        <v>5000000</v>
      </c>
      <c r="P20" s="49"/>
      <c r="Q20" s="47" t="s">
        <v>24</v>
      </c>
      <c r="R20" s="47" t="s">
        <v>108</v>
      </c>
    </row>
    <row r="21" spans="2:22" s="47" customFormat="1">
      <c r="E21" s="47" t="s">
        <v>15</v>
      </c>
      <c r="F21" s="47" t="s">
        <v>7</v>
      </c>
      <c r="G21" s="47">
        <v>298</v>
      </c>
      <c r="H21" s="47">
        <v>1</v>
      </c>
      <c r="J21" s="47">
        <v>2</v>
      </c>
      <c r="K21" s="47">
        <v>10</v>
      </c>
      <c r="L21" s="47">
        <f t="shared" si="1"/>
        <v>5000000</v>
      </c>
      <c r="P21" s="49"/>
      <c r="Q21" s="47" t="s">
        <v>24</v>
      </c>
      <c r="R21" s="47" t="s">
        <v>108</v>
      </c>
    </row>
    <row r="22" spans="2:22" s="47" customFormat="1">
      <c r="E22" s="47" t="s">
        <v>15</v>
      </c>
      <c r="F22" s="47" t="s">
        <v>7</v>
      </c>
      <c r="G22" s="47">
        <v>298</v>
      </c>
      <c r="H22" s="47">
        <v>1</v>
      </c>
      <c r="J22" s="47">
        <v>2</v>
      </c>
      <c r="K22" s="47">
        <v>10</v>
      </c>
      <c r="L22" s="47">
        <f t="shared" si="1"/>
        <v>5000000</v>
      </c>
      <c r="P22" s="49"/>
      <c r="Q22" s="47" t="s">
        <v>24</v>
      </c>
      <c r="R22" s="47" t="s">
        <v>108</v>
      </c>
    </row>
    <row r="23" spans="2:22" s="47" customFormat="1">
      <c r="E23" s="47" t="s">
        <v>15</v>
      </c>
      <c r="F23" s="47" t="s">
        <v>7</v>
      </c>
      <c r="G23" s="47">
        <v>298</v>
      </c>
      <c r="H23" s="47">
        <v>1</v>
      </c>
      <c r="J23" s="47">
        <v>2</v>
      </c>
      <c r="K23" s="47">
        <v>10</v>
      </c>
      <c r="L23" s="47">
        <f t="shared" si="1"/>
        <v>5000000</v>
      </c>
      <c r="P23" s="49"/>
      <c r="Q23" s="47" t="s">
        <v>24</v>
      </c>
      <c r="R23" s="47" t="s">
        <v>108</v>
      </c>
    </row>
    <row r="24" spans="2:22" s="47" customFormat="1">
      <c r="E24" s="47" t="s">
        <v>15</v>
      </c>
      <c r="F24" s="47" t="s">
        <v>7</v>
      </c>
      <c r="G24" s="47">
        <v>298</v>
      </c>
      <c r="H24" s="47">
        <v>1</v>
      </c>
      <c r="J24" s="47">
        <v>2</v>
      </c>
      <c r="K24" s="47">
        <v>10</v>
      </c>
      <c r="L24" s="47">
        <f t="shared" si="1"/>
        <v>5000000</v>
      </c>
      <c r="P24" s="49"/>
      <c r="Q24" s="47" t="s">
        <v>24</v>
      </c>
      <c r="R24" s="47" t="s">
        <v>108</v>
      </c>
    </row>
    <row r="25" spans="2:22" s="47" customFormat="1">
      <c r="E25" s="47" t="s">
        <v>13</v>
      </c>
      <c r="F25" s="47" t="s">
        <v>101</v>
      </c>
      <c r="P25" s="49"/>
    </row>
    <row r="26" spans="2:22" s="47" customFormat="1">
      <c r="P26" s="49"/>
    </row>
    <row r="27" spans="2:22" s="47" customFormat="1">
      <c r="B27" s="47" t="s">
        <v>110</v>
      </c>
      <c r="C27" s="47" t="s">
        <v>43</v>
      </c>
      <c r="D27" s="47">
        <v>1024</v>
      </c>
      <c r="E27" s="47" t="s">
        <v>109</v>
      </c>
      <c r="F27" s="47" t="s">
        <v>7</v>
      </c>
      <c r="G27" s="47" t="s">
        <v>89</v>
      </c>
      <c r="H27" s="47">
        <v>1</v>
      </c>
      <c r="I27" s="48" t="s">
        <v>57</v>
      </c>
      <c r="J27" s="47">
        <v>2</v>
      </c>
      <c r="K27" s="47">
        <v>200</v>
      </c>
      <c r="L27" s="47">
        <f>1000000*K27/J27</f>
        <v>100000000</v>
      </c>
      <c r="M27" s="47" t="s">
        <v>94</v>
      </c>
      <c r="N27" s="47" t="s">
        <v>95</v>
      </c>
      <c r="O27" s="47">
        <v>2</v>
      </c>
      <c r="P27" s="49"/>
    </row>
    <row r="28" spans="2:22" s="47" customFormat="1">
      <c r="P28" s="49"/>
    </row>
    <row r="29" spans="2:22" s="47" customFormat="1">
      <c r="P29" s="49"/>
    </row>
    <row r="30" spans="2:22" s="47" customFormat="1">
      <c r="P30" s="49"/>
    </row>
    <row r="31" spans="2:22" s="56" customFormat="1">
      <c r="P31" s="57"/>
    </row>
    <row r="32" spans="2:22" s="47" customFormat="1">
      <c r="B32" s="47" t="s">
        <v>112</v>
      </c>
      <c r="C32" s="47" t="s">
        <v>35</v>
      </c>
      <c r="D32" s="47">
        <v>2048</v>
      </c>
      <c r="E32" s="47" t="s">
        <v>98</v>
      </c>
      <c r="F32" s="47" t="s">
        <v>7</v>
      </c>
      <c r="G32" s="47">
        <v>298</v>
      </c>
      <c r="H32" s="47">
        <v>1</v>
      </c>
      <c r="I32" s="48" t="s">
        <v>57</v>
      </c>
      <c r="J32" s="47">
        <v>2</v>
      </c>
      <c r="K32" s="47">
        <v>10</v>
      </c>
      <c r="L32" s="47">
        <f t="shared" ref="L32:L37" si="2">1000000*K32/J32</f>
        <v>5000000</v>
      </c>
      <c r="P32" s="49"/>
      <c r="Q32" s="47" t="s">
        <v>23</v>
      </c>
      <c r="R32" s="47" t="s">
        <v>106</v>
      </c>
      <c r="T32" s="47" t="s">
        <v>26</v>
      </c>
      <c r="U32" s="51" t="s">
        <v>107</v>
      </c>
    </row>
    <row r="33" spans="5:18" s="47" customFormat="1">
      <c r="E33" s="47" t="s">
        <v>15</v>
      </c>
      <c r="F33" s="47" t="s">
        <v>7</v>
      </c>
      <c r="G33" s="47">
        <v>298</v>
      </c>
      <c r="H33" s="47">
        <v>1</v>
      </c>
      <c r="J33" s="47">
        <v>2</v>
      </c>
      <c r="K33" s="47">
        <v>10</v>
      </c>
      <c r="L33" s="47">
        <f t="shared" si="2"/>
        <v>5000000</v>
      </c>
      <c r="P33" s="49"/>
      <c r="Q33" s="47" t="s">
        <v>24</v>
      </c>
      <c r="R33" s="47" t="s">
        <v>108</v>
      </c>
    </row>
    <row r="34" spans="5:18" s="47" customFormat="1">
      <c r="E34" s="47" t="s">
        <v>15</v>
      </c>
      <c r="F34" s="47" t="s">
        <v>7</v>
      </c>
      <c r="G34" s="47">
        <v>298</v>
      </c>
      <c r="H34" s="47">
        <v>1</v>
      </c>
      <c r="J34" s="47">
        <v>2</v>
      </c>
      <c r="K34" s="47">
        <v>10</v>
      </c>
      <c r="L34" s="47">
        <f t="shared" si="2"/>
        <v>5000000</v>
      </c>
      <c r="P34" s="49"/>
      <c r="Q34" s="47" t="s">
        <v>24</v>
      </c>
      <c r="R34" s="47" t="s">
        <v>108</v>
      </c>
    </row>
    <row r="35" spans="5:18" s="47" customFormat="1">
      <c r="E35" s="47" t="s">
        <v>15</v>
      </c>
      <c r="F35" s="47" t="s">
        <v>7</v>
      </c>
      <c r="G35" s="47">
        <v>298</v>
      </c>
      <c r="H35" s="47">
        <v>1</v>
      </c>
      <c r="J35" s="47">
        <v>2</v>
      </c>
      <c r="K35" s="47">
        <v>10</v>
      </c>
      <c r="L35" s="47">
        <f t="shared" si="2"/>
        <v>5000000</v>
      </c>
      <c r="P35" s="49"/>
      <c r="Q35" s="47" t="s">
        <v>24</v>
      </c>
      <c r="R35" s="47" t="s">
        <v>108</v>
      </c>
    </row>
    <row r="36" spans="5:18" s="47" customFormat="1">
      <c r="E36" s="47" t="s">
        <v>15</v>
      </c>
      <c r="F36" s="47" t="s">
        <v>7</v>
      </c>
      <c r="G36" s="47">
        <v>298</v>
      </c>
      <c r="H36" s="47">
        <v>1</v>
      </c>
      <c r="J36" s="47">
        <v>2</v>
      </c>
      <c r="K36" s="47">
        <v>10</v>
      </c>
      <c r="L36" s="47">
        <f t="shared" si="2"/>
        <v>5000000</v>
      </c>
      <c r="P36" s="49"/>
      <c r="Q36" s="47" t="s">
        <v>24</v>
      </c>
      <c r="R36" s="47" t="s">
        <v>108</v>
      </c>
    </row>
    <row r="37" spans="5:18" s="47" customFormat="1">
      <c r="E37" s="47" t="s">
        <v>15</v>
      </c>
      <c r="F37" s="47" t="s">
        <v>7</v>
      </c>
      <c r="G37" s="47">
        <v>298</v>
      </c>
      <c r="H37" s="47">
        <v>1</v>
      </c>
      <c r="J37" s="47">
        <v>2</v>
      </c>
      <c r="K37" s="47">
        <v>10</v>
      </c>
      <c r="L37" s="47">
        <f t="shared" si="2"/>
        <v>5000000</v>
      </c>
      <c r="P37" s="49"/>
      <c r="Q37" s="47" t="s">
        <v>24</v>
      </c>
      <c r="R37" s="47" t="s">
        <v>108</v>
      </c>
    </row>
    <row r="38" spans="5:18" s="47" customFormat="1">
      <c r="P38" s="49"/>
    </row>
  </sheetData>
  <mergeCells count="2">
    <mergeCell ref="M3:O3"/>
    <mergeCell ref="Q3:W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A057-00E8-1E48-9B6B-FADB282B23F9}">
  <dimension ref="B2:AB11"/>
  <sheetViews>
    <sheetView topLeftCell="B1" workbookViewId="0">
      <selection activeCell="T6" sqref="T6"/>
    </sheetView>
  </sheetViews>
  <sheetFormatPr defaultColWidth="10.875" defaultRowHeight="15.75"/>
  <cols>
    <col min="1" max="1" width="3.875" style="14" customWidth="1"/>
    <col min="2" max="2" width="44.5" style="14" customWidth="1"/>
    <col min="3" max="3" width="10.625" style="14" customWidth="1"/>
    <col min="4" max="6" width="9.125" style="18" customWidth="1"/>
    <col min="7" max="7" width="11.125" style="14" customWidth="1"/>
    <col min="8" max="8" width="8.375" style="14" customWidth="1"/>
    <col min="9" max="9" width="18" style="14" customWidth="1"/>
    <col min="10" max="15" width="10.875" style="14"/>
    <col min="16" max="16" width="11.125" style="14" bestFit="1" customWidth="1"/>
    <col min="17" max="17" width="12.875" style="14" customWidth="1"/>
    <col min="18" max="18" width="10.5" style="14" customWidth="1"/>
    <col min="19" max="19" width="8.375" style="21" customWidth="1"/>
    <col min="20" max="20" width="10.875" style="43"/>
    <col min="21" max="21" width="9" style="14" customWidth="1"/>
    <col min="22" max="22" width="9" style="27" customWidth="1"/>
    <col min="23" max="24" width="9" style="14" customWidth="1"/>
    <col min="25" max="25" width="9" style="27" customWidth="1"/>
    <col min="26" max="26" width="9" style="14" customWidth="1"/>
    <col min="27" max="27" width="47" style="14" customWidth="1"/>
    <col min="28" max="28" width="68" style="45" customWidth="1"/>
    <col min="29" max="16384" width="10.875" style="14"/>
  </cols>
  <sheetData>
    <row r="2" spans="2:28">
      <c r="U2"/>
      <c r="V2" s="25"/>
      <c r="W2"/>
      <c r="X2"/>
    </row>
    <row r="3" spans="2:28">
      <c r="C3" s="14" t="s">
        <v>137</v>
      </c>
      <c r="O3" s="14" t="s">
        <v>86</v>
      </c>
      <c r="Q3" s="115" t="s">
        <v>81</v>
      </c>
      <c r="R3" s="115"/>
      <c r="S3" s="116"/>
      <c r="U3" s="115" t="s">
        <v>102</v>
      </c>
      <c r="V3" s="115"/>
      <c r="W3" s="115"/>
      <c r="X3" s="115"/>
      <c r="Y3" s="115"/>
      <c r="Z3" s="115"/>
      <c r="AA3" s="115"/>
    </row>
    <row r="4" spans="2:28" s="15" customFormat="1">
      <c r="B4" s="15" t="s">
        <v>80</v>
      </c>
      <c r="C4" s="15" t="s">
        <v>129</v>
      </c>
      <c r="D4" s="19" t="s">
        <v>132</v>
      </c>
      <c r="E4" s="19" t="s">
        <v>133</v>
      </c>
      <c r="F4" s="19" t="s">
        <v>134</v>
      </c>
      <c r="G4" s="15" t="s">
        <v>92</v>
      </c>
      <c r="H4" s="15" t="s">
        <v>63</v>
      </c>
      <c r="I4" s="15" t="s">
        <v>0</v>
      </c>
      <c r="J4" s="15" t="s">
        <v>1</v>
      </c>
      <c r="K4" s="15" t="s">
        <v>83</v>
      </c>
      <c r="L4" s="15" t="s">
        <v>84</v>
      </c>
      <c r="M4" s="15" t="s">
        <v>90</v>
      </c>
      <c r="N4" s="15" t="s">
        <v>88</v>
      </c>
      <c r="O4" s="15" t="s">
        <v>85</v>
      </c>
      <c r="P4" s="15" t="s">
        <v>87</v>
      </c>
      <c r="Q4" s="15" t="s">
        <v>96</v>
      </c>
      <c r="R4" s="15" t="s">
        <v>97</v>
      </c>
      <c r="S4" s="22" t="s">
        <v>93</v>
      </c>
      <c r="T4" s="44" t="s">
        <v>141</v>
      </c>
      <c r="U4" s="15" t="s">
        <v>103</v>
      </c>
      <c r="V4" s="26" t="s">
        <v>105</v>
      </c>
      <c r="W4" s="15" t="s">
        <v>104</v>
      </c>
      <c r="X4" s="15" t="s">
        <v>103</v>
      </c>
      <c r="Y4" s="26" t="s">
        <v>105</v>
      </c>
      <c r="Z4" s="15" t="s">
        <v>104</v>
      </c>
      <c r="AA4" s="15" t="s">
        <v>5</v>
      </c>
      <c r="AB4" s="46" t="s">
        <v>5</v>
      </c>
    </row>
    <row r="5" spans="2:28" s="47" customFormat="1">
      <c r="B5" s="47" t="s">
        <v>135</v>
      </c>
      <c r="C5" s="47" t="s">
        <v>139</v>
      </c>
      <c r="D5" s="54">
        <v>1.25</v>
      </c>
      <c r="E5" s="54">
        <v>1.05</v>
      </c>
      <c r="F5" s="54">
        <v>1.05</v>
      </c>
      <c r="G5" s="47" t="s">
        <v>44</v>
      </c>
      <c r="H5" s="47">
        <v>1024</v>
      </c>
      <c r="I5" s="47" t="s">
        <v>100</v>
      </c>
      <c r="J5" s="47" t="s">
        <v>7</v>
      </c>
      <c r="K5" s="47">
        <v>298</v>
      </c>
      <c r="L5" s="47">
        <v>1</v>
      </c>
      <c r="M5" s="48" t="s">
        <v>57</v>
      </c>
      <c r="N5" s="47">
        <v>1</v>
      </c>
      <c r="O5" s="47">
        <v>5</v>
      </c>
      <c r="P5" s="47">
        <f>1000000*O5/N5</f>
        <v>5000000</v>
      </c>
      <c r="S5" s="49"/>
      <c r="T5" s="50">
        <v>27.507000000000001</v>
      </c>
      <c r="U5" s="47" t="s">
        <v>23</v>
      </c>
      <c r="V5" s="47" t="s">
        <v>136</v>
      </c>
      <c r="W5" s="47">
        <v>767.95699999999999</v>
      </c>
      <c r="X5" s="47" t="s">
        <v>26</v>
      </c>
      <c r="Y5" s="51" t="s">
        <v>136</v>
      </c>
      <c r="Z5" s="47">
        <v>0.23219999999999999</v>
      </c>
      <c r="AA5" s="48" t="s">
        <v>138</v>
      </c>
      <c r="AB5" s="52"/>
    </row>
    <row r="6" spans="2:28" s="47" customFormat="1">
      <c r="C6" s="47" t="s">
        <v>130</v>
      </c>
      <c r="D6" s="54">
        <v>1.1499999999999999</v>
      </c>
      <c r="E6" s="54">
        <v>1.05</v>
      </c>
      <c r="F6" s="54">
        <v>1.05</v>
      </c>
      <c r="G6" s="47" t="s">
        <v>44</v>
      </c>
      <c r="H6" s="47">
        <v>1024</v>
      </c>
      <c r="I6" s="47" t="s">
        <v>100</v>
      </c>
      <c r="J6" s="47" t="s">
        <v>7</v>
      </c>
      <c r="K6" s="47">
        <v>298</v>
      </c>
      <c r="L6" s="47">
        <v>1</v>
      </c>
      <c r="M6" s="48" t="s">
        <v>57</v>
      </c>
      <c r="N6" s="47">
        <v>1</v>
      </c>
      <c r="O6" s="47">
        <v>5</v>
      </c>
      <c r="P6" s="47">
        <f>1000000*O6/N6</f>
        <v>5000000</v>
      </c>
      <c r="S6" s="49"/>
      <c r="T6" s="50">
        <v>31.248999999999999</v>
      </c>
      <c r="U6" s="47" t="s">
        <v>23</v>
      </c>
      <c r="V6" s="47" t="s">
        <v>136</v>
      </c>
      <c r="W6" s="47">
        <v>768.41700000000003</v>
      </c>
      <c r="X6" s="47" t="s">
        <v>26</v>
      </c>
      <c r="Y6" s="51" t="s">
        <v>136</v>
      </c>
      <c r="Z6" s="47">
        <v>0.24929999999999999</v>
      </c>
      <c r="AA6" s="48" t="s">
        <v>142</v>
      </c>
      <c r="AB6" s="52"/>
    </row>
    <row r="7" spans="2:28" s="47" customFormat="1">
      <c r="C7" s="47" t="s">
        <v>140</v>
      </c>
      <c r="D7" s="54">
        <v>1.25</v>
      </c>
      <c r="E7" s="54">
        <v>1.05</v>
      </c>
      <c r="F7" s="54">
        <v>1.05</v>
      </c>
      <c r="G7" s="47" t="s">
        <v>44</v>
      </c>
      <c r="H7" s="47">
        <v>1024</v>
      </c>
      <c r="I7" s="47" t="s">
        <v>100</v>
      </c>
      <c r="J7" s="47" t="s">
        <v>7</v>
      </c>
      <c r="K7" s="47">
        <v>298</v>
      </c>
      <c r="L7" s="47">
        <v>1</v>
      </c>
      <c r="M7" s="48" t="s">
        <v>57</v>
      </c>
      <c r="N7" s="47">
        <v>1</v>
      </c>
      <c r="O7" s="47">
        <v>5</v>
      </c>
      <c r="P7" s="47">
        <f>1000000*O7/N7</f>
        <v>5000000</v>
      </c>
      <c r="S7" s="49"/>
      <c r="T7" s="50">
        <v>22.291</v>
      </c>
      <c r="U7" s="47" t="s">
        <v>23</v>
      </c>
      <c r="V7" s="47" t="s">
        <v>136</v>
      </c>
      <c r="W7" s="47">
        <v>775.88400000000001</v>
      </c>
      <c r="X7" s="47" t="s">
        <v>26</v>
      </c>
      <c r="Y7" s="51" t="s">
        <v>136</v>
      </c>
      <c r="Z7" s="47">
        <v>0.21210000000000001</v>
      </c>
      <c r="AA7" s="48" t="s">
        <v>143</v>
      </c>
      <c r="AB7" s="52"/>
    </row>
    <row r="8" spans="2:28" s="47" customFormat="1">
      <c r="C8" s="47" t="s">
        <v>131</v>
      </c>
      <c r="D8" s="54">
        <v>1.1499999999999999</v>
      </c>
      <c r="E8" s="54">
        <v>1.05</v>
      </c>
      <c r="F8" s="54">
        <v>1.05</v>
      </c>
      <c r="G8" s="47" t="s">
        <v>44</v>
      </c>
      <c r="H8" s="47">
        <v>1024</v>
      </c>
      <c r="I8" s="47" t="s">
        <v>100</v>
      </c>
      <c r="J8" s="47" t="s">
        <v>7</v>
      </c>
      <c r="K8" s="47">
        <v>298</v>
      </c>
      <c r="L8" s="47">
        <v>1</v>
      </c>
      <c r="M8" s="48" t="s">
        <v>57</v>
      </c>
      <c r="N8" s="47">
        <v>1</v>
      </c>
      <c r="O8" s="47">
        <v>5</v>
      </c>
      <c r="P8" s="47">
        <f>1000000*O8/N8</f>
        <v>5000000</v>
      </c>
      <c r="S8" s="49"/>
      <c r="T8" s="50">
        <v>26.669</v>
      </c>
      <c r="U8" s="47" t="s">
        <v>23</v>
      </c>
      <c r="V8" s="47" t="s">
        <v>136</v>
      </c>
      <c r="W8" s="47">
        <v>771.99900000000002</v>
      </c>
      <c r="X8" s="47" t="s">
        <v>26</v>
      </c>
      <c r="Y8" s="51" t="s">
        <v>136</v>
      </c>
      <c r="Z8" s="47">
        <v>0.2487</v>
      </c>
      <c r="AA8" s="47" t="s">
        <v>145</v>
      </c>
      <c r="AB8" s="52" t="s">
        <v>146</v>
      </c>
    </row>
    <row r="10" spans="2:28" s="15" customFormat="1">
      <c r="B10" s="15" t="s">
        <v>239</v>
      </c>
      <c r="D10" s="19"/>
      <c r="E10" s="19"/>
      <c r="F10" s="19"/>
      <c r="S10" s="22"/>
      <c r="T10" s="44"/>
      <c r="V10" s="26"/>
      <c r="Y10" s="26"/>
      <c r="AB10" s="46"/>
    </row>
    <row r="11" spans="2:28">
      <c r="D11" s="18">
        <v>1.05</v>
      </c>
      <c r="E11" s="18">
        <v>1</v>
      </c>
      <c r="F11" s="18">
        <v>1</v>
      </c>
    </row>
  </sheetData>
  <mergeCells count="2">
    <mergeCell ref="Q3:S3"/>
    <mergeCell ref="U3:AA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A431D-5536-2842-8755-AEE6B34A948B}">
  <dimension ref="B2:AC50"/>
  <sheetViews>
    <sheetView workbookViewId="0">
      <pane xSplit="2" ySplit="4" topLeftCell="C5" activePane="bottomRight" state="frozen"/>
      <selection pane="topRight" activeCell="C1" sqref="C1"/>
      <selection pane="bottomLeft" activeCell="A5" sqref="A5"/>
      <selection pane="bottomRight" activeCell="J35" sqref="J35"/>
    </sheetView>
  </sheetViews>
  <sheetFormatPr defaultColWidth="10.875" defaultRowHeight="15.75"/>
  <cols>
    <col min="1" max="1" width="3.875" style="14" customWidth="1"/>
    <col min="2" max="2" width="55.25" style="14" customWidth="1"/>
    <col min="3" max="5" width="11.875" style="14" customWidth="1"/>
    <col min="6" max="8" width="9.125" style="18" customWidth="1"/>
    <col min="9" max="9" width="11.125" style="14" customWidth="1"/>
    <col min="10" max="10" width="8.375" style="14" customWidth="1"/>
    <col min="11" max="11" width="18" style="14" customWidth="1"/>
    <col min="12" max="17" width="10.875" style="14"/>
    <col min="18" max="18" width="11.125" style="14" bestFit="1" customWidth="1"/>
    <col min="19" max="19" width="12.875" style="14" customWidth="1"/>
    <col min="20" max="20" width="10.5" style="14" customWidth="1"/>
    <col min="21" max="21" width="8.375" style="21" customWidth="1"/>
    <col min="22" max="22" width="10.875" style="43"/>
    <col min="23" max="23" width="9" style="14" customWidth="1"/>
    <col min="24" max="24" width="9" style="27" customWidth="1"/>
    <col min="25" max="26" width="9" style="14" customWidth="1"/>
    <col min="27" max="27" width="9" style="27" customWidth="1"/>
    <col min="28" max="28" width="9" style="33" customWidth="1"/>
    <col min="29" max="29" width="47" style="14" customWidth="1"/>
    <col min="30" max="16384" width="10.875" style="14"/>
  </cols>
  <sheetData>
    <row r="2" spans="2:29">
      <c r="W2"/>
      <c r="X2" s="25"/>
      <c r="Y2"/>
      <c r="Z2"/>
    </row>
    <row r="3" spans="2:29">
      <c r="C3" s="14" t="s">
        <v>147</v>
      </c>
      <c r="Q3" s="14" t="s">
        <v>86</v>
      </c>
      <c r="S3" s="115" t="s">
        <v>81</v>
      </c>
      <c r="T3" s="115"/>
      <c r="U3" s="116"/>
      <c r="W3" s="115" t="s">
        <v>102</v>
      </c>
      <c r="X3" s="115"/>
      <c r="Y3" s="115"/>
      <c r="Z3" s="115"/>
      <c r="AA3" s="115"/>
      <c r="AB3" s="115"/>
      <c r="AC3" s="115"/>
    </row>
    <row r="4" spans="2:29" s="15" customFormat="1">
      <c r="B4" s="15" t="s">
        <v>80</v>
      </c>
      <c r="C4" s="15" t="s">
        <v>167</v>
      </c>
      <c r="D4" s="15" t="s">
        <v>224</v>
      </c>
      <c r="E4" s="15" t="s">
        <v>223</v>
      </c>
      <c r="F4" s="19" t="s">
        <v>132</v>
      </c>
      <c r="G4" s="19" t="s">
        <v>133</v>
      </c>
      <c r="H4" s="19" t="s">
        <v>134</v>
      </c>
      <c r="I4" s="15" t="s">
        <v>92</v>
      </c>
      <c r="J4" s="15" t="s">
        <v>63</v>
      </c>
      <c r="K4" s="15" t="s">
        <v>0</v>
      </c>
      <c r="L4" s="15" t="s">
        <v>1</v>
      </c>
      <c r="M4" s="15" t="s">
        <v>83</v>
      </c>
      <c r="N4" s="15" t="s">
        <v>84</v>
      </c>
      <c r="O4" s="15" t="s">
        <v>90</v>
      </c>
      <c r="P4" s="15" t="s">
        <v>88</v>
      </c>
      <c r="Q4" s="15" t="s">
        <v>85</v>
      </c>
      <c r="R4" s="15" t="s">
        <v>87</v>
      </c>
      <c r="S4" s="15" t="s">
        <v>96</v>
      </c>
      <c r="T4" s="15" t="s">
        <v>97</v>
      </c>
      <c r="U4" s="22" t="s">
        <v>93</v>
      </c>
      <c r="V4" s="44" t="s">
        <v>141</v>
      </c>
      <c r="W4" s="15" t="s">
        <v>103</v>
      </c>
      <c r="X4" s="26" t="s">
        <v>105</v>
      </c>
      <c r="Y4" s="15" t="s">
        <v>104</v>
      </c>
      <c r="Z4" s="15" t="s">
        <v>103</v>
      </c>
      <c r="AA4" s="26" t="s">
        <v>105</v>
      </c>
      <c r="AB4" s="34" t="s">
        <v>104</v>
      </c>
      <c r="AC4" s="15" t="s">
        <v>5</v>
      </c>
    </row>
    <row r="5" spans="2:29" s="47" customFormat="1">
      <c r="B5" s="47" t="s">
        <v>151</v>
      </c>
      <c r="C5" s="47">
        <v>7</v>
      </c>
      <c r="F5" s="53">
        <v>1.1499999999999999</v>
      </c>
      <c r="G5" s="54">
        <v>1.1499999999999999</v>
      </c>
      <c r="H5" s="54">
        <v>1.05</v>
      </c>
      <c r="I5" s="47" t="s">
        <v>44</v>
      </c>
      <c r="J5" s="47">
        <v>1024</v>
      </c>
      <c r="K5" s="47" t="s">
        <v>100</v>
      </c>
      <c r="L5" s="47" t="s">
        <v>7</v>
      </c>
      <c r="M5" s="47">
        <v>298</v>
      </c>
      <c r="N5" s="47">
        <v>1</v>
      </c>
      <c r="O5" s="48" t="s">
        <v>57</v>
      </c>
      <c r="P5" s="47">
        <v>1</v>
      </c>
      <c r="Q5" s="47">
        <v>5</v>
      </c>
      <c r="R5" s="47">
        <f>1000000*Q5/P5</f>
        <v>5000000</v>
      </c>
      <c r="U5" s="49"/>
      <c r="V5" s="50">
        <v>13.738</v>
      </c>
      <c r="W5" s="47" t="s">
        <v>23</v>
      </c>
      <c r="X5" s="47" t="s">
        <v>136</v>
      </c>
      <c r="Y5" s="47">
        <v>786.67399999999998</v>
      </c>
      <c r="Z5" s="47" t="s">
        <v>26</v>
      </c>
      <c r="AA5" s="51" t="s">
        <v>136</v>
      </c>
      <c r="AB5" s="55">
        <v>0.32929999999999998</v>
      </c>
      <c r="AC5" s="48" t="s">
        <v>149</v>
      </c>
    </row>
    <row r="6" spans="2:29" s="47" customFormat="1">
      <c r="C6" s="47">
        <v>7</v>
      </c>
      <c r="F6" s="54">
        <v>1.05</v>
      </c>
      <c r="G6" s="54">
        <v>1.05</v>
      </c>
      <c r="H6" s="54">
        <v>1.05</v>
      </c>
      <c r="I6" s="47" t="s">
        <v>44</v>
      </c>
      <c r="J6" s="47">
        <v>1024</v>
      </c>
      <c r="K6" s="47" t="s">
        <v>100</v>
      </c>
      <c r="L6" s="47" t="s">
        <v>7</v>
      </c>
      <c r="M6" s="47">
        <v>298</v>
      </c>
      <c r="N6" s="47">
        <v>1</v>
      </c>
      <c r="O6" s="48" t="s">
        <v>57</v>
      </c>
      <c r="P6" s="47">
        <v>1</v>
      </c>
      <c r="Q6" s="47">
        <v>5</v>
      </c>
      <c r="R6" s="47">
        <f>1000000*Q6/P6</f>
        <v>5000000</v>
      </c>
      <c r="U6" s="49"/>
      <c r="V6" s="50">
        <v>15.555</v>
      </c>
      <c r="W6" s="47" t="s">
        <v>23</v>
      </c>
      <c r="X6" s="47" t="s">
        <v>136</v>
      </c>
      <c r="Y6" s="47">
        <v>786.36199999999997</v>
      </c>
      <c r="Z6" s="47" t="s">
        <v>26</v>
      </c>
      <c r="AA6" s="51" t="s">
        <v>136</v>
      </c>
      <c r="AB6" s="55">
        <v>0.33310000000000001</v>
      </c>
      <c r="AC6" s="48" t="s">
        <v>148</v>
      </c>
    </row>
    <row r="7" spans="2:29" s="47" customFormat="1">
      <c r="B7" s="47" t="s">
        <v>150</v>
      </c>
      <c r="C7" s="47">
        <v>4</v>
      </c>
      <c r="F7" s="53">
        <v>1.1499999999999999</v>
      </c>
      <c r="G7" s="54">
        <v>1.1499999999999999</v>
      </c>
      <c r="H7" s="54">
        <v>1.05</v>
      </c>
      <c r="I7" s="47" t="s">
        <v>44</v>
      </c>
      <c r="J7" s="47">
        <v>1024</v>
      </c>
      <c r="K7" s="47" t="s">
        <v>100</v>
      </c>
      <c r="L7" s="47" t="s">
        <v>7</v>
      </c>
      <c r="M7" s="47">
        <v>298</v>
      </c>
      <c r="N7" s="47">
        <v>1</v>
      </c>
      <c r="O7" s="48" t="s">
        <v>57</v>
      </c>
      <c r="P7" s="47">
        <v>1</v>
      </c>
      <c r="Q7" s="47">
        <v>5</v>
      </c>
      <c r="R7" s="47">
        <f>1000000*Q7/P7</f>
        <v>5000000</v>
      </c>
      <c r="U7" s="49"/>
      <c r="V7" s="50">
        <v>14.615</v>
      </c>
      <c r="W7" s="47" t="s">
        <v>23</v>
      </c>
      <c r="X7" s="47" t="s">
        <v>136</v>
      </c>
      <c r="Y7" s="47">
        <v>790.35900000000004</v>
      </c>
      <c r="Z7" s="47" t="s">
        <v>26</v>
      </c>
      <c r="AA7" s="51" t="s">
        <v>136</v>
      </c>
      <c r="AB7" s="55">
        <v>0.29289999999999999</v>
      </c>
      <c r="AC7" s="47" t="s">
        <v>152</v>
      </c>
    </row>
    <row r="8" spans="2:29" s="47" customFormat="1">
      <c r="C8" s="47">
        <v>4</v>
      </c>
      <c r="F8" s="54">
        <v>1.05</v>
      </c>
      <c r="G8" s="54">
        <v>1.05</v>
      </c>
      <c r="H8" s="54">
        <v>1.05</v>
      </c>
      <c r="I8" s="47" t="s">
        <v>44</v>
      </c>
      <c r="J8" s="47">
        <v>1024</v>
      </c>
      <c r="K8" s="47" t="s">
        <v>100</v>
      </c>
      <c r="L8" s="47" t="s">
        <v>7</v>
      </c>
      <c r="M8" s="47">
        <v>298</v>
      </c>
      <c r="N8" s="47">
        <v>1</v>
      </c>
      <c r="O8" s="48" t="s">
        <v>57</v>
      </c>
      <c r="P8" s="47">
        <v>1</v>
      </c>
      <c r="Q8" s="47">
        <v>5</v>
      </c>
      <c r="R8" s="47">
        <f>1000000*Q8/P8</f>
        <v>5000000</v>
      </c>
      <c r="U8" s="49"/>
      <c r="V8" s="50">
        <v>16.268999999999998</v>
      </c>
      <c r="W8" s="47" t="s">
        <v>23</v>
      </c>
      <c r="X8" s="47" t="s">
        <v>136</v>
      </c>
      <c r="Y8" s="47">
        <v>790.34900000000005</v>
      </c>
      <c r="Z8" s="47" t="s">
        <v>26</v>
      </c>
      <c r="AA8" s="51" t="s">
        <v>136</v>
      </c>
      <c r="AB8" s="55">
        <v>0.30399999999999999</v>
      </c>
      <c r="AC8" s="47" t="s">
        <v>153</v>
      </c>
    </row>
    <row r="9" spans="2:29" s="47" customFormat="1">
      <c r="F9" s="54"/>
      <c r="G9" s="54"/>
      <c r="H9" s="54"/>
      <c r="U9" s="49"/>
      <c r="V9" s="50"/>
      <c r="AB9" s="55"/>
    </row>
    <row r="10" spans="2:29" s="47" customFormat="1">
      <c r="B10" s="47" t="s">
        <v>166</v>
      </c>
      <c r="C10" s="47" t="s">
        <v>164</v>
      </c>
      <c r="F10" s="54">
        <v>1.05</v>
      </c>
      <c r="G10" s="54">
        <v>1.05</v>
      </c>
      <c r="H10" s="54">
        <v>1.05</v>
      </c>
      <c r="I10" s="47" t="s">
        <v>44</v>
      </c>
      <c r="J10" s="47">
        <v>1024</v>
      </c>
      <c r="K10" s="47" t="s">
        <v>100</v>
      </c>
      <c r="L10" s="47" t="s">
        <v>7</v>
      </c>
      <c r="M10" s="47">
        <v>298</v>
      </c>
      <c r="N10" s="47">
        <v>1</v>
      </c>
      <c r="O10" s="48" t="s">
        <v>57</v>
      </c>
      <c r="P10" s="47">
        <v>1</v>
      </c>
      <c r="Q10" s="47">
        <v>5</v>
      </c>
      <c r="R10" s="47">
        <f>1000000*Q10/P10</f>
        <v>5000000</v>
      </c>
      <c r="U10" s="49"/>
      <c r="V10" s="50">
        <v>40.869</v>
      </c>
      <c r="W10" s="47" t="s">
        <v>23</v>
      </c>
      <c r="X10" s="47" t="s">
        <v>136</v>
      </c>
      <c r="Y10" s="47">
        <v>787.04600000000005</v>
      </c>
      <c r="Z10" s="47" t="s">
        <v>26</v>
      </c>
      <c r="AA10" s="51" t="s">
        <v>136</v>
      </c>
      <c r="AB10" s="55">
        <v>0.31109999999999999</v>
      </c>
      <c r="AC10" s="47" t="s">
        <v>154</v>
      </c>
    </row>
    <row r="11" spans="2:29" s="47" customFormat="1">
      <c r="B11" s="47" t="s">
        <v>170</v>
      </c>
      <c r="C11" s="47" t="s">
        <v>164</v>
      </c>
      <c r="F11" s="53">
        <v>1.05</v>
      </c>
      <c r="G11" s="54">
        <v>1.05</v>
      </c>
      <c r="H11" s="54">
        <v>1</v>
      </c>
      <c r="I11" s="47" t="s">
        <v>44</v>
      </c>
      <c r="J11" s="47">
        <v>1024</v>
      </c>
      <c r="K11" s="47" t="s">
        <v>100</v>
      </c>
      <c r="L11" s="47" t="s">
        <v>7</v>
      </c>
      <c r="M11" s="47">
        <v>298</v>
      </c>
      <c r="N11" s="47">
        <v>1</v>
      </c>
      <c r="O11" s="48" t="s">
        <v>57</v>
      </c>
      <c r="P11" s="47">
        <v>1</v>
      </c>
      <c r="Q11" s="47">
        <v>5</v>
      </c>
      <c r="R11" s="47">
        <f>1000000*Q11/P11</f>
        <v>5000000</v>
      </c>
      <c r="U11" s="49"/>
      <c r="V11" s="50"/>
      <c r="W11" s="47" t="s">
        <v>23</v>
      </c>
      <c r="X11" s="47" t="s">
        <v>136</v>
      </c>
      <c r="Z11" s="47" t="s">
        <v>26</v>
      </c>
      <c r="AA11" s="51" t="s">
        <v>136</v>
      </c>
      <c r="AB11" s="55"/>
    </row>
    <row r="12" spans="2:29" s="47" customFormat="1">
      <c r="B12" s="47" t="s">
        <v>169</v>
      </c>
      <c r="C12" s="47" t="s">
        <v>164</v>
      </c>
      <c r="F12" s="54">
        <v>1</v>
      </c>
      <c r="G12" s="54">
        <v>1</v>
      </c>
      <c r="H12" s="54">
        <v>1</v>
      </c>
      <c r="I12" s="47" t="s">
        <v>44</v>
      </c>
      <c r="J12" s="47">
        <v>1024</v>
      </c>
      <c r="K12" s="47" t="s">
        <v>100</v>
      </c>
      <c r="L12" s="47" t="s">
        <v>7</v>
      </c>
      <c r="M12" s="47">
        <v>298</v>
      </c>
      <c r="N12" s="47">
        <v>1</v>
      </c>
      <c r="O12" s="48" t="s">
        <v>57</v>
      </c>
      <c r="P12" s="47">
        <v>1</v>
      </c>
      <c r="Q12" s="47">
        <v>5</v>
      </c>
      <c r="R12" s="47">
        <f>1000000*Q12/P12</f>
        <v>5000000</v>
      </c>
      <c r="U12" s="49"/>
      <c r="V12" s="50"/>
      <c r="W12" s="47" t="s">
        <v>23</v>
      </c>
      <c r="X12" s="47" t="s">
        <v>136</v>
      </c>
      <c r="Z12" s="47" t="s">
        <v>26</v>
      </c>
      <c r="AA12" s="51" t="s">
        <v>136</v>
      </c>
      <c r="AB12" s="55"/>
    </row>
    <row r="13" spans="2:29" s="47" customFormat="1">
      <c r="B13" s="48" t="s">
        <v>171</v>
      </c>
      <c r="C13" s="47" t="s">
        <v>164</v>
      </c>
      <c r="F13" s="53">
        <v>1.05</v>
      </c>
      <c r="G13" s="54">
        <v>1.05</v>
      </c>
      <c r="H13" s="54">
        <v>1.05</v>
      </c>
      <c r="I13" s="47" t="s">
        <v>44</v>
      </c>
      <c r="J13" s="47">
        <v>1024</v>
      </c>
      <c r="K13" s="47" t="s">
        <v>100</v>
      </c>
      <c r="L13" s="47" t="s">
        <v>7</v>
      </c>
      <c r="M13" s="47">
        <v>298</v>
      </c>
      <c r="N13" s="47">
        <v>1</v>
      </c>
      <c r="O13" s="48" t="s">
        <v>57</v>
      </c>
      <c r="P13" s="47">
        <v>1</v>
      </c>
      <c r="Q13" s="47">
        <v>5</v>
      </c>
      <c r="R13" s="47">
        <f>1000000*Q13/P13</f>
        <v>5000000</v>
      </c>
      <c r="U13" s="49"/>
      <c r="V13" s="50">
        <v>19.827999999999999</v>
      </c>
      <c r="W13" s="47" t="s">
        <v>23</v>
      </c>
      <c r="X13" s="47" t="s">
        <v>136</v>
      </c>
      <c r="Y13" s="47">
        <v>786.56299999999999</v>
      </c>
      <c r="Z13" s="47" t="s">
        <v>26</v>
      </c>
      <c r="AA13" s="51" t="s">
        <v>136</v>
      </c>
      <c r="AB13" s="55">
        <v>0.31119999999999998</v>
      </c>
      <c r="AC13" s="47" t="s">
        <v>155</v>
      </c>
    </row>
    <row r="14" spans="2:29" s="47" customFormat="1">
      <c r="F14" s="54"/>
      <c r="G14" s="54"/>
      <c r="H14" s="54"/>
      <c r="U14" s="49"/>
      <c r="V14" s="50"/>
      <c r="AB14" s="55"/>
    </row>
    <row r="15" spans="2:29" s="47" customFormat="1">
      <c r="B15" s="47" t="s">
        <v>165</v>
      </c>
      <c r="C15" s="47" t="s">
        <v>164</v>
      </c>
      <c r="F15" s="54">
        <v>1</v>
      </c>
      <c r="G15" s="54">
        <v>1</v>
      </c>
      <c r="H15" s="54">
        <v>1</v>
      </c>
      <c r="I15" s="47" t="s">
        <v>44</v>
      </c>
      <c r="J15" s="47">
        <v>1024</v>
      </c>
      <c r="K15" s="47" t="s">
        <v>163</v>
      </c>
      <c r="L15" s="47" t="s">
        <v>7</v>
      </c>
      <c r="N15" s="47">
        <v>1</v>
      </c>
      <c r="P15" s="47">
        <v>1</v>
      </c>
      <c r="Q15" s="47">
        <v>100</v>
      </c>
      <c r="R15" s="47">
        <f>1000000*Q15/P15</f>
        <v>100000000</v>
      </c>
      <c r="U15" s="49"/>
      <c r="V15" s="50"/>
      <c r="AB15" s="55"/>
    </row>
    <row r="17" spans="2:29" s="15" customFormat="1">
      <c r="B17" s="15" t="s">
        <v>172</v>
      </c>
      <c r="F17" s="19"/>
      <c r="G17" s="19"/>
      <c r="H17" s="19"/>
      <c r="U17" s="22"/>
      <c r="V17" s="44"/>
      <c r="X17" s="26"/>
      <c r="AA17" s="26"/>
      <c r="AB17" s="34"/>
    </row>
    <row r="18" spans="2:29" s="71" customFormat="1">
      <c r="F18" s="70"/>
      <c r="G18" s="70"/>
      <c r="H18" s="70"/>
      <c r="U18" s="72"/>
      <c r="V18" s="73"/>
      <c r="AB18" s="74"/>
    </row>
    <row r="19" spans="2:29" s="71" customFormat="1">
      <c r="B19" s="71" t="s">
        <v>217</v>
      </c>
      <c r="C19" s="71" t="s">
        <v>216</v>
      </c>
      <c r="D19" s="71" t="s">
        <v>225</v>
      </c>
      <c r="E19" s="71" t="s">
        <v>218</v>
      </c>
      <c r="F19" s="70">
        <v>1.05</v>
      </c>
      <c r="G19" s="70">
        <v>1.05</v>
      </c>
      <c r="H19" s="70">
        <v>1</v>
      </c>
      <c r="I19" s="71" t="s">
        <v>44</v>
      </c>
      <c r="J19" s="71">
        <v>1024</v>
      </c>
      <c r="M19" s="71">
        <v>298</v>
      </c>
      <c r="N19" s="71">
        <v>1</v>
      </c>
      <c r="U19" s="72"/>
      <c r="V19" s="73"/>
      <c r="AB19" s="74"/>
    </row>
    <row r="20" spans="2:29" s="71" customFormat="1">
      <c r="B20" s="71" t="s">
        <v>219</v>
      </c>
      <c r="C20" s="71" t="s">
        <v>164</v>
      </c>
      <c r="E20" s="71" t="s">
        <v>218</v>
      </c>
      <c r="F20" s="70">
        <v>1.05</v>
      </c>
      <c r="G20" s="70">
        <v>1.05</v>
      </c>
      <c r="H20" s="70">
        <v>1</v>
      </c>
      <c r="I20" s="71" t="s">
        <v>44</v>
      </c>
      <c r="J20" s="71">
        <v>1024</v>
      </c>
      <c r="M20" s="71">
        <v>298</v>
      </c>
      <c r="N20" s="71">
        <v>1</v>
      </c>
      <c r="U20" s="72"/>
      <c r="V20" s="73"/>
      <c r="AB20" s="74"/>
    </row>
    <row r="21" spans="2:29" s="71" customFormat="1">
      <c r="F21" s="70"/>
      <c r="G21" s="70"/>
      <c r="H21" s="70"/>
      <c r="U21" s="72"/>
      <c r="V21" s="73"/>
      <c r="AB21" s="74"/>
    </row>
    <row r="22" spans="2:29" s="71" customFormat="1">
      <c r="C22" s="71" t="s">
        <v>216</v>
      </c>
      <c r="D22" s="71" t="s">
        <v>225</v>
      </c>
      <c r="E22" s="71" t="s">
        <v>220</v>
      </c>
      <c r="F22" s="70">
        <v>1.05</v>
      </c>
      <c r="G22" s="70">
        <v>1.05</v>
      </c>
      <c r="H22" s="70">
        <v>1</v>
      </c>
      <c r="I22" s="71" t="s">
        <v>44</v>
      </c>
      <c r="J22" s="71">
        <v>1024</v>
      </c>
      <c r="M22" s="71">
        <v>298</v>
      </c>
      <c r="N22" s="71">
        <v>1</v>
      </c>
      <c r="U22" s="72"/>
      <c r="V22" s="73"/>
      <c r="AB22" s="74"/>
      <c r="AC22" s="71" t="s">
        <v>221</v>
      </c>
    </row>
    <row r="23" spans="2:29" s="71" customFormat="1">
      <c r="C23" s="71" t="s">
        <v>164</v>
      </c>
      <c r="E23" s="71" t="s">
        <v>220</v>
      </c>
      <c r="F23" s="70">
        <v>1.05</v>
      </c>
      <c r="G23" s="70">
        <v>1.05</v>
      </c>
      <c r="H23" s="70">
        <v>1</v>
      </c>
      <c r="I23" s="71" t="s">
        <v>44</v>
      </c>
      <c r="J23" s="71">
        <v>1024</v>
      </c>
      <c r="M23" s="71">
        <v>298</v>
      </c>
      <c r="N23" s="71">
        <v>1</v>
      </c>
      <c r="U23" s="72"/>
      <c r="V23" s="73"/>
      <c r="AB23" s="74"/>
      <c r="AC23" s="71" t="s">
        <v>222</v>
      </c>
    </row>
    <row r="24" spans="2:29" s="71" customFormat="1">
      <c r="F24" s="70"/>
      <c r="G24" s="70"/>
      <c r="H24" s="70"/>
      <c r="U24" s="72"/>
      <c r="V24" s="73"/>
      <c r="AB24" s="74"/>
    </row>
    <row r="25" spans="2:29" s="71" customFormat="1">
      <c r="B25" s="71" t="s">
        <v>228</v>
      </c>
      <c r="C25" s="71" t="s">
        <v>216</v>
      </c>
      <c r="D25" s="71" t="s">
        <v>226</v>
      </c>
      <c r="E25" s="71" t="s">
        <v>220</v>
      </c>
      <c r="F25" s="70">
        <v>1.05</v>
      </c>
      <c r="G25" s="70">
        <v>1.05</v>
      </c>
      <c r="H25" s="70">
        <v>1</v>
      </c>
      <c r="I25" s="71" t="s">
        <v>44</v>
      </c>
      <c r="J25" s="71">
        <v>1024</v>
      </c>
      <c r="M25" s="71">
        <v>298</v>
      </c>
      <c r="N25" s="71">
        <v>1</v>
      </c>
      <c r="U25" s="72"/>
      <c r="V25" s="73"/>
      <c r="AB25" s="74"/>
      <c r="AC25" s="71" t="s">
        <v>230</v>
      </c>
    </row>
    <row r="26" spans="2:29" s="71" customFormat="1">
      <c r="B26" s="71" t="s">
        <v>229</v>
      </c>
      <c r="C26" s="71" t="s">
        <v>164</v>
      </c>
      <c r="E26" s="71" t="s">
        <v>220</v>
      </c>
      <c r="F26" s="70">
        <v>1.05</v>
      </c>
      <c r="G26" s="70">
        <v>1.05</v>
      </c>
      <c r="H26" s="70">
        <v>1</v>
      </c>
      <c r="I26" s="71" t="s">
        <v>44</v>
      </c>
      <c r="J26" s="71">
        <v>1024</v>
      </c>
      <c r="M26" s="71">
        <v>298</v>
      </c>
      <c r="N26" s="71">
        <v>1</v>
      </c>
      <c r="U26" s="72"/>
      <c r="V26" s="73"/>
      <c r="AB26" s="74"/>
      <c r="AC26" s="71" t="s">
        <v>231</v>
      </c>
    </row>
    <row r="27" spans="2:29" s="71" customFormat="1">
      <c r="F27" s="70"/>
      <c r="G27" s="70"/>
      <c r="H27" s="70"/>
      <c r="U27" s="72"/>
      <c r="V27" s="73"/>
      <c r="AB27" s="74"/>
    </row>
    <row r="28" spans="2:29" s="71" customFormat="1">
      <c r="B28" s="71" t="s">
        <v>232</v>
      </c>
      <c r="C28" s="71">
        <v>4</v>
      </c>
      <c r="F28" s="70"/>
      <c r="G28" s="70"/>
      <c r="H28" s="70"/>
      <c r="U28" s="72"/>
      <c r="V28" s="73"/>
      <c r="AB28" s="74"/>
      <c r="AC28" s="71" t="s">
        <v>233</v>
      </c>
    </row>
    <row r="29" spans="2:29" s="71" customFormat="1">
      <c r="F29" s="70"/>
      <c r="G29" s="70"/>
      <c r="H29" s="70"/>
      <c r="U29" s="72"/>
      <c r="V29" s="73"/>
      <c r="AB29" s="74"/>
    </row>
    <row r="30" spans="2:29" s="71" customFormat="1">
      <c r="B30" s="71" t="s">
        <v>237</v>
      </c>
      <c r="C30" s="71">
        <v>4</v>
      </c>
      <c r="D30" s="71" t="s">
        <v>226</v>
      </c>
      <c r="E30" s="71" t="s">
        <v>220</v>
      </c>
      <c r="F30" s="70">
        <v>0.8</v>
      </c>
      <c r="G30" s="70">
        <v>0.8</v>
      </c>
      <c r="H30" s="70">
        <v>0.8</v>
      </c>
      <c r="I30" s="71" t="s">
        <v>44</v>
      </c>
      <c r="J30" s="71">
        <v>1024</v>
      </c>
      <c r="M30" s="71">
        <v>298</v>
      </c>
      <c r="N30" s="71">
        <v>1</v>
      </c>
      <c r="U30" s="72"/>
      <c r="V30" s="73"/>
      <c r="AB30" s="74"/>
      <c r="AC30" s="71" t="s">
        <v>236</v>
      </c>
    </row>
    <row r="31" spans="2:29" s="71" customFormat="1">
      <c r="B31" s="71" t="s">
        <v>240</v>
      </c>
      <c r="F31" s="70"/>
      <c r="G31" s="70"/>
      <c r="H31" s="70"/>
      <c r="U31" s="72"/>
      <c r="V31" s="73"/>
      <c r="AB31" s="74"/>
    </row>
    <row r="32" spans="2:29" s="71" customFormat="1">
      <c r="F32" s="70"/>
      <c r="G32" s="70"/>
      <c r="H32" s="70"/>
      <c r="U32" s="72"/>
      <c r="V32" s="73"/>
      <c r="AB32" s="74"/>
    </row>
    <row r="33" spans="2:28" s="71" customFormat="1">
      <c r="B33" s="71" t="s">
        <v>238</v>
      </c>
      <c r="F33" s="70"/>
      <c r="G33" s="70"/>
      <c r="H33" s="70"/>
      <c r="U33" s="72"/>
      <c r="V33" s="73"/>
      <c r="AB33" s="74"/>
    </row>
    <row r="34" spans="2:28" s="71" customFormat="1">
      <c r="F34" s="70"/>
      <c r="G34" s="70"/>
      <c r="H34" s="70"/>
      <c r="U34" s="72"/>
      <c r="V34" s="73"/>
      <c r="AB34" s="74"/>
    </row>
    <row r="35" spans="2:28" s="71" customFormat="1">
      <c r="F35" s="70"/>
      <c r="G35" s="70"/>
      <c r="H35" s="70"/>
      <c r="U35" s="72"/>
      <c r="V35" s="73"/>
      <c r="AB35" s="74"/>
    </row>
    <row r="36" spans="2:28" s="71" customFormat="1">
      <c r="F36" s="70"/>
      <c r="G36" s="70"/>
      <c r="H36" s="70"/>
      <c r="U36" s="72"/>
      <c r="V36" s="73"/>
      <c r="AB36" s="74"/>
    </row>
    <row r="37" spans="2:28" s="71" customFormat="1">
      <c r="F37" s="70"/>
      <c r="G37" s="70"/>
      <c r="H37" s="70"/>
      <c r="U37" s="72"/>
      <c r="V37" s="73"/>
      <c r="AB37" s="74"/>
    </row>
    <row r="38" spans="2:28" s="71" customFormat="1">
      <c r="F38" s="70"/>
      <c r="G38" s="70"/>
      <c r="H38" s="70"/>
      <c r="U38" s="72"/>
      <c r="V38" s="73"/>
      <c r="AB38" s="74"/>
    </row>
    <row r="39" spans="2:28" s="71" customFormat="1">
      <c r="F39" s="70"/>
      <c r="G39" s="70"/>
      <c r="H39" s="70"/>
      <c r="U39" s="72"/>
      <c r="V39" s="73"/>
      <c r="AB39" s="74"/>
    </row>
    <row r="40" spans="2:28" s="71" customFormat="1">
      <c r="F40" s="70"/>
      <c r="G40" s="70"/>
      <c r="H40" s="70"/>
      <c r="U40" s="72"/>
      <c r="V40" s="73"/>
      <c r="AB40" s="74"/>
    </row>
    <row r="41" spans="2:28" s="71" customFormat="1">
      <c r="F41" s="70"/>
      <c r="G41" s="70"/>
      <c r="H41" s="70"/>
      <c r="U41" s="72"/>
      <c r="V41" s="73"/>
      <c r="AB41" s="74"/>
    </row>
    <row r="42" spans="2:28" s="71" customFormat="1">
      <c r="F42" s="70"/>
      <c r="G42" s="70"/>
      <c r="H42" s="70"/>
      <c r="U42" s="72"/>
      <c r="V42" s="73"/>
      <c r="AB42" s="74"/>
    </row>
    <row r="43" spans="2:28" s="71" customFormat="1">
      <c r="F43" s="70"/>
      <c r="G43" s="70"/>
      <c r="H43" s="70"/>
      <c r="U43" s="72"/>
      <c r="V43" s="73"/>
      <c r="AB43" s="74"/>
    </row>
    <row r="44" spans="2:28" s="71" customFormat="1">
      <c r="F44" s="70"/>
      <c r="G44" s="70"/>
      <c r="H44" s="70"/>
      <c r="U44" s="72"/>
      <c r="V44" s="73"/>
      <c r="AB44" s="74"/>
    </row>
    <row r="45" spans="2:28" s="71" customFormat="1">
      <c r="F45" s="70"/>
      <c r="G45" s="70"/>
      <c r="H45" s="70"/>
      <c r="U45" s="72"/>
      <c r="V45" s="73"/>
      <c r="AB45" s="74"/>
    </row>
    <row r="46" spans="2:28" s="71" customFormat="1">
      <c r="F46" s="70"/>
      <c r="G46" s="70"/>
      <c r="H46" s="70"/>
      <c r="U46" s="72"/>
      <c r="V46" s="73"/>
      <c r="AB46" s="74"/>
    </row>
    <row r="47" spans="2:28" s="71" customFormat="1">
      <c r="F47" s="70"/>
      <c r="G47" s="70"/>
      <c r="H47" s="70"/>
      <c r="U47" s="72"/>
      <c r="V47" s="73"/>
      <c r="AB47" s="74"/>
    </row>
    <row r="48" spans="2:28" s="71" customFormat="1">
      <c r="F48" s="70"/>
      <c r="G48" s="70"/>
      <c r="H48" s="70"/>
      <c r="U48" s="72"/>
      <c r="V48" s="73"/>
      <c r="AB48" s="74"/>
    </row>
    <row r="49" spans="6:28" s="71" customFormat="1">
      <c r="F49" s="70"/>
      <c r="G49" s="70"/>
      <c r="H49" s="70"/>
      <c r="U49" s="72"/>
      <c r="V49" s="73"/>
      <c r="AB49" s="74"/>
    </row>
    <row r="50" spans="6:28" s="71" customFormat="1">
      <c r="F50" s="70"/>
      <c r="G50" s="70"/>
      <c r="H50" s="70"/>
      <c r="U50" s="72"/>
      <c r="V50" s="73"/>
      <c r="AB50" s="74"/>
    </row>
  </sheetData>
  <mergeCells count="2">
    <mergeCell ref="S3:U3"/>
    <mergeCell ref="W3:A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844C-ED1A-4540-A821-8B893B2A81D6}">
  <dimension ref="B1:U43"/>
  <sheetViews>
    <sheetView workbookViewId="0">
      <selection activeCell="M25" sqref="M25"/>
    </sheetView>
  </sheetViews>
  <sheetFormatPr defaultRowHeight="15.75"/>
  <cols>
    <col min="1" max="1" width="9" style="85"/>
    <col min="2" max="2" width="17.5" style="85" customWidth="1"/>
    <col min="3" max="3" width="9" style="85"/>
    <col min="4" max="5" width="9" style="84"/>
    <col min="6" max="6" width="9" style="85"/>
    <col min="7" max="7" width="9" style="87"/>
    <col min="8" max="8" width="9" style="84"/>
    <col min="9" max="10" width="10" style="85" customWidth="1"/>
    <col min="11" max="16384" width="9" style="85"/>
  </cols>
  <sheetData>
    <row r="1" spans="2:21" ht="18">
      <c r="B1" s="83"/>
      <c r="C1" s="83"/>
      <c r="D1" s="84" t="s">
        <v>255</v>
      </c>
      <c r="E1" s="84" t="s">
        <v>256</v>
      </c>
      <c r="F1" s="85" t="s">
        <v>73</v>
      </c>
    </row>
    <row r="2" spans="2:21">
      <c r="B2" s="85" t="s">
        <v>83</v>
      </c>
      <c r="C2" s="85" t="s">
        <v>257</v>
      </c>
      <c r="D2" s="85" t="s">
        <v>26</v>
      </c>
      <c r="E2" s="78" t="s">
        <v>24</v>
      </c>
      <c r="F2" s="85" t="s">
        <v>248</v>
      </c>
      <c r="G2" s="105" t="s">
        <v>23</v>
      </c>
      <c r="I2" s="81" t="s">
        <v>250</v>
      </c>
      <c r="K2" s="86"/>
    </row>
    <row r="3" spans="2:21">
      <c r="B3" s="85">
        <v>298</v>
      </c>
      <c r="C3" s="85" t="s">
        <v>44</v>
      </c>
      <c r="D3" s="84">
        <v>0.38700000000000001</v>
      </c>
      <c r="E3" s="87">
        <v>3.093</v>
      </c>
      <c r="F3" s="87">
        <f>1.38064852*$B$3*0.01/(6*PI()*D3*E3)</f>
        <v>0.18235068020809914</v>
      </c>
      <c r="G3" s="113">
        <v>770.1</v>
      </c>
      <c r="I3" s="87">
        <v>2.837297</v>
      </c>
    </row>
    <row r="4" spans="2:21">
      <c r="C4" s="85" t="s">
        <v>43</v>
      </c>
      <c r="D4" s="84">
        <v>0.46100000000000002</v>
      </c>
      <c r="E4" s="87">
        <v>2.5339999999999998</v>
      </c>
      <c r="F4" s="87">
        <f>1.38064852*$B$3*0.01/(6*PI()*D4*E4)</f>
        <v>0.1868489823031268</v>
      </c>
      <c r="G4" s="113">
        <v>764.97</v>
      </c>
    </row>
    <row r="5" spans="2:21">
      <c r="C5" s="85" t="s">
        <v>35</v>
      </c>
      <c r="D5" s="84">
        <v>2.3559999999999999</v>
      </c>
      <c r="E5" s="87">
        <v>0.51049999999999995</v>
      </c>
      <c r="F5" s="87">
        <f>1.38064852*$B$3*0.01/(6*PI()*D5*E5)</f>
        <v>0.18147936047000499</v>
      </c>
      <c r="G5" s="113">
        <v>698.6</v>
      </c>
    </row>
    <row r="7" spans="2:21">
      <c r="C7" s="117" t="s">
        <v>243</v>
      </c>
      <c r="D7" s="117"/>
      <c r="E7" s="117"/>
      <c r="F7" s="117"/>
      <c r="G7" s="117"/>
      <c r="H7" s="89"/>
      <c r="L7" s="117" t="s">
        <v>244</v>
      </c>
      <c r="M7" s="117"/>
      <c r="N7" s="117"/>
    </row>
    <row r="8" spans="2:21" s="90" customFormat="1">
      <c r="D8" s="80" t="s">
        <v>241</v>
      </c>
      <c r="E8" s="80" t="s">
        <v>69</v>
      </c>
      <c r="F8" s="79" t="s">
        <v>23</v>
      </c>
      <c r="G8" s="104" t="s">
        <v>26</v>
      </c>
      <c r="H8" s="91" t="s">
        <v>249</v>
      </c>
      <c r="I8" s="90" t="s">
        <v>247</v>
      </c>
      <c r="J8" s="90" t="s">
        <v>258</v>
      </c>
      <c r="L8" s="80" t="s">
        <v>241</v>
      </c>
      <c r="M8" s="90" t="s">
        <v>26</v>
      </c>
      <c r="N8" s="79" t="s">
        <v>23</v>
      </c>
      <c r="S8" s="90" t="s">
        <v>269</v>
      </c>
    </row>
    <row r="9" spans="2:21">
      <c r="B9" s="85" t="s">
        <v>242</v>
      </c>
      <c r="C9" s="85" t="s">
        <v>44</v>
      </c>
      <c r="D9" s="84">
        <v>0.01</v>
      </c>
      <c r="E9" s="84">
        <v>7.8995300000000004</v>
      </c>
      <c r="F9" s="88">
        <v>781.08799999999997</v>
      </c>
      <c r="G9" s="87">
        <v>0.25740000000000002</v>
      </c>
      <c r="H9" s="84">
        <f>G9/(1-$I$3*F$3/E9)</f>
        <v>0.27544006268634846</v>
      </c>
      <c r="I9" s="114">
        <f>((F9-$G$3)/$G$3)^2 + ((H9-$D$3)/$D$3)^2</f>
        <v>8.3302353252099337E-2</v>
      </c>
      <c r="J9" s="114">
        <f>I9+I21+I33</f>
        <v>0.15080993086311401</v>
      </c>
      <c r="L9" s="85">
        <v>1.4E-2</v>
      </c>
      <c r="S9" s="84">
        <v>7.8995300000000004</v>
      </c>
      <c r="T9" s="85">
        <v>781.08799999999997</v>
      </c>
      <c r="U9" s="87">
        <v>0.25629999999999997</v>
      </c>
    </row>
    <row r="10" spans="2:21">
      <c r="D10" s="84">
        <v>1.2E-2</v>
      </c>
      <c r="E10" s="84">
        <v>7.90916</v>
      </c>
      <c r="F10" s="88">
        <v>778.23900000000003</v>
      </c>
      <c r="G10" s="87">
        <v>0.2737</v>
      </c>
      <c r="H10" s="84">
        <f t="shared" ref="H10:H19" si="0">G10/(1-$I$3*F$3/E10)</f>
        <v>0.29285746892797232</v>
      </c>
      <c r="I10" s="114">
        <f t="shared" ref="I10:I19" si="1">((F10-$G$3)/$G$3)^2 + ((H10-$D$3)/$D$3)^2</f>
        <v>5.9288271597642751E-2</v>
      </c>
      <c r="J10" s="114">
        <f t="shared" ref="J10:J19" si="2">I10+I22+I34</f>
        <v>0.10392223160637679</v>
      </c>
      <c r="L10" s="85">
        <v>1.4999999999999999E-2</v>
      </c>
      <c r="S10" s="84">
        <v>7.90916</v>
      </c>
      <c r="T10" s="85">
        <v>778.23900000000003</v>
      </c>
      <c r="U10" s="87">
        <v>0.27279999999999999</v>
      </c>
    </row>
    <row r="11" spans="2:21">
      <c r="D11" s="84">
        <v>1.4E-2</v>
      </c>
      <c r="E11" s="84">
        <v>7.9223699999999999</v>
      </c>
      <c r="F11" s="88">
        <v>774.351</v>
      </c>
      <c r="G11" s="87">
        <v>0.28620000000000001</v>
      </c>
      <c r="H11" s="84">
        <f t="shared" si="0"/>
        <v>0.30619666254722505</v>
      </c>
      <c r="I11" s="114">
        <f t="shared" si="1"/>
        <v>4.3625469675994462E-2</v>
      </c>
      <c r="J11" s="114">
        <f t="shared" si="2"/>
        <v>6.846090679015647E-2</v>
      </c>
      <c r="L11" s="85">
        <v>1.6E-2</v>
      </c>
      <c r="S11" s="84">
        <v>7.9223699999999999</v>
      </c>
      <c r="T11" s="85">
        <v>774.351</v>
      </c>
      <c r="U11" s="87">
        <v>0.2974</v>
      </c>
    </row>
    <row r="12" spans="2:21">
      <c r="D12" s="84">
        <v>1.6E-2</v>
      </c>
      <c r="E12" s="84">
        <v>7.9333499999999999</v>
      </c>
      <c r="F12" s="88">
        <v>771.14099999999996</v>
      </c>
      <c r="G12" s="87">
        <v>0.28079999999999999</v>
      </c>
      <c r="H12" s="84">
        <f t="shared" si="0"/>
        <v>0.30039031880609957</v>
      </c>
      <c r="I12" s="114">
        <f t="shared" si="1"/>
        <v>5.0087204613357361E-2</v>
      </c>
      <c r="J12" s="114">
        <f t="shared" si="2"/>
        <v>6.3899020788525177E-2</v>
      </c>
      <c r="L12" s="85">
        <v>1.7000000000000001E-2</v>
      </c>
      <c r="S12" s="84">
        <v>7.9333499999999999</v>
      </c>
      <c r="T12" s="85">
        <v>771.14099999999996</v>
      </c>
      <c r="U12" s="87">
        <v>0.29749999999999999</v>
      </c>
    </row>
    <row r="13" spans="2:21">
      <c r="D13" s="84">
        <v>1.7999999999999999E-2</v>
      </c>
      <c r="E13" s="84">
        <v>7.9464699999999997</v>
      </c>
      <c r="F13" s="88">
        <v>767.32799999999997</v>
      </c>
      <c r="G13" s="87">
        <v>0.3236</v>
      </c>
      <c r="H13" s="84">
        <f t="shared" si="0"/>
        <v>0.34613643710450576</v>
      </c>
      <c r="I13" s="114">
        <f t="shared" si="1"/>
        <v>1.1162331822304652E-2</v>
      </c>
      <c r="J13" s="114">
        <f t="shared" si="2"/>
        <v>1.6418088036741173E-2</v>
      </c>
      <c r="L13" s="85">
        <v>1.7999999999999999E-2</v>
      </c>
      <c r="S13" s="84">
        <v>7.9464699999999997</v>
      </c>
      <c r="T13" s="85">
        <v>767.32799999999997</v>
      </c>
      <c r="U13" s="87">
        <v>0.3322</v>
      </c>
    </row>
    <row r="14" spans="2:21">
      <c r="D14" s="84">
        <v>0.02</v>
      </c>
      <c r="E14" s="84">
        <v>7.9587500000000002</v>
      </c>
      <c r="F14" s="88">
        <v>763.78099999999995</v>
      </c>
      <c r="G14" s="87">
        <v>0.32100000000000001</v>
      </c>
      <c r="H14" s="84">
        <f t="shared" si="0"/>
        <v>0.34331847401325505</v>
      </c>
      <c r="I14" s="114">
        <f t="shared" si="1"/>
        <v>1.2807453588471695E-2</v>
      </c>
      <c r="J14" s="114">
        <f t="shared" si="2"/>
        <v>3.4159613555745184E-2</v>
      </c>
      <c r="L14" s="85">
        <v>1.9E-2</v>
      </c>
      <c r="S14" s="84">
        <v>7.9587500000000002</v>
      </c>
      <c r="T14" s="85">
        <v>763.78099999999995</v>
      </c>
      <c r="U14" s="87">
        <v>0.3241</v>
      </c>
    </row>
    <row r="15" spans="2:21">
      <c r="D15" s="84">
        <v>2.1999999999999999E-2</v>
      </c>
      <c r="E15" s="84">
        <v>7.9716399999999998</v>
      </c>
      <c r="F15" s="88">
        <v>760.08399999999995</v>
      </c>
      <c r="G15" s="87">
        <v>0.34889999999999999</v>
      </c>
      <c r="H15" s="84">
        <f t="shared" si="0"/>
        <v>0.3731163562165894</v>
      </c>
      <c r="I15" s="114">
        <f t="shared" si="1"/>
        <v>1.4561778253950849E-3</v>
      </c>
      <c r="J15" s="114">
        <f t="shared" si="2"/>
        <v>2.3377149515878035E-2</v>
      </c>
      <c r="L15" s="85">
        <v>0.02</v>
      </c>
      <c r="S15" s="84">
        <v>7.9716399999999998</v>
      </c>
      <c r="T15" s="85">
        <v>760.08399999999995</v>
      </c>
      <c r="U15" s="87">
        <v>0.3584</v>
      </c>
    </row>
    <row r="16" spans="2:21">
      <c r="D16" s="84">
        <v>2.4E-2</v>
      </c>
      <c r="E16" s="84">
        <v>7.9849600000000001</v>
      </c>
      <c r="F16" s="88">
        <v>756.28599999999994</v>
      </c>
      <c r="G16" s="87">
        <v>0.37480000000000002</v>
      </c>
      <c r="H16" s="84">
        <f t="shared" si="0"/>
        <v>0.40076761487562224</v>
      </c>
      <c r="I16" s="114">
        <f t="shared" si="1"/>
        <v>1.5873664863682948E-3</v>
      </c>
      <c r="J16" s="114">
        <f t="shared" si="2"/>
        <v>4.916235671942655E-2</v>
      </c>
      <c r="L16" s="85">
        <v>2.1000000000000001E-2</v>
      </c>
      <c r="S16" s="84">
        <v>7.9849600000000001</v>
      </c>
      <c r="T16" s="85">
        <v>756.28599999999994</v>
      </c>
      <c r="U16" s="87">
        <v>0.39900000000000002</v>
      </c>
    </row>
    <row r="17" spans="3:21">
      <c r="D17" s="84">
        <v>2.5999999999999999E-2</v>
      </c>
      <c r="E17" s="84">
        <v>7.99742</v>
      </c>
      <c r="F17" s="88">
        <v>752.75699999999995</v>
      </c>
      <c r="G17" s="87">
        <v>0.40460000000000002</v>
      </c>
      <c r="H17" s="84">
        <f t="shared" si="0"/>
        <v>0.43258558057881685</v>
      </c>
      <c r="I17" s="114">
        <f t="shared" si="1"/>
        <v>1.4382172634249891E-2</v>
      </c>
      <c r="J17" s="114">
        <f t="shared" si="2"/>
        <v>9.3731112624836202E-2</v>
      </c>
      <c r="L17" s="85">
        <v>2.1999999999999999E-2</v>
      </c>
      <c r="S17" s="84">
        <v>7.99742</v>
      </c>
      <c r="T17" s="85">
        <v>752.75699999999995</v>
      </c>
      <c r="U17" s="87">
        <v>0.3886</v>
      </c>
    </row>
    <row r="18" spans="3:21">
      <c r="D18" s="84">
        <v>2.8000000000000001E-2</v>
      </c>
      <c r="E18" s="84">
        <v>8.0110399999999995</v>
      </c>
      <c r="F18" s="88">
        <v>748.92499999999995</v>
      </c>
      <c r="G18" s="87">
        <v>0.40489999999999998</v>
      </c>
      <c r="H18" s="84">
        <f t="shared" si="0"/>
        <v>0.4328554285853034</v>
      </c>
      <c r="I18" s="114">
        <f t="shared" si="1"/>
        <v>1.479581037338241E-2</v>
      </c>
      <c r="J18" s="114">
        <f t="shared" si="2"/>
        <v>0.10666187349319943</v>
      </c>
      <c r="L18" s="85">
        <v>2.3E-2</v>
      </c>
      <c r="S18" s="84">
        <v>8.0110399999999995</v>
      </c>
      <c r="T18" s="85">
        <v>748.92499999999995</v>
      </c>
      <c r="U18" s="87">
        <v>0.4108</v>
      </c>
    </row>
    <row r="19" spans="3:21">
      <c r="D19" s="84">
        <v>0.03</v>
      </c>
      <c r="E19" s="84">
        <v>8.0243699999999993</v>
      </c>
      <c r="F19" s="88">
        <v>745.19899999999996</v>
      </c>
      <c r="G19" s="87">
        <v>0.43630000000000002</v>
      </c>
      <c r="H19" s="84">
        <f t="shared" si="0"/>
        <v>0.4663698829738932</v>
      </c>
      <c r="I19" s="114">
        <f t="shared" si="1"/>
        <v>4.3107501062311329E-2</v>
      </c>
      <c r="J19" s="114">
        <f t="shared" si="2"/>
        <v>0.18810473179140902</v>
      </c>
      <c r="L19" s="85">
        <v>2.4E-2</v>
      </c>
      <c r="S19" s="84">
        <v>8.0243699999999993</v>
      </c>
      <c r="T19" s="85">
        <v>745.19899999999996</v>
      </c>
      <c r="U19" s="87">
        <v>0.4002</v>
      </c>
    </row>
    <row r="20" spans="3:21">
      <c r="I20" s="114"/>
    </row>
    <row r="21" spans="3:21">
      <c r="C21" s="85" t="s">
        <v>43</v>
      </c>
      <c r="D21" s="84">
        <v>0.01</v>
      </c>
      <c r="E21" s="84">
        <v>7.7500600000000004</v>
      </c>
      <c r="F21" s="88">
        <v>775.923</v>
      </c>
      <c r="G21" s="87">
        <v>0.31840000000000002</v>
      </c>
      <c r="H21" s="84">
        <f>G21/(1-$I$3*F$4/E21)</f>
        <v>0.34177957292310057</v>
      </c>
      <c r="I21" s="114">
        <f>((F21-$G$4)/$G$4)^2 + ((H21-$D$4)/$D$4)^2</f>
        <v>6.7085508705456876E-2</v>
      </c>
    </row>
    <row r="22" spans="3:21">
      <c r="D22" s="84">
        <v>1.2E-2</v>
      </c>
      <c r="E22" s="84">
        <v>7.76126</v>
      </c>
      <c r="F22" s="88">
        <v>772.56600000000003</v>
      </c>
      <c r="G22" s="87">
        <v>0.33989999999999998</v>
      </c>
      <c r="H22" s="84">
        <f t="shared" ref="H22:H31" si="3">G22/(1-$I$3*F$4/E22)</f>
        <v>0.36481962457976114</v>
      </c>
      <c r="I22" s="114">
        <f t="shared" ref="I22:I31" si="4">((F22-$G$4)/$G$4)^2 + ((H22-$D$4)/$D$4)^2</f>
        <v>4.3626838706473998E-2</v>
      </c>
    </row>
    <row r="23" spans="3:21">
      <c r="D23" s="84">
        <v>1.4E-2</v>
      </c>
      <c r="E23" s="84">
        <v>7.7740400000000003</v>
      </c>
      <c r="F23" s="88">
        <v>768.76300000000003</v>
      </c>
      <c r="G23" s="87">
        <v>0.36220000000000002</v>
      </c>
      <c r="H23" s="84">
        <f t="shared" si="3"/>
        <v>0.38870769093717861</v>
      </c>
      <c r="I23" s="114">
        <f t="shared" si="4"/>
        <v>2.4615933760002935E-2</v>
      </c>
    </row>
    <row r="24" spans="3:21">
      <c r="D24" s="84">
        <v>1.6E-2</v>
      </c>
      <c r="E24" s="84">
        <v>7.7861099999999999</v>
      </c>
      <c r="F24" s="88">
        <v>765.19299999999998</v>
      </c>
      <c r="G24" s="87">
        <v>0.37919999999999998</v>
      </c>
      <c r="H24" s="84">
        <f>G24/(1-$I$3*F$4/E24)</f>
        <v>0.40690567582335119</v>
      </c>
      <c r="I24" s="114">
        <f t="shared" si="4"/>
        <v>1.3769057967623337E-2</v>
      </c>
    </row>
    <row r="25" spans="3:21">
      <c r="D25" s="84">
        <v>1.7999999999999999E-2</v>
      </c>
      <c r="E25" s="84">
        <v>7.7980299999999998</v>
      </c>
      <c r="F25" s="88">
        <v>761.69</v>
      </c>
      <c r="G25" s="87">
        <v>0.40720000000000001</v>
      </c>
      <c r="H25" s="84">
        <f t="shared" si="3"/>
        <v>0.43690265844611537</v>
      </c>
      <c r="I25" s="114">
        <f t="shared" si="4"/>
        <v>2.7507353427601283E-3</v>
      </c>
    </row>
    <row r="26" spans="3:21">
      <c r="D26" s="84">
        <v>0.02</v>
      </c>
      <c r="E26" s="84">
        <v>7.8100699999999996</v>
      </c>
      <c r="F26" s="88">
        <v>758.17200000000003</v>
      </c>
      <c r="G26" s="87">
        <v>0.38090000000000002</v>
      </c>
      <c r="H26" s="84">
        <f t="shared" si="3"/>
        <v>0.40863828884320291</v>
      </c>
      <c r="I26" s="114">
        <f t="shared" si="4"/>
        <v>1.2980044410776503E-2</v>
      </c>
    </row>
    <row r="27" spans="3:21">
      <c r="D27" s="84">
        <v>2.1999999999999999E-2</v>
      </c>
      <c r="E27" s="84">
        <v>7.8228</v>
      </c>
      <c r="F27" s="88">
        <v>754.47900000000004</v>
      </c>
      <c r="G27" s="87">
        <v>0.44030000000000002</v>
      </c>
      <c r="H27" s="84">
        <f t="shared" si="3"/>
        <v>0.47230800568545112</v>
      </c>
      <c r="I27" s="114">
        <f t="shared" si="4"/>
        <v>7.8976740465688984E-4</v>
      </c>
    </row>
    <row r="28" spans="3:21">
      <c r="D28" s="84">
        <v>2.4E-2</v>
      </c>
      <c r="E28" s="84">
        <v>7.8365999999999998</v>
      </c>
      <c r="F28" s="88">
        <v>750.49900000000002</v>
      </c>
      <c r="G28" s="87">
        <v>0.43569999999999998</v>
      </c>
      <c r="H28" s="84">
        <f t="shared" si="3"/>
        <v>0.46731378129659717</v>
      </c>
      <c r="I28" s="114">
        <f t="shared" si="4"/>
        <v>5.454319578860826E-4</v>
      </c>
    </row>
    <row r="29" spans="3:21">
      <c r="D29" s="84">
        <v>2.5999999999999999E-2</v>
      </c>
      <c r="E29" s="84">
        <v>7.8477100000000002</v>
      </c>
      <c r="F29" s="88">
        <v>747.31600000000003</v>
      </c>
      <c r="G29" s="87">
        <v>0.48110000000000003</v>
      </c>
      <c r="H29" s="84">
        <f t="shared" si="3"/>
        <v>0.51595494216099225</v>
      </c>
      <c r="I29" s="114">
        <f t="shared" si="4"/>
        <v>1.474317070645775E-2</v>
      </c>
    </row>
    <row r="30" spans="3:21">
      <c r="D30" s="84">
        <v>2.8000000000000001E-2</v>
      </c>
      <c r="E30" s="84">
        <v>7.8623099999999999</v>
      </c>
      <c r="F30" s="88">
        <v>743.16099999999994</v>
      </c>
      <c r="G30" s="87">
        <v>0.498</v>
      </c>
      <c r="H30" s="84">
        <f t="shared" si="3"/>
        <v>0.53400747861167608</v>
      </c>
      <c r="I30" s="114">
        <f t="shared" si="4"/>
        <v>2.5893105177243986E-2</v>
      </c>
    </row>
    <row r="31" spans="3:21">
      <c r="D31" s="84">
        <v>0.03</v>
      </c>
      <c r="E31" s="84">
        <v>7.8755499999999996</v>
      </c>
      <c r="F31" s="88">
        <v>739.41899999999998</v>
      </c>
      <c r="G31" s="87">
        <v>0.50409999999999999</v>
      </c>
      <c r="H31" s="84">
        <f t="shared" si="3"/>
        <v>0.54048283603951797</v>
      </c>
      <c r="I31" s="114">
        <f t="shared" si="4"/>
        <v>3.084222146160993E-2</v>
      </c>
    </row>
    <row r="32" spans="3:21">
      <c r="I32" s="114"/>
    </row>
    <row r="33" spans="3:9">
      <c r="C33" s="85" t="s">
        <v>35</v>
      </c>
      <c r="D33" s="84">
        <v>0.01</v>
      </c>
      <c r="E33" s="84">
        <v>8.1945800000000002</v>
      </c>
      <c r="F33" s="88">
        <v>705.95100000000002</v>
      </c>
      <c r="G33" s="87">
        <v>2.169</v>
      </c>
      <c r="H33" s="84">
        <f>G33/(1-$I$3*F$5/E33)</f>
        <v>2.314428351185176</v>
      </c>
      <c r="I33" s="114">
        <f>((F33-$G$5)/$G$5)^2 + ((H33-$D$5)/$D$5)^2</f>
        <v>4.2206890555779569E-4</v>
      </c>
    </row>
    <row r="34" spans="3:9">
      <c r="D34" s="84">
        <v>1.2E-2</v>
      </c>
      <c r="E34" s="84">
        <v>8.2097999999999995</v>
      </c>
      <c r="F34" s="88">
        <v>702.03200000000004</v>
      </c>
      <c r="G34" s="87">
        <v>2.1389999999999998</v>
      </c>
      <c r="H34" s="84">
        <f t="shared" ref="H34:H43" si="5">G34/(1-$I$3*F$5/E34)</f>
        <v>2.2821332245758055</v>
      </c>
      <c r="I34" s="114">
        <f t="shared" ref="I34:I43" si="6">((F34-$G$5)/$G$5)^2 + ((H34-$D$5)/$D$5)^2</f>
        <v>1.0071213022600401E-3</v>
      </c>
    </row>
    <row r="35" spans="3:9">
      <c r="D35" s="84">
        <v>1.4E-2</v>
      </c>
      <c r="E35" s="84">
        <v>8.22471</v>
      </c>
      <c r="F35" s="88">
        <v>698.21900000000005</v>
      </c>
      <c r="G35" s="87">
        <v>2.2412000000000001</v>
      </c>
      <c r="H35" s="84">
        <f t="shared" si="5"/>
        <v>2.3908820037292009</v>
      </c>
      <c r="I35" s="114">
        <f t="shared" si="6"/>
        <v>2.1950335415907944E-4</v>
      </c>
    </row>
    <row r="36" spans="3:9">
      <c r="D36" s="84">
        <v>1.6E-2</v>
      </c>
      <c r="E36" s="84">
        <v>8.2406500000000005</v>
      </c>
      <c r="F36" s="88">
        <v>694.17499999999995</v>
      </c>
      <c r="G36" s="87">
        <v>2.2052</v>
      </c>
      <c r="H36" s="84">
        <f t="shared" si="5"/>
        <v>2.3521738199372577</v>
      </c>
      <c r="I36" s="114">
        <f t="shared" si="6"/>
        <v>4.2758207544471104E-5</v>
      </c>
    </row>
    <row r="37" spans="3:9">
      <c r="D37" s="84">
        <v>1.7999999999999999E-2</v>
      </c>
      <c r="E37" s="84">
        <v>8.2564200000000003</v>
      </c>
      <c r="F37" s="88">
        <v>690.20699999999999</v>
      </c>
      <c r="G37" s="87">
        <v>2.3163999999999998</v>
      </c>
      <c r="H37" s="84">
        <f t="shared" si="5"/>
        <v>2.4704706672994905</v>
      </c>
      <c r="I37" s="114">
        <f t="shared" si="6"/>
        <v>2.5050208716763923E-3</v>
      </c>
    </row>
    <row r="38" spans="3:9">
      <c r="D38" s="84">
        <v>0.02</v>
      </c>
      <c r="E38" s="84">
        <v>8.2729499999999998</v>
      </c>
      <c r="F38" s="88">
        <v>686.07799999999997</v>
      </c>
      <c r="G38" s="87">
        <v>2.4076</v>
      </c>
      <c r="H38" s="84">
        <f t="shared" si="5"/>
        <v>2.5673954490450415</v>
      </c>
      <c r="I38" s="114">
        <f t="shared" si="6"/>
        <v>8.3721155564969868E-3</v>
      </c>
    </row>
    <row r="39" spans="3:9">
      <c r="D39" s="84">
        <v>2.1999999999999999E-2</v>
      </c>
      <c r="E39" s="84">
        <v>8.2897700000000007</v>
      </c>
      <c r="F39" s="88">
        <v>681.90899999999999</v>
      </c>
      <c r="G39" s="87">
        <v>2.5265</v>
      </c>
      <c r="H39" s="84">
        <f t="shared" si="5"/>
        <v>2.6938242208020045</v>
      </c>
      <c r="I39" s="114">
        <f t="shared" si="6"/>
        <v>2.1131204285826058E-2</v>
      </c>
    </row>
    <row r="40" spans="3:9">
      <c r="D40" s="84">
        <v>2.4E-2</v>
      </c>
      <c r="E40" s="84">
        <v>8.3073300000000003</v>
      </c>
      <c r="F40" s="88">
        <v>677.59400000000005</v>
      </c>
      <c r="G40" s="87">
        <v>2.6846000000000001</v>
      </c>
      <c r="H40" s="84">
        <f t="shared" si="5"/>
        <v>2.8619941605370629</v>
      </c>
      <c r="I40" s="114">
        <f t="shared" si="6"/>
        <v>4.7029558275172176E-2</v>
      </c>
    </row>
    <row r="41" spans="3:9">
      <c r="D41" s="84">
        <v>2.5999999999999999E-2</v>
      </c>
      <c r="E41" s="84">
        <v>8.3243600000000004</v>
      </c>
      <c r="F41" s="88">
        <v>673.44500000000005</v>
      </c>
      <c r="G41" s="87">
        <v>2.7664</v>
      </c>
      <c r="H41" s="84">
        <f t="shared" si="5"/>
        <v>2.948800747274881</v>
      </c>
      <c r="I41" s="114">
        <f t="shared" si="6"/>
        <v>6.4605769284128561E-2</v>
      </c>
    </row>
    <row r="42" spans="3:9">
      <c r="D42" s="84">
        <v>2.8000000000000001E-2</v>
      </c>
      <c r="E42" s="84">
        <v>8.3418500000000009</v>
      </c>
      <c r="F42" s="88">
        <v>669.21900000000005</v>
      </c>
      <c r="G42" s="87">
        <v>2.7707000000000002</v>
      </c>
      <c r="H42" s="84">
        <f t="shared" si="5"/>
        <v>2.9529760404876035</v>
      </c>
      <c r="I42" s="114">
        <f t="shared" si="6"/>
        <v>6.5972957942573032E-2</v>
      </c>
    </row>
    <row r="43" spans="3:9">
      <c r="D43" s="84">
        <v>0.03</v>
      </c>
      <c r="E43" s="84">
        <v>8.3612900000000003</v>
      </c>
      <c r="F43" s="88">
        <v>664.56200000000001</v>
      </c>
      <c r="G43" s="87">
        <v>2.9500999999999999</v>
      </c>
      <c r="H43" s="84">
        <f t="shared" si="5"/>
        <v>3.1436973847172904</v>
      </c>
      <c r="I43" s="114">
        <f t="shared" si="6"/>
        <v>0.11415500926748777</v>
      </c>
    </row>
  </sheetData>
  <mergeCells count="2">
    <mergeCell ref="C7:G7"/>
    <mergeCell ref="L7:N7"/>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A409B-F542-984C-90DD-63A5E341973F}">
  <dimension ref="B2:Y9"/>
  <sheetViews>
    <sheetView workbookViewId="0">
      <selection activeCell="J30" sqref="J30"/>
    </sheetView>
  </sheetViews>
  <sheetFormatPr defaultColWidth="10.875" defaultRowHeight="15.75"/>
  <cols>
    <col min="1" max="1" width="3.875" style="14" customWidth="1"/>
    <col min="2" max="2" width="58.5" style="14" customWidth="1"/>
    <col min="3" max="3" width="12" style="14" customWidth="1"/>
    <col min="4" max="4" width="11.125" style="14" customWidth="1"/>
    <col min="5" max="5" width="8.375" style="14" customWidth="1"/>
    <col min="6" max="6" width="18" style="14" customWidth="1"/>
    <col min="7" max="12" width="10.875" style="14"/>
    <col min="13" max="13" width="11.125" style="14" bestFit="1" customWidth="1"/>
    <col min="14" max="14" width="12.875" style="14" customWidth="1"/>
    <col min="15" max="15" width="10.5" style="14" customWidth="1"/>
    <col min="16" max="16" width="8.375" style="21" customWidth="1"/>
    <col min="17" max="17" width="10.875" style="43"/>
    <col min="18" max="18" width="9" style="14" customWidth="1"/>
    <col min="19" max="19" width="9" style="27" customWidth="1"/>
    <col min="20" max="21" width="9" style="14" customWidth="1"/>
    <col min="22" max="22" width="9" style="27" customWidth="1"/>
    <col min="23" max="23" width="9" style="33" customWidth="1"/>
    <col min="24" max="24" width="47" style="14" customWidth="1"/>
    <col min="25" max="25" width="34" style="14" customWidth="1"/>
    <col min="26" max="16384" width="10.875" style="14"/>
  </cols>
  <sheetData>
    <row r="2" spans="2:25">
      <c r="R2"/>
      <c r="S2" s="25"/>
      <c r="T2"/>
      <c r="U2"/>
    </row>
    <row r="3" spans="2:25">
      <c r="L3" s="14" t="s">
        <v>86</v>
      </c>
      <c r="N3" s="115" t="s">
        <v>81</v>
      </c>
      <c r="O3" s="115"/>
      <c r="P3" s="116"/>
      <c r="R3" s="115" t="s">
        <v>102</v>
      </c>
      <c r="S3" s="115"/>
      <c r="T3" s="115"/>
      <c r="U3" s="115"/>
      <c r="V3" s="115"/>
      <c r="W3" s="115"/>
      <c r="X3" s="115"/>
    </row>
    <row r="4" spans="2:25" s="15" customFormat="1">
      <c r="B4" s="15" t="s">
        <v>80</v>
      </c>
      <c r="C4" s="15" t="s">
        <v>158</v>
      </c>
      <c r="D4" s="15" t="s">
        <v>92</v>
      </c>
      <c r="E4" s="15" t="s">
        <v>63</v>
      </c>
      <c r="F4" s="15" t="s">
        <v>0</v>
      </c>
      <c r="G4" s="15" t="s">
        <v>1</v>
      </c>
      <c r="H4" s="15" t="s">
        <v>83</v>
      </c>
      <c r="I4" s="15" t="s">
        <v>84</v>
      </c>
      <c r="J4" s="15" t="s">
        <v>90</v>
      </c>
      <c r="K4" s="15" t="s">
        <v>88</v>
      </c>
      <c r="L4" s="15" t="s">
        <v>85</v>
      </c>
      <c r="M4" s="15" t="s">
        <v>87</v>
      </c>
      <c r="N4" s="15" t="s">
        <v>96</v>
      </c>
      <c r="O4" s="15" t="s">
        <v>97</v>
      </c>
      <c r="P4" s="22" t="s">
        <v>93</v>
      </c>
      <c r="Q4" s="44" t="s">
        <v>141</v>
      </c>
      <c r="R4" s="15" t="s">
        <v>103</v>
      </c>
      <c r="S4" s="26" t="s">
        <v>105</v>
      </c>
      <c r="T4" s="15" t="s">
        <v>104</v>
      </c>
      <c r="U4" s="15" t="s">
        <v>103</v>
      </c>
      <c r="V4" s="26" t="s">
        <v>105</v>
      </c>
      <c r="W4" s="34" t="s">
        <v>104</v>
      </c>
      <c r="X4" s="15" t="s">
        <v>5</v>
      </c>
      <c r="Y4" s="15" t="s">
        <v>5</v>
      </c>
    </row>
    <row r="5" spans="2:25">
      <c r="B5" s="14" t="s">
        <v>156</v>
      </c>
      <c r="C5" s="14" t="s">
        <v>159</v>
      </c>
      <c r="D5" s="14" t="s">
        <v>44</v>
      </c>
      <c r="E5" s="14">
        <v>1024</v>
      </c>
      <c r="F5" s="14" t="s">
        <v>100</v>
      </c>
      <c r="G5" s="14" t="s">
        <v>7</v>
      </c>
      <c r="H5" s="14">
        <v>298</v>
      </c>
      <c r="I5" s="14">
        <v>1</v>
      </c>
      <c r="J5" s="20" t="s">
        <v>57</v>
      </c>
      <c r="K5" s="14">
        <v>1</v>
      </c>
      <c r="L5" s="14">
        <v>5</v>
      </c>
      <c r="M5" s="14">
        <f>1000000*L5/K5</f>
        <v>5000000</v>
      </c>
      <c r="Q5" s="43">
        <v>41.469000000000001</v>
      </c>
      <c r="R5" s="14" t="s">
        <v>23</v>
      </c>
      <c r="S5" s="27" t="s">
        <v>136</v>
      </c>
      <c r="T5" s="14">
        <v>775.06899999999996</v>
      </c>
      <c r="U5" s="14" t="s">
        <v>26</v>
      </c>
      <c r="V5" s="28" t="s">
        <v>136</v>
      </c>
      <c r="W5" s="33">
        <v>0.2656</v>
      </c>
      <c r="X5" s="20" t="s">
        <v>157</v>
      </c>
      <c r="Y5" s="14" t="s">
        <v>168</v>
      </c>
    </row>
    <row r="6" spans="2:25">
      <c r="C6" s="14" t="s">
        <v>160</v>
      </c>
      <c r="D6" s="14" t="s">
        <v>44</v>
      </c>
      <c r="E6" s="14">
        <v>1024</v>
      </c>
      <c r="F6" s="14" t="s">
        <v>100</v>
      </c>
      <c r="G6" s="14" t="s">
        <v>7</v>
      </c>
      <c r="H6" s="14">
        <v>298</v>
      </c>
      <c r="I6" s="14">
        <v>1</v>
      </c>
      <c r="J6" s="20" t="s">
        <v>57</v>
      </c>
      <c r="K6" s="14">
        <v>1</v>
      </c>
      <c r="L6" s="14">
        <v>5</v>
      </c>
      <c r="M6" s="14">
        <f>1000000*L6/K6</f>
        <v>5000000</v>
      </c>
      <c r="Q6" s="43">
        <v>40.271000000000001</v>
      </c>
      <c r="R6" s="14" t="s">
        <v>23</v>
      </c>
      <c r="S6" s="27" t="s">
        <v>136</v>
      </c>
      <c r="T6" s="14">
        <v>790.25</v>
      </c>
      <c r="U6" s="14" t="s">
        <v>26</v>
      </c>
      <c r="V6" s="28" t="s">
        <v>136</v>
      </c>
      <c r="W6" s="33">
        <v>0.1439</v>
      </c>
      <c r="X6" s="14" t="s">
        <v>162</v>
      </c>
    </row>
    <row r="9" spans="2:25">
      <c r="B9" s="14" t="s">
        <v>161</v>
      </c>
      <c r="C9" s="14" t="s">
        <v>159</v>
      </c>
      <c r="D9" s="14" t="s">
        <v>44</v>
      </c>
      <c r="E9" s="14">
        <v>1024</v>
      </c>
      <c r="F9" s="14" t="s">
        <v>163</v>
      </c>
      <c r="G9" s="14" t="s">
        <v>7</v>
      </c>
      <c r="H9" s="20" t="s">
        <v>57</v>
      </c>
      <c r="I9" s="14">
        <v>1</v>
      </c>
      <c r="J9" s="20" t="s">
        <v>57</v>
      </c>
      <c r="K9" s="14">
        <v>1</v>
      </c>
      <c r="L9" s="14">
        <v>100</v>
      </c>
      <c r="M9" s="14">
        <v>100000000</v>
      </c>
      <c r="N9" s="14" t="s">
        <v>94</v>
      </c>
      <c r="O9" s="14" t="s">
        <v>95</v>
      </c>
      <c r="P9" s="14">
        <v>1</v>
      </c>
    </row>
  </sheetData>
  <mergeCells count="2">
    <mergeCell ref="N3:P3"/>
    <mergeCell ref="R3:X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4C90-9A0C-E346-B9BD-40AE56D235C4}">
  <dimension ref="B1:BH45"/>
  <sheetViews>
    <sheetView topLeftCell="H1" workbookViewId="0">
      <selection activeCell="BA4" sqref="BA4"/>
    </sheetView>
  </sheetViews>
  <sheetFormatPr defaultColWidth="7.875" defaultRowHeight="15" customHeight="1"/>
  <cols>
    <col min="1" max="1" width="5" style="3" customWidth="1"/>
    <col min="2" max="4" width="7.875" style="3"/>
    <col min="5" max="5" width="7.875" style="6"/>
    <col min="6" max="7" width="7.875" style="3"/>
    <col min="8" max="12" width="4" style="8" customWidth="1"/>
    <col min="13" max="13" width="5" style="3" customWidth="1"/>
    <col min="14" max="19" width="7.875" style="3"/>
    <col min="20" max="24" width="4" style="8" customWidth="1"/>
    <col min="25" max="25" width="5" style="3" customWidth="1"/>
    <col min="26" max="28" width="7.875" style="3"/>
    <col min="29" max="29" width="7.875" style="6"/>
    <col min="30" max="30" width="7.875" style="7"/>
    <col min="31" max="31" width="7.875" style="3"/>
    <col min="32" max="36" width="4" style="8" customWidth="1"/>
    <col min="37" max="37" width="5" style="3" customWidth="1"/>
    <col min="38" max="38" width="10.875" style="3" customWidth="1"/>
    <col min="39" max="39" width="7.875" style="3"/>
    <col min="40" max="40" width="7.875" style="10"/>
    <col min="41" max="41" width="7.875" style="3"/>
    <col min="42" max="42" width="7.875" style="7"/>
    <col min="43" max="43" width="7.875" style="3"/>
    <col min="44" max="48" width="4" style="8" customWidth="1"/>
    <col min="49" max="49" width="5" style="3" customWidth="1"/>
    <col min="50" max="50" width="7.875" style="3"/>
    <col min="51" max="52" width="8.875" style="3" customWidth="1"/>
    <col min="53" max="53" width="7.875" style="3"/>
    <col min="54" max="54" width="7.875" style="7"/>
    <col min="55" max="55" width="7.875" style="3"/>
    <col min="56" max="60" width="3.625" style="8" customWidth="1"/>
    <col min="61" max="16384" width="7.875" style="3"/>
  </cols>
  <sheetData>
    <row r="1" spans="2:60" s="100" customFormat="1" ht="25.5" customHeight="1">
      <c r="B1" s="100" t="s">
        <v>8</v>
      </c>
      <c r="E1" s="101"/>
      <c r="N1" s="100" t="s">
        <v>15</v>
      </c>
      <c r="Z1" s="100" t="s">
        <v>13</v>
      </c>
      <c r="AC1" s="101"/>
      <c r="AD1" s="102"/>
      <c r="AL1" s="100" t="s">
        <v>21</v>
      </c>
      <c r="AN1" s="103"/>
      <c r="AP1" s="102"/>
      <c r="BB1" s="102"/>
    </row>
    <row r="2" spans="2:60" s="93" customFormat="1" ht="18" customHeight="1">
      <c r="B2" s="93" t="s">
        <v>259</v>
      </c>
      <c r="C2" s="120" t="s">
        <v>19</v>
      </c>
      <c r="D2" s="120"/>
      <c r="E2" s="120"/>
      <c r="F2" s="120"/>
      <c r="G2" s="120"/>
      <c r="H2" s="119" t="s">
        <v>20</v>
      </c>
      <c r="I2" s="119"/>
      <c r="J2" s="119"/>
      <c r="K2" s="119"/>
      <c r="L2" s="119"/>
      <c r="N2" s="93" t="s">
        <v>47</v>
      </c>
      <c r="O2" s="120" t="s">
        <v>19</v>
      </c>
      <c r="P2" s="120"/>
      <c r="Q2" s="120"/>
      <c r="R2" s="120"/>
      <c r="S2" s="120"/>
      <c r="T2" s="76"/>
      <c r="U2" s="76"/>
      <c r="V2" s="76"/>
      <c r="W2" s="76"/>
      <c r="X2" s="76"/>
      <c r="Z2" s="93" t="s">
        <v>48</v>
      </c>
      <c r="AA2" s="120" t="s">
        <v>19</v>
      </c>
      <c r="AB2" s="120"/>
      <c r="AC2" s="120"/>
      <c r="AD2" s="120"/>
      <c r="AE2" s="120"/>
      <c r="AF2" s="76"/>
      <c r="AG2" s="76"/>
      <c r="AH2" s="76"/>
      <c r="AI2" s="76"/>
      <c r="AJ2" s="76"/>
      <c r="AL2" s="84" t="s">
        <v>260</v>
      </c>
      <c r="AM2" s="120" t="s">
        <v>19</v>
      </c>
      <c r="AN2" s="120"/>
      <c r="AO2" s="120"/>
      <c r="AP2" s="120"/>
      <c r="AQ2" s="120"/>
      <c r="AR2" s="76"/>
      <c r="AS2" s="76"/>
      <c r="AT2" s="76"/>
      <c r="AU2" s="76"/>
      <c r="AV2" s="76"/>
      <c r="AY2" s="95" t="s">
        <v>22</v>
      </c>
      <c r="AZ2" s="95"/>
      <c r="BA2" s="96"/>
      <c r="BB2" s="96"/>
      <c r="BC2" s="96"/>
      <c r="BD2" s="76"/>
      <c r="BE2" s="76"/>
      <c r="BF2" s="76"/>
      <c r="BG2" s="76"/>
      <c r="BH2" s="76"/>
    </row>
    <row r="3" spans="2:60" s="93" customFormat="1" ht="15" customHeight="1">
      <c r="B3" s="93" t="s">
        <v>23</v>
      </c>
      <c r="C3" s="93">
        <v>10</v>
      </c>
      <c r="D3" s="93">
        <v>15</v>
      </c>
      <c r="E3" s="93">
        <v>20</v>
      </c>
      <c r="F3" s="93">
        <v>25</v>
      </c>
      <c r="G3" s="93">
        <v>30</v>
      </c>
      <c r="H3" s="76">
        <v>10</v>
      </c>
      <c r="I3" s="76">
        <v>15</v>
      </c>
      <c r="J3" s="76">
        <v>20</v>
      </c>
      <c r="K3" s="76">
        <v>25</v>
      </c>
      <c r="L3" s="76">
        <v>30</v>
      </c>
      <c r="N3" s="93" t="s">
        <v>24</v>
      </c>
      <c r="O3" s="93">
        <v>10</v>
      </c>
      <c r="P3" s="93">
        <v>15</v>
      </c>
      <c r="Q3" s="93">
        <v>20</v>
      </c>
      <c r="R3" s="93">
        <v>25</v>
      </c>
      <c r="S3" s="93">
        <v>30</v>
      </c>
      <c r="T3" s="76">
        <v>10</v>
      </c>
      <c r="U3" s="76">
        <v>15</v>
      </c>
      <c r="V3" s="76">
        <v>20</v>
      </c>
      <c r="W3" s="76">
        <v>25</v>
      </c>
      <c r="X3" s="76">
        <v>30</v>
      </c>
      <c r="Z3" s="97" t="s">
        <v>25</v>
      </c>
      <c r="AA3" s="93">
        <v>10</v>
      </c>
      <c r="AB3" s="93">
        <v>15</v>
      </c>
      <c r="AC3" s="93">
        <v>20</v>
      </c>
      <c r="AD3" s="107" t="s">
        <v>173</v>
      </c>
      <c r="AE3" s="93">
        <v>30</v>
      </c>
      <c r="AF3" s="76">
        <v>10</v>
      </c>
      <c r="AG3" s="76">
        <v>15</v>
      </c>
      <c r="AH3" s="76">
        <v>20</v>
      </c>
      <c r="AI3" s="76">
        <v>25</v>
      </c>
      <c r="AJ3" s="76">
        <v>30</v>
      </c>
      <c r="AL3" s="93" t="s">
        <v>26</v>
      </c>
      <c r="AM3" s="93">
        <v>10</v>
      </c>
      <c r="AN3" s="93">
        <v>15</v>
      </c>
      <c r="AO3" s="93">
        <v>20</v>
      </c>
      <c r="AP3" s="93">
        <v>25</v>
      </c>
      <c r="AQ3" s="93">
        <v>30</v>
      </c>
      <c r="AR3" s="76">
        <v>10</v>
      </c>
      <c r="AS3" s="76">
        <v>15</v>
      </c>
      <c r="AT3" s="76">
        <v>20</v>
      </c>
      <c r="AU3" s="76">
        <v>25</v>
      </c>
      <c r="AV3" s="76">
        <v>30</v>
      </c>
      <c r="AY3" s="93" t="s">
        <v>27</v>
      </c>
      <c r="AZ3" s="13" t="s">
        <v>28</v>
      </c>
      <c r="BA3" s="122" t="s">
        <v>278</v>
      </c>
      <c r="BD3" s="76"/>
      <c r="BE3" s="76"/>
      <c r="BF3" s="76"/>
      <c r="BG3" s="76"/>
      <c r="BH3" s="76"/>
    </row>
    <row r="4" spans="2:60" ht="15" customHeight="1">
      <c r="B4" s="3" t="s">
        <v>29</v>
      </c>
      <c r="C4" s="6"/>
      <c r="D4" s="6">
        <v>631.04</v>
      </c>
      <c r="E4" s="6">
        <v>626.12</v>
      </c>
      <c r="F4" s="6">
        <v>621.14</v>
      </c>
      <c r="G4" s="6">
        <v>616.11</v>
      </c>
      <c r="H4" s="8" t="s">
        <v>30</v>
      </c>
      <c r="I4" s="8" t="s">
        <v>30</v>
      </c>
      <c r="J4" s="8" t="s">
        <v>30</v>
      </c>
      <c r="K4" s="8" t="s">
        <v>30</v>
      </c>
      <c r="L4" s="8" t="s">
        <v>30</v>
      </c>
      <c r="N4" s="3" t="s">
        <v>29</v>
      </c>
      <c r="Q4" s="6"/>
      <c r="R4" s="10"/>
      <c r="Z4" s="3" t="s">
        <v>29</v>
      </c>
      <c r="AA4" s="6">
        <v>17.149999999999999</v>
      </c>
      <c r="AC4" s="6">
        <v>16.05</v>
      </c>
      <c r="AD4" s="106">
        <f>0.5*(AC4+AE4)</f>
        <v>15.495000000000001</v>
      </c>
      <c r="AE4" s="3">
        <v>14.94</v>
      </c>
      <c r="AF4" s="8" t="s">
        <v>31</v>
      </c>
      <c r="AH4" s="8" t="s">
        <v>31</v>
      </c>
      <c r="AJ4" s="8" t="s">
        <v>31</v>
      </c>
      <c r="AL4" s="3" t="s">
        <v>29</v>
      </c>
      <c r="AM4" s="7"/>
      <c r="AN4" s="7"/>
      <c r="AO4" s="7"/>
      <c r="AQ4" s="7"/>
      <c r="AX4" s="3" t="s">
        <v>29</v>
      </c>
      <c r="AY4" s="3">
        <v>143.5</v>
      </c>
      <c r="AZ4" s="13">
        <f t="shared" ref="AZ4:AZ15" si="0">AY4-273.15</f>
        <v>-129.64999999999998</v>
      </c>
    </row>
    <row r="5" spans="2:60" ht="15" customHeight="1">
      <c r="B5" s="3" t="s">
        <v>32</v>
      </c>
      <c r="C5" s="6">
        <v>668.37</v>
      </c>
      <c r="D5" s="6">
        <v>663.91</v>
      </c>
      <c r="E5" s="6">
        <v>659.42</v>
      </c>
      <c r="F5" s="6">
        <v>654.89</v>
      </c>
      <c r="G5" s="6">
        <v>650.33000000000004</v>
      </c>
      <c r="H5" s="8" t="s">
        <v>30</v>
      </c>
      <c r="I5" s="8" t="s">
        <v>30</v>
      </c>
      <c r="J5" s="8" t="s">
        <v>30</v>
      </c>
      <c r="K5" s="8" t="s">
        <v>30</v>
      </c>
      <c r="L5" s="8" t="s">
        <v>30</v>
      </c>
      <c r="N5" s="3" t="s">
        <v>32</v>
      </c>
      <c r="Q5" s="6"/>
      <c r="R5" s="10">
        <v>0.2949</v>
      </c>
      <c r="W5" s="8" t="s">
        <v>33</v>
      </c>
      <c r="Z5" s="3" t="s">
        <v>32</v>
      </c>
      <c r="AA5" s="6">
        <v>19.420000000000002</v>
      </c>
      <c r="AC5" s="6">
        <v>18.399999999999999</v>
      </c>
      <c r="AD5" s="106">
        <f t="shared" ref="AD5:AD15" si="1">0.5*(AC5+AE5)</f>
        <v>17.89</v>
      </c>
      <c r="AE5" s="3">
        <v>17.38</v>
      </c>
      <c r="AF5" s="8" t="s">
        <v>31</v>
      </c>
      <c r="AH5" s="8" t="s">
        <v>31</v>
      </c>
      <c r="AJ5" s="8" t="s">
        <v>31</v>
      </c>
      <c r="AL5" s="3" t="s">
        <v>32</v>
      </c>
      <c r="AM5" s="7"/>
      <c r="AN5" s="7"/>
      <c r="AO5" s="7"/>
      <c r="AQ5" s="7"/>
      <c r="AX5" s="3" t="s">
        <v>32</v>
      </c>
      <c r="AY5" s="3">
        <v>177.8</v>
      </c>
      <c r="AZ5" s="13">
        <f t="shared" si="0"/>
        <v>-95.349999999999966</v>
      </c>
    </row>
    <row r="6" spans="2:60" ht="15" customHeight="1">
      <c r="B6" s="3" t="s">
        <v>34</v>
      </c>
      <c r="C6" s="6">
        <v>692.4</v>
      </c>
      <c r="D6" s="6">
        <v>688.2</v>
      </c>
      <c r="E6" s="6">
        <v>683.99</v>
      </c>
      <c r="F6" s="6">
        <v>679.75</v>
      </c>
      <c r="G6" s="6">
        <v>675.49</v>
      </c>
      <c r="H6" s="8" t="s">
        <v>30</v>
      </c>
      <c r="I6" s="8" t="s">
        <v>30</v>
      </c>
      <c r="J6" s="8" t="s">
        <v>30</v>
      </c>
      <c r="K6" s="8" t="s">
        <v>30</v>
      </c>
      <c r="L6" s="8" t="s">
        <v>30</v>
      </c>
      <c r="N6" s="3" t="s">
        <v>34</v>
      </c>
      <c r="Q6" s="6"/>
      <c r="R6" s="10">
        <v>0.38900000000000001</v>
      </c>
      <c r="W6" s="8" t="s">
        <v>33</v>
      </c>
      <c r="Z6" s="3" t="s">
        <v>34</v>
      </c>
      <c r="AA6" s="6">
        <v>21.12</v>
      </c>
      <c r="AC6" s="6">
        <v>20.14</v>
      </c>
      <c r="AD6" s="106">
        <f t="shared" si="1"/>
        <v>19.655000000000001</v>
      </c>
      <c r="AE6" s="3">
        <v>19.170000000000002</v>
      </c>
      <c r="AF6" s="8" t="s">
        <v>31</v>
      </c>
      <c r="AH6" s="8" t="s">
        <v>31</v>
      </c>
      <c r="AJ6" s="8" t="s">
        <v>31</v>
      </c>
      <c r="AL6" s="3" t="s">
        <v>34</v>
      </c>
      <c r="AM6" s="7"/>
      <c r="AN6" s="7"/>
      <c r="AO6" s="7"/>
      <c r="AQ6" s="7"/>
      <c r="AX6" s="3" t="s">
        <v>34</v>
      </c>
      <c r="AY6" s="3">
        <v>182.6</v>
      </c>
      <c r="AZ6" s="13">
        <f t="shared" si="0"/>
        <v>-90.549999999999983</v>
      </c>
    </row>
    <row r="7" spans="2:60" ht="15" customHeight="1">
      <c r="B7" s="3" t="s">
        <v>35</v>
      </c>
      <c r="C7" s="6"/>
      <c r="D7" s="6"/>
      <c r="F7" s="6"/>
      <c r="G7" s="6"/>
      <c r="N7" s="3" t="s">
        <v>35</v>
      </c>
      <c r="Q7" s="6"/>
      <c r="R7" s="10">
        <v>0.50919999999999999</v>
      </c>
      <c r="W7" s="8" t="s">
        <v>33</v>
      </c>
      <c r="Z7" s="3" t="s">
        <v>35</v>
      </c>
      <c r="AA7" s="6">
        <v>22.57</v>
      </c>
      <c r="AC7" s="6">
        <v>21.62</v>
      </c>
      <c r="AD7" s="106">
        <f t="shared" si="1"/>
        <v>21.145000000000003</v>
      </c>
      <c r="AE7" s="3">
        <v>20.67</v>
      </c>
      <c r="AF7" s="8" t="s">
        <v>31</v>
      </c>
      <c r="AH7" s="8" t="s">
        <v>31</v>
      </c>
      <c r="AJ7" s="8" t="s">
        <v>31</v>
      </c>
      <c r="AL7" s="3" t="s">
        <v>35</v>
      </c>
      <c r="AM7" s="7"/>
      <c r="AN7" s="7">
        <v>1.988</v>
      </c>
      <c r="AO7" s="7">
        <v>2.14</v>
      </c>
      <c r="AP7" s="7">
        <v>2.3559999999999999</v>
      </c>
      <c r="AQ7" s="7">
        <v>2.633</v>
      </c>
      <c r="AS7" s="8" t="s">
        <v>36</v>
      </c>
      <c r="AT7" s="8" t="s">
        <v>36</v>
      </c>
      <c r="AU7" s="8" t="s">
        <v>36</v>
      </c>
      <c r="AV7" s="8" t="s">
        <v>36</v>
      </c>
      <c r="AX7" s="3" t="s">
        <v>35</v>
      </c>
      <c r="AY7" s="3">
        <v>216.4</v>
      </c>
      <c r="AZ7" s="13">
        <f t="shared" si="0"/>
        <v>-56.749999999999972</v>
      </c>
    </row>
    <row r="8" spans="2:60" ht="15" customHeight="1">
      <c r="B8" s="3" t="s">
        <v>37</v>
      </c>
      <c r="C8" s="6"/>
      <c r="D8" s="6"/>
      <c r="F8" s="6"/>
      <c r="G8" s="6"/>
      <c r="N8" s="3" t="s">
        <v>37</v>
      </c>
      <c r="Q8" s="6"/>
      <c r="R8" s="10"/>
      <c r="Z8" s="3" t="s">
        <v>37</v>
      </c>
      <c r="AA8" s="6">
        <v>23.79</v>
      </c>
      <c r="AC8" s="6">
        <v>22.85</v>
      </c>
      <c r="AD8" s="106">
        <f t="shared" si="1"/>
        <v>22.385000000000002</v>
      </c>
      <c r="AE8" s="3">
        <v>21.92</v>
      </c>
      <c r="AF8" s="8" t="s">
        <v>31</v>
      </c>
      <c r="AH8" s="8" t="s">
        <v>31</v>
      </c>
      <c r="AJ8" s="8" t="s">
        <v>31</v>
      </c>
      <c r="AL8" s="3" t="s">
        <v>37</v>
      </c>
      <c r="AM8" s="7"/>
      <c r="AN8" s="7">
        <v>1.5249999999999999</v>
      </c>
      <c r="AO8" s="7">
        <v>1.6259999999999999</v>
      </c>
      <c r="AP8" s="7">
        <v>1.772</v>
      </c>
      <c r="AQ8" s="7">
        <v>1.9610000000000001</v>
      </c>
      <c r="AS8" s="8" t="s">
        <v>36</v>
      </c>
      <c r="AT8" s="8" t="s">
        <v>36</v>
      </c>
      <c r="AU8" s="8" t="s">
        <v>36</v>
      </c>
      <c r="AV8" s="8" t="s">
        <v>36</v>
      </c>
      <c r="AX8" s="3" t="s">
        <v>37</v>
      </c>
      <c r="AY8" s="3">
        <v>219.7</v>
      </c>
      <c r="AZ8" s="13">
        <f t="shared" si="0"/>
        <v>-53.449999999999989</v>
      </c>
    </row>
    <row r="9" spans="2:60" ht="15" customHeight="1">
      <c r="B9" s="3" t="s">
        <v>38</v>
      </c>
      <c r="C9" s="6"/>
      <c r="D9" s="6"/>
      <c r="F9" s="6"/>
      <c r="G9" s="6"/>
      <c r="N9" s="3" t="s">
        <v>38</v>
      </c>
      <c r="Q9" s="6"/>
      <c r="R9" s="10">
        <v>0.8498</v>
      </c>
      <c r="W9" s="8" t="s">
        <v>33</v>
      </c>
      <c r="Z9" s="3" t="s">
        <v>38</v>
      </c>
      <c r="AA9" s="6">
        <v>24.75</v>
      </c>
      <c r="AC9" s="6">
        <v>23.83</v>
      </c>
      <c r="AD9" s="106">
        <f t="shared" si="1"/>
        <v>23.369999999999997</v>
      </c>
      <c r="AE9" s="3">
        <v>22.91</v>
      </c>
      <c r="AF9" s="8" t="s">
        <v>31</v>
      </c>
      <c r="AH9" s="8" t="s">
        <v>31</v>
      </c>
      <c r="AJ9" s="8" t="s">
        <v>31</v>
      </c>
      <c r="AL9" s="3" t="s">
        <v>38</v>
      </c>
      <c r="AM9" s="7"/>
      <c r="AN9" s="7">
        <v>1.165</v>
      </c>
      <c r="AO9" s="7">
        <v>1.268</v>
      </c>
      <c r="AP9" s="7">
        <v>1.3859999999999999</v>
      </c>
      <c r="AQ9" s="7">
        <v>1.5589999999999999</v>
      </c>
      <c r="AS9" s="8" t="s">
        <v>36</v>
      </c>
      <c r="AT9" s="8" t="s">
        <v>36</v>
      </c>
      <c r="AU9" s="8" t="s">
        <v>36</v>
      </c>
      <c r="AV9" s="8" t="s">
        <v>36</v>
      </c>
      <c r="AX9" s="3" t="s">
        <v>38</v>
      </c>
      <c r="AY9" s="3">
        <v>243.5</v>
      </c>
      <c r="AZ9" s="13">
        <f t="shared" si="0"/>
        <v>-29.649999999999977</v>
      </c>
    </row>
    <row r="10" spans="2:60" ht="15" customHeight="1">
      <c r="B10" s="3" t="s">
        <v>39</v>
      </c>
      <c r="C10" s="6"/>
      <c r="D10" s="6"/>
      <c r="F10" s="6"/>
      <c r="G10" s="6"/>
      <c r="N10" s="3" t="s">
        <v>39</v>
      </c>
      <c r="Q10" s="6"/>
      <c r="R10" s="10"/>
      <c r="Z10" s="3" t="s">
        <v>39</v>
      </c>
      <c r="AA10" s="6">
        <v>25.56</v>
      </c>
      <c r="AC10" s="6">
        <v>24.66</v>
      </c>
      <c r="AD10" s="106">
        <f t="shared" si="1"/>
        <v>24.21</v>
      </c>
      <c r="AE10" s="3">
        <v>23.76</v>
      </c>
      <c r="AF10" s="8" t="s">
        <v>31</v>
      </c>
      <c r="AH10" s="8" t="s">
        <v>31</v>
      </c>
      <c r="AJ10" s="8" t="s">
        <v>31</v>
      </c>
      <c r="AL10" s="3" t="s">
        <v>39</v>
      </c>
      <c r="AM10" s="7"/>
      <c r="AN10" s="7">
        <v>0.93100000000000005</v>
      </c>
      <c r="AO10" s="7">
        <v>1.0089999999999999</v>
      </c>
      <c r="AP10" s="7">
        <v>1.1120000000000001</v>
      </c>
      <c r="AQ10" s="7">
        <v>1.248</v>
      </c>
      <c r="AS10" s="8" t="s">
        <v>36</v>
      </c>
      <c r="AT10" s="8" t="s">
        <v>36</v>
      </c>
      <c r="AU10" s="8" t="s">
        <v>36</v>
      </c>
      <c r="AV10" s="8" t="s">
        <v>36</v>
      </c>
      <c r="AX10" s="3" t="s">
        <v>39</v>
      </c>
      <c r="AY10" s="3">
        <v>247.6</v>
      </c>
      <c r="AZ10" s="13">
        <f t="shared" si="0"/>
        <v>-25.549999999999983</v>
      </c>
    </row>
    <row r="11" spans="2:60" ht="15" customHeight="1">
      <c r="B11" s="3" t="s">
        <v>40</v>
      </c>
      <c r="C11" s="6"/>
      <c r="D11" s="6"/>
      <c r="F11" s="6"/>
      <c r="G11" s="6"/>
      <c r="N11" s="3" t="s">
        <v>40</v>
      </c>
      <c r="Q11" s="6"/>
      <c r="R11" s="10">
        <v>1.3585</v>
      </c>
      <c r="W11" s="8" t="s">
        <v>33</v>
      </c>
      <c r="Z11" s="3" t="s">
        <v>40</v>
      </c>
      <c r="AA11" s="6">
        <v>26.24</v>
      </c>
      <c r="AC11" s="6">
        <v>25.35</v>
      </c>
      <c r="AD11" s="106">
        <f t="shared" si="1"/>
        <v>24.91</v>
      </c>
      <c r="AE11" s="3">
        <v>24.47</v>
      </c>
      <c r="AF11" s="8" t="s">
        <v>31</v>
      </c>
      <c r="AH11" s="8" t="s">
        <v>31</v>
      </c>
      <c r="AJ11" s="8" t="s">
        <v>31</v>
      </c>
      <c r="AL11" s="3" t="s">
        <v>40</v>
      </c>
      <c r="AM11" s="7"/>
      <c r="AN11" s="7">
        <v>0.70799999999999996</v>
      </c>
      <c r="AO11" s="7">
        <v>0.78800000000000003</v>
      </c>
      <c r="AP11" s="7">
        <v>0.871</v>
      </c>
      <c r="AQ11" s="7">
        <v>0.996</v>
      </c>
      <c r="AS11" s="8" t="s">
        <v>36</v>
      </c>
      <c r="AT11" s="8" t="s">
        <v>36</v>
      </c>
      <c r="AU11" s="8" t="s">
        <v>36</v>
      </c>
      <c r="AV11" s="8" t="s">
        <v>36</v>
      </c>
      <c r="AX11" s="3" t="s">
        <v>40</v>
      </c>
      <c r="AY11" s="3">
        <v>263.60000000000002</v>
      </c>
      <c r="AZ11" s="13">
        <f t="shared" si="0"/>
        <v>-9.5499999999999545</v>
      </c>
    </row>
    <row r="12" spans="2:60" ht="15" customHeight="1">
      <c r="B12" s="3" t="s">
        <v>41</v>
      </c>
      <c r="C12" s="6"/>
      <c r="D12" s="6"/>
      <c r="F12" s="6"/>
      <c r="G12" s="6"/>
      <c r="N12" s="3" t="s">
        <v>41</v>
      </c>
      <c r="Q12" s="6"/>
      <c r="R12" s="10"/>
      <c r="Z12" s="3" t="s">
        <v>41</v>
      </c>
      <c r="AA12" s="6">
        <v>26.86</v>
      </c>
      <c r="AC12" s="6">
        <v>25.99</v>
      </c>
      <c r="AD12" s="106">
        <f t="shared" si="1"/>
        <v>25.549999999999997</v>
      </c>
      <c r="AE12" s="3">
        <v>25.11</v>
      </c>
      <c r="AF12" s="8" t="s">
        <v>31</v>
      </c>
      <c r="AH12" s="8" t="s">
        <v>31</v>
      </c>
      <c r="AJ12" s="8" t="s">
        <v>31</v>
      </c>
      <c r="AL12" s="3" t="s">
        <v>41</v>
      </c>
      <c r="AM12" s="7"/>
      <c r="AN12" s="7">
        <v>0.56499999999999995</v>
      </c>
      <c r="AO12" s="7">
        <v>0.64</v>
      </c>
      <c r="AP12" s="7">
        <v>0.70699999999999996</v>
      </c>
      <c r="AQ12" s="7">
        <v>0.80500000000000005</v>
      </c>
      <c r="AS12" s="8" t="s">
        <v>36</v>
      </c>
      <c r="AT12" s="8" t="s">
        <v>36</v>
      </c>
      <c r="AU12" s="8" t="s">
        <v>36</v>
      </c>
      <c r="AV12" s="8" t="s">
        <v>36</v>
      </c>
      <c r="AX12" s="3" t="s">
        <v>41</v>
      </c>
      <c r="AY12" s="3">
        <v>267.8</v>
      </c>
      <c r="AZ12" s="13">
        <f t="shared" si="0"/>
        <v>-5.3499999999999659</v>
      </c>
    </row>
    <row r="13" spans="2:60" ht="15" customHeight="1">
      <c r="B13" s="3" t="s">
        <v>42</v>
      </c>
      <c r="C13" s="6"/>
      <c r="D13" s="6"/>
      <c r="F13" s="6"/>
      <c r="G13" s="6"/>
      <c r="N13" s="3" t="s">
        <v>42</v>
      </c>
      <c r="Q13" s="6"/>
      <c r="R13" s="10">
        <v>2.0779999999999998</v>
      </c>
      <c r="W13" s="8" t="s">
        <v>33</v>
      </c>
      <c r="Z13" s="3" t="s">
        <v>42</v>
      </c>
      <c r="AA13" s="6">
        <v>27.43</v>
      </c>
      <c r="AC13" s="6">
        <v>26.56</v>
      </c>
      <c r="AD13" s="106">
        <f t="shared" si="1"/>
        <v>26.125</v>
      </c>
      <c r="AE13" s="3">
        <v>25.69</v>
      </c>
      <c r="AF13" s="8" t="s">
        <v>31</v>
      </c>
      <c r="AH13" s="8" t="s">
        <v>31</v>
      </c>
      <c r="AJ13" s="8" t="s">
        <v>31</v>
      </c>
      <c r="AL13" s="3" t="s">
        <v>42</v>
      </c>
      <c r="AM13" s="7"/>
      <c r="AN13" s="7">
        <v>0.443</v>
      </c>
      <c r="AO13" s="7">
        <v>0.495</v>
      </c>
      <c r="AP13" s="7">
        <v>0.55000000000000004</v>
      </c>
      <c r="AQ13" s="7">
        <v>0.63700000000000001</v>
      </c>
      <c r="AS13" s="8" t="s">
        <v>36</v>
      </c>
      <c r="AT13" s="8" t="s">
        <v>36</v>
      </c>
      <c r="AU13" s="8" t="s">
        <v>36</v>
      </c>
      <c r="AV13" s="8" t="s">
        <v>36</v>
      </c>
      <c r="AX13" s="3" t="s">
        <v>42</v>
      </c>
      <c r="AY13" s="3">
        <v>279</v>
      </c>
      <c r="AZ13" s="13">
        <f t="shared" si="0"/>
        <v>5.8500000000000227</v>
      </c>
    </row>
    <row r="14" spans="2:60" ht="15" customHeight="1">
      <c r="B14" s="3" t="s">
        <v>43</v>
      </c>
      <c r="C14" s="6"/>
      <c r="D14" s="6"/>
      <c r="E14" s="6">
        <v>768.45</v>
      </c>
      <c r="F14" s="108">
        <f>(E14+G14)/2</f>
        <v>764.96500000000003</v>
      </c>
      <c r="G14" s="6">
        <v>761.48</v>
      </c>
      <c r="J14" s="8" t="s">
        <v>273</v>
      </c>
      <c r="L14" s="8" t="s">
        <v>273</v>
      </c>
      <c r="N14" s="3" t="s">
        <v>43</v>
      </c>
      <c r="Q14" s="6"/>
      <c r="Z14" s="3" t="s">
        <v>43</v>
      </c>
      <c r="AC14" s="6">
        <v>27.07</v>
      </c>
      <c r="AD14" s="106">
        <f t="shared" si="1"/>
        <v>26.64</v>
      </c>
      <c r="AE14" s="3">
        <v>26.21</v>
      </c>
      <c r="AH14" s="8" t="s">
        <v>31</v>
      </c>
      <c r="AJ14" s="8" t="s">
        <v>31</v>
      </c>
      <c r="AL14" s="3" t="s">
        <v>43</v>
      </c>
      <c r="AM14" s="7"/>
      <c r="AN14" s="7">
        <v>0.35699999999999998</v>
      </c>
      <c r="AO14" s="7">
        <v>0.40400000000000003</v>
      </c>
      <c r="AP14" s="7">
        <v>0.46100000000000002</v>
      </c>
      <c r="AQ14" s="7">
        <v>0.53500000000000003</v>
      </c>
      <c r="AS14" s="8" t="s">
        <v>36</v>
      </c>
      <c r="AT14" s="8" t="s">
        <v>36</v>
      </c>
      <c r="AU14" s="8" t="s">
        <v>36</v>
      </c>
      <c r="AV14" s="8" t="s">
        <v>36</v>
      </c>
      <c r="AX14" s="3" t="s">
        <v>43</v>
      </c>
      <c r="AY14" s="3">
        <v>283.10000000000002</v>
      </c>
      <c r="AZ14" s="13">
        <f t="shared" si="0"/>
        <v>9.9500000000000455</v>
      </c>
    </row>
    <row r="15" spans="2:60" ht="15" customHeight="1">
      <c r="B15" s="3" t="s">
        <v>44</v>
      </c>
      <c r="C15" s="6"/>
      <c r="D15" s="6"/>
      <c r="F15" s="6"/>
      <c r="G15" s="6"/>
      <c r="N15" s="3" t="s">
        <v>44</v>
      </c>
      <c r="Q15" s="6"/>
      <c r="Z15" s="3" t="s">
        <v>44</v>
      </c>
      <c r="AC15" s="6">
        <v>27.47</v>
      </c>
      <c r="AD15" s="106">
        <f t="shared" si="1"/>
        <v>27.045000000000002</v>
      </c>
      <c r="AE15" s="3">
        <v>26.62</v>
      </c>
      <c r="AH15" s="8" t="s">
        <v>31</v>
      </c>
      <c r="AJ15" s="8" t="s">
        <v>31</v>
      </c>
      <c r="AL15" s="3" t="s">
        <v>44</v>
      </c>
      <c r="AM15" s="7"/>
      <c r="AN15" s="11"/>
      <c r="AO15" s="7">
        <v>0.34100000000000003</v>
      </c>
      <c r="AP15" s="7">
        <v>0.38700000000000001</v>
      </c>
      <c r="AQ15" s="7">
        <v>0.44600000000000001</v>
      </c>
      <c r="AT15" s="8" t="s">
        <v>36</v>
      </c>
      <c r="AU15" s="8" t="s">
        <v>36</v>
      </c>
      <c r="AV15" s="8" t="s">
        <v>36</v>
      </c>
      <c r="AX15" s="3" t="s">
        <v>44</v>
      </c>
      <c r="AY15" s="3">
        <v>291.10000000000002</v>
      </c>
      <c r="AZ15" s="13">
        <f t="shared" si="0"/>
        <v>17.950000000000045</v>
      </c>
    </row>
    <row r="16" spans="2:60" ht="15" customHeight="1">
      <c r="Q16" s="6"/>
      <c r="AM16" s="7"/>
      <c r="AN16" s="11"/>
      <c r="AO16" s="7"/>
      <c r="AQ16" s="7"/>
    </row>
    <row r="17" spans="2:60" ht="15" customHeight="1">
      <c r="B17" s="93" t="s">
        <v>259</v>
      </c>
      <c r="C17" s="118" t="s">
        <v>19</v>
      </c>
      <c r="D17" s="118"/>
      <c r="E17" s="118"/>
      <c r="F17" s="118"/>
      <c r="G17" s="118"/>
      <c r="N17" s="93" t="s">
        <v>47</v>
      </c>
      <c r="O17" s="118" t="s">
        <v>19</v>
      </c>
      <c r="P17" s="118"/>
      <c r="Q17" s="118"/>
      <c r="R17" s="118"/>
      <c r="S17" s="118"/>
      <c r="AL17" s="84" t="s">
        <v>260</v>
      </c>
      <c r="AM17" s="120" t="s">
        <v>19</v>
      </c>
      <c r="AN17" s="120"/>
      <c r="AO17" s="120"/>
      <c r="AP17" s="120"/>
      <c r="AQ17" s="120"/>
      <c r="AR17" s="76"/>
      <c r="AS17" s="76"/>
      <c r="AT17" s="76"/>
      <c r="AU17" s="76"/>
      <c r="AV17" s="76"/>
    </row>
    <row r="18" spans="2:60" s="93" customFormat="1" ht="15" customHeight="1">
      <c r="B18" s="93" t="s">
        <v>23</v>
      </c>
      <c r="C18" s="93">
        <v>10</v>
      </c>
      <c r="D18" s="93">
        <v>15</v>
      </c>
      <c r="E18" s="93">
        <v>20</v>
      </c>
      <c r="F18" s="93">
        <v>25</v>
      </c>
      <c r="G18" s="93">
        <v>30</v>
      </c>
      <c r="H18" s="76">
        <v>10</v>
      </c>
      <c r="I18" s="76">
        <v>15</v>
      </c>
      <c r="J18" s="76">
        <v>20</v>
      </c>
      <c r="K18" s="76">
        <v>25</v>
      </c>
      <c r="L18" s="76">
        <v>30</v>
      </c>
      <c r="N18" s="93" t="s">
        <v>24</v>
      </c>
      <c r="O18" s="93">
        <v>10</v>
      </c>
      <c r="P18" s="93">
        <v>15</v>
      </c>
      <c r="Q18" s="93">
        <v>20</v>
      </c>
      <c r="R18" s="93">
        <v>25</v>
      </c>
      <c r="S18" s="93">
        <v>30</v>
      </c>
      <c r="T18" s="76">
        <v>10</v>
      </c>
      <c r="U18" s="76">
        <v>15</v>
      </c>
      <c r="V18" s="76">
        <v>20</v>
      </c>
      <c r="W18" s="76">
        <v>25</v>
      </c>
      <c r="X18" s="76">
        <v>30</v>
      </c>
      <c r="AC18" s="97"/>
      <c r="AD18" s="98"/>
      <c r="AF18" s="76"/>
      <c r="AG18" s="76"/>
      <c r="AH18" s="76"/>
      <c r="AI18" s="76"/>
      <c r="AJ18" s="76"/>
      <c r="AL18" s="93" t="s">
        <v>26</v>
      </c>
      <c r="AM18" s="93">
        <v>10</v>
      </c>
      <c r="AN18" s="93">
        <v>15</v>
      </c>
      <c r="AO18" s="93">
        <v>20</v>
      </c>
      <c r="AP18" s="93">
        <v>25</v>
      </c>
      <c r="AQ18" s="93">
        <v>30</v>
      </c>
      <c r="AR18" s="76">
        <v>10</v>
      </c>
      <c r="AS18" s="76">
        <v>15</v>
      </c>
      <c r="AT18" s="76">
        <v>20</v>
      </c>
      <c r="AU18" s="76">
        <v>25</v>
      </c>
      <c r="AV18" s="76">
        <v>30</v>
      </c>
      <c r="BB18" s="98"/>
      <c r="BD18" s="76"/>
      <c r="BE18" s="76"/>
      <c r="BF18" s="76"/>
      <c r="BG18" s="76"/>
      <c r="BH18" s="76"/>
    </row>
    <row r="19" spans="2:60" ht="15" customHeight="1">
      <c r="B19" s="3" t="s">
        <v>29</v>
      </c>
      <c r="C19" s="6"/>
      <c r="D19" s="6"/>
      <c r="E19" s="6">
        <v>626.20000000000005</v>
      </c>
      <c r="F19" s="6"/>
      <c r="G19" s="6"/>
      <c r="J19" s="8" t="s">
        <v>45</v>
      </c>
      <c r="N19" s="3" t="s">
        <v>29</v>
      </c>
      <c r="O19" s="10"/>
      <c r="P19" s="10"/>
      <c r="Q19" s="10"/>
      <c r="R19" s="10"/>
      <c r="S19" s="10"/>
      <c r="AL19" s="75" t="s">
        <v>29</v>
      </c>
      <c r="AM19" s="7"/>
      <c r="AN19" s="7"/>
      <c r="AO19" s="7"/>
      <c r="AQ19" s="7"/>
      <c r="AR19" s="76"/>
      <c r="AS19" s="76"/>
      <c r="AT19" s="76"/>
      <c r="AU19" s="76"/>
      <c r="AV19" s="76"/>
    </row>
    <row r="20" spans="2:60" ht="15" customHeight="1">
      <c r="B20" s="3" t="s">
        <v>32</v>
      </c>
      <c r="C20" s="6"/>
      <c r="D20" s="6"/>
      <c r="F20" s="6">
        <v>660.6</v>
      </c>
      <c r="G20" s="6"/>
      <c r="K20" s="8" t="s">
        <v>45</v>
      </c>
      <c r="N20" s="3" t="s">
        <v>32</v>
      </c>
      <c r="O20" s="10"/>
      <c r="P20" s="10"/>
      <c r="Q20" s="10"/>
      <c r="R20" s="10"/>
      <c r="S20" s="10"/>
      <c r="AL20" s="75" t="s">
        <v>32</v>
      </c>
      <c r="AM20" s="7"/>
      <c r="AN20" s="7"/>
      <c r="AO20" s="7"/>
      <c r="AP20" s="99">
        <v>4.18</v>
      </c>
      <c r="AQ20" s="7"/>
      <c r="AR20" s="76"/>
      <c r="AS20" s="76"/>
      <c r="AT20" s="76"/>
      <c r="AU20" s="76" t="s">
        <v>264</v>
      </c>
      <c r="AV20" s="76"/>
    </row>
    <row r="21" spans="2:60" ht="15" customHeight="1">
      <c r="B21" s="3" t="s">
        <v>34</v>
      </c>
      <c r="C21" s="6"/>
      <c r="D21" s="6"/>
      <c r="F21" s="6">
        <v>679.5</v>
      </c>
      <c r="G21" s="6"/>
      <c r="K21" s="8" t="s">
        <v>45</v>
      </c>
      <c r="N21" s="3" t="s">
        <v>34</v>
      </c>
      <c r="O21" s="10"/>
      <c r="P21" s="10"/>
      <c r="Q21" s="10"/>
      <c r="R21" s="10"/>
      <c r="S21" s="10"/>
      <c r="AL21" s="75" t="s">
        <v>34</v>
      </c>
      <c r="AM21" s="7"/>
      <c r="AN21" s="7"/>
      <c r="AO21" s="7">
        <v>3.1</v>
      </c>
      <c r="AP21" s="7">
        <v>3.12</v>
      </c>
      <c r="AQ21" s="7">
        <v>3.22</v>
      </c>
      <c r="AR21" s="76"/>
      <c r="AS21" s="76"/>
      <c r="AT21" s="76" t="s">
        <v>262</v>
      </c>
      <c r="AU21" s="76" t="s">
        <v>262</v>
      </c>
      <c r="AV21" s="76" t="s">
        <v>262</v>
      </c>
    </row>
    <row r="22" spans="2:60" ht="15" customHeight="1">
      <c r="B22" s="3" t="s">
        <v>35</v>
      </c>
      <c r="C22" s="6"/>
      <c r="D22" s="6"/>
      <c r="F22" s="6">
        <v>698.6</v>
      </c>
      <c r="G22" s="6"/>
      <c r="K22" s="8" t="s">
        <v>45</v>
      </c>
      <c r="N22" s="3" t="s">
        <v>35</v>
      </c>
      <c r="O22" s="10"/>
      <c r="P22" s="10"/>
      <c r="Q22" s="10">
        <v>0.54330000000000001</v>
      </c>
      <c r="R22" s="10">
        <v>0.51049999999999995</v>
      </c>
      <c r="S22" s="10"/>
      <c r="V22" s="8" t="s">
        <v>252</v>
      </c>
      <c r="W22" s="8" t="s">
        <v>252</v>
      </c>
      <c r="AL22" s="75" t="s">
        <v>35</v>
      </c>
      <c r="AM22" s="7"/>
      <c r="AN22" s="7"/>
      <c r="AO22" s="7"/>
      <c r="AQ22" s="7"/>
      <c r="AR22" s="76"/>
      <c r="AS22" s="76"/>
      <c r="AT22" s="76"/>
      <c r="AU22" s="76"/>
      <c r="AV22" s="76"/>
    </row>
    <row r="23" spans="2:60" ht="15" customHeight="1">
      <c r="B23" s="3" t="s">
        <v>37</v>
      </c>
      <c r="C23" s="6"/>
      <c r="D23" s="6"/>
      <c r="E23" s="6">
        <v>719.2</v>
      </c>
      <c r="F23" s="6"/>
      <c r="G23" s="6"/>
      <c r="J23" s="8" t="s">
        <v>45</v>
      </c>
      <c r="N23" s="3" t="s">
        <v>37</v>
      </c>
      <c r="O23" s="10"/>
      <c r="P23" s="10"/>
      <c r="Q23" s="10"/>
      <c r="R23" s="10"/>
      <c r="S23" s="10"/>
      <c r="AL23" s="75" t="s">
        <v>37</v>
      </c>
      <c r="AM23" s="7"/>
      <c r="AN23" s="7"/>
      <c r="AO23" s="7"/>
      <c r="AQ23" s="7"/>
      <c r="AR23" s="76"/>
      <c r="AS23" s="76"/>
      <c r="AT23" s="76"/>
      <c r="AU23" s="76"/>
      <c r="AV23" s="76"/>
    </row>
    <row r="24" spans="2:60" ht="15" customHeight="1">
      <c r="B24" s="3" t="s">
        <v>38</v>
      </c>
      <c r="C24" s="6"/>
      <c r="D24" s="6"/>
      <c r="F24" s="6">
        <v>726.6</v>
      </c>
      <c r="G24" s="6"/>
      <c r="K24" s="8" t="s">
        <v>45</v>
      </c>
      <c r="N24" s="3" t="s">
        <v>38</v>
      </c>
      <c r="O24" s="10"/>
      <c r="P24" s="10"/>
      <c r="Q24" s="10">
        <v>0.91830000000000001</v>
      </c>
      <c r="R24" s="10">
        <v>0.85050000000000003</v>
      </c>
      <c r="S24" s="10"/>
      <c r="V24" s="8" t="s">
        <v>252</v>
      </c>
      <c r="W24" s="8" t="s">
        <v>252</v>
      </c>
      <c r="AL24" s="75" t="s">
        <v>38</v>
      </c>
      <c r="AM24" s="7"/>
      <c r="AN24" s="7"/>
      <c r="AO24" s="7">
        <v>1.44</v>
      </c>
      <c r="AP24" s="7">
        <v>1.55</v>
      </c>
      <c r="AQ24" s="7">
        <v>1.68</v>
      </c>
      <c r="AR24" s="76"/>
      <c r="AS24" s="76"/>
      <c r="AT24" s="76" t="s">
        <v>262</v>
      </c>
      <c r="AU24" s="76" t="s">
        <v>262</v>
      </c>
      <c r="AV24" s="76" t="s">
        <v>262</v>
      </c>
    </row>
    <row r="25" spans="2:60" ht="15" customHeight="1">
      <c r="B25" s="3" t="s">
        <v>39</v>
      </c>
      <c r="C25" s="6"/>
      <c r="D25" s="6"/>
      <c r="E25" s="6">
        <v>740.2</v>
      </c>
      <c r="F25" s="6"/>
      <c r="G25" s="6"/>
      <c r="J25" s="8" t="s">
        <v>45</v>
      </c>
      <c r="N25" s="3" t="s">
        <v>39</v>
      </c>
      <c r="O25" s="10"/>
      <c r="P25" s="10"/>
      <c r="Q25" s="10">
        <v>1.1739999999999999</v>
      </c>
      <c r="R25" s="10">
        <v>1.081</v>
      </c>
      <c r="S25" s="10"/>
      <c r="V25" s="8" t="s">
        <v>252</v>
      </c>
      <c r="W25" s="8" t="s">
        <v>252</v>
      </c>
      <c r="AL25" s="75" t="s">
        <v>39</v>
      </c>
      <c r="AM25" s="7"/>
      <c r="AN25" s="7"/>
      <c r="AO25" s="7"/>
      <c r="AQ25" s="7"/>
      <c r="AR25" s="76"/>
      <c r="AS25" s="76"/>
      <c r="AT25" s="76"/>
      <c r="AU25" s="76"/>
      <c r="AV25" s="76"/>
    </row>
    <row r="26" spans="2:60" ht="15" customHeight="1">
      <c r="B26" s="3" t="s">
        <v>40</v>
      </c>
      <c r="C26" s="6"/>
      <c r="D26" s="6"/>
      <c r="E26" s="6">
        <v>749.5</v>
      </c>
      <c r="F26" s="6"/>
      <c r="G26" s="6"/>
      <c r="J26" s="8" t="s">
        <v>45</v>
      </c>
      <c r="N26" s="3" t="s">
        <v>40</v>
      </c>
      <c r="O26" s="10"/>
      <c r="P26" s="10"/>
      <c r="Q26" s="10"/>
      <c r="R26" s="10"/>
      <c r="S26" s="10"/>
      <c r="AL26" s="75" t="s">
        <v>40</v>
      </c>
      <c r="AM26" s="7"/>
      <c r="AN26" s="7"/>
      <c r="AO26" s="7"/>
      <c r="AQ26" s="7"/>
      <c r="AR26" s="76"/>
      <c r="AS26" s="76"/>
      <c r="AT26" s="76"/>
      <c r="AU26" s="76"/>
      <c r="AV26" s="76"/>
    </row>
    <row r="27" spans="2:60" ht="15" customHeight="1">
      <c r="B27" s="3" t="s">
        <v>41</v>
      </c>
      <c r="C27" s="6"/>
      <c r="D27" s="6"/>
      <c r="E27" s="6">
        <v>756.4</v>
      </c>
      <c r="F27" s="6"/>
      <c r="G27" s="6"/>
      <c r="J27" s="8" t="s">
        <v>45</v>
      </c>
      <c r="N27" s="3" t="s">
        <v>41</v>
      </c>
      <c r="O27" s="10"/>
      <c r="P27" s="10"/>
      <c r="Q27" s="10">
        <v>1.863</v>
      </c>
      <c r="R27" s="10">
        <v>1.6879999999999999</v>
      </c>
      <c r="S27" s="10"/>
      <c r="V27" s="8" t="s">
        <v>252</v>
      </c>
      <c r="W27" s="8" t="s">
        <v>252</v>
      </c>
      <c r="AL27" s="75" t="s">
        <v>41</v>
      </c>
      <c r="AM27" s="7"/>
      <c r="AN27" s="7"/>
      <c r="AO27" s="98"/>
      <c r="AQ27" s="7"/>
      <c r="AR27" s="76"/>
      <c r="AS27" s="76"/>
      <c r="AT27" s="76"/>
      <c r="AU27" s="76"/>
      <c r="AV27" s="76"/>
    </row>
    <row r="28" spans="2:60" ht="15" customHeight="1">
      <c r="B28" s="3" t="s">
        <v>42</v>
      </c>
      <c r="C28" s="6"/>
      <c r="D28" s="6"/>
      <c r="E28" s="6">
        <v>759.6</v>
      </c>
      <c r="F28" s="6"/>
      <c r="G28" s="6"/>
      <c r="J28" s="8" t="s">
        <v>45</v>
      </c>
      <c r="N28" s="3" t="s">
        <v>42</v>
      </c>
      <c r="O28" s="10"/>
      <c r="P28" s="10"/>
      <c r="Q28" s="10"/>
      <c r="R28" s="10"/>
      <c r="S28" s="10"/>
      <c r="AL28" s="75" t="s">
        <v>42</v>
      </c>
      <c r="AM28" s="7"/>
      <c r="AN28" s="7"/>
      <c r="AO28" s="7"/>
      <c r="AQ28" s="7"/>
      <c r="AR28" s="76"/>
      <c r="AS28" s="76"/>
      <c r="AT28" s="76"/>
      <c r="AU28" s="76"/>
      <c r="AV28" s="76"/>
    </row>
    <row r="29" spans="2:60" ht="15" customHeight="1">
      <c r="B29" s="3" t="s">
        <v>43</v>
      </c>
      <c r="C29" s="6"/>
      <c r="D29" s="6"/>
      <c r="E29" s="6">
        <v>768.5</v>
      </c>
      <c r="F29" s="6"/>
      <c r="G29" s="6"/>
      <c r="J29" s="8" t="s">
        <v>45</v>
      </c>
      <c r="N29" s="3" t="s">
        <v>43</v>
      </c>
      <c r="O29" s="10"/>
      <c r="P29" s="10"/>
      <c r="Q29" s="10">
        <v>2.8410000000000002</v>
      </c>
      <c r="R29" s="10">
        <v>2.5339999999999998</v>
      </c>
      <c r="S29" s="10"/>
      <c r="V29" s="8" t="s">
        <v>252</v>
      </c>
      <c r="W29" s="8" t="s">
        <v>252</v>
      </c>
      <c r="AL29" s="75" t="s">
        <v>43</v>
      </c>
      <c r="AM29" s="7"/>
      <c r="AN29" s="7"/>
      <c r="AO29" s="7"/>
      <c r="AQ29" s="7"/>
      <c r="AR29" s="76"/>
      <c r="AS29" s="76"/>
      <c r="AT29" s="76"/>
      <c r="AU29" s="76"/>
      <c r="AV29" s="76"/>
    </row>
    <row r="30" spans="2:60" ht="15" customHeight="1">
      <c r="B30" s="3" t="s">
        <v>44</v>
      </c>
      <c r="C30" s="6"/>
      <c r="D30" s="6"/>
      <c r="F30" s="6">
        <v>770.1</v>
      </c>
      <c r="G30" s="6"/>
      <c r="K30" s="8" t="s">
        <v>45</v>
      </c>
      <c r="N30" s="3" t="s">
        <v>44</v>
      </c>
      <c r="O30" s="10"/>
      <c r="P30" s="10"/>
      <c r="Q30" s="10"/>
      <c r="R30" s="10"/>
      <c r="S30" s="10"/>
      <c r="AL30" s="75" t="s">
        <v>44</v>
      </c>
      <c r="AM30" s="7"/>
      <c r="AN30" s="11"/>
      <c r="AO30" s="7"/>
      <c r="AQ30" s="7"/>
      <c r="AR30" s="76"/>
      <c r="AS30" s="76"/>
      <c r="AT30" s="76"/>
      <c r="AU30" s="76"/>
      <c r="AV30" s="76"/>
    </row>
    <row r="32" spans="2:60" ht="15" customHeight="1">
      <c r="B32" s="93" t="s">
        <v>259</v>
      </c>
      <c r="C32" s="120" t="s">
        <v>19</v>
      </c>
      <c r="D32" s="120"/>
      <c r="E32" s="120"/>
      <c r="F32" s="120"/>
      <c r="G32" s="120"/>
      <c r="H32" s="119" t="s">
        <v>20</v>
      </c>
      <c r="I32" s="119"/>
      <c r="J32" s="119"/>
      <c r="K32" s="119"/>
      <c r="L32" s="119"/>
      <c r="N32" s="93" t="s">
        <v>47</v>
      </c>
      <c r="O32" s="118" t="s">
        <v>19</v>
      </c>
      <c r="P32" s="118"/>
      <c r="Q32" s="118"/>
      <c r="R32" s="118"/>
      <c r="S32" s="118"/>
      <c r="AL32" s="84" t="s">
        <v>260</v>
      </c>
      <c r="AM32" s="120" t="s">
        <v>19</v>
      </c>
      <c r="AN32" s="120"/>
      <c r="AO32" s="120"/>
      <c r="AP32" s="120"/>
      <c r="AQ32" s="120"/>
      <c r="AR32" s="76"/>
      <c r="AS32" s="76"/>
      <c r="AT32" s="76"/>
      <c r="AU32" s="76"/>
      <c r="AV32" s="76"/>
    </row>
    <row r="33" spans="2:60" s="93" customFormat="1" ht="15" customHeight="1">
      <c r="B33" s="93" t="s">
        <v>23</v>
      </c>
      <c r="C33" s="93">
        <v>10</v>
      </c>
      <c r="D33" s="93">
        <v>15</v>
      </c>
      <c r="E33" s="93">
        <v>20</v>
      </c>
      <c r="F33" s="93">
        <v>25</v>
      </c>
      <c r="G33" s="93">
        <v>30</v>
      </c>
      <c r="H33" s="76">
        <v>10</v>
      </c>
      <c r="I33" s="76">
        <v>15</v>
      </c>
      <c r="J33" s="76">
        <v>20</v>
      </c>
      <c r="K33" s="76">
        <v>25</v>
      </c>
      <c r="L33" s="76">
        <v>30</v>
      </c>
      <c r="N33" s="93" t="s">
        <v>24</v>
      </c>
      <c r="O33" s="93">
        <v>10</v>
      </c>
      <c r="P33" s="93">
        <v>15</v>
      </c>
      <c r="Q33" s="93">
        <v>20</v>
      </c>
      <c r="R33" s="93">
        <v>25</v>
      </c>
      <c r="S33" s="93">
        <v>30</v>
      </c>
      <c r="T33" s="76">
        <v>10</v>
      </c>
      <c r="U33" s="76">
        <v>15</v>
      </c>
      <c r="V33" s="76">
        <v>20</v>
      </c>
      <c r="W33" s="76">
        <v>25</v>
      </c>
      <c r="X33" s="76">
        <v>30</v>
      </c>
      <c r="AC33" s="97"/>
      <c r="AD33" s="98"/>
      <c r="AF33" s="76"/>
      <c r="AG33" s="76"/>
      <c r="AH33" s="76"/>
      <c r="AI33" s="76"/>
      <c r="AJ33" s="76"/>
      <c r="AL33" s="93" t="s">
        <v>26</v>
      </c>
      <c r="AO33" s="77" t="s">
        <v>265</v>
      </c>
      <c r="AP33" s="77" t="s">
        <v>266</v>
      </c>
      <c r="AR33" s="76"/>
      <c r="AS33" s="76"/>
      <c r="AT33" s="76">
        <v>22</v>
      </c>
      <c r="AU33" s="76"/>
      <c r="AV33" s="76"/>
      <c r="BB33" s="98"/>
      <c r="BD33" s="76"/>
      <c r="BE33" s="76"/>
      <c r="BF33" s="76"/>
      <c r="BG33" s="76"/>
      <c r="BH33" s="76"/>
    </row>
    <row r="34" spans="2:60" ht="15" customHeight="1">
      <c r="B34" s="75" t="s">
        <v>29</v>
      </c>
      <c r="C34" s="6"/>
      <c r="D34" s="6"/>
      <c r="F34" s="6"/>
      <c r="G34" s="6"/>
      <c r="H34" s="76"/>
      <c r="I34" s="76"/>
      <c r="J34" s="76"/>
      <c r="K34" s="76"/>
      <c r="L34" s="76"/>
      <c r="N34" s="3" t="s">
        <v>29</v>
      </c>
      <c r="O34" s="10"/>
      <c r="P34" s="10"/>
      <c r="Q34" s="10"/>
      <c r="R34" s="10"/>
      <c r="S34" s="10"/>
      <c r="AL34" s="75" t="s">
        <v>29</v>
      </c>
      <c r="AM34" s="7"/>
      <c r="AN34" s="7"/>
      <c r="AO34" s="7"/>
      <c r="AQ34" s="7"/>
      <c r="AR34" s="76"/>
      <c r="AS34" s="76"/>
      <c r="AT34" s="76"/>
      <c r="AU34" s="76"/>
      <c r="AV34" s="76"/>
    </row>
    <row r="35" spans="2:60" ht="15" customHeight="1">
      <c r="B35" s="75" t="s">
        <v>32</v>
      </c>
      <c r="C35" s="6"/>
      <c r="D35" s="6"/>
      <c r="F35" s="6"/>
      <c r="G35" s="6"/>
      <c r="H35" s="76"/>
      <c r="I35" s="76"/>
      <c r="J35" s="76"/>
      <c r="K35" s="76"/>
      <c r="L35" s="76"/>
      <c r="N35" s="3" t="s">
        <v>32</v>
      </c>
      <c r="O35" s="10"/>
      <c r="P35" s="10"/>
      <c r="Q35" s="10"/>
      <c r="R35" s="10"/>
      <c r="S35" s="10"/>
      <c r="AL35" s="75" t="s">
        <v>32</v>
      </c>
      <c r="AM35" s="7"/>
      <c r="AN35" s="7"/>
      <c r="AO35" s="7">
        <v>4.0199999999999996</v>
      </c>
      <c r="AP35" s="7">
        <v>3.9</v>
      </c>
      <c r="AQ35" s="7"/>
      <c r="AR35" s="76"/>
      <c r="AS35" s="76"/>
      <c r="AT35" s="76" t="s">
        <v>268</v>
      </c>
      <c r="AU35" s="76"/>
      <c r="AV35" s="76"/>
    </row>
    <row r="36" spans="2:60" ht="15" customHeight="1">
      <c r="B36" s="75" t="s">
        <v>34</v>
      </c>
      <c r="C36" s="6"/>
      <c r="D36" s="6"/>
      <c r="F36" s="6"/>
      <c r="G36" s="6"/>
      <c r="H36" s="76"/>
      <c r="I36" s="76"/>
      <c r="J36" s="76"/>
      <c r="K36" s="76"/>
      <c r="L36" s="76"/>
      <c r="N36" s="3" t="s">
        <v>34</v>
      </c>
      <c r="O36" s="10"/>
      <c r="P36" s="10"/>
      <c r="Q36" s="10"/>
      <c r="R36" s="10"/>
      <c r="S36" s="10"/>
      <c r="AL36" s="75" t="s">
        <v>34</v>
      </c>
      <c r="AM36" s="7"/>
      <c r="AN36" s="7"/>
      <c r="AO36" s="7"/>
      <c r="AQ36" s="7"/>
      <c r="AR36" s="76"/>
      <c r="AS36" s="76"/>
      <c r="AT36" s="76"/>
      <c r="AU36" s="76"/>
      <c r="AV36" s="76"/>
    </row>
    <row r="37" spans="2:60" ht="15" customHeight="1">
      <c r="B37" s="75" t="s">
        <v>35</v>
      </c>
      <c r="C37" s="6"/>
      <c r="D37" s="6"/>
      <c r="F37" s="6"/>
      <c r="G37" s="6"/>
      <c r="H37" s="76"/>
      <c r="I37" s="76"/>
      <c r="J37" s="76"/>
      <c r="K37" s="76"/>
      <c r="L37" s="76"/>
      <c r="N37" s="3" t="s">
        <v>35</v>
      </c>
      <c r="O37" s="10"/>
      <c r="P37" s="10"/>
      <c r="Q37" s="10"/>
      <c r="R37" s="82">
        <v>0.50939999999999996</v>
      </c>
      <c r="S37" s="10"/>
      <c r="W37" s="8" t="s">
        <v>254</v>
      </c>
      <c r="AL37" s="75" t="s">
        <v>35</v>
      </c>
      <c r="AM37" s="7"/>
      <c r="AN37" s="7"/>
      <c r="AO37" s="7"/>
      <c r="AQ37" s="7"/>
      <c r="AR37" s="76"/>
      <c r="AS37" s="76"/>
      <c r="AT37" s="76"/>
      <c r="AU37" s="76"/>
      <c r="AV37" s="76"/>
    </row>
    <row r="38" spans="2:60" ht="15" customHeight="1">
      <c r="B38" s="75" t="s">
        <v>37</v>
      </c>
      <c r="C38" s="6"/>
      <c r="D38" s="6"/>
      <c r="F38" s="6"/>
      <c r="G38" s="6"/>
      <c r="H38" s="76"/>
      <c r="I38" s="76"/>
      <c r="J38" s="76"/>
      <c r="K38" s="76"/>
      <c r="L38" s="76"/>
      <c r="N38" s="3" t="s">
        <v>37</v>
      </c>
      <c r="O38" s="10"/>
      <c r="P38" s="10"/>
      <c r="Q38" s="10"/>
      <c r="R38" s="82">
        <v>0.66</v>
      </c>
      <c r="S38" s="10"/>
      <c r="W38" s="8" t="s">
        <v>254</v>
      </c>
      <c r="AL38" s="75" t="s">
        <v>37</v>
      </c>
      <c r="AM38" s="7"/>
      <c r="AN38" s="7"/>
      <c r="AO38" s="7"/>
      <c r="AQ38" s="7"/>
      <c r="AR38" s="76"/>
      <c r="AS38" s="76"/>
      <c r="AT38" s="76"/>
      <c r="AU38" s="76"/>
      <c r="AV38" s="76"/>
    </row>
    <row r="39" spans="2:60" ht="15" customHeight="1">
      <c r="B39" s="75" t="s">
        <v>38</v>
      </c>
      <c r="C39" s="6"/>
      <c r="D39" s="6"/>
      <c r="F39" s="6"/>
      <c r="G39" s="6"/>
      <c r="H39" s="76"/>
      <c r="I39" s="76"/>
      <c r="J39" s="76"/>
      <c r="K39" s="76"/>
      <c r="L39" s="76"/>
      <c r="N39" s="3" t="s">
        <v>38</v>
      </c>
      <c r="O39" s="10"/>
      <c r="P39" s="10"/>
      <c r="Q39" s="10"/>
      <c r="R39" s="82">
        <v>0.84589999999999999</v>
      </c>
      <c r="S39" s="10"/>
      <c r="W39" s="8" t="s">
        <v>254</v>
      </c>
      <c r="AL39" s="75" t="s">
        <v>38</v>
      </c>
      <c r="AM39" s="7"/>
      <c r="AN39" s="7"/>
      <c r="AO39" s="7"/>
      <c r="AQ39" s="7"/>
      <c r="AR39" s="76"/>
      <c r="AS39" s="76"/>
      <c r="AT39" s="76"/>
      <c r="AU39" s="76"/>
      <c r="AV39" s="76"/>
    </row>
    <row r="40" spans="2:60" ht="15" customHeight="1">
      <c r="B40" s="75" t="s">
        <v>39</v>
      </c>
      <c r="C40" s="6"/>
      <c r="D40" s="6"/>
      <c r="F40" s="6"/>
      <c r="G40" s="6"/>
      <c r="H40" s="76"/>
      <c r="I40" s="76"/>
      <c r="J40" s="76"/>
      <c r="K40" s="76"/>
      <c r="L40" s="76"/>
      <c r="N40" s="3" t="s">
        <v>39</v>
      </c>
      <c r="O40" s="10"/>
      <c r="P40" s="10"/>
      <c r="Q40" s="10"/>
      <c r="R40" s="82">
        <v>1.0841000000000001</v>
      </c>
      <c r="S40" s="10"/>
      <c r="W40" s="8" t="s">
        <v>254</v>
      </c>
      <c r="AL40" s="75" t="s">
        <v>39</v>
      </c>
      <c r="AM40" s="7"/>
      <c r="AN40" s="7"/>
      <c r="AO40" s="7"/>
      <c r="AQ40" s="7"/>
      <c r="AR40" s="76"/>
      <c r="AS40" s="76"/>
      <c r="AT40" s="76"/>
      <c r="AU40" s="76"/>
      <c r="AV40" s="76"/>
    </row>
    <row r="41" spans="2:60" ht="15" customHeight="1">
      <c r="B41" s="75" t="s">
        <v>40</v>
      </c>
      <c r="C41" s="6"/>
      <c r="D41" s="6"/>
      <c r="F41" s="6"/>
      <c r="G41" s="6"/>
      <c r="H41" s="76"/>
      <c r="I41" s="76"/>
      <c r="J41" s="76"/>
      <c r="K41" s="76"/>
      <c r="L41" s="76"/>
      <c r="N41" s="3" t="s">
        <v>40</v>
      </c>
      <c r="O41" s="10"/>
      <c r="P41" s="10"/>
      <c r="Q41" s="10"/>
      <c r="R41" s="82">
        <v>1.3791</v>
      </c>
      <c r="S41" s="10"/>
      <c r="W41" s="8" t="s">
        <v>254</v>
      </c>
      <c r="AL41" s="75" t="s">
        <v>40</v>
      </c>
      <c r="AM41" s="7"/>
      <c r="AN41" s="7"/>
      <c r="AO41" s="7"/>
      <c r="AQ41" s="7"/>
      <c r="AR41" s="76"/>
      <c r="AS41" s="76"/>
      <c r="AT41" s="76"/>
      <c r="AU41" s="76"/>
      <c r="AV41" s="76"/>
    </row>
    <row r="42" spans="2:60" ht="15" customHeight="1">
      <c r="B42" s="75" t="s">
        <v>41</v>
      </c>
      <c r="C42" s="6"/>
      <c r="D42" s="6"/>
      <c r="F42" s="6"/>
      <c r="G42" s="6"/>
      <c r="H42" s="76"/>
      <c r="I42" s="76"/>
      <c r="J42" s="76"/>
      <c r="K42" s="76"/>
      <c r="L42" s="76"/>
      <c r="N42" s="3" t="s">
        <v>41</v>
      </c>
      <c r="O42" s="10"/>
      <c r="P42" s="10"/>
      <c r="Q42" s="10"/>
      <c r="R42" s="10"/>
      <c r="S42" s="10"/>
      <c r="AL42" s="75" t="s">
        <v>41</v>
      </c>
      <c r="AM42" s="7"/>
      <c r="AN42" s="7"/>
      <c r="AO42" s="98"/>
      <c r="AQ42" s="7"/>
      <c r="AR42" s="76"/>
      <c r="AS42" s="76"/>
      <c r="AT42" s="76"/>
      <c r="AU42" s="76"/>
      <c r="AV42" s="76"/>
    </row>
    <row r="43" spans="2:60" ht="15" customHeight="1">
      <c r="B43" s="75" t="s">
        <v>42</v>
      </c>
      <c r="C43" s="6"/>
      <c r="D43" s="6"/>
      <c r="F43" s="6"/>
      <c r="G43" s="6"/>
      <c r="H43" s="76"/>
      <c r="I43" s="76"/>
      <c r="J43" s="76"/>
      <c r="K43" s="76"/>
      <c r="L43" s="76"/>
      <c r="N43" s="3" t="s">
        <v>42</v>
      </c>
      <c r="O43" s="10"/>
      <c r="P43" s="10"/>
      <c r="Q43" s="10"/>
      <c r="R43" s="10"/>
      <c r="S43" s="10"/>
      <c r="AL43" s="75" t="s">
        <v>42</v>
      </c>
      <c r="AM43" s="7"/>
      <c r="AN43" s="7"/>
      <c r="AO43" s="7"/>
      <c r="AQ43" s="7"/>
      <c r="AR43" s="76"/>
      <c r="AS43" s="76"/>
      <c r="AT43" s="76"/>
      <c r="AU43" s="76"/>
      <c r="AV43" s="76"/>
    </row>
    <row r="44" spans="2:60" ht="15" customHeight="1">
      <c r="B44" s="75" t="s">
        <v>43</v>
      </c>
      <c r="C44" s="6"/>
      <c r="D44" s="6"/>
      <c r="F44" s="6"/>
      <c r="G44" s="6"/>
      <c r="H44" s="76"/>
      <c r="I44" s="76"/>
      <c r="J44" s="76"/>
      <c r="K44" s="76"/>
      <c r="L44" s="76"/>
      <c r="N44" s="3" t="s">
        <v>43</v>
      </c>
      <c r="O44" s="10"/>
      <c r="P44" s="10"/>
      <c r="Q44" s="10"/>
      <c r="R44" s="10"/>
      <c r="S44" s="10"/>
      <c r="AL44" s="75" t="s">
        <v>43</v>
      </c>
      <c r="AM44" s="7"/>
      <c r="AN44" s="7"/>
      <c r="AO44" s="7"/>
      <c r="AQ44" s="7"/>
      <c r="AR44" s="76"/>
      <c r="AS44" s="76"/>
      <c r="AT44" s="76"/>
      <c r="AU44" s="76"/>
      <c r="AV44" s="76"/>
    </row>
    <row r="45" spans="2:60" ht="15" customHeight="1">
      <c r="B45" s="75" t="s">
        <v>44</v>
      </c>
      <c r="C45" s="6"/>
      <c r="D45" s="6"/>
      <c r="F45" s="6"/>
      <c r="G45" s="6"/>
      <c r="H45" s="76"/>
      <c r="I45" s="76"/>
      <c r="J45" s="76"/>
      <c r="K45" s="76"/>
      <c r="L45" s="76"/>
      <c r="N45" s="3" t="s">
        <v>44</v>
      </c>
      <c r="O45" s="10"/>
      <c r="P45" s="10"/>
      <c r="Q45" s="10"/>
      <c r="R45" s="82">
        <v>3.093</v>
      </c>
      <c r="S45" s="10"/>
      <c r="W45" s="8" t="s">
        <v>254</v>
      </c>
      <c r="AL45" s="75" t="s">
        <v>44</v>
      </c>
      <c r="AM45" s="7"/>
      <c r="AN45" s="11"/>
      <c r="AO45" s="7">
        <v>0.35</v>
      </c>
      <c r="AP45" s="7">
        <v>0.35</v>
      </c>
      <c r="AQ45" s="7"/>
      <c r="AR45" s="76"/>
      <c r="AS45" s="76"/>
      <c r="AT45" s="76" t="s">
        <v>268</v>
      </c>
      <c r="AU45" s="76"/>
      <c r="AV45" s="76"/>
    </row>
  </sheetData>
  <mergeCells count="12">
    <mergeCell ref="AA2:AE2"/>
    <mergeCell ref="AM2:AQ2"/>
    <mergeCell ref="O17:S17"/>
    <mergeCell ref="AM17:AQ17"/>
    <mergeCell ref="AM32:AQ32"/>
    <mergeCell ref="O32:S32"/>
    <mergeCell ref="C17:G17"/>
    <mergeCell ref="H2:L2"/>
    <mergeCell ref="C2:G2"/>
    <mergeCell ref="O2:S2"/>
    <mergeCell ref="C32:G32"/>
    <mergeCell ref="H32:L3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CE98-34D0-4ABF-8516-E6ECC928D09D}">
  <dimension ref="B2:D32"/>
  <sheetViews>
    <sheetView workbookViewId="0">
      <selection activeCell="C57" sqref="C57"/>
    </sheetView>
  </sheetViews>
  <sheetFormatPr defaultColWidth="8.875" defaultRowHeight="15"/>
  <cols>
    <col min="1" max="2" width="8.875" style="96"/>
    <col min="3" max="3" width="204.75" style="96" customWidth="1"/>
    <col min="4" max="4" width="28.125" style="96" customWidth="1"/>
    <col min="5" max="16384" width="8.875" style="96"/>
  </cols>
  <sheetData>
    <row r="2" spans="2:4" s="111" customFormat="1">
      <c r="B2" s="110"/>
      <c r="C2" s="109" t="s">
        <v>271</v>
      </c>
      <c r="D2" s="111" t="s">
        <v>5</v>
      </c>
    </row>
    <row r="3" spans="2:4">
      <c r="B3" s="112">
        <v>1</v>
      </c>
      <c r="C3" s="94" t="s">
        <v>58</v>
      </c>
    </row>
    <row r="4" spans="2:4">
      <c r="B4" s="112">
        <v>2</v>
      </c>
      <c r="C4" s="94" t="s">
        <v>59</v>
      </c>
    </row>
    <row r="5" spans="2:4">
      <c r="B5" s="112">
        <v>3</v>
      </c>
      <c r="C5" s="94" t="s">
        <v>60</v>
      </c>
    </row>
    <row r="6" spans="2:4">
      <c r="B6" s="112">
        <v>4</v>
      </c>
      <c r="C6" s="94" t="s">
        <v>61</v>
      </c>
    </row>
    <row r="7" spans="2:4">
      <c r="B7" s="112">
        <v>5</v>
      </c>
      <c r="C7" s="94" t="s">
        <v>62</v>
      </c>
    </row>
    <row r="8" spans="2:4">
      <c r="B8" s="112">
        <v>6</v>
      </c>
      <c r="C8" s="94" t="s">
        <v>251</v>
      </c>
    </row>
    <row r="9" spans="2:4">
      <c r="B9" s="112">
        <v>7</v>
      </c>
      <c r="C9" s="94" t="s">
        <v>253</v>
      </c>
    </row>
    <row r="10" spans="2:4">
      <c r="B10" s="112">
        <v>8</v>
      </c>
      <c r="C10" s="94" t="s">
        <v>261</v>
      </c>
    </row>
    <row r="11" spans="2:4">
      <c r="B11" s="112">
        <v>9</v>
      </c>
      <c r="C11" s="94" t="s">
        <v>263</v>
      </c>
    </row>
    <row r="12" spans="2:4">
      <c r="B12" s="112">
        <v>10</v>
      </c>
      <c r="C12" s="94" t="s">
        <v>267</v>
      </c>
    </row>
    <row r="13" spans="2:4">
      <c r="B13" s="112">
        <v>11</v>
      </c>
      <c r="C13" s="94" t="s">
        <v>270</v>
      </c>
      <c r="D13" s="96" t="s">
        <v>272</v>
      </c>
    </row>
    <row r="14" spans="2:4">
      <c r="B14" s="112">
        <v>12</v>
      </c>
      <c r="C14" s="94"/>
    </row>
    <row r="15" spans="2:4">
      <c r="B15" s="112">
        <v>13</v>
      </c>
      <c r="C15" s="94"/>
    </row>
    <row r="16" spans="2:4">
      <c r="B16" s="112">
        <v>14</v>
      </c>
      <c r="C16" s="94"/>
    </row>
    <row r="17" spans="2:3">
      <c r="B17" s="112">
        <v>15</v>
      </c>
      <c r="C17" s="94"/>
    </row>
    <row r="18" spans="2:3">
      <c r="B18" s="112">
        <v>16</v>
      </c>
      <c r="C18" s="94"/>
    </row>
    <row r="19" spans="2:3">
      <c r="B19" s="112">
        <v>17</v>
      </c>
      <c r="C19" s="94"/>
    </row>
    <row r="20" spans="2:3">
      <c r="B20" s="112">
        <v>18</v>
      </c>
      <c r="C20" s="94"/>
    </row>
    <row r="21" spans="2:3">
      <c r="B21" s="112">
        <v>19</v>
      </c>
      <c r="C21" s="94"/>
    </row>
    <row r="22" spans="2:3">
      <c r="B22" s="112">
        <v>20</v>
      </c>
      <c r="C22" s="94"/>
    </row>
    <row r="23" spans="2:3">
      <c r="B23" s="112">
        <v>21</v>
      </c>
      <c r="C23" s="94"/>
    </row>
    <row r="24" spans="2:3">
      <c r="B24" s="112">
        <v>22</v>
      </c>
      <c r="C24" s="94"/>
    </row>
    <row r="25" spans="2:3">
      <c r="B25" s="112">
        <v>23</v>
      </c>
      <c r="C25" s="94"/>
    </row>
    <row r="26" spans="2:3">
      <c r="B26" s="112">
        <v>24</v>
      </c>
      <c r="C26" s="94"/>
    </row>
    <row r="27" spans="2:3">
      <c r="B27" s="112">
        <v>25</v>
      </c>
      <c r="C27" s="94"/>
    </row>
    <row r="28" spans="2:3">
      <c r="B28" s="112">
        <v>26</v>
      </c>
      <c r="C28" s="94"/>
    </row>
    <row r="29" spans="2:3">
      <c r="B29" s="112">
        <v>27</v>
      </c>
      <c r="C29" s="94"/>
    </row>
    <row r="30" spans="2:3">
      <c r="B30" s="112">
        <v>28</v>
      </c>
      <c r="C30" s="94"/>
    </row>
    <row r="31" spans="2:3">
      <c r="B31" s="112">
        <v>29</v>
      </c>
      <c r="C31" s="94"/>
    </row>
    <row r="32" spans="2:3">
      <c r="B32" s="112">
        <v>30</v>
      </c>
      <c r="C32" s="9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Sim matrix</vt:lpstr>
      <vt:lpstr>Outline</vt:lpstr>
      <vt:lpstr>PYS-W</vt:lpstr>
      <vt:lpstr>Sun9-6</vt:lpstr>
      <vt:lpstr>FlexWilliams</vt:lpstr>
      <vt:lpstr>WilliamsOpt</vt:lpstr>
      <vt:lpstr>CHARMM36</vt:lpstr>
      <vt:lpstr>Expr data</vt:lpstr>
      <vt:lpstr>Ref</vt:lpstr>
      <vt:lpstr>box_sizes</vt:lpstr>
      <vt:lpstr>cos-acc tests</vt:lpstr>
      <vt:lpstr>Expr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Stephen Burrows</dc:creator>
  <cp:keywords/>
  <dc:description/>
  <cp:lastModifiedBy>Stephen</cp:lastModifiedBy>
  <cp:revision/>
  <dcterms:created xsi:type="dcterms:W3CDTF">2019-02-06T20:36:47Z</dcterms:created>
  <dcterms:modified xsi:type="dcterms:W3CDTF">2019-04-11T22:35:13Z</dcterms:modified>
  <cp:category/>
  <cp:contentStatus/>
</cp:coreProperties>
</file>