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B:\Dropbox\Github_Dropbox\AlkaneStudy.Gromacs\"/>
    </mc:Choice>
  </mc:AlternateContent>
  <xr:revisionPtr revIDLastSave="0" documentId="13_ncr:1_{844C1BE8-3281-4434-8108-05D8EED0A70C}" xr6:coauthVersionLast="43" xr6:coauthVersionMax="43" xr10:uidLastSave="{00000000-0000-0000-0000-000000000000}"/>
  <bookViews>
    <workbookView xWindow="-120" yWindow="-120" windowWidth="38640" windowHeight="21240" firstSheet="1" activeTab="10" xr2:uid="{EF8A33E0-ACA8-D640-B463-6863C93E9688}"/>
  </bookViews>
  <sheets>
    <sheet name="Sim matrix" sheetId="13" r:id="rId1"/>
    <sheet name="Outline" sheetId="1" r:id="rId2"/>
    <sheet name="TraPPE" sheetId="16" r:id="rId3"/>
    <sheet name="PYS-W" sheetId="6" r:id="rId4"/>
    <sheet name="CHARMM36" sheetId="17" r:id="rId5"/>
    <sheet name="L-OPLS" sheetId="20" r:id="rId6"/>
    <sheet name="Sun9-6" sheetId="9" r:id="rId7"/>
    <sheet name="Williams7" sheetId="19" r:id="rId8"/>
    <sheet name="FlexWilliams_old" sheetId="10" r:id="rId9"/>
    <sheet name="WilliamsOpt" sheetId="14" r:id="rId10"/>
    <sheet name="C16_cryst" sheetId="21" r:id="rId11"/>
    <sheet name="Williams2019" sheetId="18" r:id="rId12"/>
    <sheet name="GMX_dihedral" sheetId="15" r:id="rId13"/>
    <sheet name="Expr data" sheetId="2" r:id="rId14"/>
    <sheet name="Ref" sheetId="3" r:id="rId15"/>
    <sheet name="box_sizes" sheetId="5" r:id="rId16"/>
    <sheet name="cos-acc tests" sheetId="7" state="hidden" r:id="rId17"/>
    <sheet name="Expr old" sheetId="4" state="hidden"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21" l="1"/>
  <c r="M31" i="17"/>
  <c r="F11" i="21"/>
  <c r="G11" i="21"/>
  <c r="H11" i="21"/>
  <c r="I11" i="21"/>
  <c r="J11" i="21"/>
  <c r="K11" i="21"/>
  <c r="L11" i="21"/>
  <c r="M11" i="21"/>
  <c r="N11" i="21"/>
  <c r="O11" i="21"/>
  <c r="R11" i="21" s="1"/>
  <c r="F10" i="21"/>
  <c r="G10" i="21"/>
  <c r="H10" i="21"/>
  <c r="I10" i="21"/>
  <c r="J10" i="21"/>
  <c r="K10" i="21"/>
  <c r="L10" i="21"/>
  <c r="M10" i="21"/>
  <c r="N10" i="21"/>
  <c r="Q10" i="21" s="1"/>
  <c r="O10" i="21"/>
  <c r="P10" i="21"/>
  <c r="R4" i="21"/>
  <c r="Q4" i="21"/>
  <c r="P4" i="21"/>
  <c r="D9" i="21"/>
  <c r="H9" i="21" s="1"/>
  <c r="E9" i="21"/>
  <c r="I9" i="21" s="1"/>
  <c r="C9" i="21"/>
  <c r="G9" i="21" s="1"/>
  <c r="F5" i="21"/>
  <c r="F6" i="21"/>
  <c r="F4" i="21"/>
  <c r="D8" i="21"/>
  <c r="L8" i="21" s="1"/>
  <c r="E8" i="21"/>
  <c r="I8" i="21" s="1"/>
  <c r="C8" i="21"/>
  <c r="G8" i="21" s="1"/>
  <c r="D7" i="21"/>
  <c r="H7" i="21" s="1"/>
  <c r="E7" i="21"/>
  <c r="I7" i="21" s="1"/>
  <c r="C7" i="21"/>
  <c r="J7" i="21" s="1"/>
  <c r="G6" i="21"/>
  <c r="H6" i="21"/>
  <c r="I6" i="21"/>
  <c r="J6" i="21"/>
  <c r="K6" i="21"/>
  <c r="L6" i="21"/>
  <c r="M6" i="21"/>
  <c r="N6" i="21"/>
  <c r="O6" i="21"/>
  <c r="O5" i="21"/>
  <c r="N5" i="21"/>
  <c r="L5" i="21"/>
  <c r="K5" i="21"/>
  <c r="J5" i="21"/>
  <c r="I5" i="21"/>
  <c r="H5" i="21"/>
  <c r="G5" i="21"/>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24" i="15"/>
  <c r="E9" i="15"/>
  <c r="E3" i="15"/>
  <c r="P11" i="21" l="1"/>
  <c r="Q11" i="21"/>
  <c r="R5" i="21"/>
  <c r="Q5" i="21"/>
  <c r="P5" i="21"/>
  <c r="N8" i="21"/>
  <c r="O7" i="21"/>
  <c r="R7" i="21" s="1"/>
  <c r="N7" i="21"/>
  <c r="Q8" i="21"/>
  <c r="N9" i="21"/>
  <c r="Q9" i="21" s="1"/>
  <c r="O9" i="21"/>
  <c r="R9" i="21" s="1"/>
  <c r="O8" i="21"/>
  <c r="R6" i="21"/>
  <c r="Q6" i="21"/>
  <c r="F7" i="21"/>
  <c r="R10" i="21"/>
  <c r="P8" i="21"/>
  <c r="P6" i="21"/>
  <c r="G7" i="21"/>
  <c r="K8" i="21"/>
  <c r="J8" i="21"/>
  <c r="K9" i="21"/>
  <c r="K7" i="21"/>
  <c r="J9" i="21"/>
  <c r="H8" i="21"/>
  <c r="M9" i="21"/>
  <c r="L9" i="21"/>
  <c r="P9" i="21" s="1"/>
  <c r="F9" i="21"/>
  <c r="F8" i="21"/>
  <c r="L7" i="21"/>
  <c r="M8" i="21"/>
  <c r="M7" i="21"/>
  <c r="M33" i="17"/>
  <c r="M29" i="17"/>
  <c r="M27" i="17"/>
  <c r="M26" i="17"/>
  <c r="M23" i="17"/>
  <c r="M21" i="17"/>
  <c r="M19" i="17"/>
  <c r="M18" i="17"/>
  <c r="R8" i="21" l="1"/>
  <c r="Q7" i="21"/>
  <c r="P7" i="21"/>
  <c r="AB18" i="14"/>
  <c r="AC18" i="14"/>
  <c r="AD18" i="14"/>
  <c r="AB19" i="14"/>
  <c r="AC19" i="14"/>
  <c r="AD19" i="14"/>
  <c r="AB20" i="14"/>
  <c r="AC20" i="14"/>
  <c r="AD20" i="14"/>
  <c r="AB21" i="14"/>
  <c r="AC21" i="14"/>
  <c r="AD21" i="14"/>
  <c r="AB22" i="14"/>
  <c r="AC22" i="14"/>
  <c r="AD22" i="14"/>
  <c r="AB23" i="14"/>
  <c r="AC23" i="14"/>
  <c r="AD23" i="14"/>
  <c r="AB24" i="14"/>
  <c r="AC24" i="14"/>
  <c r="AD24" i="14"/>
  <c r="AB25" i="14"/>
  <c r="AC25" i="14"/>
  <c r="AD25" i="14"/>
  <c r="AB26" i="14"/>
  <c r="AC26" i="14"/>
  <c r="AD26" i="14"/>
  <c r="AB27" i="14"/>
  <c r="AC27" i="14"/>
  <c r="AD27" i="14"/>
  <c r="AB28" i="14"/>
  <c r="AC28" i="14"/>
  <c r="AD28" i="14"/>
  <c r="AB29" i="14"/>
  <c r="AC29" i="14"/>
  <c r="AD29" i="14"/>
  <c r="AB31" i="14"/>
  <c r="AC31" i="14"/>
  <c r="AD31" i="14"/>
  <c r="AB32" i="14"/>
  <c r="AC32" i="14"/>
  <c r="AD32" i="14"/>
  <c r="AB33" i="14"/>
  <c r="AC33" i="14"/>
  <c r="AD33" i="14"/>
  <c r="AB34" i="14"/>
  <c r="AC34" i="14"/>
  <c r="AD34" i="14"/>
  <c r="AB35" i="14"/>
  <c r="AC35" i="14"/>
  <c r="AD35" i="14"/>
  <c r="AB36" i="14"/>
  <c r="AC36" i="14"/>
  <c r="AD36" i="14"/>
  <c r="AB37" i="14"/>
  <c r="AC37" i="14"/>
  <c r="AD37" i="14"/>
  <c r="AB38" i="14"/>
  <c r="AC38" i="14"/>
  <c r="AD38" i="14"/>
  <c r="AB39" i="14"/>
  <c r="AC39" i="14"/>
  <c r="AD39" i="14"/>
  <c r="AB40" i="14"/>
  <c r="AC40" i="14"/>
  <c r="AD40" i="14"/>
  <c r="AB41" i="14"/>
  <c r="AC41" i="14"/>
  <c r="AD41" i="14"/>
  <c r="AB42" i="14"/>
  <c r="AC42" i="14"/>
  <c r="AD42" i="14"/>
  <c r="AB44" i="14"/>
  <c r="AC44" i="14"/>
  <c r="AD44" i="14"/>
  <c r="AB45" i="14"/>
  <c r="AC45" i="14"/>
  <c r="AD45" i="14"/>
  <c r="AB46" i="14"/>
  <c r="AC46" i="14"/>
  <c r="AD46" i="14"/>
  <c r="AB47" i="14"/>
  <c r="AC47" i="14"/>
  <c r="AD47" i="14"/>
  <c r="AB48" i="14"/>
  <c r="AC48" i="14"/>
  <c r="AD48" i="14"/>
  <c r="AB49" i="14"/>
  <c r="AC49" i="14"/>
  <c r="AD49" i="14"/>
  <c r="AB50" i="14"/>
  <c r="AC50" i="14"/>
  <c r="AD50" i="14"/>
  <c r="AB51" i="14"/>
  <c r="AC51" i="14"/>
  <c r="AD51" i="14"/>
  <c r="AB52" i="14"/>
  <c r="AC52" i="14"/>
  <c r="AD52" i="14"/>
  <c r="AB53" i="14"/>
  <c r="AC53" i="14"/>
  <c r="AD53" i="14"/>
  <c r="AB54" i="14"/>
  <c r="AC54" i="14"/>
  <c r="AD54" i="14"/>
  <c r="AB55" i="14"/>
  <c r="AC55" i="14"/>
  <c r="AD55" i="14"/>
  <c r="M34" i="20"/>
  <c r="M32" i="20"/>
  <c r="M29" i="20"/>
  <c r="M26" i="20"/>
  <c r="M24" i="20"/>
  <c r="M21" i="20"/>
  <c r="M18" i="20"/>
  <c r="M16" i="20"/>
  <c r="M14" i="20"/>
  <c r="M13" i="20"/>
  <c r="P8" i="20"/>
  <c r="P7" i="20"/>
  <c r="P6" i="20"/>
  <c r="P5" i="20"/>
  <c r="M32" i="19"/>
  <c r="M30" i="19"/>
  <c r="M27" i="19"/>
  <c r="M22" i="19"/>
  <c r="M20" i="19"/>
  <c r="M17" i="19"/>
  <c r="M12" i="19"/>
  <c r="M10" i="19"/>
  <c r="M8" i="19"/>
  <c r="M7" i="19"/>
  <c r="M32" i="18"/>
  <c r="M30" i="18"/>
  <c r="M27" i="18"/>
  <c r="M22" i="18"/>
  <c r="M20" i="18"/>
  <c r="M17" i="18"/>
  <c r="M12" i="18"/>
  <c r="M10" i="18"/>
  <c r="M8" i="18"/>
  <c r="M7" i="18"/>
  <c r="M38" i="9"/>
  <c r="M36" i="9"/>
  <c r="M33" i="9"/>
  <c r="M28" i="9"/>
  <c r="M18" i="9"/>
  <c r="M26" i="9"/>
  <c r="M23" i="9"/>
  <c r="M14" i="9" l="1"/>
  <c r="M16" i="9"/>
  <c r="M63" i="16"/>
  <c r="M67" i="6"/>
  <c r="V13" i="17"/>
  <c r="M7" i="17"/>
  <c r="M6" i="17"/>
  <c r="M15" i="17"/>
  <c r="M13" i="17"/>
  <c r="M11" i="17"/>
  <c r="M10" i="17"/>
  <c r="M13" i="9" l="1"/>
  <c r="V66" i="6" l="1"/>
  <c r="V64" i="6"/>
  <c r="H7" i="5"/>
  <c r="J7" i="5" s="1"/>
  <c r="K7" i="5" s="1"/>
  <c r="M64" i="6"/>
  <c r="V54" i="6"/>
  <c r="V52" i="6"/>
  <c r="V42" i="6"/>
  <c r="I7" i="5" l="1"/>
  <c r="M65" i="16"/>
  <c r="M62" i="16"/>
  <c r="M60" i="16"/>
  <c r="M59" i="16"/>
  <c r="M54" i="16"/>
  <c r="M52" i="16"/>
  <c r="M50" i="16"/>
  <c r="M49" i="16"/>
  <c r="M44" i="16"/>
  <c r="M42" i="16"/>
  <c r="M40" i="16"/>
  <c r="M39" i="16"/>
  <c r="M37" i="16"/>
  <c r="M36" i="16"/>
  <c r="M35" i="16"/>
  <c r="M34" i="16"/>
  <c r="M33" i="16"/>
  <c r="M32" i="16"/>
  <c r="M27" i="16"/>
  <c r="M24" i="16"/>
  <c r="M23" i="16"/>
  <c r="M22" i="16"/>
  <c r="M21" i="16"/>
  <c r="M20" i="16"/>
  <c r="M19" i="16"/>
  <c r="M13" i="16"/>
  <c r="M10" i="16"/>
  <c r="M9" i="16"/>
  <c r="M8" i="16"/>
  <c r="M7" i="16"/>
  <c r="M6" i="16"/>
  <c r="M5" i="16"/>
  <c r="M66" i="6"/>
  <c r="M63" i="6"/>
  <c r="M62" i="6"/>
  <c r="M60" i="6"/>
  <c r="M59" i="6"/>
  <c r="M54" i="6"/>
  <c r="M52" i="6"/>
  <c r="M50" i="6" l="1"/>
  <c r="M49" i="6"/>
  <c r="M44" i="6"/>
  <c r="M42" i="6"/>
  <c r="M40" i="6"/>
  <c r="M39" i="6"/>
  <c r="M5" i="6"/>
  <c r="M6" i="6"/>
  <c r="M7" i="6"/>
  <c r="M8" i="6"/>
  <c r="M9" i="6"/>
  <c r="M10" i="6"/>
  <c r="M13" i="6"/>
  <c r="M19" i="6"/>
  <c r="M20" i="6"/>
  <c r="M21" i="6"/>
  <c r="M22" i="6"/>
  <c r="M23" i="6"/>
  <c r="M24" i="6"/>
  <c r="M27" i="6"/>
  <c r="M32" i="6"/>
  <c r="M33" i="6"/>
  <c r="M34" i="6"/>
  <c r="M35" i="6"/>
  <c r="M36" i="6"/>
  <c r="M37" i="6"/>
  <c r="E4" i="15" l="1"/>
  <c r="E5" i="15"/>
  <c r="E6" i="15"/>
  <c r="E7" i="15"/>
  <c r="E8" i="15"/>
  <c r="E10" i="15"/>
  <c r="E11" i="15"/>
  <c r="E12" i="15"/>
  <c r="E13" i="15"/>
  <c r="E14" i="15"/>
  <c r="E15" i="15"/>
  <c r="E16" i="15"/>
  <c r="E17" i="15"/>
  <c r="E18" i="15"/>
  <c r="E19" i="15"/>
  <c r="E20" i="15"/>
  <c r="E21" i="15"/>
  <c r="F14" i="2" l="1"/>
  <c r="F11" i="14"/>
  <c r="AE18" i="14" l="1"/>
  <c r="AF18" i="14" s="1"/>
  <c r="AE20" i="14"/>
  <c r="AF20" i="14" s="1"/>
  <c r="AE25" i="14"/>
  <c r="AF25" i="14" s="1"/>
  <c r="AE28" i="14"/>
  <c r="AF28" i="14" s="1"/>
  <c r="AE19" i="14"/>
  <c r="AF19" i="14" s="1"/>
  <c r="AE27" i="14"/>
  <c r="AF27" i="14" s="1"/>
  <c r="AE23" i="14"/>
  <c r="AF23" i="14" s="1"/>
  <c r="AE26" i="14"/>
  <c r="AF26" i="14" s="1"/>
  <c r="AE24" i="14"/>
  <c r="AF24" i="14" s="1"/>
  <c r="AE29" i="14"/>
  <c r="AF29" i="14" s="1"/>
  <c r="AE21" i="14"/>
  <c r="AF21" i="14" s="1"/>
  <c r="AE22" i="14"/>
  <c r="AF22" i="14" s="1"/>
  <c r="H22" i="14"/>
  <c r="I22" i="14" s="1"/>
  <c r="H23" i="14"/>
  <c r="I23" i="14" s="1"/>
  <c r="H18" i="14"/>
  <c r="I18" i="14" s="1"/>
  <c r="H57" i="14"/>
  <c r="I57" i="14" s="1"/>
  <c r="H27" i="14"/>
  <c r="I27" i="14" s="1"/>
  <c r="H20" i="14"/>
  <c r="I20" i="14" s="1"/>
  <c r="H19" i="14"/>
  <c r="I19" i="14" s="1"/>
  <c r="H28" i="14"/>
  <c r="I28" i="14" s="1"/>
  <c r="H26" i="14"/>
  <c r="I26" i="14" s="1"/>
  <c r="H24" i="14"/>
  <c r="I24" i="14" s="1"/>
  <c r="H21" i="14"/>
  <c r="I21" i="14" s="1"/>
  <c r="H25" i="14"/>
  <c r="I25" i="14" s="1"/>
  <c r="F12" i="14"/>
  <c r="F13" i="14"/>
  <c r="AE44" i="14" l="1"/>
  <c r="AF44" i="14" s="1"/>
  <c r="AE55" i="14"/>
  <c r="AF55" i="14" s="1"/>
  <c r="AE47" i="14"/>
  <c r="AF47" i="14" s="1"/>
  <c r="AE49" i="14"/>
  <c r="AF49" i="14" s="1"/>
  <c r="AE45" i="14"/>
  <c r="AF45" i="14" s="1"/>
  <c r="AE48" i="14"/>
  <c r="AF48" i="14" s="1"/>
  <c r="AE51" i="14"/>
  <c r="AF51" i="14" s="1"/>
  <c r="AG25" i="14" s="1"/>
  <c r="AE53" i="14"/>
  <c r="AF53" i="14" s="1"/>
  <c r="AE46" i="14"/>
  <c r="AF46" i="14" s="1"/>
  <c r="AG20" i="14" s="1"/>
  <c r="AE50" i="14"/>
  <c r="AF50" i="14" s="1"/>
  <c r="AG24" i="14" s="1"/>
  <c r="AE52" i="14"/>
  <c r="AF52" i="14" s="1"/>
  <c r="AE54" i="14"/>
  <c r="AF54" i="14" s="1"/>
  <c r="AG28" i="14" s="1"/>
  <c r="AE31" i="14"/>
  <c r="AF31" i="14" s="1"/>
  <c r="AG18" i="14" s="1"/>
  <c r="AE40" i="14"/>
  <c r="AF40" i="14" s="1"/>
  <c r="AE41" i="14"/>
  <c r="AF41" i="14" s="1"/>
  <c r="AE33" i="14"/>
  <c r="AF33" i="14" s="1"/>
  <c r="AE36" i="14"/>
  <c r="AF36" i="14" s="1"/>
  <c r="AE38" i="14"/>
  <c r="AF38" i="14" s="1"/>
  <c r="AE42" i="14"/>
  <c r="AF42" i="14" s="1"/>
  <c r="AG29" i="14" s="1"/>
  <c r="AE34" i="14"/>
  <c r="AF34" i="14" s="1"/>
  <c r="AG21" i="14" s="1"/>
  <c r="AE37" i="14"/>
  <c r="AF37" i="14" s="1"/>
  <c r="AE39" i="14"/>
  <c r="AF39" i="14" s="1"/>
  <c r="AE32" i="14"/>
  <c r="AF32" i="14" s="1"/>
  <c r="AE35" i="14"/>
  <c r="AF35" i="14" s="1"/>
  <c r="H49" i="14"/>
  <c r="I49" i="14" s="1"/>
  <c r="H50" i="14"/>
  <c r="I50" i="14" s="1"/>
  <c r="H51" i="14"/>
  <c r="I51" i="14" s="1"/>
  <c r="H54" i="14"/>
  <c r="I54" i="14" s="1"/>
  <c r="H45" i="14"/>
  <c r="I45" i="14" s="1"/>
  <c r="H46" i="14"/>
  <c r="I46" i="14" s="1"/>
  <c r="H52" i="14"/>
  <c r="I52" i="14" s="1"/>
  <c r="H53" i="14"/>
  <c r="I53" i="14" s="1"/>
  <c r="H47" i="14"/>
  <c r="I47" i="14" s="1"/>
  <c r="H44" i="14"/>
  <c r="I44" i="14" s="1"/>
  <c r="H48" i="14"/>
  <c r="I48" i="14" s="1"/>
  <c r="H37" i="14"/>
  <c r="I37" i="14" s="1"/>
  <c r="J24" i="14" s="1"/>
  <c r="H34" i="14"/>
  <c r="I34" i="14" s="1"/>
  <c r="H35" i="14"/>
  <c r="I35" i="14" s="1"/>
  <c r="H38" i="14"/>
  <c r="I38" i="14" s="1"/>
  <c r="H39" i="14"/>
  <c r="I39" i="14" s="1"/>
  <c r="H40" i="14"/>
  <c r="I40" i="14" s="1"/>
  <c r="H41" i="14"/>
  <c r="I41" i="14" s="1"/>
  <c r="J28" i="14" s="1"/>
  <c r="H31" i="14"/>
  <c r="I31" i="14" s="1"/>
  <c r="H32" i="14"/>
  <c r="I32" i="14" s="1"/>
  <c r="H33" i="14"/>
  <c r="I33" i="14" s="1"/>
  <c r="H36" i="14"/>
  <c r="I36" i="14" s="1"/>
  <c r="AD5" i="2"/>
  <c r="AD6" i="2"/>
  <c r="AD7" i="2"/>
  <c r="AD8" i="2"/>
  <c r="AD9" i="2"/>
  <c r="AD10" i="2"/>
  <c r="AD11" i="2"/>
  <c r="AD12" i="2"/>
  <c r="AD13" i="2"/>
  <c r="AD14" i="2"/>
  <c r="AD15" i="2"/>
  <c r="AD4" i="2"/>
  <c r="AG26" i="14" l="1"/>
  <c r="AG23" i="14"/>
  <c r="AG27" i="14"/>
  <c r="AG22" i="14"/>
  <c r="AG19" i="14"/>
  <c r="J23" i="14"/>
  <c r="J20" i="14"/>
  <c r="J19" i="14"/>
  <c r="J18" i="14"/>
  <c r="J27" i="14"/>
  <c r="J26" i="14"/>
  <c r="J25" i="14"/>
  <c r="J21" i="14"/>
  <c r="J22" i="14"/>
  <c r="R15" i="10"/>
  <c r="R12" i="10"/>
  <c r="R11" i="10"/>
  <c r="R13" i="10"/>
  <c r="R10" i="10"/>
  <c r="R8" i="10"/>
  <c r="R7" i="10"/>
  <c r="R6" i="10" l="1"/>
  <c r="R5" i="10"/>
  <c r="P7" i="9"/>
  <c r="P6" i="9"/>
  <c r="P8" i="9"/>
  <c r="P5" i="9"/>
  <c r="I33" i="7" l="1"/>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H8" i="5" l="1"/>
  <c r="J8" i="5" s="1"/>
  <c r="K8" i="5" s="1"/>
  <c r="H6" i="5"/>
  <c r="J6" i="5" s="1"/>
  <c r="K6" i="5" s="1"/>
  <c r="I8" i="5" l="1"/>
  <c r="I6" i="5"/>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<sst xmlns="http://schemas.openxmlformats.org/spreadsheetml/2006/main" count="2015" uniqueCount="447">
  <si>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</si>
  <si>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</si>
  <si>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</si>
  <si>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</si>
  <si>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</si>
  <si>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</si>
  <si>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</si>
  <si>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</si>
  <si>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</si>
  <si>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</si>
  <si>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</si>
  <si>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</si>
  <si>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</si>
  <si>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</si>
  <si>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</si>
  <si>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</si>
  <si>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</si>
  <si>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</si>
  <si>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</si>
  <si>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</si>
  <si>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</si>
  <si>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</si>
  <si>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</si>
  <si>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</si>
  <si>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</si>
  <si>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</si>
  <si>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</si>
  <si>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</si>
  <si>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</si>
  <si>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</si>
  <si>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</si>
  <si>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</si>
  <si>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</si>
  <si>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</si>
  <si>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</si>
  <si>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</si>
  <si>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</si>
  <si>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</si>
  <si>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</si>
  <si>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</si>
  <si>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</si>
  <si>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</si>
  <si>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</si>
  <si>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</si>
  <si>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</si>
  <si>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</si>
  <si>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</si>
  <si>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</si>
  <si>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</si>
  <si>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</si>
  <si>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</si>
  <si>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</si>
  <si>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</si>
  <si>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</si>
  <si>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</si>
  <si>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</si>
  <si>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</si>
  <si>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</si>
  <si>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</si>
  <si>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</si>
  <si>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</si>
  <si>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</si>
  <si>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</si>
  <si>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</si>
  <si>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</si>
  <si>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</si>
  <si>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</si>
  <si>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</si>
  <si>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</si>
  <si>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</si>
  <si>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</si>
  <si>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</si>
  <si>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</si>
  <si>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</si>
  <si>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</si>
  <si>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</si>
  <si>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</si>
  <si>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</si>
  <si>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</si>
  <si>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</si>
  <si>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</si>
  <si>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</si>
  <si>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</si>
  <si>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</si>
  <si>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</si>
  <si>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</si>
  <si>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</si>
  <si>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</si>
  <si>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</si>
  <si>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</si>
  <si>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</si>
  <si>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</si>
  <si>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</si>
  <si>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</si>
  <si>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</si>
  <si>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</si>
  <si>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</si>
  <si>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</si>
  <si>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</si>
  <si>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</si>
  <si>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</si>
  <si>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</si>
  <si>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</si>
  <si>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</si>
  <si>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</si>
  <si>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</si>
  <si>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</si>
  <si>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</si>
  <si>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</si>
  <si>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</si>
  <si>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</si>
  <si>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</si>
  <si>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</si>
  <si>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</si>
  <si>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</si>
  <si>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</si>
  <si>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</si>
  <si>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</si>
  <si>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</si>
  <si>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</si>
  <si>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</si>
  <si>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</si>
  <si>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</si>
  <si>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</si>
  <si>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</si>
  <si>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</si>
  <si>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</si>
  <si>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</si>
  <si>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</si>
  <si>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</si>
  <si>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</si>
  <si>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</si>
  <si>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</si>
  <si>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</si>
  <si>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</si>
  <si>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</si>
  <si>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</si>
  <si>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</si>
  <si>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</si>
  <si>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</si>
  <si>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</si>
  <si>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</si>
  <si>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</si>
  <si>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</si>
  <si>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</si>
  <si>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</si>
  <si>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</si>
  <si>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</si>
  <si>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</si>
  <si>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</si>
  <si>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</si>
  <si>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</si>
  <si>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CHARMM36_1024xC16_298K_1bar_tests</t>
  </si>
  <si>
    <t>&lt;D&gt; = 0.2665 Std. Dev. = 0.1961 Error = 0.0061</t>
  </si>
  <si>
    <t>CTL, HAL</t>
  </si>
  <si>
    <t>CG, HGA</t>
  </si>
  <si>
    <t>GPU-101_CHARMM36-CTL_1024xC16_anneal_340-240-340K_100ns</t>
  </si>
  <si>
    <t>&lt;D&gt; = 0.1437 Std. Dev. = 0.1162 Error = 0.0036</t>
  </si>
  <si>
    <t>Annealing</t>
  </si>
  <si>
    <t>7T</t>
  </si>
  <si>
    <t>FlexWilliams7T_1024xC16_anneal_340-240-340K_100ns</t>
  </si>
  <si>
    <t>FlexWilliams7T_1024xC16_298K_1bar_tests</t>
  </si>
  <si>
    <t>T = tabulated</t>
  </si>
  <si>
    <t>Unbuffered 1.0nm</t>
  </si>
  <si>
    <t>Buffered 1.05-1.0nm</t>
  </si>
  <si>
    <t>0.001 nm table spacing</t>
  </si>
  <si>
    <t>Correct sims below this line</t>
  </si>
  <si>
    <t>25 interp</t>
  </si>
  <si>
    <t>Mixed phase evolution</t>
  </si>
  <si>
    <t>TraPPE</t>
  </si>
  <si>
    <t>PYS</t>
  </si>
  <si>
    <t>CHARMM36</t>
  </si>
  <si>
    <t>L-OPLS</t>
  </si>
  <si>
    <t>Flex-Williams</t>
  </si>
  <si>
    <t>Properties (NPT +  NVT interface)</t>
  </si>
  <si>
    <t>Key</t>
  </si>
  <si>
    <t>Input files prepared</t>
  </si>
  <si>
    <t>Not started</t>
  </si>
  <si>
    <t>Results checked</t>
  </si>
  <si>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</si>
  <si>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</si>
  <si>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</si>
  <si>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</si>
  <si>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</si>
  <si>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</si>
  <si>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</si>
  <si>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</si>
  <si>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</si>
  <si>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</si>
  <si>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</si>
  <si>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</si>
  <si>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</si>
  <si>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</si>
  <si>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</si>
  <si>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</si>
  <si>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</si>
  <si>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</si>
  <si>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</si>
  <si>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</si>
  <si>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</si>
  <si>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</si>
  <si>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</si>
  <si>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</si>
  <si>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</si>
  <si>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</si>
  <si>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</si>
  <si>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</si>
  <si>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</si>
  <si>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</si>
  <si>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</si>
  <si>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</si>
  <si>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</si>
  <si>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</si>
  <si>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</si>
  <si>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</si>
  <si>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</si>
  <si>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</si>
  <si>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</si>
  <si>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</si>
  <si>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</si>
  <si>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</si>
  <si>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</si>
  <si>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</si>
  <si>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</si>
  <si>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</si>
  <si>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</si>
  <si>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</si>
  <si>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</si>
  <si>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</si>
  <si>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</si>
  <si>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</si>
  <si>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FlexWilliams4L-OPLS_rc0.6_1024xC16_properties_298K_1bar</t>
  </si>
  <si>
    <t>Δε</t>
  </si>
  <si>
    <t>Simulation</t>
  </si>
  <si>
    <t>Phase 1</t>
  </si>
  <si>
    <t>Sun 9-6</t>
  </si>
  <si>
    <t>~COMPASS</t>
  </si>
  <si>
    <t>SUM</t>
  </si>
  <si>
    <t>R</t>
  </si>
  <si>
    <t>D+FSC</t>
  </si>
  <si>
    <t>ξ</t>
  </si>
  <si>
    <t>Wu, Jianging, Abdulghanni H. Nhaesi, and Abdul-Fattah A. Asfour. "Viscosities of eight binary liquid n-alkane systems at 293.15 K and 298.15 K." Journal of Chemical &amp; Engineering Data 44.5 (1999): 990-993.</t>
  </si>
  <si>
    <t>[6]</t>
  </si>
  <si>
    <t>Aucejo, Antonio, et al. "Densities, viscosities, and refractive indices of some n-alkane binary liquid systems at 298.15 K." Journal of Chemical and Engineering Data 40.1 (1995): 141-147.</t>
  </si>
  <si>
    <t>[7]</t>
  </si>
  <si>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</si>
  <si>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 Pas</t>
  </si>
  <si>
    <t>Mol</t>
  </si>
  <si>
    <t>TOT SUM</t>
  </si>
  <si>
    <r>
      <t>kg/m</t>
    </r>
    <r>
      <rPr>
        <vertAlign val="superscript"/>
        <sz val="11"/>
        <color theme="1"/>
        <rFont val="Calibri"/>
        <family val="2"/>
        <scheme val="minor"/>
      </rPr>
      <t>3</t>
    </r>
  </si>
  <si>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</si>
  <si>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Moore, James W., and Robert M. Wellek. "Diffusion coefficients of n-heptane and n-decane in n-alkanes and n-alcohols at several temperatures." Journal of Chemical and Engineering data 19.2 (1974): 136-140.</t>
  </si>
  <si>
    <t>[8]</t>
  </si>
  <si>
    <t>Harris, Kenneth R. "Temperature and density dependence of the self-diffusion coefficient of n-hexane from 223 to 333 K and up to 400 MPa." Journal of the Chemical Society, Faraday Transactions 1: Physical Chemistry in Condensed Phases 78.7 (1982): 2265-2274.</t>
  </si>
  <si>
    <t>[9]</t>
  </si>
  <si>
    <t>22 SGSTE</t>
  </si>
  <si>
    <t>22 SGSE</t>
  </si>
  <si>
    <t>Rata, D. G., et al. "Self-diffusion measurements by a mobile single-sided NMR sensor with improved magnetic field gradient." Journal of Magnetic Resonance 180.2 (2006): 229-235.</t>
  </si>
  <si>
    <t>[10]</t>
  </si>
  <si>
    <t>Daridon, Jean-Luc, Hervé Carrier, and Bernard Lagourette. "Pressure dependence of the thermophysical properties of n-pentadecane and n-heptadecane." International Journal of Thermophysics 23.3 (2002): 697-708.</t>
  </si>
  <si>
    <t>Refs (copy MLA citation from Google scholar)</t>
  </si>
  <si>
    <t>C15 density</t>
  </si>
  <si>
    <t>[11]</t>
  </si>
  <si>
    <t>Flex-Williams 7T</t>
  </si>
  <si>
    <t>Williams 2019</t>
  </si>
  <si>
    <t>Optimized</t>
  </si>
  <si>
    <t>Ref</t>
  </si>
  <si>
    <t>FlexWilliams4TL-UA-torsion_1024xC16_properties_298K_1bar</t>
  </si>
  <si>
    <t>ORIG</t>
  </si>
  <si>
    <t>Expected due to poorly optimized Buckingham kernels</t>
  </si>
  <si>
    <t>n-octane</t>
  </si>
  <si>
    <t>CCC</t>
  </si>
  <si>
    <t>CCH</t>
  </si>
  <si>
    <t>Angle</t>
  </si>
  <si>
    <t>B3LYP, aug-cc-pvtz</t>
  </si>
  <si>
    <t>Experimental data:</t>
  </si>
  <si>
    <t>OPLS+DFT</t>
  </si>
  <si>
    <t>&lt;D&gt; = 0.2262 Std. Dev. = 0.1870 Error = 0.0058</t>
  </si>
  <si>
    <t>FlexWilliams7TL_DF2003_2019ffb_1024xC16_properties_298K_1bar</t>
  </si>
  <si>
    <t>1,4</t>
  </si>
  <si>
    <t>Phase 2 (updated ffbonded)</t>
  </si>
  <si>
    <t>CHARM22</t>
  </si>
  <si>
    <t>AVERAGE</t>
  </si>
  <si>
    <r>
      <t xml:space="preserve">Annealing (1024 mol, 100ns, </t>
    </r>
    <r>
      <rPr>
        <sz val="12"/>
        <color theme="1"/>
        <rFont val="Calibri"/>
        <family val="2"/>
      </rPr>
      <t>± 50K)</t>
    </r>
  </si>
  <si>
    <r>
      <t xml:space="preserve">Annealing (2048 mol, 100ns, </t>
    </r>
    <r>
      <rPr>
        <sz val="12"/>
        <color theme="1"/>
        <rFont val="Calibri"/>
        <family val="2"/>
      </rPr>
      <t>± 50K)</t>
    </r>
  </si>
  <si>
    <r>
      <t xml:space="preserve">Annealing (512 mol, 100ns, </t>
    </r>
    <r>
      <rPr>
        <sz val="12"/>
        <color theme="1"/>
        <rFont val="Calibri"/>
        <family val="2"/>
      </rPr>
      <t>± 50K)</t>
    </r>
  </si>
  <si>
    <t>System</t>
  </si>
  <si>
    <t>Multi-phase evolution</t>
  </si>
  <si>
    <t>PYS-W_1024xC16_properties_298K_1bar</t>
  </si>
  <si>
    <t>Liquid properties</t>
  </si>
  <si>
    <t>Repeats</t>
  </si>
  <si>
    <t>Sim (ns)</t>
  </si>
  <si>
    <t>Eq. (ns)</t>
  </si>
  <si>
    <t>Simulation time</t>
  </si>
  <si>
    <t>Sim steps</t>
  </si>
  <si>
    <t>PYS-W_512xC16_anneal_340-240-340K_100ns</t>
  </si>
  <si>
    <t>Annealing x512</t>
  </si>
  <si>
    <t>Annealing x1024</t>
  </si>
  <si>
    <t>PYS-W_1024xC16_anneal_340-240-340K_100ns</t>
  </si>
  <si>
    <t>Status</t>
  </si>
  <si>
    <t>PYS-W_1024xC15_properties_298K_1bar</t>
  </si>
  <si>
    <t>0-4</t>
  </si>
  <si>
    <t>Valid solid phase seen</t>
  </si>
  <si>
    <t>T+</t>
  </si>
  <si>
    <t>T-</t>
  </si>
  <si>
    <t>Valid, but only frozen in second half</t>
  </si>
  <si>
    <t>Finished</t>
  </si>
  <si>
    <t>PYS-W_1024xC15_anneal_330-230-330K_100ns</t>
  </si>
  <si>
    <t>330-230-330</t>
  </si>
  <si>
    <t>Geometry optimization for phase 2:</t>
  </si>
  <si>
    <t>PYS-W_512xC15_anneal_330-230-330K_100ns</t>
  </si>
  <si>
    <t>PYS-W_2048xC8_properties_298K_1bar</t>
  </si>
  <si>
    <t>PYS-W_2048xC8_anneal_260-160-260K_100ns</t>
  </si>
  <si>
    <t>Annealing x2048</t>
  </si>
  <si>
    <t>260-160-260</t>
  </si>
  <si>
    <t>Freezes but doesn't melt</t>
  </si>
  <si>
    <t>270-170-270</t>
  </si>
  <si>
    <t>PYS-W_2048xC8_anneal_270-170-270K_100ns</t>
  </si>
  <si>
    <t>X</t>
  </si>
  <si>
    <t>TraPPE_1024xC16_properties_298K_1bar</t>
  </si>
  <si>
    <t>0.5-4</t>
  </si>
  <si>
    <t>0.5-4x3</t>
  </si>
  <si>
    <t>Avg</t>
  </si>
  <si>
    <t>TraPPE_1024xC15_properties_298K_1bar</t>
  </si>
  <si>
    <t>TraPPE_2048xC8_properties_298K_1bar</t>
  </si>
  <si>
    <t>0-4x5</t>
  </si>
  <si>
    <t>5x4 (20)</t>
  </si>
  <si>
    <t>Melting point (density/dihedral evolution method)</t>
  </si>
  <si>
    <t>Melting of perfect crystal (C16 only)</t>
  </si>
  <si>
    <t>Pressure-induced phase change (C16 only)</t>
  </si>
  <si>
    <t>6*20-40</t>
  </si>
  <si>
    <t>Melting point</t>
  </si>
  <si>
    <t>PT behaviour</t>
  </si>
  <si>
    <t>Melting point, crystal-rotator transitions</t>
  </si>
  <si>
    <t>Uncertainties</t>
  </si>
  <si>
    <t>T_m</t>
  </si>
  <si>
    <t>Avg.</t>
  </si>
  <si>
    <t>UA models known to overestimate D (see L-OPLS paper, Siu (2012))</t>
  </si>
  <si>
    <t>PYS-W_1024xC8_anneal_270-170-270K_100ns</t>
  </si>
  <si>
    <t>PYS-W_2048xC8_anneal_280-180-280K_100ns</t>
  </si>
  <si>
    <t>280-180-280</t>
  </si>
  <si>
    <t>Freezes but doesn't melt (strange)</t>
  </si>
  <si>
    <t>TraPPE_1024xC16_anneal_340-240-340K_100ns</t>
  </si>
  <si>
    <t>Sun9-6_1024xC16_properties_298K_1bar</t>
  </si>
  <si>
    <t>Freezes but doesn't melt - interesting traj.</t>
  </si>
  <si>
    <t>On hold</t>
  </si>
  <si>
    <t>Running 745581</t>
  </si>
  <si>
    <t>TraPPE_1024xC15_anneal_330-230-330K_100ns</t>
  </si>
  <si>
    <t>Valid, may not be totally frozen</t>
  </si>
  <si>
    <t>TraPPE_2048xC8_anneal_260-160-260K_100ns</t>
  </si>
  <si>
    <t>TraPPE_2048xC8_anneal_270-170-270K_100ns</t>
  </si>
  <si>
    <t>Running 745623</t>
  </si>
  <si>
    <t>Valid</t>
  </si>
  <si>
    <t>Sun9-6_1024xC16_anneal_340-240-340K_100ns</t>
  </si>
  <si>
    <t>Deciding best approach re cutoffs</t>
  </si>
  <si>
    <t>Sun9-6_1024xC15_properties_298K_1bar</t>
  </si>
  <si>
    <t>Sun9-6_1024xC15_anneal_330-230-330K_100ns</t>
  </si>
  <si>
    <t>Sun9-6_512xC16_anneal_340-240-340K_100ns</t>
  </si>
  <si>
    <t>Running 748981</t>
  </si>
  <si>
    <t>Sun9-6_2048xC8_properties_298K_1bar</t>
  </si>
  <si>
    <t>Sun9-6_512xC15_anneal_330-230-330K_100ns</t>
  </si>
  <si>
    <t>Sun9-6_2048xC8_anneal_270-170-270K_100ns</t>
  </si>
  <si>
    <t>Sun9-6_1024xC8_anneal_270-170-270K_100ns</t>
  </si>
  <si>
    <t>Williams2019_1024xC16_properties_298K_1bar</t>
  </si>
  <si>
    <t>Williams2019_1024xC16_anneal_340-240-340K_100ns</t>
  </si>
  <si>
    <t>Williams2019_512xC16_anneal_340-240-340K_100ns</t>
  </si>
  <si>
    <t>Williams2019_1024xC15_properties_298K_1bar</t>
  </si>
  <si>
    <t>Williams2019_1024xC15_anneal_330-230-330K_100ns</t>
  </si>
  <si>
    <t>Williams2019_512xC15_anneal_330-230-330K_100ns</t>
  </si>
  <si>
    <t>Williams2019_2048xC8_properties_298K_1bar</t>
  </si>
  <si>
    <t>Williams2019_2048xC8_anneal_270-170-270K_100ns</t>
  </si>
  <si>
    <t>Williams2019_1024xC8_anneal_270-170-270K_100ns</t>
  </si>
  <si>
    <t>Stoyan (submitted)</t>
  </si>
  <si>
    <t>Williams7_1024xC16_properties_298K_1bar</t>
  </si>
  <si>
    <t>Williams7_1024xC16_anneal_340-240-340K_100ns</t>
  </si>
  <si>
    <t>Williams7_512xC16_anneal_340-240-340K_100ns</t>
  </si>
  <si>
    <t>Williams7_1024xC15_properties_298K_1bar</t>
  </si>
  <si>
    <t>Williams7_1024xC15_anneal_330-230-330K_100ns</t>
  </si>
  <si>
    <t>Williams7_512xC15_anneal_330-230-330K_100ns</t>
  </si>
  <si>
    <t>Williams7_2048xC8_properties_298K_1bar</t>
  </si>
  <si>
    <t>Williams7_2048xC8_anneal_270-170-270K_100ns</t>
  </si>
  <si>
    <t>Williams7_1024xC8_anneal_270-170-270K_100ns</t>
  </si>
  <si>
    <t>L-OPLS_1024xC16_properties_298K_1bar</t>
  </si>
  <si>
    <t>L-OPLS_1024xC16_anneal_340-240-340K_100ns</t>
  </si>
  <si>
    <t>L-OPLS_512xC16_anneal_340-240-340K_100ns</t>
  </si>
  <si>
    <t>L-OPLS_1024xC15_properties_298K_1bar</t>
  </si>
  <si>
    <t>L-OPLS_1024xC15_anneal_330-230-330K_100ns</t>
  </si>
  <si>
    <t>L-OPLS_512xC15_anneal_330-230-330K_100ns</t>
  </si>
  <si>
    <t>L-OPLS_2048xC8_properties_298K_1bar</t>
  </si>
  <si>
    <t>L-OPLS_2048xC8_anneal_270-170-270K_100ns</t>
  </si>
  <si>
    <t>L-OPLS_1024xC8_anneal_270-170-270K_100ns</t>
  </si>
  <si>
    <t>GPU-102_CHARMM36-CTL_1024xC15_anneal_330-230-330K_100ns</t>
  </si>
  <si>
    <t>GPU-103_CHARMM36-CTL_2048xC8_anneal_260-160-260K_100ns</t>
  </si>
  <si>
    <t>Not valid</t>
  </si>
  <si>
    <t>CHARMM36-CTL_1024xC16_properties_298K_1bar</t>
  </si>
  <si>
    <t>CHARMM36-CTL_1024xC15_properties_298K_1bar</t>
  </si>
  <si>
    <t>Force field as recorded in Das, Frenkel 2003</t>
  </si>
  <si>
    <t>Total</t>
  </si>
  <si>
    <t>Harmonic CCCC</t>
  </si>
  <si>
    <t>Running 760509</t>
  </si>
  <si>
    <t>Running 759506</t>
  </si>
  <si>
    <t>CHARMM36-CTL_2048xC8_properties_298K_1bar</t>
  </si>
  <si>
    <t>Running 762472</t>
  </si>
  <si>
    <t>Forcefield with update ffbonded and rescale non-bonded</t>
  </si>
  <si>
    <t>ax</t>
  </si>
  <si>
    <t>by</t>
  </si>
  <si>
    <t>cz</t>
  </si>
  <si>
    <t>ay</t>
  </si>
  <si>
    <t>az</t>
  </si>
  <si>
    <t>bx</t>
  </si>
  <si>
    <t>bz</t>
  </si>
  <si>
    <t>cx</t>
  </si>
  <si>
    <t>cy</t>
  </si>
  <si>
    <t>Gromacs skew criteria</t>
  </si>
  <si>
    <t>Supercell copies</t>
  </si>
  <si>
    <t>Description</t>
  </si>
  <si>
    <t>Triclinic unit cell</t>
  </si>
  <si>
    <t>na</t>
  </si>
  <si>
    <t>nb</t>
  </si>
  <si>
    <t>nc</t>
  </si>
  <si>
    <t>total</t>
  </si>
  <si>
    <r>
      <t xml:space="preserve">Cell meeting skew criteria, and ax </t>
    </r>
    <r>
      <rPr>
        <sz val="12"/>
        <rFont val="Calibri"/>
        <family val="2"/>
      </rPr>
      <t>≈ by ≈ cz</t>
    </r>
  </si>
  <si>
    <t>x2</t>
  </si>
  <si>
    <t>x3</t>
  </si>
  <si>
    <t>x4</t>
  </si>
  <si>
    <t>ax &gt; 2*bx</t>
  </si>
  <si>
    <t>ax &gt; 2*cx</t>
  </si>
  <si>
    <t>by &gt; 2*cy</t>
  </si>
  <si>
    <t>Alternatives</t>
  </si>
  <si>
    <t>GPU-104_CHARMM36-CTL_2048xC8_anneal_220-160-220K_100ns</t>
  </si>
  <si>
    <t>220-160-220</t>
  </si>
  <si>
    <t>Some phase change seen, not fully</t>
  </si>
  <si>
    <t>GPU-113_CHARMM36-CTL_1024xC8_anneal_260-160-260K_100ns</t>
  </si>
  <si>
    <t>GPU-112</t>
  </si>
  <si>
    <t>GPU-111_CHARMM36-CTL_512xC16_anneal_340-240-340K_100ns</t>
  </si>
  <si>
    <t>Running eq 763337</t>
  </si>
  <si>
    <t>Running eq 763921</t>
  </si>
  <si>
    <t>Partial phase change seen</t>
  </si>
  <si>
    <t>CCDC</t>
  </si>
  <si>
    <t>a</t>
  </si>
  <si>
    <t>b</t>
  </si>
  <si>
    <t>c</t>
  </si>
  <si>
    <t>α</t>
  </si>
  <si>
    <t>β</t>
  </si>
  <si>
    <t>SG</t>
  </si>
  <si>
    <t>Triclinic</t>
  </si>
  <si>
    <t>Orthorhombic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</si>
</sst>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0000"/>
    <numFmt numFmtId="168" formatCode="0.000000"/>
    <numFmt numFmtId="169" formatCode="0.000E+00"/>
  </numFmts>
  <fonts count="2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2"/>
      <color theme="1"/>
      <name val="Calibri"/>
      <family val="2"/>
    </font>
    <font>
      <sz val="12"/>
      <color theme="0"/>
      <name val="Calibri"/>
      <family val="2"/>
      <scheme val="minor"/>
    </font>
    <font>
      <sz val="12"/>
      <name val="Calibri"/>
      <family val="2"/>
      <scheme val="minor"/>
    </font>
    <font>
      <vertAlign val="superscript"/>
      <sz val="12"/>
      <color theme="1"/>
      <name val="Calibri"/>
      <family val="2"/>
      <scheme val="minor"/>
    </font>
    <font>
      <b/>
      <sz val="11"/>
      <color theme="0"/>
      <name val="Calibri"/>
      <family val="2"/>
      <scheme val="minor"/>
    </font>
    <font>
      <vertAlign val="superscript"/>
      <sz val="11"/>
      <color theme="1"/>
      <name val="Calibri"/>
      <family val="2"/>
      <scheme val="minor"/>
    </font>
    <font>
      <sz val="11"/>
      <color theme="4"/>
      <name val="Calibri"/>
      <family val="2"/>
      <scheme val="minor"/>
    </font>
    <font>
      <sz val="11"/>
      <color theme="9" tint="-0.249977111117893"/>
      <name val="Calibri"/>
      <family val="2"/>
      <scheme val="minor"/>
    </font>
    <font>
      <sz val="12"/>
      <color theme="4" tint="-0.499984740745262"/>
      <name val="Calibri"/>
      <family val="2"/>
      <scheme val="minor"/>
    </font>
    <font>
      <sz val="12"/>
      <color theme="4" tint="-0.499984740745262"/>
      <name val="Calibri"/>
      <family val="2"/>
    </font>
    <font>
      <sz val="12"/>
      <name val="Calibri"/>
      <family val="2"/>
    </font>
    <font>
      <i/>
      <sz val="12"/>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right style="thin">
        <color indexed="64"/>
      </right>
      <top style="thin">
        <color indexed="64"/>
      </top>
      <bottom/>
      <diagonal/>
    </border>
  </borders>
  <cellStyleXfs count="1">
    <xf numFmtId="0" fontId="0" fillId="0" borderId="0"/>
  </cellStyleXfs>
  <cellXfs count="215">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4" fillId="0" borderId="0" xfId="0" applyFont="1" applyAlignment="1">
      <alignment horizontal="center"/>
    </xf>
    <xf numFmtId="0" fontId="4" fillId="0" borderId="0" xfId="0" quotePrefix="1" applyFont="1" applyAlignment="1">
      <alignment horizontal="center"/>
    </xf>
    <xf numFmtId="0" fontId="4" fillId="0" borderId="0" xfId="0" applyFont="1"/>
    <xf numFmtId="2" fontId="4" fillId="0" borderId="0" xfId="0" applyNumberFormat="1" applyFont="1" applyAlignment="1">
      <alignment horizontal="center"/>
    </xf>
    <xf numFmtId="164" fontId="4"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6" fontId="9" fillId="0" borderId="0" xfId="0" applyNumberFormat="1" applyFont="1" applyAlignment="1">
      <alignment horizontal="center"/>
    </xf>
    <xf numFmtId="166" fontId="9" fillId="0" borderId="1"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16" fontId="10" fillId="0" borderId="0" xfId="0" applyNumberFormat="1"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9"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9" fillId="0" borderId="0" xfId="0" applyNumberFormat="1" applyFont="1" applyAlignment="1">
      <alignment horizontal="center"/>
    </xf>
    <xf numFmtId="165" fontId="9" fillId="0" borderId="1" xfId="0" applyNumberFormat="1" applyFont="1" applyBorder="1" applyAlignment="1">
      <alignment horizontal="center"/>
    </xf>
    <xf numFmtId="164" fontId="9"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11" fillId="0" borderId="0" xfId="0" applyFont="1" applyAlignment="1">
      <alignment horizontal="center"/>
    </xf>
    <xf numFmtId="0" fontId="11" fillId="0" borderId="0" xfId="0" quotePrefix="1" applyFont="1" applyAlignment="1">
      <alignment horizontal="center"/>
    </xf>
    <xf numFmtId="0" fontId="11" fillId="0" borderId="2" xfId="0" applyFont="1" applyBorder="1" applyAlignment="1">
      <alignment horizontal="center"/>
    </xf>
    <xf numFmtId="0" fontId="11" fillId="0" borderId="6" xfId="0" applyFont="1" applyBorder="1" applyAlignment="1">
      <alignment horizontal="center"/>
    </xf>
    <xf numFmtId="16" fontId="11" fillId="0" borderId="0" xfId="0" applyNumberFormat="1" applyFont="1" applyAlignment="1">
      <alignment horizontal="center"/>
    </xf>
    <xf numFmtId="2" fontId="12" fillId="0" borderId="0" xfId="0" applyNumberFormat="1" applyFont="1" applyAlignment="1">
      <alignment horizontal="center"/>
    </xf>
    <xf numFmtId="2" fontId="11" fillId="0" borderId="0" xfId="0" applyNumberFormat="1" applyFont="1" applyAlignment="1">
      <alignment horizontal="center"/>
    </xf>
    <xf numFmtId="165" fontId="11" fillId="0" borderId="0" xfId="0" applyNumberFormat="1" applyFont="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4" fillId="2" borderId="1" xfId="0" applyFont="1" applyFill="1" applyBorder="1" applyAlignment="1">
      <alignment horizontal="center"/>
    </xf>
    <xf numFmtId="0" fontId="13"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3"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5" fillId="0" borderId="0" xfId="0" applyNumberFormat="1" applyFont="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165" fontId="15"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13" fillId="0" borderId="1" xfId="0" applyFont="1" applyBorder="1" applyAlignment="1">
      <alignment horizontal="center"/>
    </xf>
    <xf numFmtId="164" fontId="13" fillId="0" borderId="1" xfId="0" applyNumberFormat="1" applyFont="1" applyBorder="1" applyAlignment="1">
      <alignment horizontal="center"/>
    </xf>
    <xf numFmtId="165" fontId="3" fillId="0" borderId="0" xfId="0" applyNumberFormat="1" applyFont="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1" xfId="0" applyFont="1" applyBorder="1" applyAlignment="1">
      <alignment horizontal="center"/>
    </xf>
    <xf numFmtId="164" fontId="0" fillId="0" borderId="1"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0" borderId="0" xfId="0" applyFont="1"/>
    <xf numFmtId="2" fontId="2" fillId="0" borderId="0" xfId="0" applyNumberFormat="1" applyFont="1" applyAlignment="1">
      <alignment horizontal="center"/>
    </xf>
    <xf numFmtId="164" fontId="2" fillId="0" borderId="0" xfId="0" applyNumberFormat="1" applyFont="1" applyAlignment="1">
      <alignment horizontal="center"/>
    </xf>
    <xf numFmtId="164" fontId="19" fillId="0" borderId="0" xfId="0" applyNumberFormat="1" applyFont="1" applyAlignment="1">
      <alignment horizontal="center"/>
    </xf>
    <xf numFmtId="0" fontId="17" fillId="3" borderId="0" xfId="0" applyFont="1" applyFill="1" applyAlignment="1">
      <alignment horizontal="center"/>
    </xf>
    <xf numFmtId="2" fontId="17" fillId="3" borderId="0" xfId="0" applyNumberFormat="1" applyFont="1" applyFill="1" applyAlignment="1">
      <alignment horizontal="center"/>
    </xf>
    <xf numFmtId="164" fontId="17" fillId="3" borderId="0" xfId="0" applyNumberFormat="1" applyFont="1" applyFill="1" applyAlignment="1">
      <alignment horizontal="center"/>
    </xf>
    <xf numFmtId="165" fontId="17" fillId="3" borderId="0" xfId="0" applyNumberFormat="1" applyFont="1" applyFill="1" applyAlignment="1">
      <alignment horizontal="center"/>
    </xf>
    <xf numFmtId="165" fontId="0" fillId="0" borderId="1" xfId="0" applyNumberFormat="1" applyFont="1" applyBorder="1" applyAlignment="1">
      <alignment horizontal="center"/>
    </xf>
    <xf numFmtId="164" fontId="20" fillId="0" borderId="0" xfId="0" applyNumberFormat="1" applyFont="1" applyAlignment="1">
      <alignment horizontal="center"/>
    </xf>
    <xf numFmtId="0" fontId="20" fillId="0" borderId="0" xfId="0" applyFont="1" applyAlignment="1">
      <alignment horizontal="center"/>
    </xf>
    <xf numFmtId="2" fontId="20" fillId="0" borderId="0" xfId="0" applyNumberFormat="1" applyFont="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xf numFmtId="0" fontId="2" fillId="0" borderId="0" xfId="0" applyFont="1" applyAlignment="1">
      <alignment horizontal="right"/>
    </xf>
    <xf numFmtId="2" fontId="0" fillId="0" borderId="0" xfId="0" applyNumberFormat="1" applyFont="1" applyAlignment="1">
      <alignment horizontal="center"/>
    </xf>
    <xf numFmtId="168" fontId="0" fillId="0" borderId="0" xfId="0" applyNumberFormat="1" applyFont="1" applyAlignment="1">
      <alignment horizontal="center"/>
    </xf>
    <xf numFmtId="0" fontId="1" fillId="0" borderId="0" xfId="0" applyFont="1" applyAlignment="1">
      <alignment horizontal="center"/>
    </xf>
    <xf numFmtId="0" fontId="0" fillId="0" borderId="0" xfId="0" applyFont="1" applyAlignment="1">
      <alignment horizontal="center"/>
    </xf>
    <xf numFmtId="165" fontId="13" fillId="0" borderId="1" xfId="0" applyNumberFormat="1" applyFont="1" applyBorder="1" applyAlignment="1">
      <alignment horizontal="center"/>
    </xf>
    <xf numFmtId="2" fontId="10" fillId="0" borderId="0" xfId="0" applyNumberFormat="1" applyFont="1" applyAlignment="1">
      <alignment horizontal="center"/>
    </xf>
    <xf numFmtId="0" fontId="10" fillId="0" borderId="2" xfId="0" applyFont="1" applyBorder="1" applyAlignment="1">
      <alignment horizontal="center"/>
    </xf>
    <xf numFmtId="0" fontId="10" fillId="0" borderId="6" xfId="0" applyFont="1" applyBorder="1" applyAlignment="1">
      <alignment horizontal="center"/>
    </xf>
    <xf numFmtId="165" fontId="10" fillId="0" borderId="0" xfId="0" applyNumberFormat="1" applyFont="1" applyAlignment="1">
      <alignment horizontal="center"/>
    </xf>
    <xf numFmtId="16" fontId="15" fillId="0" borderId="0" xfId="0" applyNumberFormat="1" applyFont="1" applyAlignment="1">
      <alignment horizontal="center"/>
    </xf>
    <xf numFmtId="0" fontId="0" fillId="0" borderId="0" xfId="0" applyAlignment="1">
      <alignment horizontal="center"/>
    </xf>
    <xf numFmtId="0" fontId="0" fillId="0" borderId="0" xfId="0" applyFont="1" applyAlignment="1">
      <alignment horizontal="center"/>
    </xf>
    <xf numFmtId="164" fontId="21" fillId="0" borderId="0" xfId="0" applyNumberFormat="1" applyFont="1" applyAlignment="1">
      <alignment horizontal="center"/>
    </xf>
    <xf numFmtId="166" fontId="0" fillId="0" borderId="0" xfId="0" applyNumberFormat="1" applyFont="1" applyAlignment="1">
      <alignment horizontal="center"/>
    </xf>
    <xf numFmtId="166" fontId="13" fillId="0" borderId="1" xfId="0" applyNumberFormat="1" applyFont="1" applyBorder="1" applyAlignment="1">
      <alignment horizontal="center"/>
    </xf>
    <xf numFmtId="166" fontId="21" fillId="0" borderId="0" xfId="0" applyNumberFormat="1" applyFont="1" applyAlignment="1">
      <alignment horizontal="center"/>
    </xf>
    <xf numFmtId="166" fontId="22" fillId="0" borderId="1" xfId="0" applyNumberFormat="1" applyFont="1" applyBorder="1" applyAlignment="1">
      <alignment horizontal="center"/>
    </xf>
    <xf numFmtId="164" fontId="22" fillId="0" borderId="5" xfId="0" applyNumberFormat="1" applyFont="1" applyBorder="1" applyAlignment="1">
      <alignment horizontal="center"/>
    </xf>
    <xf numFmtId="164" fontId="21" fillId="0" borderId="3"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11" fillId="0" borderId="7" xfId="0" applyFont="1" applyBorder="1" applyAlignment="1">
      <alignment horizontal="center"/>
    </xf>
    <xf numFmtId="0" fontId="13" fillId="0" borderId="0" xfId="0" applyFon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10" fillId="0" borderId="0" xfId="0" applyFont="1" applyAlignment="1">
      <alignment horizontal="left" vertical="center"/>
    </xf>
    <xf numFmtId="165" fontId="11" fillId="0" borderId="1"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0" fillId="0" borderId="0" xfId="0" applyBorder="1" applyAlignment="1">
      <alignment horizontal="center"/>
    </xf>
    <xf numFmtId="0" fontId="11" fillId="0" borderId="0" xfId="0" applyFont="1" applyBorder="1" applyAlignment="1">
      <alignment horizontal="center"/>
    </xf>
    <xf numFmtId="2" fontId="0" fillId="0" borderId="0" xfId="0" applyNumberFormat="1" applyBorder="1" applyAlignment="1">
      <alignment horizontal="center"/>
    </xf>
    <xf numFmtId="0" fontId="10" fillId="0" borderId="0" xfId="0" applyFont="1" applyBorder="1" applyAlignment="1">
      <alignment horizontal="center"/>
    </xf>
    <xf numFmtId="0" fontId="0" fillId="0" borderId="0" xfId="0" applyBorder="1" applyAlignment="1">
      <alignment horizontal="left"/>
    </xf>
    <xf numFmtId="0" fontId="0" fillId="0" borderId="0" xfId="0" applyBorder="1"/>
    <xf numFmtId="0" fontId="10" fillId="0" borderId="0" xfId="0" applyFont="1" applyBorder="1"/>
    <xf numFmtId="2" fontId="11" fillId="0" borderId="0" xfId="0" applyNumberFormat="1" applyFont="1" applyBorder="1" applyAlignment="1">
      <alignment horizontal="center"/>
    </xf>
    <xf numFmtId="0" fontId="11" fillId="0" borderId="0" xfId="0" quotePrefix="1" applyFont="1" applyBorder="1" applyAlignment="1">
      <alignment horizontal="center"/>
    </xf>
    <xf numFmtId="16" fontId="11" fillId="0" borderId="0" xfId="0" applyNumberFormat="1" applyFont="1" applyBorder="1" applyAlignment="1">
      <alignment horizontal="center"/>
    </xf>
    <xf numFmtId="0" fontId="11" fillId="0" borderId="0" xfId="0" applyFont="1" applyBorder="1" applyAlignment="1">
      <alignment horizontal="left"/>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0" xfId="0" applyFont="1" applyAlignment="1">
      <alignment horizontal="center"/>
    </xf>
    <xf numFmtId="165" fontId="0" fillId="0" borderId="0" xfId="0" applyNumberFormat="1" applyAlignment="1">
      <alignment horizontal="center"/>
    </xf>
    <xf numFmtId="0" fontId="15" fillId="0" borderId="0" xfId="0" applyFont="1" applyBorder="1" applyAlignment="1">
      <alignment horizontal="center"/>
    </xf>
    <xf numFmtId="0" fontId="15" fillId="0" borderId="0" xfId="0" applyFont="1" applyBorder="1"/>
    <xf numFmtId="0" fontId="15" fillId="0" borderId="0" xfId="0" applyFont="1" applyBorder="1" applyAlignment="1">
      <alignment horizontal="center"/>
    </xf>
    <xf numFmtId="16" fontId="15" fillId="0" borderId="0" xfId="0" applyNumberFormat="1" applyFont="1" applyBorder="1" applyAlignment="1">
      <alignment horizontal="center"/>
    </xf>
    <xf numFmtId="0" fontId="15" fillId="0" borderId="0" xfId="0" quotePrefix="1" applyFont="1" applyBorder="1" applyAlignment="1">
      <alignment horizontal="center"/>
    </xf>
    <xf numFmtId="165" fontId="15" fillId="0" borderId="0" xfId="0" applyNumberFormat="1" applyFont="1" applyBorder="1" applyAlignment="1">
      <alignment horizontal="center"/>
    </xf>
    <xf numFmtId="0" fontId="23" fillId="0" borderId="0" xfId="0" applyFont="1" applyBorder="1" applyAlignment="1">
      <alignment horizontal="center"/>
    </xf>
    <xf numFmtId="166" fontId="15" fillId="0" borderId="0" xfId="0" applyNumberFormat="1" applyFont="1" applyBorder="1" applyAlignment="1">
      <alignment horizontal="center"/>
    </xf>
    <xf numFmtId="0" fontId="15" fillId="0" borderId="1" xfId="0" applyFont="1" applyBorder="1" applyAlignment="1">
      <alignment horizontal="center"/>
    </xf>
    <xf numFmtId="164" fontId="15" fillId="0" borderId="0" xfId="0" applyNumberFormat="1" applyFont="1" applyBorder="1"/>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3" xfId="0" applyFont="1" applyBorder="1" applyAlignment="1">
      <alignment horizontal="center"/>
    </xf>
    <xf numFmtId="0" fontId="0" fillId="0" borderId="1" xfId="0" applyBorder="1" applyAlignment="1">
      <alignment horizontal="left"/>
    </xf>
    <xf numFmtId="1" fontId="0" fillId="0" borderId="0" xfId="0" applyNumberFormat="1" applyBorder="1" applyAlignment="1">
      <alignment horizontal="center"/>
    </xf>
    <xf numFmtId="1" fontId="11" fillId="0" borderId="0" xfId="0" applyNumberFormat="1" applyFont="1" applyBorder="1" applyAlignment="1">
      <alignment horizontal="center"/>
    </xf>
    <xf numFmtId="1" fontId="0" fillId="0" borderId="0" xfId="0" applyNumberFormat="1" applyAlignment="1">
      <alignment horizontal="center"/>
    </xf>
    <xf numFmtId="2" fontId="15" fillId="0" borderId="1" xfId="0" applyNumberFormat="1" applyFont="1" applyBorder="1" applyAlignment="1">
      <alignment horizontal="center"/>
    </xf>
    <xf numFmtId="0" fontId="15" fillId="0" borderId="7" xfId="0" applyFont="1" applyBorder="1" applyAlignment="1">
      <alignment horizontal="center"/>
    </xf>
    <xf numFmtId="165" fontId="15" fillId="0" borderId="1" xfId="0" applyNumberFormat="1" applyFont="1" applyBorder="1" applyAlignment="1">
      <alignment horizontal="center"/>
    </xf>
    <xf numFmtId="164" fontId="0" fillId="0" borderId="0" xfId="0" applyNumberFormat="1" applyFont="1" applyAlignment="1">
      <alignment horizontal="center"/>
    </xf>
    <xf numFmtId="0" fontId="0" fillId="0" borderId="3" xfId="0" applyFont="1" applyBorder="1" applyAlignment="1">
      <alignment horizontal="center"/>
    </xf>
    <xf numFmtId="0" fontId="0" fillId="0" borderId="6" xfId="0" applyFont="1" applyBorder="1" applyAlignment="1"/>
    <xf numFmtId="164" fontId="13" fillId="0" borderId="7" xfId="0" applyNumberFormat="1" applyFont="1" applyBorder="1" applyAlignment="1">
      <alignment horizontal="center"/>
    </xf>
    <xf numFmtId="164" fontId="0" fillId="0" borderId="6" xfId="0" applyNumberFormat="1" applyFont="1" applyBorder="1" applyAlignment="1">
      <alignment horizontal="center"/>
    </xf>
    <xf numFmtId="164" fontId="0" fillId="0" borderId="12" xfId="0" applyNumberFormat="1" applyFont="1" applyBorder="1" applyAlignment="1">
      <alignment horizontal="center"/>
    </xf>
    <xf numFmtId="164" fontId="0" fillId="0" borderId="2" xfId="0" applyNumberFormat="1" applyFont="1" applyBorder="1" applyAlignment="1">
      <alignment horizontal="center"/>
    </xf>
    <xf numFmtId="164" fontId="21" fillId="0" borderId="2" xfId="0" applyNumberFormat="1"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1" fillId="0" borderId="4" xfId="0" applyFont="1" applyBorder="1" applyAlignment="1">
      <alignment horizontal="center"/>
    </xf>
    <xf numFmtId="0" fontId="21" fillId="0" borderId="0" xfId="0" applyFont="1" applyBorder="1" applyAlignment="1">
      <alignment horizontal="center"/>
    </xf>
    <xf numFmtId="0" fontId="21" fillId="0" borderId="2" xfId="0" applyFont="1"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2"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165" fontId="0" fillId="0" borderId="0" xfId="0" applyNumberFormat="1" applyAlignment="1">
      <alignment horizontal="center"/>
    </xf>
    <xf numFmtId="169" fontId="0" fillId="0" borderId="0" xfId="0" applyNumberFormat="1" applyAlignment="1">
      <alignment horizontal="center"/>
    </xf>
    <xf numFmtId="169" fontId="0" fillId="0" borderId="1" xfId="0" applyNumberFormat="1" applyBorder="1" applyAlignment="1">
      <alignment horizontal="center"/>
    </xf>
    <xf numFmtId="0" fontId="23" fillId="0" borderId="1" xfId="0" applyFont="1" applyBorder="1" applyAlignment="1">
      <alignment horizontal="center"/>
    </xf>
    <xf numFmtId="0" fontId="24" fillId="0" borderId="0" xfId="0" applyFont="1" applyBorder="1" applyAlignment="1">
      <alignment horizontal="center"/>
    </xf>
    <xf numFmtId="165" fontId="24" fillId="0" borderId="0" xfId="0" applyNumberFormat="1" applyFont="1" applyBorder="1" applyAlignment="1">
      <alignment horizontal="center"/>
    </xf>
    <xf numFmtId="165" fontId="23" fillId="0" borderId="1" xfId="0" applyNumberFormat="1" applyFont="1" applyBorder="1" applyAlignment="1">
      <alignment horizontal="center"/>
    </xf>
    <xf numFmtId="0" fontId="15" fillId="2" borderId="0" xfId="0" applyFont="1" applyFill="1" applyAlignment="1">
      <alignment horizontal="center"/>
    </xf>
    <xf numFmtId="0" fontId="15" fillId="2" borderId="0" xfId="0" applyFont="1" applyFill="1" applyBorder="1" applyAlignment="1">
      <alignment horizontal="center"/>
    </xf>
    <xf numFmtId="0" fontId="15" fillId="2" borderId="1" xfId="0" applyFont="1" applyFill="1" applyBorder="1" applyAlignment="1">
      <alignment horizontal="center"/>
    </xf>
    <xf numFmtId="0" fontId="24" fillId="2" borderId="0" xfId="0" applyFont="1" applyFill="1" applyBorder="1" applyAlignment="1">
      <alignment horizontal="center"/>
    </xf>
  </cellXfs>
  <cellStyles count="1">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Phase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WilliamsOpt!$D$18:$D$28</c:f>
              <c:numCache>
                <c:formatCode>0.000</c:formatCode>
                <c:ptCount val="11"/>
                <c:pt idx="0">
                  <c:v>0.01</c:v>
                </c:pt>
                <c:pt idx="1">
                  <c:v>1.2E-2</c:v>
                </c:pt>
                <c:pt idx="2">
                  <c:v>1.4E-2</c:v>
                </c:pt>
                <c:pt idx="3">
                  <c:v>1.6E-2</c:v>
                </c:pt>
                <c:pt idx="4">
                  <c:v>1.7999999999999999E-2</c:v>
                </c:pt>
                <c:pt idx="5">
                  <c:v>0.02</c:v>
                </c:pt>
                <c:pt idx="6">
                  <c:v>2.1999999999999999E-2</c:v>
                </c:pt>
                <c:pt idx="7">
                  <c:v>2.4E-2</c:v>
                </c:pt>
                <c:pt idx="8">
                  <c:v>2.5999999999999999E-2</c:v>
                </c:pt>
                <c:pt idx="9">
                  <c:v>2.8000000000000001E-2</c:v>
                </c:pt>
                <c:pt idx="10">
                  <c:v>0.03</c:v>
                </c:pt>
              </c:numCache>
            </c:numRef>
          </c:xVal>
          <c:yVal>
            <c:numRef>
              <c:f>WilliamsOpt!$J$18:$J$28</c:f>
              <c:numCache>
                <c:formatCode>0.000000</c:formatCode>
                <c:ptCount val="11"/>
                <c:pt idx="0">
                  <c:v>2.5134988477185666E-2</c:v>
                </c:pt>
                <c:pt idx="1">
                  <c:v>1.7320371934396131E-2</c:v>
                </c:pt>
                <c:pt idx="2">
                  <c:v>1.1410151131692746E-2</c:v>
                </c:pt>
                <c:pt idx="3">
                  <c:v>1.0649836798087529E-2</c:v>
                </c:pt>
                <c:pt idx="4">
                  <c:v>2.7363480061235288E-3</c:v>
                </c:pt>
                <c:pt idx="5">
                  <c:v>5.6932689259575307E-3</c:v>
                </c:pt>
                <c:pt idx="6">
                  <c:v>3.8961915859796726E-3</c:v>
                </c:pt>
                <c:pt idx="7">
                  <c:v>8.1937261199044251E-3</c:v>
                </c:pt>
                <c:pt idx="8">
                  <c:v>1.5621852104139368E-2</c:v>
                </c:pt>
                <c:pt idx="9">
                  <c:v>1.7776978915533238E-2</c:v>
                </c:pt>
                <c:pt idx="10">
                  <c:v>3.1350788631901501E-2</c:v>
                </c:pt>
              </c:numCache>
            </c:numRef>
          </c:yVal>
          <c:smooth val="1"/>
          <c:extLst>
            <c:ext xmlns:c16="http://schemas.microsoft.com/office/drawing/2014/chart" uri="{C3380CC4-5D6E-409C-BE32-E72D297353CC}">
              <c16:uniqueId val="{00000000-620B-4599-9191-1C05947C722C}"/>
            </c:ext>
          </c:extLst>
        </c:ser>
        <c:dLbls>
          <c:showLegendKey val="0"/>
          <c:showVal val="0"/>
          <c:showCatName val="0"/>
          <c:showSerName val="0"/>
          <c:showPercent val="0"/>
          <c:showBubbleSize val="0"/>
        </c:dLbls>
        <c:axId val="574646848"/>
        <c:axId val="814491552"/>
      </c:scatterChart>
      <c:valAx>
        <c:axId val="574646848"/>
        <c:scaling>
          <c:orientation val="minMax"/>
          <c:max val="3.0000000000000006E-2"/>
          <c:min val="1.0000000000000002E-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91552"/>
        <c:crosses val="autoZero"/>
        <c:crossBetween val="midCat"/>
        <c:majorUnit val="2.0000000000000005E-3"/>
      </c:valAx>
      <c:valAx>
        <c:axId val="814491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Phase</a:t>
            </a:r>
            <a:r>
              <a:rPr lang="en-GB" baseline="0"/>
              <a: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WilliamsOpt!$L$18:$L$29</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WilliamsOpt!$AF$18:$AF$29</c:f>
              <c:numCache>
                <c:formatCode>0.000000</c:formatCode>
                <c:ptCount val="12"/>
                <c:pt idx="0">
                  <c:v>7.2703712804568416E-2</c:v>
                </c:pt>
                <c:pt idx="1">
                  <c:v>5.6257974633107416E-2</c:v>
                </c:pt>
                <c:pt idx="2">
                  <c:v>3.6466051818481449E-2</c:v>
                </c:pt>
                <c:pt idx="3">
                  <c:v>3.0216812884950973E-2</c:v>
                </c:pt>
                <c:pt idx="4">
                  <c:v>8.7066327624742319E-3</c:v>
                </c:pt>
                <c:pt idx="5">
                  <c:v>6.5383963003709539E-3</c:v>
                </c:pt>
                <c:pt idx="6">
                  <c:v>4.2475511644751002E-4</c:v>
                </c:pt>
                <c:pt idx="7">
                  <c:v>2.509694284588086E-3</c:v>
                </c:pt>
                <c:pt idx="8">
                  <c:v>1.4019001159202382E-2</c:v>
                </c:pt>
                <c:pt idx="9">
                  <c:v>1.4413044539151423E-2</c:v>
                </c:pt>
                <c:pt idx="10">
                  <c:v>4.5230829000781361E-2</c:v>
                </c:pt>
                <c:pt idx="11">
                  <c:v>7.0353155398648573E-2</c:v>
                </c:pt>
              </c:numCache>
            </c:numRef>
          </c:yVal>
          <c:smooth val="0"/>
          <c:extLst>
            <c:ext xmlns:c16="http://schemas.microsoft.com/office/drawing/2014/chart" uri="{C3380CC4-5D6E-409C-BE32-E72D297353CC}">
              <c16:uniqueId val="{00000000-3988-447A-9BF1-CF8467CC6843}"/>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0"/>
          </c:trendline>
          <c:xVal>
            <c:numRef>
              <c:f>WilliamsOpt!$L$31:$L$42</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WilliamsOpt!$AF$31:$AF$42</c:f>
              <c:numCache>
                <c:formatCode>0.000000</c:formatCode>
                <c:ptCount val="12"/>
                <c:pt idx="0">
                  <c:v>5.8172529221594001E-2</c:v>
                </c:pt>
                <c:pt idx="1">
                  <c:v>4.0681931610418304E-2</c:v>
                </c:pt>
                <c:pt idx="2">
                  <c:v>2.1073889249736626E-2</c:v>
                </c:pt>
                <c:pt idx="3">
                  <c:v>1.9124054707254139E-2</c:v>
                </c:pt>
                <c:pt idx="4">
                  <c:v>6.4195246114701144E-3</c:v>
                </c:pt>
                <c:pt idx="5">
                  <c:v>8.5530432398114463E-4</c:v>
                </c:pt>
                <c:pt idx="6">
                  <c:v>2.246473231349227E-4</c:v>
                </c:pt>
                <c:pt idx="7">
                  <c:v>2.9468036210980571E-3</c:v>
                </c:pt>
                <c:pt idx="8">
                  <c:v>1.6816344815455433E-2</c:v>
                </c:pt>
                <c:pt idx="9">
                  <c:v>4.370274739204956E-2</c:v>
                </c:pt>
                <c:pt idx="10">
                  <c:v>6.3418804793862388E-2</c:v>
                </c:pt>
                <c:pt idx="11">
                  <c:v>8.6758693841073348E-2</c:v>
                </c:pt>
              </c:numCache>
            </c:numRef>
          </c:yVal>
          <c:smooth val="0"/>
          <c:extLst>
            <c:ext xmlns:c16="http://schemas.microsoft.com/office/drawing/2014/chart" uri="{C3380CC4-5D6E-409C-BE32-E72D297353CC}">
              <c16:uniqueId val="{00000001-5C48-456C-9DD9-8E0CE8D3708F}"/>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3"/>
            <c:dispRSqr val="0"/>
            <c:dispEq val="0"/>
          </c:trendline>
          <c:xVal>
            <c:numRef>
              <c:f>WilliamsOpt!$L$18:$L$29</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WilliamsOpt!$AF$44:$AF$55</c:f>
              <c:numCache>
                <c:formatCode>0.000000</c:formatCode>
                <c:ptCount val="12"/>
                <c:pt idx="0">
                  <c:v>5.2280391687654811E-3</c:v>
                </c:pt>
                <c:pt idx="1">
                  <c:v>1.8688724698469512E-4</c:v>
                </c:pt>
                <c:pt idx="2">
                  <c:v>5.600253733300532E-4</c:v>
                </c:pt>
                <c:pt idx="3">
                  <c:v>2.4643213502358874E-3</c:v>
                </c:pt>
                <c:pt idx="4">
                  <c:v>6.10417417169044E-3</c:v>
                </c:pt>
                <c:pt idx="5">
                  <c:v>1.6280400527627997E-2</c:v>
                </c:pt>
                <c:pt idx="6">
                  <c:v>2.6214679489715825E-2</c:v>
                </c:pt>
                <c:pt idx="7">
                  <c:v>3.931779248125044E-2</c:v>
                </c:pt>
                <c:pt idx="8">
                  <c:v>6.3267358232003745E-2</c:v>
                </c:pt>
                <c:pt idx="9">
                  <c:v>7.825716052377478E-2</c:v>
                </c:pt>
                <c:pt idx="10">
                  <c:v>0.1124011506240901</c:v>
                </c:pt>
                <c:pt idx="11">
                  <c:v>0.13755036176383181</c:v>
                </c:pt>
              </c:numCache>
            </c:numRef>
          </c:yVal>
          <c:smooth val="0"/>
          <c:extLst>
            <c:ext xmlns:c16="http://schemas.microsoft.com/office/drawing/2014/chart" uri="{C3380CC4-5D6E-409C-BE32-E72D297353CC}">
              <c16:uniqueId val="{00000003-5C48-456C-9DD9-8E0CE8D3708F}"/>
            </c:ext>
          </c:extLst>
        </c:ser>
        <c:dLbls>
          <c:showLegendKey val="0"/>
          <c:showVal val="0"/>
          <c:showCatName val="0"/>
          <c:showSerName val="0"/>
          <c:showPercent val="0"/>
          <c:showBubbleSize val="0"/>
        </c:dLbls>
        <c:axId val="2080258287"/>
        <c:axId val="2091597295"/>
      </c:scatterChart>
      <c:valAx>
        <c:axId val="208025828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97295"/>
        <c:crosses val="autoZero"/>
        <c:crossBetween val="midCat"/>
      </c:valAx>
      <c:valAx>
        <c:axId val="2091597295"/>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58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WilliamsOpt!$L$18:$L$29</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WilliamsOpt!$AG$18:$AG$29</c:f>
              <c:numCache>
                <c:formatCode>0.000000</c:formatCode>
                <c:ptCount val="12"/>
                <c:pt idx="0">
                  <c:v>4.5368093731642634E-2</c:v>
                </c:pt>
                <c:pt idx="1">
                  <c:v>3.237559783017014E-2</c:v>
                </c:pt>
                <c:pt idx="2">
                  <c:v>1.9366655480516044E-2</c:v>
                </c:pt>
                <c:pt idx="3">
                  <c:v>1.7268396314147002E-2</c:v>
                </c:pt>
                <c:pt idx="4">
                  <c:v>7.0767771818782618E-3</c:v>
                </c:pt>
                <c:pt idx="5">
                  <c:v>7.8913670506600316E-3</c:v>
                </c:pt>
                <c:pt idx="6">
                  <c:v>8.954693976432752E-3</c:v>
                </c:pt>
                <c:pt idx="7">
                  <c:v>1.4924763462312194E-2</c:v>
                </c:pt>
                <c:pt idx="8">
                  <c:v>3.1367568068887186E-2</c:v>
                </c:pt>
                <c:pt idx="9">
                  <c:v>4.5457650818325257E-2</c:v>
                </c:pt>
                <c:pt idx="10">
                  <c:v>7.3683594806244618E-2</c:v>
                </c:pt>
                <c:pt idx="11">
                  <c:v>9.8220737001184569E-2</c:v>
                </c:pt>
              </c:numCache>
            </c:numRef>
          </c:yVal>
          <c:smooth val="0"/>
          <c:extLst>
            <c:ext xmlns:c16="http://schemas.microsoft.com/office/drawing/2014/chart" uri="{C3380CC4-5D6E-409C-BE32-E72D297353CC}">
              <c16:uniqueId val="{00000000-4F59-4F20-B15F-DBDD305CBBB7}"/>
            </c:ext>
          </c:extLst>
        </c:ser>
        <c:dLbls>
          <c:showLegendKey val="0"/>
          <c:showVal val="0"/>
          <c:showCatName val="0"/>
          <c:showSerName val="0"/>
          <c:showPercent val="0"/>
          <c:showBubbleSize val="0"/>
        </c:dLbls>
        <c:axId val="1955313759"/>
        <c:axId val="2091588143"/>
      </c:scatterChart>
      <c:valAx>
        <c:axId val="19553137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8143"/>
        <c:crosses val="autoZero"/>
        <c:crossBetween val="midCat"/>
      </c:valAx>
      <c:valAx>
        <c:axId val="2091588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13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GMX_dihedral!$B$3:$B$21</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GMX_dihedral!$E$3:$E$21</c:f>
              <c:numCache>
                <c:formatCode>0.000</c:formatCode>
                <c:ptCount val="19"/>
                <c:pt idx="0">
                  <c:v>18.065689994812178</c:v>
                </c:pt>
                <c:pt idx="1">
                  <c:v>16.941222268000001</c:v>
                </c:pt>
                <c:pt idx="2">
                  <c:v>14.054304579999998</c:v>
                </c:pt>
                <c:pt idx="3">
                  <c:v>10.43610681</c:v>
                </c:pt>
                <c:pt idx="4">
                  <c:v>6.9821504999999995</c:v>
                </c:pt>
                <c:pt idx="5">
                  <c:v>4.2098869499999996</c:v>
                </c:pt>
                <c:pt idx="6">
                  <c:v>2.4222678839999996</c:v>
                </c:pt>
                <c:pt idx="7">
                  <c:v>1.9092960749999999</c:v>
                </c:pt>
                <c:pt idx="8">
                  <c:v>2.8848786089999998</c:v>
                </c:pt>
                <c:pt idx="9">
                  <c:v>5.1768012999999993</c:v>
                </c:pt>
                <c:pt idx="10">
                  <c:v>8.0717542000000009</c:v>
                </c:pt>
                <c:pt idx="11">
                  <c:v>10.537994953999998</c:v>
                </c:pt>
                <c:pt idx="12">
                  <c:v>11.61978440293</c:v>
                </c:pt>
                <c:pt idx="13">
                  <c:v>10.876463528</c:v>
                </c:pt>
                <c:pt idx="14">
                  <c:v>8.6093872199999986</c:v>
                </c:pt>
                <c:pt idx="15">
                  <c:v>5.6085655200000009</c:v>
                </c:pt>
                <c:pt idx="16">
                  <c:v>2.74394918</c:v>
                </c:pt>
                <c:pt idx="17">
                  <c:v>0.7243949190000003</c:v>
                </c:pt>
                <c:pt idx="18">
                  <c:v>-4.6980797030471422E-10</c:v>
                </c:pt>
              </c:numCache>
            </c:numRef>
          </c:yVal>
          <c:smooth val="1"/>
          <c:extLst>
            <c:ext xmlns:c16="http://schemas.microsoft.com/office/drawing/2014/chart" uri="{C3380CC4-5D6E-409C-BE32-E72D297353CC}">
              <c16:uniqueId val="{00000000-4FAB-A449-A60D-B752BB2BDA4D}"/>
            </c:ext>
          </c:extLst>
        </c:ser>
        <c:dLbls>
          <c:showLegendKey val="0"/>
          <c:showVal val="0"/>
          <c:showCatName val="0"/>
          <c:showSerName val="0"/>
          <c:showPercent val="0"/>
          <c:showBubbleSize val="0"/>
        </c:dLbls>
        <c:axId val="2021679072"/>
        <c:axId val="1999267104"/>
      </c:scatterChart>
      <c:valAx>
        <c:axId val="2021679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7104"/>
        <c:crosses val="autoZero"/>
        <c:crossBetween val="midCat"/>
      </c:valAx>
      <c:valAx>
        <c:axId val="19992671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7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GMX_dihedral!$B$24:$B$60</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xVal>
          <c:yVal>
            <c:numRef>
              <c:f>GMX_dihedral!$E$24:$E$60</c:f>
              <c:numCache>
                <c:formatCode>0.000</c:formatCode>
                <c:ptCount val="37"/>
                <c:pt idx="0">
                  <c:v>18.065679994763531</c:v>
                </c:pt>
                <c:pt idx="1">
                  <c:v>17.775864836</c:v>
                </c:pt>
                <c:pt idx="2">
                  <c:v>16.941212045</c:v>
                </c:pt>
                <c:pt idx="3">
                  <c:v>15.65714852</c:v>
                </c:pt>
                <c:pt idx="4">
                  <c:v>14.054295179999999</c:v>
                </c:pt>
                <c:pt idx="5">
                  <c:v>12.2718715</c:v>
                </c:pt>
                <c:pt idx="6">
                  <c:v>10.436095959999999</c:v>
                </c:pt>
                <c:pt idx="7">
                  <c:v>8.6481292199999995</c:v>
                </c:pt>
                <c:pt idx="8">
                  <c:v>6.98213814</c:v>
                </c:pt>
                <c:pt idx="9">
                  <c:v>5.4899622700000004</c:v>
                </c:pt>
                <c:pt idx="10">
                  <c:v>4.2098770099999996</c:v>
                </c:pt>
                <c:pt idx="11">
                  <c:v>3.1755449039999997</c:v>
                </c:pt>
                <c:pt idx="12">
                  <c:v>2.422258008</c:v>
                </c:pt>
                <c:pt idx="13">
                  <c:v>1.9881607490000002</c:v>
                </c:pt>
                <c:pt idx="14">
                  <c:v>1.909286204</c:v>
                </c:pt>
                <c:pt idx="15">
                  <c:v>2.208952773</c:v>
                </c:pt>
                <c:pt idx="16">
                  <c:v>2.8848772559999993</c:v>
                </c:pt>
                <c:pt idx="17">
                  <c:v>3.89930384</c:v>
                </c:pt>
                <c:pt idx="18">
                  <c:v>5.1767918599999998</c:v>
                </c:pt>
                <c:pt idx="19">
                  <c:v>6.6102160699999999</c:v>
                </c:pt>
                <c:pt idx="20">
                  <c:v>8.0717308599999988</c:v>
                </c:pt>
                <c:pt idx="21">
                  <c:v>9.4250502600000008</c:v>
                </c:pt>
                <c:pt idx="22">
                  <c:v>10.53798214</c:v>
                </c:pt>
                <c:pt idx="23">
                  <c:v>11.296380275000001</c:v>
                </c:pt>
                <c:pt idx="24">
                  <c:v>11.6197743533</c:v>
                </c:pt>
                <c:pt idx="25">
                  <c:v>11.473986269000001</c:v>
                </c:pt>
                <c:pt idx="26">
                  <c:v>10.876454217999999</c:v>
                </c:pt>
                <c:pt idx="27">
                  <c:v>9.890213825</c:v>
                </c:pt>
                <c:pt idx="28">
                  <c:v>8.6093775199999989</c:v>
                </c:pt>
                <c:pt idx="29">
                  <c:v>7.1443963900000007</c:v>
                </c:pt>
                <c:pt idx="30">
                  <c:v>5.6085474800000004</c:v>
                </c:pt>
                <c:pt idx="31">
                  <c:v>4.1095665600000002</c:v>
                </c:pt>
                <c:pt idx="32">
                  <c:v>2.7439441100000002</c:v>
                </c:pt>
                <c:pt idx="33">
                  <c:v>1.5937170999999999</c:v>
                </c:pt>
                <c:pt idx="34">
                  <c:v>0.72437861000000026</c:v>
                </c:pt>
                <c:pt idx="35">
                  <c:v>0.18350240150000019</c:v>
                </c:pt>
                <c:pt idx="36">
                  <c:v>-5.9488800552287557E-9</c:v>
                </c:pt>
              </c:numCache>
            </c:numRef>
          </c:yVal>
          <c:smooth val="1"/>
          <c:extLst>
            <c:ext xmlns:c16="http://schemas.microsoft.com/office/drawing/2014/chart" uri="{C3380CC4-5D6E-409C-BE32-E72D297353CC}">
              <c16:uniqueId val="{00000000-7076-4609-95EB-D94FA8B80212}"/>
            </c:ext>
          </c:extLst>
        </c:ser>
        <c:dLbls>
          <c:showLegendKey val="0"/>
          <c:showVal val="0"/>
          <c:showCatName val="0"/>
          <c:showSerName val="0"/>
          <c:showPercent val="0"/>
          <c:showBubbleSize val="0"/>
        </c:dLbls>
        <c:axId val="1196932623"/>
        <c:axId val="1101273791"/>
      </c:scatterChart>
      <c:valAx>
        <c:axId val="1196932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73791"/>
        <c:crosses val="autoZero"/>
        <c:crossBetween val="midCat"/>
      </c:valAx>
      <c:valAx>
        <c:axId val="110127379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3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609600</xdr:colOff>
      <xdr:row>1</xdr:row>
      <xdr:rowOff>57149</xdr:rowOff>
    </xdr:from>
    <xdr:to>
      <xdr:col>15</xdr:col>
      <xdr:colOff>219075</xdr:colOff>
      <xdr:row>13</xdr:row>
      <xdr:rowOff>57149</xdr:rowOff>
    </xdr:to>
    <xdr:graphicFrame macro="">
      <xdr:nvGraphicFramePr>
        <xdr:cNvPr id="3" name="Chart 2">
          <a:extLst>
            <a:ext uri="{FF2B5EF4-FFF2-40B4-BE49-F238E27FC236}">
              <a16:creationId xmlns:a16="http://schemas.microsoft.com/office/drawing/2014/main" id="{E7C9A876-38B6-4960-A806-1DA94CE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76199</xdr:colOff>
      <xdr:row>1</xdr:row>
      <xdr:rowOff>0</xdr:rowOff>
    </xdr:from>
    <xdr:to>
      <xdr:col>26</xdr:col>
      <xdr:colOff>476250</xdr:colOff>
      <xdr:row>13</xdr:row>
      <xdr:rowOff>152401</xdr:rowOff>
    </xdr:to>
    <xdr:graphicFrame macro="">
      <xdr:nvGraphicFramePr>
        <xdr:cNvPr id="2" name="Chart 1">
          <a:extLst>
            <a:ext uri="{FF2B5EF4-FFF2-40B4-BE49-F238E27FC236}">
              <a16:creationId xmlns:a16="http://schemas.microsoft.com/office/drawing/2014/main" id="{0029156B-4297-4ED9-A2C4-C38B3B296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661987</xdr:colOff>
      <xdr:row>0</xdr:row>
      <xdr:rowOff>152400</xdr:rowOff>
    </xdr:from>
    <xdr:to>
      <xdr:col>36</xdr:col>
      <xdr:colOff>381000</xdr:colOff>
      <xdr:row>13</xdr:row>
      <xdr:rowOff>152400</xdr:rowOff>
    </xdr:to>
    <xdr:graphicFrame macro="">
      <xdr:nvGraphicFramePr>
        <xdr:cNvPr id="4" name="Chart 3">
          <a:extLst>
            <a:ext uri="{FF2B5EF4-FFF2-40B4-BE49-F238E27FC236}">
              <a16:creationId xmlns:a16="http://schemas.microsoft.com/office/drawing/2014/main" id="{CD921B29-1DD1-4642-8AE8-B36AFD91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415925</xdr:colOff>
      <xdr:row>2</xdr:row>
      <xdr:rowOff>95250</xdr:rowOff>
    </xdr:from>
    <xdr:to>
      <xdr:col>12</xdr:col>
      <xdr:colOff>311150</xdr:colOff>
      <xdr:row>21</xdr:row>
      <xdr:rowOff>25400</xdr:rowOff>
    </xdr:to>
    <xdr:graphicFrame macro="">
      <xdr:nvGraphicFramePr>
        <xdr:cNvPr id="2" name="Chart 1">
          <a:extLst>
            <a:ext uri="{FF2B5EF4-FFF2-40B4-BE49-F238E27FC236}">
              <a16:creationId xmlns:a16="http://schemas.microsoft.com/office/drawing/2014/main" id="{53D8096A-1AFC-CB42-96F0-E193146B6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214312</xdr:colOff>
      <xdr:row>22</xdr:row>
      <xdr:rowOff>142875</xdr:rowOff>
    </xdr:from>
    <xdr:to>
      <xdr:col>12</xdr:col>
      <xdr:colOff>333375</xdr:colOff>
      <xdr:row>40</xdr:row>
      <xdr:rowOff>161925</xdr:rowOff>
    </xdr:to>
    <xdr:graphicFrame macro="">
      <xdr:nvGraphicFramePr>
        <xdr:cNvPr id="3" name="Chart 2">
          <a:extLst>
            <a:ext uri="{FF2B5EF4-FFF2-40B4-BE49-F238E27FC236}">
              <a16:creationId xmlns:a16="http://schemas.microsoft.com/office/drawing/2014/main" id="{55CCD923-125D-4209-9384-60868470F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122834</xdr:colOff>
      <xdr:row>15</xdr:row>
      <xdr:rowOff>51415</xdr:rowOff>
    </xdr:from>
    <xdr:to>
      <xdr:col>15</xdr:col>
      <xdr:colOff>723762</xdr:colOff>
      <xdr:row>32</xdr:row>
      <xdr:rowOff>163871</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1:M60"/>
  <sheetViews>
    <sheetView topLeftCell="A10" workbookViewId="0">
      <selection activeCell="J50" sqref="J50"/>
    </sheetView>
  </sheetViews>
  <sheetFormatPr defaultColWidth="9" defaultRowHeight="15.75"/>
  <cols>
    <col min="1" max="2" width="9" style="14"/>
    <col min="3" max="3" width="44.625" style="14" customWidth="1"/>
    <col min="4" max="7" width="12.625" style="14" customWidth="1"/>
    <col min="8" max="8" width="15.125" style="14" customWidth="1"/>
    <col min="9" max="9" width="15.125" style="82" customWidth="1"/>
    <col min="10" max="10" width="12.625" style="14" customWidth="1"/>
    <col min="11" max="12" width="9" style="14"/>
    <col min="13" max="13" width="27.5" style="14" customWidth="1"/>
    <col min="14" max="14" width="17.625" style="14" customWidth="1"/>
    <col min="15" max="15" width="32.5" style="14" customWidth="1"/>
    <col min="16" max="16" width="65.625" style="14" customWidth="1"/>
    <col min="17" max="16384" width="9" style="14"/>
  </cols>
  <sheetData>
    <row r="1" spans="2:13" s="112" customFormat="1">
      <c r="L1" s="15" t="s">
        <v>175</v>
      </c>
      <c r="M1" s="15"/>
    </row>
    <row r="2" spans="2:13" s="112" customFormat="1">
      <c r="L2" s="14">
        <v>0</v>
      </c>
      <c r="M2" s="14" t="s">
        <v>177</v>
      </c>
    </row>
    <row r="3" spans="2:13" s="112" customFormat="1">
      <c r="L3" s="14">
        <v>1</v>
      </c>
      <c r="M3" s="14" t="s">
        <v>176</v>
      </c>
    </row>
    <row r="4" spans="2:13">
      <c r="L4" s="14">
        <v>2</v>
      </c>
      <c r="M4" s="14" t="s">
        <v>207</v>
      </c>
    </row>
    <row r="5" spans="2:13">
      <c r="H5" s="14" t="s">
        <v>162</v>
      </c>
      <c r="I5" s="82" t="s">
        <v>265</v>
      </c>
      <c r="J5" s="14" t="s">
        <v>236</v>
      </c>
      <c r="L5" s="14">
        <v>3</v>
      </c>
      <c r="M5" s="14" t="s">
        <v>206</v>
      </c>
    </row>
    <row r="6" spans="2:13" s="15" customFormat="1">
      <c r="C6" s="15" t="s">
        <v>286</v>
      </c>
      <c r="D6" s="15" t="s">
        <v>169</v>
      </c>
      <c r="E6" s="15" t="s">
        <v>170</v>
      </c>
      <c r="F6" s="15" t="s">
        <v>171</v>
      </c>
      <c r="G6" s="15" t="s">
        <v>172</v>
      </c>
      <c r="H6" s="15" t="s">
        <v>263</v>
      </c>
      <c r="I6" s="15" t="s">
        <v>264</v>
      </c>
      <c r="J6" s="15" t="s">
        <v>235</v>
      </c>
      <c r="L6" s="15">
        <v>4</v>
      </c>
      <c r="M6" s="15" t="s">
        <v>178</v>
      </c>
    </row>
    <row r="7" spans="2:13" ht="15.75" customHeight="1">
      <c r="B7" s="14" t="s">
        <v>42</v>
      </c>
      <c r="C7" s="14" t="s">
        <v>174</v>
      </c>
      <c r="D7" s="14">
        <v>3</v>
      </c>
      <c r="E7" s="14">
        <v>3</v>
      </c>
      <c r="F7" s="14">
        <v>3</v>
      </c>
      <c r="G7" s="14">
        <v>2</v>
      </c>
      <c r="H7" s="14">
        <v>2</v>
      </c>
      <c r="I7" s="82">
        <v>0</v>
      </c>
      <c r="J7" s="14">
        <v>3</v>
      </c>
    </row>
    <row r="8" spans="2:13">
      <c r="C8" s="112" t="s">
        <v>283</v>
      </c>
      <c r="D8" s="14">
        <v>3</v>
      </c>
      <c r="E8" s="14">
        <v>3</v>
      </c>
      <c r="F8" s="14">
        <v>3</v>
      </c>
      <c r="G8" s="14">
        <v>2</v>
      </c>
      <c r="H8" s="14">
        <v>2</v>
      </c>
      <c r="I8" s="82">
        <v>1</v>
      </c>
      <c r="J8" s="14">
        <v>3</v>
      </c>
    </row>
    <row r="9" spans="2:13" s="112" customFormat="1">
      <c r="C9" s="112" t="s">
        <v>285</v>
      </c>
      <c r="D9" s="112">
        <v>0</v>
      </c>
      <c r="E9" s="112">
        <v>3</v>
      </c>
      <c r="F9" s="112">
        <v>0</v>
      </c>
      <c r="G9" s="112">
        <v>0</v>
      </c>
      <c r="H9" s="112">
        <v>0</v>
      </c>
      <c r="I9" s="112">
        <v>0</v>
      </c>
      <c r="J9" s="112">
        <v>0</v>
      </c>
    </row>
    <row r="10" spans="2:13">
      <c r="C10" s="14" t="s">
        <v>287</v>
      </c>
      <c r="D10" s="14">
        <v>0</v>
      </c>
      <c r="E10" s="14">
        <v>0</v>
      </c>
      <c r="F10" s="14">
        <v>0</v>
      </c>
      <c r="G10" s="14">
        <v>0</v>
      </c>
      <c r="H10" s="14">
        <v>0</v>
      </c>
      <c r="I10" s="82">
        <v>0</v>
      </c>
      <c r="J10" s="14">
        <v>0</v>
      </c>
    </row>
    <row r="11" spans="2:13">
      <c r="B11" s="14" t="s">
        <v>41</v>
      </c>
      <c r="C11" s="14" t="s">
        <v>174</v>
      </c>
      <c r="D11" s="14">
        <v>3</v>
      </c>
      <c r="E11" s="14">
        <v>3</v>
      </c>
      <c r="F11" s="14">
        <v>3</v>
      </c>
      <c r="G11" s="14">
        <v>0</v>
      </c>
      <c r="H11" s="14">
        <v>1</v>
      </c>
      <c r="I11" s="82">
        <v>0</v>
      </c>
      <c r="J11" s="14">
        <v>3</v>
      </c>
    </row>
    <row r="12" spans="2:13">
      <c r="C12" s="14" t="s">
        <v>283</v>
      </c>
      <c r="D12" s="14">
        <v>1</v>
      </c>
      <c r="E12" s="14">
        <v>3</v>
      </c>
      <c r="F12" s="14">
        <v>3</v>
      </c>
      <c r="G12" s="14">
        <v>0</v>
      </c>
      <c r="H12" s="14">
        <v>0</v>
      </c>
      <c r="I12" s="82">
        <v>0</v>
      </c>
      <c r="J12" s="14">
        <v>3</v>
      </c>
    </row>
    <row r="13" spans="2:13" s="112" customFormat="1">
      <c r="C13" s="112" t="s">
        <v>285</v>
      </c>
      <c r="D13" s="112">
        <v>0</v>
      </c>
      <c r="E13" s="112">
        <v>3</v>
      </c>
      <c r="F13" s="112">
        <v>0</v>
      </c>
      <c r="G13" s="112">
        <v>0</v>
      </c>
      <c r="H13" s="112">
        <v>0</v>
      </c>
      <c r="I13" s="112">
        <v>0</v>
      </c>
      <c r="J13" s="112">
        <v>0</v>
      </c>
    </row>
    <row r="14" spans="2:13">
      <c r="C14" s="14" t="s">
        <v>287</v>
      </c>
      <c r="D14" s="14">
        <v>0</v>
      </c>
      <c r="E14" s="14">
        <v>0</v>
      </c>
      <c r="F14" s="14">
        <v>0</v>
      </c>
      <c r="G14" s="14">
        <v>0</v>
      </c>
      <c r="H14" s="14">
        <v>0</v>
      </c>
      <c r="I14" s="82">
        <v>0</v>
      </c>
      <c r="J14" s="14">
        <v>0</v>
      </c>
    </row>
    <row r="15" spans="2:13">
      <c r="B15" s="14" t="s">
        <v>33</v>
      </c>
      <c r="C15" s="14" t="s">
        <v>174</v>
      </c>
      <c r="D15" s="14">
        <v>3</v>
      </c>
      <c r="E15" s="14">
        <v>3</v>
      </c>
      <c r="F15" s="14">
        <v>0</v>
      </c>
      <c r="G15" s="14">
        <v>0</v>
      </c>
      <c r="H15" s="14">
        <v>0</v>
      </c>
      <c r="I15" s="82">
        <v>0</v>
      </c>
      <c r="J15" s="14">
        <v>3</v>
      </c>
    </row>
    <row r="16" spans="2:13">
      <c r="C16" s="112" t="s">
        <v>284</v>
      </c>
      <c r="D16" s="14">
        <v>1</v>
      </c>
      <c r="E16" s="14">
        <v>0</v>
      </c>
      <c r="F16" s="14">
        <v>3</v>
      </c>
      <c r="G16" s="14">
        <v>0</v>
      </c>
      <c r="H16" s="14">
        <v>0</v>
      </c>
      <c r="I16" s="82">
        <v>0</v>
      </c>
      <c r="J16" s="14">
        <v>3</v>
      </c>
    </row>
    <row r="17" spans="2:10" s="112" customFormat="1">
      <c r="C17" s="112" t="s">
        <v>283</v>
      </c>
      <c r="D17" s="112">
        <v>0</v>
      </c>
      <c r="E17" s="112">
        <v>0</v>
      </c>
      <c r="F17" s="112">
        <v>0</v>
      </c>
      <c r="G17" s="112">
        <v>0</v>
      </c>
      <c r="H17" s="112">
        <v>0</v>
      </c>
      <c r="I17" s="112">
        <v>0</v>
      </c>
      <c r="J17" s="112">
        <v>0</v>
      </c>
    </row>
    <row r="18" spans="2:10">
      <c r="C18" s="14" t="s">
        <v>287</v>
      </c>
      <c r="D18" s="14">
        <v>0</v>
      </c>
      <c r="E18" s="14">
        <v>0</v>
      </c>
      <c r="F18" s="14">
        <v>0</v>
      </c>
      <c r="G18" s="14">
        <v>0</v>
      </c>
      <c r="H18" s="14">
        <v>0</v>
      </c>
      <c r="I18" s="82">
        <v>0</v>
      </c>
      <c r="J18" s="14">
        <v>0</v>
      </c>
    </row>
    <row r="20" spans="2:10" s="15" customFormat="1">
      <c r="D20" s="15" t="s">
        <v>169</v>
      </c>
      <c r="E20" s="15" t="s">
        <v>170</v>
      </c>
      <c r="F20" s="15" t="s">
        <v>171</v>
      </c>
      <c r="G20" s="15" t="s">
        <v>172</v>
      </c>
      <c r="H20" s="15" t="s">
        <v>263</v>
      </c>
      <c r="I20" s="15" t="s">
        <v>264</v>
      </c>
      <c r="J20" s="15" t="s">
        <v>235</v>
      </c>
    </row>
    <row r="21" spans="2:10">
      <c r="B21" s="14" t="s">
        <v>42</v>
      </c>
      <c r="C21" s="121" t="s">
        <v>174</v>
      </c>
      <c r="J21" s="14" t="s">
        <v>194</v>
      </c>
    </row>
    <row r="22" spans="2:10">
      <c r="C22" s="121" t="s">
        <v>283</v>
      </c>
      <c r="F22" s="14" t="s">
        <v>181</v>
      </c>
      <c r="G22" s="14" t="s">
        <v>181</v>
      </c>
    </row>
    <row r="23" spans="2:10" s="121" customFormat="1">
      <c r="C23" s="121" t="s">
        <v>285</v>
      </c>
    </row>
    <row r="24" spans="2:10">
      <c r="C24" s="121" t="s">
        <v>287</v>
      </c>
    </row>
    <row r="25" spans="2:10">
      <c r="B25" s="14" t="s">
        <v>41</v>
      </c>
      <c r="C25" s="121" t="s">
        <v>174</v>
      </c>
    </row>
    <row r="26" spans="2:10">
      <c r="C26" s="121" t="s">
        <v>283</v>
      </c>
      <c r="D26" s="14" t="s">
        <v>195</v>
      </c>
      <c r="F26" s="14" t="s">
        <v>181</v>
      </c>
      <c r="G26" s="14" t="s">
        <v>181</v>
      </c>
      <c r="J26" s="14" t="s">
        <v>194</v>
      </c>
    </row>
    <row r="27" spans="2:10" s="121" customFormat="1">
      <c r="C27" s="121" t="s">
        <v>285</v>
      </c>
    </row>
    <row r="28" spans="2:10">
      <c r="C28" s="121" t="s">
        <v>287</v>
      </c>
    </row>
    <row r="29" spans="2:10">
      <c r="B29" s="14" t="s">
        <v>33</v>
      </c>
      <c r="C29" s="121" t="s">
        <v>174</v>
      </c>
      <c r="J29" s="14" t="s">
        <v>194</v>
      </c>
    </row>
    <row r="30" spans="2:10">
      <c r="C30" s="121" t="s">
        <v>284</v>
      </c>
      <c r="D30" s="14" t="s">
        <v>194</v>
      </c>
      <c r="F30" s="14" t="s">
        <v>181</v>
      </c>
      <c r="G30" s="14" t="s">
        <v>181</v>
      </c>
    </row>
    <row r="31" spans="2:10" s="121" customFormat="1">
      <c r="C31" s="121" t="s">
        <v>283</v>
      </c>
    </row>
    <row r="32" spans="2:10">
      <c r="C32" s="121" t="s">
        <v>287</v>
      </c>
    </row>
    <row r="36" spans="3:13" s="15" customFormat="1">
      <c r="C36" s="58" t="s">
        <v>180</v>
      </c>
      <c r="M36" s="58" t="s">
        <v>187</v>
      </c>
    </row>
    <row r="37" spans="3:13">
      <c r="C37" s="14" t="s">
        <v>173</v>
      </c>
      <c r="D37" s="56" t="s">
        <v>188</v>
      </c>
      <c r="E37" s="56"/>
      <c r="F37" s="56"/>
      <c r="G37" s="56"/>
      <c r="H37" s="56"/>
      <c r="I37" s="56"/>
      <c r="J37" s="56"/>
      <c r="M37" s="55" t="s">
        <v>174</v>
      </c>
    </row>
    <row r="38" spans="3:13">
      <c r="D38" t="s">
        <v>189</v>
      </c>
      <c r="E38"/>
      <c r="F38"/>
      <c r="G38"/>
      <c r="H38"/>
      <c r="I38"/>
      <c r="J38"/>
      <c r="M38" s="14" t="s">
        <v>158</v>
      </c>
    </row>
    <row r="39" spans="3:13">
      <c r="C39" s="14" t="s">
        <v>182</v>
      </c>
      <c r="D39" t="s">
        <v>183</v>
      </c>
      <c r="E39"/>
      <c r="F39"/>
      <c r="G39"/>
      <c r="H39"/>
      <c r="I39"/>
      <c r="J39"/>
      <c r="M39" s="14" t="s">
        <v>168</v>
      </c>
    </row>
    <row r="40" spans="3:13">
      <c r="D40" t="s">
        <v>184</v>
      </c>
      <c r="E40"/>
      <c r="F40"/>
      <c r="G40"/>
      <c r="H40"/>
      <c r="I40"/>
      <c r="J40"/>
    </row>
    <row r="41" spans="3:13">
      <c r="D41"/>
      <c r="E41"/>
      <c r="F41"/>
      <c r="G41"/>
      <c r="H41"/>
      <c r="I41"/>
      <c r="J41"/>
    </row>
    <row r="42" spans="3:13">
      <c r="D42"/>
      <c r="E42"/>
      <c r="F42"/>
      <c r="G42"/>
      <c r="H42"/>
      <c r="I42"/>
      <c r="J42"/>
    </row>
    <row r="43" spans="3:13">
      <c r="D43"/>
      <c r="E43"/>
      <c r="F43"/>
      <c r="G43"/>
      <c r="H43"/>
      <c r="I43"/>
      <c r="J43"/>
    </row>
    <row r="44" spans="3:13">
      <c r="D44"/>
      <c r="E44"/>
      <c r="F44"/>
      <c r="G44"/>
      <c r="H44"/>
      <c r="I44"/>
      <c r="J44"/>
    </row>
    <row r="45" spans="3:13" s="15" customFormat="1">
      <c r="C45" s="58" t="s">
        <v>185</v>
      </c>
      <c r="D45" s="57"/>
      <c r="E45" s="57"/>
      <c r="F45" s="57"/>
      <c r="G45" s="57"/>
      <c r="H45" s="57"/>
      <c r="I45" s="57"/>
      <c r="J45" s="57"/>
      <c r="M45" s="58" t="s">
        <v>191</v>
      </c>
    </row>
    <row r="46" spans="3:13">
      <c r="C46" s="14" t="s">
        <v>186</v>
      </c>
      <c r="D46" s="44" t="s">
        <v>190</v>
      </c>
      <c r="M46" s="44" t="s">
        <v>219</v>
      </c>
    </row>
    <row r="47" spans="3:13">
      <c r="D47" s="44"/>
      <c r="M47" s="59" t="s">
        <v>200</v>
      </c>
    </row>
    <row r="48" spans="3:13">
      <c r="D48" s="44"/>
      <c r="M48" s="59" t="s">
        <v>196</v>
      </c>
    </row>
    <row r="49" spans="3:13">
      <c r="D49" s="44"/>
      <c r="M49" s="59" t="s">
        <v>201</v>
      </c>
    </row>
    <row r="50" spans="3:13">
      <c r="D50" s="44"/>
      <c r="M50" s="59" t="s">
        <v>226</v>
      </c>
    </row>
    <row r="51" spans="3:13">
      <c r="D51" s="44"/>
      <c r="M51" s="59" t="s">
        <v>227</v>
      </c>
    </row>
    <row r="52" spans="3:13" s="60" customFormat="1">
      <c r="C52" s="60" t="s">
        <v>203</v>
      </c>
      <c r="D52" s="61" t="s">
        <v>202</v>
      </c>
      <c r="M52" s="62" t="s">
        <v>269</v>
      </c>
    </row>
    <row r="53" spans="3:13" s="65" customFormat="1">
      <c r="C53" s="65" t="s">
        <v>172</v>
      </c>
      <c r="D53" s="66" t="s">
        <v>192</v>
      </c>
      <c r="M53" s="66" t="s">
        <v>193</v>
      </c>
    </row>
    <row r="54" spans="3:13" s="65" customFormat="1">
      <c r="C54" s="65" t="s">
        <v>197</v>
      </c>
      <c r="D54" s="66" t="s">
        <v>198</v>
      </c>
      <c r="M54" s="66" t="s">
        <v>199</v>
      </c>
    </row>
    <row r="55" spans="3:13" s="63" customFormat="1">
      <c r="C55" s="63" t="s">
        <v>179</v>
      </c>
      <c r="D55" s="64" t="s">
        <v>204</v>
      </c>
      <c r="M55" s="64" t="s">
        <v>205</v>
      </c>
    </row>
    <row r="56" spans="3:13">
      <c r="D56" s="44"/>
      <c r="M56" s="44"/>
    </row>
    <row r="57" spans="3:13">
      <c r="D57" s="44"/>
      <c r="M57" s="44"/>
    </row>
    <row r="58" spans="3:13">
      <c r="D58" s="44"/>
      <c r="M58" s="44"/>
    </row>
    <row r="59" spans="3:13">
      <c r="M59" s="44"/>
    </row>
    <row r="60" spans="3:13">
      <c r="M60" s="44"/>
    </row>
  </sheetData>
  <conditionalFormatting sqref="L14">
    <cfRule type="colorScale" priority="5">
      <colorScale>
        <cfvo type="min"/>
        <cfvo type="percentile" val="50"/>
        <cfvo type="max"/>
        <color theme="5" tint="0.39997558519241921"/>
        <color theme="7" tint="0.59999389629810485"/>
        <color theme="9" tint="0.59999389629810485"/>
      </colorScale>
    </cfRule>
  </conditionalFormatting>
  <conditionalFormatting sqref="L2:L6 D7:J18">
    <cfRule type="colorScale" priority="8">
      <colorScale>
        <cfvo type="min"/>
        <cfvo type="max"/>
        <color rgb="FFFCFCFF"/>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2:AG57"/>
  <sheetViews>
    <sheetView workbookViewId="0">
      <selection activeCell="L17" sqref="L17:AB28"/>
    </sheetView>
  </sheetViews>
  <sheetFormatPr defaultColWidth="9" defaultRowHeight="15.75"/>
  <cols>
    <col min="1" max="1" width="9" style="105"/>
    <col min="2" max="2" width="17.5" style="105" customWidth="1"/>
    <col min="3" max="3" width="9" style="105"/>
    <col min="4" max="5" width="9" style="78"/>
    <col min="6" max="6" width="9" style="105"/>
    <col min="7" max="7" width="9" style="79"/>
    <col min="8" max="8" width="9" style="78"/>
    <col min="9" max="10" width="10" style="105" customWidth="1"/>
    <col min="11" max="11" width="9" style="105"/>
    <col min="12" max="13" width="9" style="78"/>
    <col min="14" max="14" width="9" style="115"/>
    <col min="15" max="16" width="9" style="78"/>
    <col min="17" max="17" width="9" style="115"/>
    <col min="18" max="19" width="9" style="78"/>
    <col min="20" max="20" width="9" style="115"/>
    <col min="21" max="27" width="9" style="78"/>
    <col min="28" max="28" width="9" style="114"/>
    <col min="29" max="29" width="9" style="117"/>
    <col min="30" max="30" width="9" style="114"/>
    <col min="31" max="31" width="9" style="78"/>
    <col min="32" max="16384" width="9" style="105"/>
  </cols>
  <sheetData>
    <row r="2" spans="2:31">
      <c r="B2" s="198" t="s">
        <v>309</v>
      </c>
      <c r="C2" s="198"/>
      <c r="D2" s="198"/>
    </row>
    <row r="3" spans="2:31">
      <c r="C3" s="105" t="s">
        <v>270</v>
      </c>
    </row>
    <row r="4" spans="2:31">
      <c r="B4" s="80" t="s">
        <v>273</v>
      </c>
      <c r="C4" s="80" t="s">
        <v>274</v>
      </c>
    </row>
    <row r="5" spans="2:31">
      <c r="B5" s="105" t="s">
        <v>271</v>
      </c>
      <c r="C5" s="105">
        <v>113.7</v>
      </c>
      <c r="D5" s="78" t="s">
        <v>281</v>
      </c>
    </row>
    <row r="6" spans="2:31">
      <c r="B6" s="105" t="s">
        <v>272</v>
      </c>
      <c r="C6" s="105">
        <v>109.2</v>
      </c>
    </row>
    <row r="8" spans="2:31">
      <c r="B8" s="105" t="s">
        <v>275</v>
      </c>
    </row>
    <row r="9" spans="2:31" ht="18">
      <c r="D9" s="78" t="s">
        <v>245</v>
      </c>
      <c r="E9" s="78" t="s">
        <v>246</v>
      </c>
      <c r="F9" s="105" t="s">
        <v>71</v>
      </c>
    </row>
    <row r="10" spans="2:31">
      <c r="B10" s="80" t="s">
        <v>80</v>
      </c>
      <c r="C10" s="80" t="s">
        <v>247</v>
      </c>
      <c r="D10" s="80" t="s">
        <v>24</v>
      </c>
      <c r="E10" s="75" t="s">
        <v>22</v>
      </c>
      <c r="F10" s="80" t="s">
        <v>238</v>
      </c>
      <c r="G10" s="106" t="s">
        <v>21</v>
      </c>
      <c r="H10" s="81"/>
      <c r="I10" s="76" t="s">
        <v>240</v>
      </c>
    </row>
    <row r="11" spans="2:31">
      <c r="B11" s="105">
        <v>298</v>
      </c>
      <c r="C11" s="105" t="s">
        <v>42</v>
      </c>
      <c r="D11" s="78">
        <v>0.38700000000000001</v>
      </c>
      <c r="E11" s="79">
        <v>3.093</v>
      </c>
      <c r="F11" s="79">
        <f>1.38064852*$B$11*0.01/(6*PI()*D11*E11)</f>
        <v>0.18235068020809914</v>
      </c>
      <c r="G11" s="102">
        <v>770.1</v>
      </c>
      <c r="I11" s="79">
        <v>2.837297</v>
      </c>
    </row>
    <row r="12" spans="2:31">
      <c r="C12" s="105" t="s">
        <v>41</v>
      </c>
      <c r="D12" s="78">
        <v>0.46100000000000002</v>
      </c>
      <c r="E12" s="79">
        <v>2.5339999999999998</v>
      </c>
      <c r="F12" s="79">
        <f>1.38064852*$B$11*0.01/(6*PI()*D12*E12)</f>
        <v>0.1868489823031268</v>
      </c>
      <c r="G12" s="102">
        <v>764.97</v>
      </c>
    </row>
    <row r="13" spans="2:31">
      <c r="C13" s="105" t="s">
        <v>33</v>
      </c>
      <c r="D13" s="78">
        <v>2.3559999999999999</v>
      </c>
      <c r="E13" s="79">
        <v>0.51049999999999995</v>
      </c>
      <c r="F13" s="79">
        <f>1.38064852*$B$11*0.01/(6*PI()*D13*E13)</f>
        <v>0.18147936047000499</v>
      </c>
      <c r="G13" s="102">
        <v>698.6</v>
      </c>
    </row>
    <row r="15" spans="2:31" s="153" customFormat="1">
      <c r="D15" s="78"/>
      <c r="E15" s="78"/>
      <c r="G15" s="79"/>
      <c r="H15" s="78"/>
      <c r="L15" s="197" t="s">
        <v>280</v>
      </c>
      <c r="M15" s="197"/>
      <c r="N15" s="197"/>
      <c r="O15" s="197"/>
      <c r="P15" s="197"/>
      <c r="Q15" s="197"/>
      <c r="R15" s="197"/>
      <c r="S15" s="197"/>
      <c r="T15" s="197"/>
      <c r="U15" s="197"/>
      <c r="V15" s="78"/>
      <c r="W15" s="78"/>
      <c r="X15" s="78"/>
      <c r="Y15" s="78"/>
      <c r="Z15" s="78"/>
      <c r="AA15" s="78"/>
      <c r="AB15" s="114"/>
      <c r="AC15" s="117"/>
      <c r="AD15" s="114"/>
      <c r="AE15" s="78"/>
    </row>
    <row r="16" spans="2:31">
      <c r="C16" s="198" t="s">
        <v>234</v>
      </c>
      <c r="D16" s="198"/>
      <c r="E16" s="198"/>
      <c r="F16" s="198"/>
      <c r="G16" s="198"/>
      <c r="H16" s="198"/>
      <c r="I16" s="198"/>
      <c r="J16" s="198"/>
      <c r="K16" s="152"/>
      <c r="L16" s="177"/>
      <c r="M16" s="199">
        <v>1</v>
      </c>
      <c r="N16" s="199"/>
      <c r="O16" s="199"/>
      <c r="P16" s="199">
        <v>2</v>
      </c>
      <c r="Q16" s="199"/>
      <c r="R16" s="199"/>
      <c r="S16" s="199">
        <v>3</v>
      </c>
      <c r="T16" s="199"/>
      <c r="U16" s="199"/>
      <c r="V16" s="199">
        <v>4</v>
      </c>
      <c r="W16" s="199"/>
      <c r="X16" s="199"/>
      <c r="Y16" s="199">
        <v>5</v>
      </c>
      <c r="Z16" s="199"/>
      <c r="AA16" s="200"/>
      <c r="AB16" s="194" t="s">
        <v>282</v>
      </c>
      <c r="AC16" s="195"/>
      <c r="AD16" s="196"/>
    </row>
    <row r="17" spans="2:33" s="80" customFormat="1">
      <c r="D17" s="76" t="s">
        <v>232</v>
      </c>
      <c r="E17" s="76" t="s">
        <v>67</v>
      </c>
      <c r="F17" s="75" t="s">
        <v>21</v>
      </c>
      <c r="G17" s="94" t="s">
        <v>24</v>
      </c>
      <c r="H17" s="81" t="s">
        <v>239</v>
      </c>
      <c r="I17" s="80" t="s">
        <v>237</v>
      </c>
      <c r="J17" s="80" t="s">
        <v>248</v>
      </c>
      <c r="K17" s="176"/>
      <c r="L17" s="178" t="s">
        <v>232</v>
      </c>
      <c r="M17" s="76" t="s">
        <v>67</v>
      </c>
      <c r="N17" s="116" t="s">
        <v>21</v>
      </c>
      <c r="O17" s="81" t="s">
        <v>24</v>
      </c>
      <c r="P17" s="76" t="s">
        <v>67</v>
      </c>
      <c r="Q17" s="116" t="s">
        <v>21</v>
      </c>
      <c r="R17" s="81" t="s">
        <v>24</v>
      </c>
      <c r="S17" s="76" t="s">
        <v>67</v>
      </c>
      <c r="T17" s="116" t="s">
        <v>21</v>
      </c>
      <c r="U17" s="81" t="s">
        <v>24</v>
      </c>
      <c r="V17" s="76" t="s">
        <v>67</v>
      </c>
      <c r="W17" s="116" t="s">
        <v>21</v>
      </c>
      <c r="X17" s="81" t="s">
        <v>24</v>
      </c>
      <c r="Y17" s="76" t="s">
        <v>67</v>
      </c>
      <c r="Z17" s="116" t="s">
        <v>21</v>
      </c>
      <c r="AA17" s="81" t="s">
        <v>24</v>
      </c>
      <c r="AB17" s="119" t="s">
        <v>67</v>
      </c>
      <c r="AC17" s="118" t="s">
        <v>21</v>
      </c>
      <c r="AD17" s="120" t="s">
        <v>24</v>
      </c>
      <c r="AE17" s="81" t="s">
        <v>239</v>
      </c>
      <c r="AF17" s="80" t="s">
        <v>237</v>
      </c>
      <c r="AG17" s="80" t="s">
        <v>248</v>
      </c>
    </row>
    <row r="18" spans="2:33">
      <c r="B18" s="105" t="s">
        <v>233</v>
      </c>
      <c r="C18" s="105" t="s">
        <v>42</v>
      </c>
      <c r="D18" s="78">
        <v>0.01</v>
      </c>
      <c r="E18" s="78">
        <v>7.8995300000000004</v>
      </c>
      <c r="F18" s="105">
        <v>781.08799999999997</v>
      </c>
      <c r="G18" s="79">
        <v>0.25740000000000002</v>
      </c>
      <c r="H18" s="78">
        <f>G18/(1-$I$11*$F$11/E18)</f>
        <v>0.27544006268634846</v>
      </c>
      <c r="I18" s="103">
        <f>((F18-$G$11)/$G$11)^2 + ((H18-$D$11)/$D$11)^2</f>
        <v>8.3302353252099337E-2</v>
      </c>
      <c r="J18" s="103">
        <f t="shared" ref="J18:J28" si="0">(I18+I31+I44)/6</f>
        <v>2.5134988477185666E-2</v>
      </c>
      <c r="K18" s="152"/>
      <c r="L18" s="179">
        <v>4.0000000000000001E-3</v>
      </c>
      <c r="M18" s="78">
        <v>7.8986700000000001</v>
      </c>
      <c r="N18" s="115">
        <v>781.34400000000005</v>
      </c>
      <c r="O18" s="78">
        <v>0.25719999999999998</v>
      </c>
      <c r="P18" s="78">
        <v>7.8979400000000002</v>
      </c>
      <c r="Q18" s="115">
        <v>781.56</v>
      </c>
      <c r="R18" s="78">
        <v>0.26740000000000003</v>
      </c>
      <c r="S18" s="78">
        <v>7.8989799999999999</v>
      </c>
      <c r="T18" s="115">
        <v>781.25199999999995</v>
      </c>
      <c r="U18" s="78">
        <v>0.25409999999999999</v>
      </c>
      <c r="V18" s="78">
        <v>7.8992300000000002</v>
      </c>
      <c r="W18" s="78">
        <v>781.178</v>
      </c>
      <c r="X18" s="78">
        <v>0.2787</v>
      </c>
      <c r="Y18" s="78">
        <v>7.8980399999999999</v>
      </c>
      <c r="Z18" s="78">
        <v>781.53099999999995</v>
      </c>
      <c r="AA18" s="180">
        <v>0.26400000000000001</v>
      </c>
      <c r="AB18" s="114">
        <f>AVERAGE(M18,P18,S18,V18,Y18)</f>
        <v>7.8985719999999997</v>
      </c>
      <c r="AC18" s="117">
        <f>AVERAGE(N18,Q18,T18,W18,Z18)</f>
        <v>781.37299999999993</v>
      </c>
      <c r="AD18" s="182">
        <f>AVERAGE(O18,R18,U18,X18,AA18)</f>
        <v>0.26427999999999996</v>
      </c>
      <c r="AE18" s="78">
        <f>AD18/(1-$I$11*$F$11/AB18)</f>
        <v>0.28280465638787661</v>
      </c>
      <c r="AF18" s="103">
        <f>((AC18-$G$11)/$G$11)^2 + ((AE18-$D$11)/$D$11)^2</f>
        <v>7.2703712804568416E-2</v>
      </c>
      <c r="AG18" s="103">
        <f>AVERAGE(AF18,AF31,AF44)</f>
        <v>4.5368093731642634E-2</v>
      </c>
    </row>
    <row r="19" spans="2:33">
      <c r="D19" s="78">
        <v>1.2E-2</v>
      </c>
      <c r="E19" s="78">
        <v>7.90916</v>
      </c>
      <c r="F19" s="105">
        <v>778.23900000000003</v>
      </c>
      <c r="G19" s="79">
        <v>0.2737</v>
      </c>
      <c r="H19" s="78">
        <f t="shared" ref="H19:H28" si="1">G19/(1-$I$11*F$11/E19)</f>
        <v>0.29285746892797232</v>
      </c>
      <c r="I19" s="103">
        <f t="shared" ref="I19:I28" si="2">((F19-$G$11)/$G$11)^2 + ((H19-$D$11)/$D$11)^2</f>
        <v>5.9288271597642751E-2</v>
      </c>
      <c r="J19" s="103">
        <f t="shared" si="0"/>
        <v>1.7320371934396131E-2</v>
      </c>
      <c r="K19" s="152"/>
      <c r="L19" s="179">
        <v>6.0000000000000001E-3</v>
      </c>
      <c r="M19" s="78">
        <v>7.9099700000000004</v>
      </c>
      <c r="N19" s="115">
        <v>778.00099999999998</v>
      </c>
      <c r="O19" s="78">
        <v>0.27550000000000002</v>
      </c>
      <c r="P19" s="78">
        <v>7.91073</v>
      </c>
      <c r="Q19" s="115">
        <v>777.77599999999995</v>
      </c>
      <c r="R19" s="78">
        <v>0.27839999999999998</v>
      </c>
      <c r="S19" s="78">
        <v>7.9091199999999997</v>
      </c>
      <c r="T19" s="115">
        <v>778.24900000000002</v>
      </c>
      <c r="U19" s="78">
        <v>0.28000000000000003</v>
      </c>
      <c r="V19" s="78">
        <v>7.9108900000000002</v>
      </c>
      <c r="W19" s="78">
        <v>777.72799999999995</v>
      </c>
      <c r="X19" s="78">
        <v>0.28889999999999999</v>
      </c>
      <c r="Y19" s="78">
        <v>7.9082699999999999</v>
      </c>
      <c r="Z19" s="78">
        <v>778.50199999999995</v>
      </c>
      <c r="AA19" s="181">
        <v>0.2571</v>
      </c>
      <c r="AB19" s="114">
        <f t="shared" ref="AB19:AB42" si="3">AVERAGE(M19,P19,S19,V19,Y19)</f>
        <v>7.909796</v>
      </c>
      <c r="AC19" s="117">
        <f t="shared" ref="AC19:AC42" si="4">AVERAGE(N19,Q19,T19,W19,Z19)</f>
        <v>778.05119999999999</v>
      </c>
      <c r="AD19" s="182">
        <f t="shared" ref="AD19:AD42" si="5">AVERAGE(O19,R19,U19,X19,AA19)</f>
        <v>0.27598</v>
      </c>
      <c r="AE19" s="78">
        <f t="shared" ref="AE19:AE29" si="6">AD19/(1-$I$11*$F$11/AB19)</f>
        <v>0.29529539424710227</v>
      </c>
      <c r="AF19" s="103">
        <f t="shared" ref="AF19:AF29" si="7">((AC19-$G$11)/$G$11)^2 + ((AE19-$D$11)/$D$11)^2</f>
        <v>5.6257974633107416E-2</v>
      </c>
      <c r="AG19" s="103">
        <f t="shared" ref="AG19:AG29" si="8">AVERAGE(AF19,AF32,AF45)</f>
        <v>3.237559783017014E-2</v>
      </c>
    </row>
    <row r="20" spans="2:33">
      <c r="D20" s="78">
        <v>1.4E-2</v>
      </c>
      <c r="E20" s="78">
        <v>7.9223699999999999</v>
      </c>
      <c r="F20" s="105">
        <v>774.351</v>
      </c>
      <c r="G20" s="79">
        <v>0.28620000000000001</v>
      </c>
      <c r="H20" s="78">
        <f t="shared" si="1"/>
        <v>0.30619666254722505</v>
      </c>
      <c r="I20" s="103">
        <f t="shared" si="2"/>
        <v>4.3625469675994462E-2</v>
      </c>
      <c r="J20" s="103">
        <f t="shared" si="0"/>
        <v>1.1410151131692746E-2</v>
      </c>
      <c r="K20" s="152"/>
      <c r="L20" s="179">
        <v>8.0000000000000002E-3</v>
      </c>
      <c r="M20" s="78">
        <v>7.9215400000000002</v>
      </c>
      <c r="N20" s="115">
        <v>774.596</v>
      </c>
      <c r="O20" s="78">
        <v>0.29189999999999999</v>
      </c>
      <c r="P20" s="78">
        <v>7.9224699999999997</v>
      </c>
      <c r="Q20" s="115">
        <v>774.32299999999998</v>
      </c>
      <c r="R20" s="78">
        <v>0.2944</v>
      </c>
      <c r="S20" s="78">
        <v>7.9214200000000003</v>
      </c>
      <c r="T20" s="115">
        <v>774.63099999999997</v>
      </c>
      <c r="U20" s="78">
        <v>0.30330000000000001</v>
      </c>
      <c r="V20" s="78">
        <v>7.9226200000000002</v>
      </c>
      <c r="W20" s="78">
        <v>774.28</v>
      </c>
      <c r="X20" s="78">
        <v>0.28149999999999997</v>
      </c>
      <c r="Y20" s="78">
        <v>7.9226099999999997</v>
      </c>
      <c r="Z20" s="78">
        <v>774.28200000000004</v>
      </c>
      <c r="AA20" s="181">
        <v>0.2923</v>
      </c>
      <c r="AB20" s="114">
        <f t="shared" si="3"/>
        <v>7.9221320000000004</v>
      </c>
      <c r="AC20" s="117">
        <f t="shared" si="4"/>
        <v>774.42240000000004</v>
      </c>
      <c r="AD20" s="182">
        <f t="shared" si="5"/>
        <v>0.29268</v>
      </c>
      <c r="AE20" s="78">
        <f t="shared" si="6"/>
        <v>0.31313007444659918</v>
      </c>
      <c r="AF20" s="103">
        <f t="shared" si="7"/>
        <v>3.6466051818481449E-2</v>
      </c>
      <c r="AG20" s="103">
        <f t="shared" si="8"/>
        <v>1.9366655480516044E-2</v>
      </c>
    </row>
    <row r="21" spans="2:33">
      <c r="D21" s="78">
        <v>1.6E-2</v>
      </c>
      <c r="E21" s="78">
        <v>7.9333499999999999</v>
      </c>
      <c r="F21" s="105">
        <v>771.14099999999996</v>
      </c>
      <c r="G21" s="79">
        <v>0.28079999999999999</v>
      </c>
      <c r="H21" s="78">
        <f t="shared" si="1"/>
        <v>0.30039031880609957</v>
      </c>
      <c r="I21" s="103">
        <f t="shared" si="2"/>
        <v>5.0087204613357361E-2</v>
      </c>
      <c r="J21" s="103">
        <f t="shared" si="0"/>
        <v>1.0649836798087529E-2</v>
      </c>
      <c r="K21" s="152"/>
      <c r="L21" s="179">
        <v>0.01</v>
      </c>
      <c r="M21" s="78">
        <v>7.9352</v>
      </c>
      <c r="N21" s="115">
        <v>770.60199999999998</v>
      </c>
      <c r="O21" s="78">
        <v>0.32690000000000002</v>
      </c>
      <c r="P21" s="78">
        <v>7.9355399999999996</v>
      </c>
      <c r="Q21" s="115">
        <v>770.50199999999995</v>
      </c>
      <c r="R21" s="78">
        <v>0.30230000000000001</v>
      </c>
      <c r="S21" s="78">
        <v>7.9335699999999996</v>
      </c>
      <c r="T21" s="115">
        <v>771.077</v>
      </c>
      <c r="U21" s="78">
        <v>0.29189999999999999</v>
      </c>
      <c r="V21" s="78">
        <v>7.9328099999999999</v>
      </c>
      <c r="W21" s="78">
        <v>771.29899999999998</v>
      </c>
      <c r="X21" s="78">
        <v>0.2878</v>
      </c>
      <c r="Y21" s="78">
        <v>7.9345600000000003</v>
      </c>
      <c r="Z21" s="78">
        <v>770.78700000000003</v>
      </c>
      <c r="AA21" s="181">
        <v>0.28549999999999998</v>
      </c>
      <c r="AB21" s="114">
        <f t="shared" si="3"/>
        <v>7.9343360000000001</v>
      </c>
      <c r="AC21" s="117">
        <f t="shared" si="4"/>
        <v>770.85339999999997</v>
      </c>
      <c r="AD21" s="182">
        <f t="shared" si="5"/>
        <v>0.29888000000000003</v>
      </c>
      <c r="AE21" s="78">
        <f t="shared" si="6"/>
        <v>0.31972891776427509</v>
      </c>
      <c r="AF21" s="103">
        <f t="shared" si="7"/>
        <v>3.0216812884950973E-2</v>
      </c>
      <c r="AG21" s="103">
        <f t="shared" si="8"/>
        <v>1.7268396314147002E-2</v>
      </c>
    </row>
    <row r="22" spans="2:33">
      <c r="D22" s="78">
        <v>1.7999999999999999E-2</v>
      </c>
      <c r="E22" s="78">
        <v>7.9464699999999997</v>
      </c>
      <c r="F22" s="105">
        <v>767.32799999999997</v>
      </c>
      <c r="G22" s="79">
        <v>0.3236</v>
      </c>
      <c r="H22" s="78">
        <f t="shared" si="1"/>
        <v>0.34613643710450576</v>
      </c>
      <c r="I22" s="103">
        <f t="shared" si="2"/>
        <v>1.1162331822304652E-2</v>
      </c>
      <c r="J22" s="103">
        <f t="shared" si="0"/>
        <v>2.7363480061235288E-3</v>
      </c>
      <c r="K22" s="152"/>
      <c r="L22" s="179">
        <v>1.2E-2</v>
      </c>
      <c r="M22" s="78">
        <v>7.9455600000000004</v>
      </c>
      <c r="N22" s="115">
        <v>767.59299999999996</v>
      </c>
      <c r="O22" s="78">
        <v>0.32469999999999999</v>
      </c>
      <c r="P22" s="78">
        <v>7.9457000000000004</v>
      </c>
      <c r="Q22" s="115">
        <v>767.55200000000002</v>
      </c>
      <c r="R22" s="78">
        <v>0.33439999999999998</v>
      </c>
      <c r="S22" s="78">
        <v>7.9440200000000001</v>
      </c>
      <c r="T22" s="115">
        <v>768.03800000000001</v>
      </c>
      <c r="U22" s="78">
        <v>0.31909999999999999</v>
      </c>
      <c r="V22" s="78">
        <v>7.9460899999999999</v>
      </c>
      <c r="W22" s="78">
        <v>767.43799999999999</v>
      </c>
      <c r="X22" s="78">
        <v>0.3422</v>
      </c>
      <c r="Y22" s="78">
        <v>7.9455400000000003</v>
      </c>
      <c r="Z22" s="78">
        <v>767.59699999999998</v>
      </c>
      <c r="AA22" s="181">
        <v>0.31990000000000002</v>
      </c>
      <c r="AB22" s="114">
        <f t="shared" si="3"/>
        <v>7.9453820000000004</v>
      </c>
      <c r="AC22" s="117">
        <f t="shared" si="4"/>
        <v>767.64359999999999</v>
      </c>
      <c r="AD22" s="182">
        <f t="shared" si="5"/>
        <v>0.32806000000000002</v>
      </c>
      <c r="AE22" s="78">
        <f t="shared" si="6"/>
        <v>0.35091039083612502</v>
      </c>
      <c r="AF22" s="103">
        <f t="shared" si="7"/>
        <v>8.7066327624742319E-3</v>
      </c>
      <c r="AG22" s="103">
        <f t="shared" si="8"/>
        <v>7.0767771818782618E-3</v>
      </c>
    </row>
    <row r="23" spans="2:33" s="113" customFormat="1">
      <c r="D23" s="78">
        <v>0.02</v>
      </c>
      <c r="E23" s="78">
        <v>7.9587500000000002</v>
      </c>
      <c r="F23" s="113">
        <v>763.78099999999995</v>
      </c>
      <c r="G23" s="79">
        <v>0.32100000000000001</v>
      </c>
      <c r="H23" s="78">
        <f t="shared" si="1"/>
        <v>0.34331847401325505</v>
      </c>
      <c r="I23" s="103">
        <f t="shared" si="2"/>
        <v>1.2807453588471695E-2</v>
      </c>
      <c r="J23" s="103">
        <f t="shared" si="0"/>
        <v>5.6932689259575307E-3</v>
      </c>
      <c r="K23" s="152"/>
      <c r="L23" s="179">
        <v>1.4E-2</v>
      </c>
      <c r="M23" s="78">
        <v>7.9579000000000004</v>
      </c>
      <c r="N23" s="115">
        <v>764.02800000000002</v>
      </c>
      <c r="O23" s="78">
        <v>0.32629999999999998</v>
      </c>
      <c r="P23" s="78">
        <v>7.9560300000000002</v>
      </c>
      <c r="Q23" s="115">
        <v>764.56700000000001</v>
      </c>
      <c r="R23" s="78">
        <v>0.31940000000000002</v>
      </c>
      <c r="S23" s="78">
        <v>7.9588900000000002</v>
      </c>
      <c r="T23" s="115">
        <v>763.74199999999996</v>
      </c>
      <c r="U23" s="78">
        <v>0.35249999999999998</v>
      </c>
      <c r="V23" s="78">
        <v>7.9577799999999996</v>
      </c>
      <c r="W23" s="78">
        <v>764.06100000000004</v>
      </c>
      <c r="X23" s="78">
        <v>0.32579999999999998</v>
      </c>
      <c r="Y23" s="78">
        <v>7.9588400000000004</v>
      </c>
      <c r="Z23" s="78">
        <v>763.75699999999995</v>
      </c>
      <c r="AA23" s="181">
        <v>0.33960000000000001</v>
      </c>
      <c r="AB23" s="114">
        <f t="shared" si="3"/>
        <v>7.9578879999999996</v>
      </c>
      <c r="AC23" s="117">
        <f t="shared" si="4"/>
        <v>764.03100000000006</v>
      </c>
      <c r="AD23" s="182">
        <f t="shared" si="5"/>
        <v>0.33271999999999996</v>
      </c>
      <c r="AE23" s="78">
        <f t="shared" si="6"/>
        <v>0.35585602171462782</v>
      </c>
      <c r="AF23" s="103">
        <f t="shared" si="7"/>
        <v>6.5383963003709539E-3</v>
      </c>
      <c r="AG23" s="103">
        <f t="shared" si="8"/>
        <v>7.8913670506600316E-3</v>
      </c>
    </row>
    <row r="24" spans="2:33">
      <c r="D24" s="78">
        <v>2.1999999999999999E-2</v>
      </c>
      <c r="E24" s="78">
        <v>7.9716399999999998</v>
      </c>
      <c r="F24" s="105">
        <v>760.08399999999995</v>
      </c>
      <c r="G24" s="79">
        <v>0.34889999999999999</v>
      </c>
      <c r="H24" s="78">
        <f t="shared" si="1"/>
        <v>0.3731163562165894</v>
      </c>
      <c r="I24" s="103">
        <f t="shared" si="2"/>
        <v>1.4561778253950849E-3</v>
      </c>
      <c r="J24" s="103">
        <f t="shared" si="0"/>
        <v>3.8961915859796726E-3</v>
      </c>
      <c r="K24" s="152"/>
      <c r="L24" s="179">
        <v>1.6E-2</v>
      </c>
      <c r="M24" s="78">
        <v>7.9705599999999999</v>
      </c>
      <c r="N24" s="115">
        <v>760.39099999999996</v>
      </c>
      <c r="O24" s="78">
        <v>0.33660000000000001</v>
      </c>
      <c r="P24" s="78">
        <v>7.9716699999999996</v>
      </c>
      <c r="Q24" s="115">
        <v>760.07600000000002</v>
      </c>
      <c r="R24" s="78">
        <v>0.34720000000000001</v>
      </c>
      <c r="S24" s="78">
        <v>7.9710000000000001</v>
      </c>
      <c r="T24" s="115">
        <v>760.26700000000005</v>
      </c>
      <c r="U24" s="78">
        <v>0.37009999999999998</v>
      </c>
      <c r="V24" s="78">
        <v>7.9710900000000002</v>
      </c>
      <c r="W24" s="78">
        <v>760.23900000000003</v>
      </c>
      <c r="X24" s="78">
        <v>0.36259999999999998</v>
      </c>
      <c r="Y24" s="78">
        <v>7.9703900000000001</v>
      </c>
      <c r="Z24" s="78">
        <v>760.44200000000001</v>
      </c>
      <c r="AA24" s="181">
        <v>0.36359999999999998</v>
      </c>
      <c r="AB24" s="114">
        <f t="shared" si="3"/>
        <v>7.9709419999999991</v>
      </c>
      <c r="AC24" s="117">
        <f t="shared" si="4"/>
        <v>760.28300000000013</v>
      </c>
      <c r="AD24" s="182">
        <f t="shared" si="5"/>
        <v>0.35602</v>
      </c>
      <c r="AE24" s="78">
        <f t="shared" si="6"/>
        <v>0.38073285329473994</v>
      </c>
      <c r="AF24" s="103">
        <f t="shared" si="7"/>
        <v>4.2475511644751002E-4</v>
      </c>
      <c r="AG24" s="103">
        <f t="shared" si="8"/>
        <v>8.954693976432752E-3</v>
      </c>
    </row>
    <row r="25" spans="2:33">
      <c r="D25" s="78">
        <v>2.4E-2</v>
      </c>
      <c r="E25" s="78">
        <v>7.9849600000000001</v>
      </c>
      <c r="F25" s="105">
        <v>756.28599999999994</v>
      </c>
      <c r="G25" s="79">
        <v>0.37480000000000002</v>
      </c>
      <c r="H25" s="78">
        <f t="shared" si="1"/>
        <v>0.40076761487562224</v>
      </c>
      <c r="I25" s="103">
        <f t="shared" si="2"/>
        <v>1.5873664863682948E-3</v>
      </c>
      <c r="J25" s="103">
        <f t="shared" si="0"/>
        <v>8.1937261199044251E-3</v>
      </c>
      <c r="K25" s="152"/>
      <c r="L25" s="179">
        <v>1.7999999999999999E-2</v>
      </c>
      <c r="M25" s="78">
        <v>7.9824299999999999</v>
      </c>
      <c r="N25" s="115">
        <v>757.00599999999997</v>
      </c>
      <c r="O25" s="78">
        <v>0.37140000000000001</v>
      </c>
      <c r="P25" s="78">
        <v>7.9836</v>
      </c>
      <c r="Q25" s="115">
        <v>756.673</v>
      </c>
      <c r="R25" s="78">
        <v>0.36670000000000003</v>
      </c>
      <c r="S25" s="78">
        <v>7.9824599999999997</v>
      </c>
      <c r="T25" s="115">
        <v>756.99800000000005</v>
      </c>
      <c r="U25" s="78">
        <v>0.37140000000000001</v>
      </c>
      <c r="V25" s="78">
        <v>7.9834899999999998</v>
      </c>
      <c r="W25" s="78">
        <v>756.702</v>
      </c>
      <c r="X25" s="78">
        <v>0.41460000000000002</v>
      </c>
      <c r="Y25" s="78">
        <v>7.9836</v>
      </c>
      <c r="Z25" s="78">
        <v>756.67399999999998</v>
      </c>
      <c r="AA25" s="181">
        <v>0.37059999999999998</v>
      </c>
      <c r="AB25" s="114">
        <f t="shared" si="3"/>
        <v>7.9831159999999999</v>
      </c>
      <c r="AC25" s="117">
        <f t="shared" si="4"/>
        <v>756.81060000000002</v>
      </c>
      <c r="AD25" s="182">
        <f t="shared" si="5"/>
        <v>0.37894</v>
      </c>
      <c r="AE25" s="78">
        <f t="shared" si="6"/>
        <v>0.40520093504523769</v>
      </c>
      <c r="AF25" s="103">
        <f>((AC25-$G$11)/$G$11)^2 + ((AE25-$D$11)/$D$11)^2</f>
        <v>2.509694284588086E-3</v>
      </c>
      <c r="AG25" s="103">
        <f t="shared" si="8"/>
        <v>1.4924763462312194E-2</v>
      </c>
    </row>
    <row r="26" spans="2:33">
      <c r="D26" s="78">
        <v>2.5999999999999999E-2</v>
      </c>
      <c r="E26" s="78">
        <v>7.99742</v>
      </c>
      <c r="F26" s="105">
        <v>752.75699999999995</v>
      </c>
      <c r="G26" s="79">
        <v>0.40460000000000002</v>
      </c>
      <c r="H26" s="78">
        <f t="shared" si="1"/>
        <v>0.43258558057881685</v>
      </c>
      <c r="I26" s="103">
        <f t="shared" si="2"/>
        <v>1.4382172634249891E-2</v>
      </c>
      <c r="J26" s="103">
        <f t="shared" si="0"/>
        <v>1.5621852104139368E-2</v>
      </c>
      <c r="K26" s="152"/>
      <c r="L26" s="179">
        <v>0.02</v>
      </c>
      <c r="M26" s="78">
        <v>7.9974100000000004</v>
      </c>
      <c r="N26" s="115">
        <v>752.76</v>
      </c>
      <c r="O26" s="78">
        <v>0.39960000000000001</v>
      </c>
      <c r="P26" s="78">
        <v>7.9950599999999996</v>
      </c>
      <c r="Q26" s="115">
        <v>753.42499999999995</v>
      </c>
      <c r="R26" s="78">
        <v>0.4047</v>
      </c>
      <c r="S26" s="78">
        <v>7.9961900000000004</v>
      </c>
      <c r="T26" s="115">
        <v>753.10500000000002</v>
      </c>
      <c r="U26" s="78">
        <v>0.38879999999999998</v>
      </c>
      <c r="V26" s="78">
        <v>7.9956800000000001</v>
      </c>
      <c r="W26" s="78">
        <v>753.24699999999996</v>
      </c>
      <c r="X26" s="78">
        <v>0.4269</v>
      </c>
      <c r="Y26" s="78">
        <v>7.9978300000000004</v>
      </c>
      <c r="Z26" s="78">
        <v>752.64</v>
      </c>
      <c r="AA26" s="181">
        <v>0.40029999999999999</v>
      </c>
      <c r="AB26" s="114">
        <f t="shared" si="3"/>
        <v>7.9964340000000007</v>
      </c>
      <c r="AC26" s="117">
        <f t="shared" si="4"/>
        <v>753.03539999999998</v>
      </c>
      <c r="AD26" s="182">
        <f t="shared" si="5"/>
        <v>0.40406000000000003</v>
      </c>
      <c r="AE26" s="78">
        <f t="shared" si="6"/>
        <v>0.43201191413379697</v>
      </c>
      <c r="AF26" s="103">
        <f t="shared" si="7"/>
        <v>1.4019001159202382E-2</v>
      </c>
      <c r="AG26" s="103">
        <f t="shared" si="8"/>
        <v>3.1367568068887186E-2</v>
      </c>
    </row>
    <row r="27" spans="2:33">
      <c r="D27" s="78">
        <v>2.8000000000000001E-2</v>
      </c>
      <c r="E27" s="78">
        <v>8.0110399999999995</v>
      </c>
      <c r="F27" s="105">
        <v>748.92499999999995</v>
      </c>
      <c r="G27" s="79">
        <v>0.40489999999999998</v>
      </c>
      <c r="H27" s="78">
        <f t="shared" si="1"/>
        <v>0.4328554285853034</v>
      </c>
      <c r="I27" s="103">
        <f t="shared" si="2"/>
        <v>1.479581037338241E-2</v>
      </c>
      <c r="J27" s="103">
        <f t="shared" si="0"/>
        <v>1.7776978915533238E-2</v>
      </c>
      <c r="K27" s="152"/>
      <c r="L27" s="179">
        <v>2.1999999999999999E-2</v>
      </c>
      <c r="M27" s="78">
        <v>8.0098900000000004</v>
      </c>
      <c r="N27" s="115">
        <v>749.24699999999996</v>
      </c>
      <c r="O27" s="78">
        <v>0.41470000000000001</v>
      </c>
      <c r="P27" s="78">
        <v>8.0093499999999995</v>
      </c>
      <c r="Q27" s="115">
        <v>749.39800000000002</v>
      </c>
      <c r="R27" s="78">
        <v>0.42870000000000003</v>
      </c>
      <c r="S27" s="78">
        <v>8.00685</v>
      </c>
      <c r="T27" s="115">
        <v>750.1</v>
      </c>
      <c r="U27" s="78">
        <v>0.37980000000000003</v>
      </c>
      <c r="V27" s="78">
        <v>8.0103000000000009</v>
      </c>
      <c r="W27" s="78">
        <v>749.13099999999997</v>
      </c>
      <c r="X27" s="78">
        <v>0.4017</v>
      </c>
      <c r="Y27" s="78">
        <v>8.0098099999999999</v>
      </c>
      <c r="Z27" s="78">
        <v>749.26800000000003</v>
      </c>
      <c r="AA27" s="181">
        <v>0.39689999999999998</v>
      </c>
      <c r="AB27" s="114">
        <f t="shared" si="3"/>
        <v>8.0092400000000001</v>
      </c>
      <c r="AC27" s="117">
        <f t="shared" si="4"/>
        <v>749.42879999999991</v>
      </c>
      <c r="AD27" s="182">
        <f t="shared" si="5"/>
        <v>0.40435999999999994</v>
      </c>
      <c r="AE27" s="78">
        <f t="shared" si="6"/>
        <v>0.43228485311247028</v>
      </c>
      <c r="AF27" s="103">
        <f t="shared" si="7"/>
        <v>1.4413044539151423E-2</v>
      </c>
      <c r="AG27" s="103">
        <f t="shared" si="8"/>
        <v>4.5457650818325257E-2</v>
      </c>
    </row>
    <row r="28" spans="2:33">
      <c r="D28" s="78">
        <v>0.03</v>
      </c>
      <c r="E28" s="78">
        <v>8.0243699999999993</v>
      </c>
      <c r="F28" s="105">
        <v>745.19899999999996</v>
      </c>
      <c r="G28" s="79">
        <v>0.43630000000000002</v>
      </c>
      <c r="H28" s="78">
        <f t="shared" si="1"/>
        <v>0.4663698829738932</v>
      </c>
      <c r="I28" s="103">
        <f t="shared" si="2"/>
        <v>4.3107501062311329E-2</v>
      </c>
      <c r="J28" s="103">
        <f t="shared" si="0"/>
        <v>3.1350788631901501E-2</v>
      </c>
      <c r="K28" s="152"/>
      <c r="L28" s="179">
        <v>2.4E-2</v>
      </c>
      <c r="M28" s="78">
        <v>8.0222200000000008</v>
      </c>
      <c r="N28" s="115">
        <v>745.79700000000003</v>
      </c>
      <c r="O28" s="78">
        <v>0.42359999999999998</v>
      </c>
      <c r="P28" s="78">
        <v>8.0220099999999999</v>
      </c>
      <c r="Q28" s="115">
        <v>745.85699999999997</v>
      </c>
      <c r="R28" s="78">
        <v>0.44979999999999998</v>
      </c>
      <c r="S28" s="78">
        <v>8.0223800000000001</v>
      </c>
      <c r="T28" s="115">
        <v>745.75300000000004</v>
      </c>
      <c r="U28" s="78">
        <v>0.4274</v>
      </c>
      <c r="V28" s="78">
        <v>8.0229900000000001</v>
      </c>
      <c r="W28" s="78">
        <v>745.58199999999999</v>
      </c>
      <c r="X28" s="78">
        <v>0.4602</v>
      </c>
      <c r="Y28" s="78">
        <v>8.0233000000000008</v>
      </c>
      <c r="Z28" s="78">
        <v>745.49599999999998</v>
      </c>
      <c r="AA28" s="181">
        <v>0.4299</v>
      </c>
      <c r="AB28" s="114">
        <f t="shared" si="3"/>
        <v>8.0225799999999996</v>
      </c>
      <c r="AC28" s="117">
        <f t="shared" si="4"/>
        <v>745.697</v>
      </c>
      <c r="AD28" s="182">
        <f t="shared" si="5"/>
        <v>0.43818000000000001</v>
      </c>
      <c r="AE28" s="78">
        <f t="shared" si="6"/>
        <v>0.46838665556053732</v>
      </c>
      <c r="AF28" s="103">
        <f t="shared" si="7"/>
        <v>4.5230829000781361E-2</v>
      </c>
      <c r="AG28" s="103">
        <f t="shared" si="8"/>
        <v>7.3683594806244618E-2</v>
      </c>
    </row>
    <row r="29" spans="2:33" s="113" customFormat="1">
      <c r="D29" s="78"/>
      <c r="E29" s="78"/>
      <c r="G29" s="79"/>
      <c r="H29" s="78"/>
      <c r="I29" s="103"/>
      <c r="J29" s="103"/>
      <c r="K29" s="152"/>
      <c r="L29" s="179">
        <v>2.5999999999999999E-2</v>
      </c>
      <c r="M29" s="78">
        <v>8.0382200000000008</v>
      </c>
      <c r="N29" s="115">
        <v>741.35199999999998</v>
      </c>
      <c r="O29" s="78">
        <v>0.4541</v>
      </c>
      <c r="P29" s="78">
        <v>8.0360800000000001</v>
      </c>
      <c r="Q29" s="115">
        <v>741.94600000000003</v>
      </c>
      <c r="R29" s="78">
        <v>0.48039999999999999</v>
      </c>
      <c r="S29" s="78">
        <v>8.0356199999999998</v>
      </c>
      <c r="T29" s="115">
        <v>742.07100000000003</v>
      </c>
      <c r="U29" s="78">
        <v>0.4496</v>
      </c>
      <c r="V29" s="78">
        <v>8.0363600000000002</v>
      </c>
      <c r="W29" s="78">
        <v>741.86599999999999</v>
      </c>
      <c r="X29" s="78">
        <v>0.43569999999999998</v>
      </c>
      <c r="Y29" s="78">
        <v>8.0365800000000007</v>
      </c>
      <c r="Z29" s="78">
        <v>741.80799999999999</v>
      </c>
      <c r="AA29" s="181">
        <v>0.4662</v>
      </c>
      <c r="AB29" s="114">
        <f t="shared" si="3"/>
        <v>8.0365720000000014</v>
      </c>
      <c r="AC29" s="117">
        <f t="shared" si="4"/>
        <v>741.80860000000007</v>
      </c>
      <c r="AD29" s="182">
        <f t="shared" si="5"/>
        <v>0.4572</v>
      </c>
      <c r="AE29" s="78">
        <f t="shared" si="6"/>
        <v>0.48865918078683157</v>
      </c>
      <c r="AF29" s="103">
        <f t="shared" si="7"/>
        <v>7.0353155398648573E-2</v>
      </c>
      <c r="AG29" s="103">
        <f t="shared" si="8"/>
        <v>9.8220737001184569E-2</v>
      </c>
    </row>
    <row r="30" spans="2:33">
      <c r="I30" s="103"/>
      <c r="K30" s="152"/>
      <c r="L30" s="179"/>
      <c r="AA30" s="181"/>
      <c r="AD30" s="182"/>
    </row>
    <row r="31" spans="2:33">
      <c r="C31" s="105" t="s">
        <v>41</v>
      </c>
      <c r="D31" s="78">
        <v>0.01</v>
      </c>
      <c r="E31" s="78">
        <v>7.7500600000000004</v>
      </c>
      <c r="F31" s="105">
        <v>775.923</v>
      </c>
      <c r="G31" s="79">
        <v>0.31840000000000002</v>
      </c>
      <c r="H31" s="78">
        <f>G31/(1-$I$11*F$12/E31)</f>
        <v>0.34177957292310057</v>
      </c>
      <c r="I31" s="103">
        <f>((F31-$G$12)/$G$12)^2 + ((H31-$D$12)/$D$12)^2</f>
        <v>6.7085508705456876E-2</v>
      </c>
      <c r="K31" s="152"/>
      <c r="L31" s="179">
        <v>4.0000000000000001E-3</v>
      </c>
      <c r="M31" s="78">
        <v>7.7502500000000003</v>
      </c>
      <c r="N31" s="115">
        <v>775.86500000000001</v>
      </c>
      <c r="O31" s="78">
        <v>0.33410000000000001</v>
      </c>
      <c r="P31" s="78">
        <v>7.7509899999999998</v>
      </c>
      <c r="Q31" s="115">
        <v>775.64200000000005</v>
      </c>
      <c r="R31" s="78">
        <v>0.3251</v>
      </c>
      <c r="S31" s="78">
        <v>7.7496799999999997</v>
      </c>
      <c r="T31" s="115">
        <v>776.03499999999997</v>
      </c>
      <c r="U31" s="78">
        <v>0.31769999999999998</v>
      </c>
      <c r="V31" s="78">
        <v>7.7513300000000003</v>
      </c>
      <c r="W31" s="78">
        <v>775.54100000000005</v>
      </c>
      <c r="X31" s="78">
        <v>0.3241</v>
      </c>
      <c r="Y31" s="78">
        <v>7.7518000000000002</v>
      </c>
      <c r="Z31" s="78">
        <v>775.39800000000002</v>
      </c>
      <c r="AA31" s="181">
        <v>0.32929999999999998</v>
      </c>
      <c r="AB31" s="114">
        <f t="shared" si="3"/>
        <v>7.7508099999999995</v>
      </c>
      <c r="AC31" s="117">
        <f t="shared" si="4"/>
        <v>775.69620000000009</v>
      </c>
      <c r="AD31" s="182">
        <f t="shared" si="5"/>
        <v>0.32605999999999996</v>
      </c>
      <c r="AE31" s="78">
        <f>AD31/(1-$I$11*$F$12/AB31)</f>
        <v>0.34999954692942009</v>
      </c>
      <c r="AF31" s="103">
        <f>((AC31-$G$12)/$G$12)^2 + ((AE31-$D$12)/$D$12)^2</f>
        <v>5.8172529221594001E-2</v>
      </c>
    </row>
    <row r="32" spans="2:33">
      <c r="D32" s="78">
        <v>1.2E-2</v>
      </c>
      <c r="E32" s="78">
        <v>7.76126</v>
      </c>
      <c r="F32" s="105">
        <v>772.56600000000003</v>
      </c>
      <c r="G32" s="79">
        <v>0.33989999999999998</v>
      </c>
      <c r="H32" s="78">
        <f t="shared" ref="H32:H41" si="9">G32/(1-$I$11*F$12/E32)</f>
        <v>0.36481962457976114</v>
      </c>
      <c r="I32" s="103">
        <f t="shared" ref="I32:I41" si="10">((F32-$G$12)/$G$12)^2 + ((H32-$D$12)/$D$12)^2</f>
        <v>4.3626838706473998E-2</v>
      </c>
      <c r="K32" s="152"/>
      <c r="L32" s="179">
        <v>6.0000000000000001E-3</v>
      </c>
      <c r="M32" s="78">
        <v>7.7628000000000004</v>
      </c>
      <c r="N32" s="115">
        <v>772.10699999999997</v>
      </c>
      <c r="O32" s="78">
        <v>0.33910000000000001</v>
      </c>
      <c r="P32" s="78">
        <v>7.7628700000000004</v>
      </c>
      <c r="Q32" s="115">
        <v>772.08799999999997</v>
      </c>
      <c r="R32" s="78">
        <v>0.34710000000000002</v>
      </c>
      <c r="S32" s="78">
        <v>7.7622</v>
      </c>
      <c r="T32" s="115">
        <v>772.28599999999994</v>
      </c>
      <c r="U32" s="78">
        <v>0.36020000000000002</v>
      </c>
      <c r="V32" s="78">
        <v>7.7608699999999997</v>
      </c>
      <c r="W32" s="78">
        <v>772.68200000000002</v>
      </c>
      <c r="X32" s="78">
        <v>0.33069999999999999</v>
      </c>
      <c r="Y32" s="78">
        <v>7.7620800000000001</v>
      </c>
      <c r="Z32" s="78">
        <v>772.32100000000003</v>
      </c>
      <c r="AA32" s="181">
        <v>0.33779999999999999</v>
      </c>
      <c r="AB32" s="114">
        <f t="shared" si="3"/>
        <v>7.7621640000000003</v>
      </c>
      <c r="AC32" s="117">
        <f t="shared" si="4"/>
        <v>772.29679999999985</v>
      </c>
      <c r="AD32" s="182">
        <f t="shared" si="5"/>
        <v>0.34298000000000001</v>
      </c>
      <c r="AE32" s="78">
        <f t="shared" ref="AE32:AE42" si="11">AD32/(1-$I$11*$F$12/AB32)</f>
        <v>0.36812229030424348</v>
      </c>
      <c r="AF32" s="103">
        <f t="shared" ref="AF32:AF42" si="12">((AC32-$G$12)/$G$12)^2 + ((AE32-$D$12)/$D$12)^2</f>
        <v>4.0681931610418304E-2</v>
      </c>
    </row>
    <row r="33" spans="3:32">
      <c r="D33" s="78">
        <v>1.4E-2</v>
      </c>
      <c r="E33" s="78">
        <v>7.7740400000000003</v>
      </c>
      <c r="F33" s="105">
        <v>768.76300000000003</v>
      </c>
      <c r="G33" s="79">
        <v>0.36220000000000002</v>
      </c>
      <c r="H33" s="78">
        <f t="shared" si="9"/>
        <v>0.38870769093717861</v>
      </c>
      <c r="I33" s="103">
        <f t="shared" si="10"/>
        <v>2.4615933760002935E-2</v>
      </c>
      <c r="K33" s="152"/>
      <c r="L33" s="179">
        <v>8.0000000000000002E-3</v>
      </c>
      <c r="M33" s="78">
        <v>7.7739799999999999</v>
      </c>
      <c r="N33" s="115">
        <v>768.78200000000004</v>
      </c>
      <c r="O33" s="78">
        <v>0.37859999999999999</v>
      </c>
      <c r="P33" s="78">
        <v>7.7746000000000004</v>
      </c>
      <c r="Q33" s="115">
        <v>768.59799999999996</v>
      </c>
      <c r="R33" s="78">
        <v>0.38080000000000003</v>
      </c>
      <c r="S33" s="78">
        <v>7.7745600000000001</v>
      </c>
      <c r="T33" s="115">
        <v>768.60799999999995</v>
      </c>
      <c r="U33" s="78">
        <v>0.35759999999999997</v>
      </c>
      <c r="V33" s="78">
        <v>7.7727399999999998</v>
      </c>
      <c r="W33" s="78">
        <v>769.15</v>
      </c>
      <c r="X33" s="78">
        <v>0.35730000000000001</v>
      </c>
      <c r="Y33" s="78">
        <v>7.7739900000000004</v>
      </c>
      <c r="Z33" s="78">
        <v>768.77700000000004</v>
      </c>
      <c r="AA33" s="181">
        <v>0.3619</v>
      </c>
      <c r="AB33" s="114">
        <f t="shared" si="3"/>
        <v>7.7739739999999999</v>
      </c>
      <c r="AC33" s="117">
        <f t="shared" si="4"/>
        <v>768.78300000000013</v>
      </c>
      <c r="AD33" s="182">
        <f t="shared" si="5"/>
        <v>0.36723999999999996</v>
      </c>
      <c r="AE33" s="78">
        <f t="shared" si="11"/>
        <v>0.39411678938286299</v>
      </c>
      <c r="AF33" s="103">
        <f t="shared" si="12"/>
        <v>2.1073889249736626E-2</v>
      </c>
    </row>
    <row r="34" spans="3:32">
      <c r="D34" s="78">
        <v>1.6E-2</v>
      </c>
      <c r="E34" s="78">
        <v>7.7861099999999999</v>
      </c>
      <c r="F34" s="105">
        <v>765.19299999999998</v>
      </c>
      <c r="G34" s="79">
        <v>0.37919999999999998</v>
      </c>
      <c r="H34" s="78">
        <f>G34/(1-$I$11*F$12/E34)</f>
        <v>0.40690567582335119</v>
      </c>
      <c r="I34" s="103">
        <f t="shared" si="10"/>
        <v>1.3769057967623337E-2</v>
      </c>
      <c r="K34" s="152"/>
      <c r="L34" s="179">
        <v>0.01</v>
      </c>
      <c r="M34" s="78">
        <v>7.7863699999999998</v>
      </c>
      <c r="N34" s="115">
        <v>765.11699999999996</v>
      </c>
      <c r="O34" s="78">
        <v>0.35799999999999998</v>
      </c>
      <c r="P34" s="78">
        <v>7.7864000000000004</v>
      </c>
      <c r="Q34" s="115">
        <v>765.10799999999995</v>
      </c>
      <c r="R34" s="78">
        <v>0.36499999999999999</v>
      </c>
      <c r="S34" s="78">
        <v>7.7858499999999999</v>
      </c>
      <c r="T34" s="115">
        <v>765.27099999999996</v>
      </c>
      <c r="U34" s="78">
        <v>0.37609999999999999</v>
      </c>
      <c r="V34" s="78">
        <v>7.7857799999999999</v>
      </c>
      <c r="W34" s="78">
        <v>765.29100000000005</v>
      </c>
      <c r="X34" s="78">
        <v>0.38279999999999997</v>
      </c>
      <c r="Y34" s="78">
        <v>7.78545</v>
      </c>
      <c r="Z34" s="78">
        <v>765.39</v>
      </c>
      <c r="AA34" s="181">
        <v>0.36909999999999998</v>
      </c>
      <c r="AB34" s="114">
        <f t="shared" si="3"/>
        <v>7.7859700000000007</v>
      </c>
      <c r="AC34" s="117">
        <f t="shared" si="4"/>
        <v>765.23540000000003</v>
      </c>
      <c r="AD34" s="182">
        <f t="shared" si="5"/>
        <v>0.37019999999999997</v>
      </c>
      <c r="AE34" s="78">
        <f t="shared" si="11"/>
        <v>0.39724862629248142</v>
      </c>
      <c r="AF34" s="103">
        <f t="shared" si="12"/>
        <v>1.9124054707254139E-2</v>
      </c>
    </row>
    <row r="35" spans="3:32">
      <c r="D35" s="78">
        <v>1.7999999999999999E-2</v>
      </c>
      <c r="E35" s="78">
        <v>7.7980299999999998</v>
      </c>
      <c r="F35" s="105">
        <v>761.69</v>
      </c>
      <c r="G35" s="79">
        <v>0.40720000000000001</v>
      </c>
      <c r="H35" s="78">
        <f t="shared" si="9"/>
        <v>0.43690265844611537</v>
      </c>
      <c r="I35" s="103">
        <f t="shared" si="10"/>
        <v>2.7507353427601283E-3</v>
      </c>
      <c r="K35" s="152"/>
      <c r="L35" s="179">
        <v>1.2E-2</v>
      </c>
      <c r="M35" s="78">
        <v>7.7984900000000001</v>
      </c>
      <c r="N35" s="115">
        <v>761.55499999999995</v>
      </c>
      <c r="O35" s="78">
        <v>0.4153</v>
      </c>
      <c r="P35" s="78">
        <v>7.7974399999999999</v>
      </c>
      <c r="Q35" s="115">
        <v>761.86199999999997</v>
      </c>
      <c r="R35" s="78">
        <v>0.38540000000000002</v>
      </c>
      <c r="S35" s="78">
        <v>7.7965799999999996</v>
      </c>
      <c r="T35" s="115">
        <v>762.11400000000003</v>
      </c>
      <c r="U35" s="78">
        <v>0.3775</v>
      </c>
      <c r="V35" s="78">
        <v>7.7982899999999997</v>
      </c>
      <c r="W35" s="78">
        <v>761.61300000000006</v>
      </c>
      <c r="X35" s="78">
        <v>0.39300000000000002</v>
      </c>
      <c r="Y35" s="78">
        <v>7.7980099999999997</v>
      </c>
      <c r="Z35" s="78">
        <v>761.69500000000005</v>
      </c>
      <c r="AA35" s="181">
        <v>0.4052</v>
      </c>
      <c r="AB35" s="114">
        <f t="shared" si="3"/>
        <v>7.7977619999999987</v>
      </c>
      <c r="AC35" s="117">
        <f t="shared" si="4"/>
        <v>761.76780000000008</v>
      </c>
      <c r="AD35" s="182">
        <f t="shared" si="5"/>
        <v>0.39527999999999996</v>
      </c>
      <c r="AE35" s="78">
        <f t="shared" si="11"/>
        <v>0.4241142332657355</v>
      </c>
      <c r="AF35" s="103">
        <f t="shared" si="12"/>
        <v>6.4195246114701144E-3</v>
      </c>
    </row>
    <row r="36" spans="3:32" s="113" customFormat="1">
      <c r="D36" s="78">
        <v>0.02</v>
      </c>
      <c r="E36" s="78">
        <v>7.8100699999999996</v>
      </c>
      <c r="F36" s="113">
        <v>758.17200000000003</v>
      </c>
      <c r="G36" s="79">
        <v>0.38090000000000002</v>
      </c>
      <c r="H36" s="78">
        <f t="shared" si="9"/>
        <v>0.40863828884320291</v>
      </c>
      <c r="I36" s="103">
        <f t="shared" si="10"/>
        <v>1.2980044410776503E-2</v>
      </c>
      <c r="K36" s="152"/>
      <c r="L36" s="179">
        <v>1.4E-2</v>
      </c>
      <c r="M36" s="78">
        <v>7.8096500000000004</v>
      </c>
      <c r="N36" s="115">
        <v>758.29499999999996</v>
      </c>
      <c r="O36" s="78">
        <v>0.42359999999999998</v>
      </c>
      <c r="P36" s="78">
        <v>7.8109299999999999</v>
      </c>
      <c r="Q36" s="115">
        <v>757.92200000000003</v>
      </c>
      <c r="R36" s="78">
        <v>0.42799999999999999</v>
      </c>
      <c r="S36" s="78">
        <v>7.8101200000000004</v>
      </c>
      <c r="T36" s="115">
        <v>758.15899999999999</v>
      </c>
      <c r="U36" s="78">
        <v>0.4224</v>
      </c>
      <c r="V36" s="78">
        <v>7.8099400000000001</v>
      </c>
      <c r="W36" s="78">
        <v>758.21100000000001</v>
      </c>
      <c r="X36" s="78">
        <v>0.40649999999999997</v>
      </c>
      <c r="Y36" s="78">
        <v>7.8102099999999997</v>
      </c>
      <c r="Z36" s="78">
        <v>758.13300000000004</v>
      </c>
      <c r="AA36" s="181">
        <v>0.40820000000000001</v>
      </c>
      <c r="AB36" s="114">
        <f t="shared" si="3"/>
        <v>7.8101700000000012</v>
      </c>
      <c r="AC36" s="117">
        <f t="shared" si="4"/>
        <v>758.14400000000001</v>
      </c>
      <c r="AD36" s="182">
        <f t="shared" si="5"/>
        <v>0.41773999999999994</v>
      </c>
      <c r="AE36" s="78">
        <f t="shared" si="11"/>
        <v>0.4481606710800729</v>
      </c>
      <c r="AF36" s="103">
        <f t="shared" si="12"/>
        <v>8.5530432398114463E-4</v>
      </c>
    </row>
    <row r="37" spans="3:32">
      <c r="D37" s="78">
        <v>2.1999999999999999E-2</v>
      </c>
      <c r="E37" s="78">
        <v>7.8228</v>
      </c>
      <c r="F37" s="105">
        <v>754.47900000000004</v>
      </c>
      <c r="G37" s="79">
        <v>0.44030000000000002</v>
      </c>
      <c r="H37" s="78">
        <f t="shared" si="9"/>
        <v>0.47230800568545112</v>
      </c>
      <c r="I37" s="103">
        <f t="shared" si="10"/>
        <v>7.8976740465688984E-4</v>
      </c>
      <c r="K37" s="152"/>
      <c r="L37" s="179">
        <v>1.6E-2</v>
      </c>
      <c r="M37" s="78">
        <v>7.8226599999999999</v>
      </c>
      <c r="N37" s="115">
        <v>754.51900000000001</v>
      </c>
      <c r="O37" s="78">
        <v>0.41370000000000001</v>
      </c>
      <c r="P37" s="78">
        <v>7.82212</v>
      </c>
      <c r="Q37" s="115">
        <v>754.67399999999998</v>
      </c>
      <c r="R37" s="78">
        <v>0.42009999999999997</v>
      </c>
      <c r="S37" s="78">
        <v>7.8224900000000002</v>
      </c>
      <c r="T37" s="115">
        <v>754.56600000000003</v>
      </c>
      <c r="U37" s="78">
        <v>0.4345</v>
      </c>
      <c r="V37" s="78">
        <v>7.8232200000000001</v>
      </c>
      <c r="W37" s="78">
        <v>754.35599999999999</v>
      </c>
      <c r="X37" s="78">
        <v>0.42970000000000003</v>
      </c>
      <c r="Y37" s="78">
        <v>7.8215500000000002</v>
      </c>
      <c r="Z37" s="78">
        <v>754.83900000000006</v>
      </c>
      <c r="AA37" s="181">
        <v>0.43709999999999999</v>
      </c>
      <c r="AB37" s="114">
        <f t="shared" si="3"/>
        <v>7.8224080000000002</v>
      </c>
      <c r="AC37" s="117">
        <f t="shared" si="4"/>
        <v>754.59079999999994</v>
      </c>
      <c r="AD37" s="182">
        <f t="shared" si="5"/>
        <v>0.42702000000000001</v>
      </c>
      <c r="AE37" s="78">
        <f t="shared" si="11"/>
        <v>0.45806427282000634</v>
      </c>
      <c r="AF37" s="103">
        <f t="shared" si="12"/>
        <v>2.246473231349227E-4</v>
      </c>
    </row>
    <row r="38" spans="3:32">
      <c r="D38" s="78">
        <v>2.4E-2</v>
      </c>
      <c r="E38" s="78">
        <v>7.8365999999999998</v>
      </c>
      <c r="F38" s="105">
        <v>750.49900000000002</v>
      </c>
      <c r="G38" s="79">
        <v>0.43569999999999998</v>
      </c>
      <c r="H38" s="78">
        <f t="shared" si="9"/>
        <v>0.46731378129659717</v>
      </c>
      <c r="I38" s="103">
        <f t="shared" si="10"/>
        <v>5.454319578860826E-4</v>
      </c>
      <c r="K38" s="152"/>
      <c r="L38" s="179">
        <v>1.7999999999999999E-2</v>
      </c>
      <c r="M38" s="78">
        <v>7.8354299999999997</v>
      </c>
      <c r="N38" s="115">
        <v>750.83500000000004</v>
      </c>
      <c r="O38" s="78">
        <v>0.45590000000000003</v>
      </c>
      <c r="P38" s="78">
        <v>7.8351699999999997</v>
      </c>
      <c r="Q38" s="115">
        <v>750.91099999999994</v>
      </c>
      <c r="R38" s="78">
        <v>0.47620000000000001</v>
      </c>
      <c r="S38" s="78">
        <v>7.8348199999999997</v>
      </c>
      <c r="T38" s="115">
        <v>751.00900000000001</v>
      </c>
      <c r="U38" s="78">
        <v>0.44990000000000002</v>
      </c>
      <c r="V38" s="78">
        <v>7.8338200000000002</v>
      </c>
      <c r="W38" s="78">
        <v>751.29899999999998</v>
      </c>
      <c r="X38" s="78">
        <v>0.43890000000000001</v>
      </c>
      <c r="Y38" s="78">
        <v>7.8348800000000001</v>
      </c>
      <c r="Z38" s="78">
        <v>750.99199999999996</v>
      </c>
      <c r="AA38" s="181">
        <v>0.438</v>
      </c>
      <c r="AB38" s="114">
        <f t="shared" si="3"/>
        <v>7.8348240000000002</v>
      </c>
      <c r="AC38" s="117">
        <f t="shared" si="4"/>
        <v>751.00920000000008</v>
      </c>
      <c r="AD38" s="182">
        <f t="shared" si="5"/>
        <v>0.45178000000000001</v>
      </c>
      <c r="AE38" s="78">
        <f t="shared" si="11"/>
        <v>0.48456849354785536</v>
      </c>
      <c r="AF38" s="103">
        <f t="shared" si="12"/>
        <v>2.9468036210980571E-3</v>
      </c>
    </row>
    <row r="39" spans="3:32">
      <c r="D39" s="78">
        <v>2.5999999999999999E-2</v>
      </c>
      <c r="E39" s="78">
        <v>7.8477100000000002</v>
      </c>
      <c r="F39" s="105">
        <v>747.31600000000003</v>
      </c>
      <c r="G39" s="79">
        <v>0.48110000000000003</v>
      </c>
      <c r="H39" s="78">
        <f t="shared" si="9"/>
        <v>0.51595494216099225</v>
      </c>
      <c r="I39" s="103">
        <f t="shared" si="10"/>
        <v>1.474317070645775E-2</v>
      </c>
      <c r="K39" s="152"/>
      <c r="L39" s="179">
        <v>0.02</v>
      </c>
      <c r="M39" s="78">
        <v>7.8477399999999999</v>
      </c>
      <c r="N39" s="115">
        <v>747.30899999999997</v>
      </c>
      <c r="O39" s="78">
        <v>0.47410000000000002</v>
      </c>
      <c r="P39" s="78">
        <v>7.8481100000000001</v>
      </c>
      <c r="Q39" s="115">
        <v>747.202</v>
      </c>
      <c r="R39" s="78">
        <v>0.46910000000000002</v>
      </c>
      <c r="S39" s="78">
        <v>7.8488199999999999</v>
      </c>
      <c r="T39" s="115">
        <v>746.99800000000005</v>
      </c>
      <c r="U39" s="78">
        <v>0.48270000000000002</v>
      </c>
      <c r="V39" s="78">
        <v>7.8471500000000001</v>
      </c>
      <c r="W39" s="78">
        <v>747.47799999999995</v>
      </c>
      <c r="X39" s="78">
        <v>0.48770000000000002</v>
      </c>
      <c r="Y39" s="78">
        <v>7.8489000000000004</v>
      </c>
      <c r="Z39" s="78">
        <v>746.97500000000002</v>
      </c>
      <c r="AA39" s="181">
        <v>0.50990000000000002</v>
      </c>
      <c r="AB39" s="114">
        <f t="shared" si="3"/>
        <v>7.8481439999999996</v>
      </c>
      <c r="AC39" s="117">
        <f t="shared" si="4"/>
        <v>747.19240000000002</v>
      </c>
      <c r="AD39" s="182">
        <f t="shared" si="5"/>
        <v>0.48469999999999996</v>
      </c>
      <c r="AE39" s="78">
        <f t="shared" si="11"/>
        <v>0.51981367395824407</v>
      </c>
      <c r="AF39" s="103">
        <f t="shared" si="12"/>
        <v>1.6816344815455433E-2</v>
      </c>
    </row>
    <row r="40" spans="3:32">
      <c r="D40" s="78">
        <v>2.8000000000000001E-2</v>
      </c>
      <c r="E40" s="78">
        <v>7.8623099999999999</v>
      </c>
      <c r="F40" s="105">
        <v>743.16099999999994</v>
      </c>
      <c r="G40" s="79">
        <v>0.498</v>
      </c>
      <c r="H40" s="78">
        <f t="shared" si="9"/>
        <v>0.53400747861167608</v>
      </c>
      <c r="I40" s="103">
        <f t="shared" si="10"/>
        <v>2.5893105177243986E-2</v>
      </c>
      <c r="K40" s="152"/>
      <c r="L40" s="179">
        <v>2.1999999999999999E-2</v>
      </c>
      <c r="M40" s="78">
        <v>7.8626699999999996</v>
      </c>
      <c r="N40" s="115">
        <v>743.05899999999997</v>
      </c>
      <c r="O40" s="78">
        <v>0.54020000000000001</v>
      </c>
      <c r="P40" s="78">
        <v>7.8622500000000004</v>
      </c>
      <c r="Q40" s="115">
        <v>743.17899999999997</v>
      </c>
      <c r="R40" s="78">
        <v>0.52249999999999996</v>
      </c>
      <c r="S40" s="78">
        <v>7.8594200000000001</v>
      </c>
      <c r="T40" s="115">
        <v>743.98099999999999</v>
      </c>
      <c r="U40" s="78">
        <v>0.50539999999999996</v>
      </c>
      <c r="V40" s="78">
        <v>7.8626100000000001</v>
      </c>
      <c r="W40" s="78">
        <v>743.07600000000002</v>
      </c>
      <c r="X40" s="78">
        <v>0.51380000000000003</v>
      </c>
      <c r="Y40" s="78">
        <v>7.8617800000000004</v>
      </c>
      <c r="Z40" s="78">
        <v>743.31299999999999</v>
      </c>
      <c r="AA40" s="181">
        <v>0.51290000000000002</v>
      </c>
      <c r="AB40" s="114">
        <f t="shared" si="3"/>
        <v>7.861746000000001</v>
      </c>
      <c r="AC40" s="117">
        <f t="shared" si="4"/>
        <v>743.32159999999999</v>
      </c>
      <c r="AD40" s="182">
        <f t="shared" si="5"/>
        <v>0.51896000000000009</v>
      </c>
      <c r="AE40" s="78">
        <f t="shared" si="11"/>
        <v>0.55648586063714056</v>
      </c>
      <c r="AF40" s="103">
        <f t="shared" si="12"/>
        <v>4.370274739204956E-2</v>
      </c>
    </row>
    <row r="41" spans="3:32">
      <c r="D41" s="78">
        <v>0.03</v>
      </c>
      <c r="E41" s="78">
        <v>7.8755499999999996</v>
      </c>
      <c r="F41" s="105">
        <v>739.41899999999998</v>
      </c>
      <c r="G41" s="79">
        <v>0.50409999999999999</v>
      </c>
      <c r="H41" s="78">
        <f t="shared" si="9"/>
        <v>0.54048283603951797</v>
      </c>
      <c r="I41" s="103">
        <f t="shared" si="10"/>
        <v>3.084222146160993E-2</v>
      </c>
      <c r="K41" s="152"/>
      <c r="L41" s="179">
        <v>2.4E-2</v>
      </c>
      <c r="M41" s="78">
        <v>7.8761200000000002</v>
      </c>
      <c r="N41" s="115">
        <v>739.25800000000004</v>
      </c>
      <c r="O41" s="78">
        <v>0.55430000000000001</v>
      </c>
      <c r="P41" s="78">
        <v>7.8744800000000001</v>
      </c>
      <c r="Q41" s="115">
        <v>739.721</v>
      </c>
      <c r="R41" s="78">
        <v>0.53869999999999996</v>
      </c>
      <c r="S41" s="78">
        <v>7.8747100000000003</v>
      </c>
      <c r="T41" s="115">
        <v>739.65599999999995</v>
      </c>
      <c r="U41" s="78">
        <v>0.53680000000000005</v>
      </c>
      <c r="V41" s="78">
        <v>7.8739699999999999</v>
      </c>
      <c r="W41" s="78">
        <v>739.86599999999999</v>
      </c>
      <c r="X41" s="78">
        <v>0.52339999999999998</v>
      </c>
      <c r="Y41" s="78">
        <v>7.8754099999999996</v>
      </c>
      <c r="Z41" s="78">
        <v>739.45699999999999</v>
      </c>
      <c r="AA41" s="181">
        <v>0.5333</v>
      </c>
      <c r="AB41" s="114">
        <f t="shared" si="3"/>
        <v>7.8749380000000002</v>
      </c>
      <c r="AC41" s="117">
        <f t="shared" si="4"/>
        <v>739.59159999999997</v>
      </c>
      <c r="AD41" s="182">
        <f t="shared" si="5"/>
        <v>0.5373</v>
      </c>
      <c r="AE41" s="78">
        <f t="shared" si="11"/>
        <v>0.5760822389800978</v>
      </c>
      <c r="AF41" s="103">
        <f t="shared" si="12"/>
        <v>6.3418804793862388E-2</v>
      </c>
    </row>
    <row r="42" spans="3:32" s="113" customFormat="1">
      <c r="D42" s="78"/>
      <c r="E42" s="78"/>
      <c r="G42" s="79"/>
      <c r="H42" s="78"/>
      <c r="I42" s="103"/>
      <c r="K42" s="152"/>
      <c r="L42" s="179">
        <v>2.5999999999999999E-2</v>
      </c>
      <c r="M42" s="78">
        <v>7.88802</v>
      </c>
      <c r="N42" s="115">
        <v>735.91700000000003</v>
      </c>
      <c r="O42" s="78">
        <v>0.55859999999999999</v>
      </c>
      <c r="P42" s="78">
        <v>7.8887099999999997</v>
      </c>
      <c r="Q42" s="115">
        <v>735.72400000000005</v>
      </c>
      <c r="R42" s="78">
        <v>0.55120000000000002</v>
      </c>
      <c r="S42" s="78">
        <v>7.8890700000000002</v>
      </c>
      <c r="T42" s="115">
        <v>735.62300000000005</v>
      </c>
      <c r="U42" s="78">
        <v>0.55249999999999999</v>
      </c>
      <c r="V42" s="78">
        <v>7.8870800000000001</v>
      </c>
      <c r="W42" s="78">
        <v>736.18</v>
      </c>
      <c r="X42" s="78">
        <v>0.55189999999999995</v>
      </c>
      <c r="Y42" s="78">
        <v>7.8872200000000001</v>
      </c>
      <c r="Z42" s="78">
        <v>736.14200000000005</v>
      </c>
      <c r="AA42" s="181">
        <v>0.56389999999999996</v>
      </c>
      <c r="AB42" s="114">
        <f t="shared" si="3"/>
        <v>7.88802</v>
      </c>
      <c r="AC42" s="117">
        <f t="shared" si="4"/>
        <v>735.91720000000009</v>
      </c>
      <c r="AD42" s="182">
        <f t="shared" si="5"/>
        <v>0.55562</v>
      </c>
      <c r="AE42" s="78">
        <f t="shared" si="11"/>
        <v>0.59565326972404231</v>
      </c>
      <c r="AF42" s="103">
        <f t="shared" si="12"/>
        <v>8.6758693841073348E-2</v>
      </c>
    </row>
    <row r="43" spans="3:32">
      <c r="I43" s="103"/>
      <c r="K43" s="152"/>
      <c r="L43" s="179"/>
      <c r="AA43" s="181"/>
      <c r="AD43" s="182"/>
    </row>
    <row r="44" spans="3:32">
      <c r="C44" s="105" t="s">
        <v>33</v>
      </c>
      <c r="D44" s="78">
        <v>0.01</v>
      </c>
      <c r="E44" s="78">
        <v>8.1945800000000002</v>
      </c>
      <c r="F44" s="105">
        <v>705.95100000000002</v>
      </c>
      <c r="G44" s="79">
        <v>2.169</v>
      </c>
      <c r="H44" s="78">
        <f>G44/(1-$I$11*F$13/E44)</f>
        <v>2.314428351185176</v>
      </c>
      <c r="I44" s="103">
        <f>((F44-$G$13)/$G$13)^2 + ((H44-$D$13)/$D$13)^2</f>
        <v>4.2206890555779569E-4</v>
      </c>
      <c r="K44" s="152"/>
      <c r="L44" s="179">
        <v>4.0000000000000001E-3</v>
      </c>
      <c r="M44" s="78">
        <v>8.2070399999999992</v>
      </c>
      <c r="N44" s="115">
        <v>702.73800000000006</v>
      </c>
      <c r="O44" s="78">
        <v>2.0133000000000001</v>
      </c>
      <c r="P44" s="78">
        <v>8.2070799999999995</v>
      </c>
      <c r="Q44" s="115">
        <v>702.72900000000004</v>
      </c>
      <c r="R44" s="78">
        <v>1.9904999999999999</v>
      </c>
      <c r="S44" s="78">
        <v>8.20688</v>
      </c>
      <c r="T44" s="115">
        <v>702.779</v>
      </c>
      <c r="U44" s="78">
        <v>2.0701999999999998</v>
      </c>
      <c r="V44" s="175">
        <v>8.2078199999999999</v>
      </c>
      <c r="W44" s="175">
        <v>702.53800000000001</v>
      </c>
      <c r="X44" s="175">
        <v>2.1059999999999999</v>
      </c>
      <c r="Y44" s="175">
        <v>8.2061600000000006</v>
      </c>
      <c r="Z44" s="175">
        <v>702.96400000000006</v>
      </c>
      <c r="AA44" s="181">
        <v>2.0653000000000001</v>
      </c>
      <c r="AB44" s="114">
        <f t="shared" ref="AB44:AB55" si="13">AVERAGE(M44,P44,S44,V44,Y44)</f>
        <v>8.2069959999999984</v>
      </c>
      <c r="AC44" s="117">
        <f t="shared" ref="AC44:AC55" si="14">AVERAGE(N44,Q44,T44,W44,Z44)</f>
        <v>702.74959999999999</v>
      </c>
      <c r="AD44" s="182">
        <f t="shared" ref="AD44:AD55" si="15">AVERAGE(O44,R44,U44,X44,AA44)</f>
        <v>2.0490599999999999</v>
      </c>
      <c r="AE44" s="78">
        <f>AD44/(1-$I$11*$F$13/AB44)</f>
        <v>2.1862247862506012</v>
      </c>
      <c r="AF44" s="103">
        <f>((AC44-$G$13)/$G$13)^2 + ((AE44-$D$13)/$D$13)^2</f>
        <v>5.2280391687654811E-3</v>
      </c>
    </row>
    <row r="45" spans="3:32">
      <c r="D45" s="78">
        <v>1.2E-2</v>
      </c>
      <c r="E45" s="78">
        <v>8.2097999999999995</v>
      </c>
      <c r="F45" s="105">
        <v>702.03200000000004</v>
      </c>
      <c r="G45" s="79">
        <v>2.1389999999999998</v>
      </c>
      <c r="H45" s="78">
        <f t="shared" ref="H45:H54" si="16">G45/(1-$I$11*F$13/E45)</f>
        <v>2.2821332245758055</v>
      </c>
      <c r="I45" s="103">
        <f t="shared" ref="I45:I54" si="17">((F45-$G$13)/$G$13)^2 + ((H45-$D$13)/$D$13)^2</f>
        <v>1.0071213022600401E-3</v>
      </c>
      <c r="K45" s="152"/>
      <c r="L45" s="179">
        <v>6.0000000000000001E-3</v>
      </c>
      <c r="M45" s="78">
        <v>8.2205300000000001</v>
      </c>
      <c r="N45" s="115">
        <v>699.28399999999999</v>
      </c>
      <c r="O45" s="78">
        <v>2.1974</v>
      </c>
      <c r="P45" s="78">
        <v>8.2210599999999996</v>
      </c>
      <c r="Q45" s="115">
        <v>699.149</v>
      </c>
      <c r="R45" s="78">
        <v>2.2416999999999998</v>
      </c>
      <c r="S45" s="78">
        <v>8.2210699999999992</v>
      </c>
      <c r="T45" s="115">
        <v>699.14800000000002</v>
      </c>
      <c r="U45" s="78">
        <v>2.1991999999999998</v>
      </c>
      <c r="V45" s="175">
        <v>8.2212999999999994</v>
      </c>
      <c r="W45" s="175">
        <v>699.08900000000006</v>
      </c>
      <c r="X45" s="175">
        <v>2.1208</v>
      </c>
      <c r="Y45" s="175">
        <v>8.2206100000000006</v>
      </c>
      <c r="Z45" s="175">
        <v>699.26499999999999</v>
      </c>
      <c r="AA45" s="181">
        <v>2.1324000000000001</v>
      </c>
      <c r="AB45" s="114">
        <f t="shared" si="13"/>
        <v>8.2209139999999987</v>
      </c>
      <c r="AC45" s="117">
        <f t="shared" si="14"/>
        <v>699.18700000000001</v>
      </c>
      <c r="AD45" s="182">
        <f t="shared" si="15"/>
        <v>2.1783000000000001</v>
      </c>
      <c r="AE45" s="78">
        <f t="shared" ref="AE45:AE55" si="18">AD45/(1-$I$11*$F$13/AB45)</f>
        <v>2.323852794510636</v>
      </c>
      <c r="AF45" s="103">
        <f t="shared" ref="AF45:AF55" si="19">((AC45-$G$13)/$G$13)^2 + ((AE45-$D$13)/$D$13)^2</f>
        <v>1.8688724698469512E-4</v>
      </c>
    </row>
    <row r="46" spans="3:32">
      <c r="D46" s="78">
        <v>1.4E-2</v>
      </c>
      <c r="E46" s="78">
        <v>8.22471</v>
      </c>
      <c r="F46" s="105">
        <v>698.21900000000005</v>
      </c>
      <c r="G46" s="79">
        <v>2.2412000000000001</v>
      </c>
      <c r="H46" s="78">
        <f t="shared" si="16"/>
        <v>2.3908820037292009</v>
      </c>
      <c r="I46" s="103">
        <f t="shared" si="17"/>
        <v>2.1950335415907944E-4</v>
      </c>
      <c r="K46" s="152"/>
      <c r="L46" s="179">
        <v>8.0000000000000002E-3</v>
      </c>
      <c r="M46" s="78">
        <v>8.2371999999999996</v>
      </c>
      <c r="N46" s="115">
        <v>695.04700000000003</v>
      </c>
      <c r="O46" s="78">
        <v>2.2631999999999999</v>
      </c>
      <c r="P46" s="78">
        <v>8.23644</v>
      </c>
      <c r="Q46" s="115">
        <v>695.24199999999996</v>
      </c>
      <c r="R46" s="78">
        <v>2.2959000000000001</v>
      </c>
      <c r="S46" s="78">
        <v>8.2366100000000007</v>
      </c>
      <c r="T46" s="115">
        <v>695.197</v>
      </c>
      <c r="U46" s="78">
        <v>2.2440000000000002</v>
      </c>
      <c r="V46" s="175">
        <v>8.2361799999999992</v>
      </c>
      <c r="W46" s="175">
        <v>695.30600000000004</v>
      </c>
      <c r="X46" s="175">
        <v>2.2208000000000001</v>
      </c>
      <c r="Y46" s="175">
        <v>8.23611</v>
      </c>
      <c r="Z46" s="175">
        <v>695.32399999999996</v>
      </c>
      <c r="AA46" s="181">
        <v>2.2755000000000001</v>
      </c>
      <c r="AB46" s="114">
        <f t="shared" si="13"/>
        <v>8.2365080000000006</v>
      </c>
      <c r="AC46" s="117">
        <f t="shared" si="14"/>
        <v>695.22320000000002</v>
      </c>
      <c r="AD46" s="182">
        <f t="shared" si="15"/>
        <v>2.2598800000000003</v>
      </c>
      <c r="AE46" s="78">
        <f t="shared" si="18"/>
        <v>2.4105789677260838</v>
      </c>
      <c r="AF46" s="103">
        <f t="shared" si="19"/>
        <v>5.600253733300532E-4</v>
      </c>
    </row>
    <row r="47" spans="3:32">
      <c r="D47" s="78">
        <v>1.6E-2</v>
      </c>
      <c r="E47" s="78">
        <v>8.2406500000000005</v>
      </c>
      <c r="F47" s="105">
        <v>694.17499999999995</v>
      </c>
      <c r="G47" s="79">
        <v>2.2052</v>
      </c>
      <c r="H47" s="78">
        <f t="shared" si="16"/>
        <v>2.3521738199372577</v>
      </c>
      <c r="I47" s="103">
        <f t="shared" si="17"/>
        <v>4.2758207544471104E-5</v>
      </c>
      <c r="K47" s="152"/>
      <c r="L47" s="179">
        <v>0.01</v>
      </c>
      <c r="M47" s="78">
        <v>8.2519500000000008</v>
      </c>
      <c r="N47" s="115">
        <v>691.327</v>
      </c>
      <c r="O47" s="78">
        <v>2.3022999999999998</v>
      </c>
      <c r="P47" s="78">
        <v>8.2521199999999997</v>
      </c>
      <c r="Q47" s="115">
        <v>691.28399999999999</v>
      </c>
      <c r="R47" s="78">
        <v>2.3208000000000002</v>
      </c>
      <c r="S47" s="78">
        <v>8.2519899999999993</v>
      </c>
      <c r="T47" s="115">
        <v>691.31700000000001</v>
      </c>
      <c r="U47" s="78">
        <v>2.2591999999999999</v>
      </c>
      <c r="V47" s="175">
        <v>8.2515900000000002</v>
      </c>
      <c r="W47" s="175">
        <v>691.41899999999998</v>
      </c>
      <c r="X47" s="175">
        <v>2.3109999999999999</v>
      </c>
      <c r="Y47" s="175">
        <v>8.2523900000000001</v>
      </c>
      <c r="Z47" s="175">
        <v>691.21699999999998</v>
      </c>
      <c r="AA47" s="181">
        <v>2.3877000000000002</v>
      </c>
      <c r="AB47" s="114">
        <f t="shared" si="13"/>
        <v>8.252008</v>
      </c>
      <c r="AC47" s="117">
        <f t="shared" si="14"/>
        <v>691.31279999999992</v>
      </c>
      <c r="AD47" s="182">
        <f t="shared" si="15"/>
        <v>2.3162000000000003</v>
      </c>
      <c r="AE47" s="78">
        <f t="shared" si="18"/>
        <v>2.4703452143296714</v>
      </c>
      <c r="AF47" s="103">
        <f t="shared" si="19"/>
        <v>2.4643213502358874E-3</v>
      </c>
    </row>
    <row r="48" spans="3:32">
      <c r="D48" s="78">
        <v>1.7999999999999999E-2</v>
      </c>
      <c r="E48" s="78">
        <v>8.2564200000000003</v>
      </c>
      <c r="F48" s="105">
        <v>690.20699999999999</v>
      </c>
      <c r="G48" s="79">
        <v>2.3163999999999998</v>
      </c>
      <c r="H48" s="78">
        <f t="shared" si="16"/>
        <v>2.4704706672994905</v>
      </c>
      <c r="I48" s="103">
        <f t="shared" si="17"/>
        <v>2.5050208716763923E-3</v>
      </c>
      <c r="K48" s="152"/>
      <c r="L48" s="179">
        <v>1.2E-2</v>
      </c>
      <c r="M48" s="78">
        <v>8.2672399999999993</v>
      </c>
      <c r="N48" s="115">
        <v>687.49800000000005</v>
      </c>
      <c r="O48" s="78">
        <v>2.3088000000000002</v>
      </c>
      <c r="P48" s="78">
        <v>8.26736</v>
      </c>
      <c r="Q48" s="115">
        <v>687.46900000000005</v>
      </c>
      <c r="R48" s="78">
        <v>2.3224999999999998</v>
      </c>
      <c r="S48" s="78">
        <v>8.2679200000000002</v>
      </c>
      <c r="T48" s="115">
        <v>687.33100000000002</v>
      </c>
      <c r="U48" s="78">
        <v>2.4340000000000002</v>
      </c>
      <c r="V48" s="175">
        <v>8.2683</v>
      </c>
      <c r="W48" s="175">
        <v>687.23500000000001</v>
      </c>
      <c r="X48" s="175">
        <v>2.3582999999999998</v>
      </c>
      <c r="Y48" s="175">
        <v>8.2681500000000003</v>
      </c>
      <c r="Z48" s="175">
        <v>687.27200000000005</v>
      </c>
      <c r="AA48" s="181">
        <v>2.4672999999999998</v>
      </c>
      <c r="AB48" s="114">
        <f t="shared" si="13"/>
        <v>8.2677939999999985</v>
      </c>
      <c r="AC48" s="117">
        <f t="shared" si="14"/>
        <v>687.3610000000001</v>
      </c>
      <c r="AD48" s="182">
        <f t="shared" si="15"/>
        <v>2.37818</v>
      </c>
      <c r="AE48" s="78">
        <f t="shared" si="18"/>
        <v>2.5361277787733543</v>
      </c>
      <c r="AF48" s="103">
        <f t="shared" si="19"/>
        <v>6.10417417169044E-3</v>
      </c>
    </row>
    <row r="49" spans="3:32" s="113" customFormat="1">
      <c r="D49" s="78">
        <v>0.02</v>
      </c>
      <c r="E49" s="78">
        <v>8.2729499999999998</v>
      </c>
      <c r="F49" s="113">
        <v>686.07799999999997</v>
      </c>
      <c r="G49" s="79">
        <v>2.4076</v>
      </c>
      <c r="H49" s="78">
        <f t="shared" si="16"/>
        <v>2.5673954490450415</v>
      </c>
      <c r="I49" s="103">
        <f t="shared" si="17"/>
        <v>8.3721155564969868E-3</v>
      </c>
      <c r="K49" s="152"/>
      <c r="L49" s="179">
        <v>1.4E-2</v>
      </c>
      <c r="M49" s="78">
        <v>8.2838700000000003</v>
      </c>
      <c r="N49" s="115">
        <v>683.36800000000005</v>
      </c>
      <c r="O49" s="78">
        <v>2.5013999999999998</v>
      </c>
      <c r="P49" s="78">
        <v>8.2840699999999998</v>
      </c>
      <c r="Q49" s="115">
        <v>683.31799999999998</v>
      </c>
      <c r="R49" s="78">
        <v>2.4906000000000001</v>
      </c>
      <c r="S49" s="78">
        <v>8.2840000000000007</v>
      </c>
      <c r="T49" s="115">
        <v>683.33500000000004</v>
      </c>
      <c r="U49" s="78">
        <v>2.5577000000000001</v>
      </c>
      <c r="V49" s="175">
        <v>8.2825299999999995</v>
      </c>
      <c r="W49" s="175">
        <v>683.7</v>
      </c>
      <c r="X49" s="175">
        <v>2.4809000000000001</v>
      </c>
      <c r="Y49" s="175">
        <v>8.2829599999999992</v>
      </c>
      <c r="Z49" s="175">
        <v>683.59199999999998</v>
      </c>
      <c r="AA49" s="181">
        <v>2.4062999999999999</v>
      </c>
      <c r="AB49" s="114">
        <f t="shared" si="13"/>
        <v>8.2834859999999999</v>
      </c>
      <c r="AC49" s="117">
        <f t="shared" si="14"/>
        <v>683.46260000000007</v>
      </c>
      <c r="AD49" s="182">
        <f t="shared" si="15"/>
        <v>2.4873799999999999</v>
      </c>
      <c r="AE49" s="78">
        <f t="shared" si="18"/>
        <v>2.6522466469904713</v>
      </c>
      <c r="AF49" s="103">
        <f t="shared" si="19"/>
        <v>1.6280400527627997E-2</v>
      </c>
    </row>
    <row r="50" spans="3:32">
      <c r="D50" s="78">
        <v>2.1999999999999999E-2</v>
      </c>
      <c r="E50" s="78">
        <v>8.2897700000000007</v>
      </c>
      <c r="F50" s="105">
        <v>681.90899999999999</v>
      </c>
      <c r="G50" s="79">
        <v>2.5265</v>
      </c>
      <c r="H50" s="78">
        <f t="shared" si="16"/>
        <v>2.6938242208020045</v>
      </c>
      <c r="I50" s="103">
        <f t="shared" si="17"/>
        <v>2.1131204285826058E-2</v>
      </c>
      <c r="K50" s="152"/>
      <c r="L50" s="179">
        <v>1.6E-2</v>
      </c>
      <c r="M50" s="78">
        <v>8.3002000000000002</v>
      </c>
      <c r="N50" s="115">
        <v>679.34100000000001</v>
      </c>
      <c r="O50" s="78">
        <v>2.5455999999999999</v>
      </c>
      <c r="P50" s="78">
        <v>8.2987300000000008</v>
      </c>
      <c r="Q50" s="115">
        <v>679.702</v>
      </c>
      <c r="R50" s="78">
        <v>2.5417999999999998</v>
      </c>
      <c r="S50" s="78">
        <v>8.3005899999999997</v>
      </c>
      <c r="T50" s="115">
        <v>679.24699999999996</v>
      </c>
      <c r="U50" s="78">
        <v>2.5920999999999998</v>
      </c>
      <c r="V50" s="175">
        <v>8.3003699999999991</v>
      </c>
      <c r="W50" s="175">
        <v>679.3</v>
      </c>
      <c r="X50" s="175">
        <v>2.5813999999999999</v>
      </c>
      <c r="Y50" s="175">
        <v>8.3008299999999995</v>
      </c>
      <c r="Z50" s="175">
        <v>679.18700000000001</v>
      </c>
      <c r="AA50" s="181">
        <v>2.5512000000000001</v>
      </c>
      <c r="AB50" s="114">
        <f t="shared" si="13"/>
        <v>8.3001439999999995</v>
      </c>
      <c r="AC50" s="117">
        <f t="shared" si="14"/>
        <v>679.35540000000003</v>
      </c>
      <c r="AD50" s="182">
        <f t="shared" si="15"/>
        <v>2.5624199999999999</v>
      </c>
      <c r="AE50" s="78">
        <f t="shared" si="18"/>
        <v>2.7318969856265145</v>
      </c>
      <c r="AF50" s="103">
        <f t="shared" si="19"/>
        <v>2.6214679489715825E-2</v>
      </c>
    </row>
    <row r="51" spans="3:32">
      <c r="D51" s="78">
        <v>2.4E-2</v>
      </c>
      <c r="E51" s="78">
        <v>8.3073300000000003</v>
      </c>
      <c r="F51" s="105">
        <v>677.59400000000005</v>
      </c>
      <c r="G51" s="79">
        <v>2.6846000000000001</v>
      </c>
      <c r="H51" s="78">
        <f t="shared" si="16"/>
        <v>2.8619941605370629</v>
      </c>
      <c r="I51" s="103">
        <f t="shared" si="17"/>
        <v>4.7029558275172176E-2</v>
      </c>
      <c r="K51" s="152"/>
      <c r="L51" s="179">
        <v>1.7999999999999999E-2</v>
      </c>
      <c r="M51" s="78">
        <v>8.3157200000000007</v>
      </c>
      <c r="N51" s="115">
        <v>675.54600000000005</v>
      </c>
      <c r="O51" s="78">
        <v>2.6659999999999999</v>
      </c>
      <c r="P51" s="78">
        <v>8.3158300000000001</v>
      </c>
      <c r="Q51" s="115">
        <v>675.51900000000001</v>
      </c>
      <c r="R51" s="78">
        <v>2.5312000000000001</v>
      </c>
      <c r="S51" s="78">
        <v>8.3166399999999996</v>
      </c>
      <c r="T51" s="115">
        <v>675.322</v>
      </c>
      <c r="U51" s="78">
        <v>2.7010999999999998</v>
      </c>
      <c r="V51" s="175">
        <v>8.3149499999999996</v>
      </c>
      <c r="W51" s="175">
        <v>675.73199999999997</v>
      </c>
      <c r="X51" s="175">
        <v>2.665</v>
      </c>
      <c r="Y51" s="175">
        <v>8.3164499999999997</v>
      </c>
      <c r="Z51" s="175">
        <v>675.36699999999996</v>
      </c>
      <c r="AA51" s="181">
        <v>2.6478000000000002</v>
      </c>
      <c r="AB51" s="114">
        <f t="shared" si="13"/>
        <v>8.3159179999999999</v>
      </c>
      <c r="AC51" s="117">
        <f t="shared" si="14"/>
        <v>675.49720000000002</v>
      </c>
      <c r="AD51" s="182">
        <f t="shared" si="15"/>
        <v>2.6422200000000005</v>
      </c>
      <c r="AE51" s="78">
        <f t="shared" si="18"/>
        <v>2.8166215491730431</v>
      </c>
      <c r="AF51" s="103">
        <f t="shared" si="19"/>
        <v>3.931779248125044E-2</v>
      </c>
    </row>
    <row r="52" spans="3:32">
      <c r="D52" s="78">
        <v>2.5999999999999999E-2</v>
      </c>
      <c r="E52" s="78">
        <v>8.3243600000000004</v>
      </c>
      <c r="F52" s="105">
        <v>673.44500000000005</v>
      </c>
      <c r="G52" s="79">
        <v>2.7664</v>
      </c>
      <c r="H52" s="78">
        <f t="shared" si="16"/>
        <v>2.948800747274881</v>
      </c>
      <c r="I52" s="103">
        <f t="shared" si="17"/>
        <v>6.4605769284128561E-2</v>
      </c>
      <c r="K52" s="152"/>
      <c r="L52" s="179">
        <v>0.02</v>
      </c>
      <c r="M52" s="78">
        <v>8.3340999999999994</v>
      </c>
      <c r="N52" s="115">
        <v>671.08600000000001</v>
      </c>
      <c r="O52" s="78">
        <v>2.8693</v>
      </c>
      <c r="P52" s="78">
        <v>8.3324300000000004</v>
      </c>
      <c r="Q52" s="115">
        <v>671.49</v>
      </c>
      <c r="R52" s="78">
        <v>2.7267000000000001</v>
      </c>
      <c r="S52" s="78">
        <v>8.3339700000000008</v>
      </c>
      <c r="T52" s="115">
        <v>671.11699999999996</v>
      </c>
      <c r="U52" s="78">
        <v>2.7452999999999999</v>
      </c>
      <c r="V52" s="175">
        <v>8.3343900000000009</v>
      </c>
      <c r="W52" s="175">
        <v>671.01599999999996</v>
      </c>
      <c r="X52" s="175">
        <v>2.6720000000000002</v>
      </c>
      <c r="Y52" s="175">
        <v>8.3331599999999995</v>
      </c>
      <c r="Z52" s="175">
        <v>671.31399999999996</v>
      </c>
      <c r="AA52" s="181">
        <v>2.7848000000000002</v>
      </c>
      <c r="AB52" s="114">
        <f t="shared" si="13"/>
        <v>8.3336100000000002</v>
      </c>
      <c r="AC52" s="117">
        <f t="shared" si="14"/>
        <v>671.20459999999991</v>
      </c>
      <c r="AD52" s="182">
        <f t="shared" si="15"/>
        <v>2.7596200000000004</v>
      </c>
      <c r="AE52" s="78">
        <f t="shared" si="18"/>
        <v>2.9413584500897731</v>
      </c>
      <c r="AF52" s="103">
        <f t="shared" si="19"/>
        <v>6.3267358232003745E-2</v>
      </c>
    </row>
    <row r="53" spans="3:32">
      <c r="D53" s="78">
        <v>2.8000000000000001E-2</v>
      </c>
      <c r="E53" s="78">
        <v>8.3418500000000009</v>
      </c>
      <c r="F53" s="105">
        <v>669.21900000000005</v>
      </c>
      <c r="G53" s="79">
        <v>2.7707000000000002</v>
      </c>
      <c r="H53" s="78">
        <f t="shared" si="16"/>
        <v>2.9529760404876035</v>
      </c>
      <c r="I53" s="103">
        <f t="shared" si="17"/>
        <v>6.5972957942573032E-2</v>
      </c>
      <c r="K53" s="152"/>
      <c r="L53" s="179">
        <v>2.1999999999999999E-2</v>
      </c>
      <c r="M53" s="78">
        <v>8.3503699999999998</v>
      </c>
      <c r="N53" s="115">
        <v>667.173</v>
      </c>
      <c r="O53" s="78">
        <v>2.8736000000000002</v>
      </c>
      <c r="P53" s="78">
        <v>8.3507899999999999</v>
      </c>
      <c r="Q53" s="115">
        <v>667.06899999999996</v>
      </c>
      <c r="R53" s="78">
        <v>2.8193000000000001</v>
      </c>
      <c r="S53" s="78">
        <v>8.3493899999999996</v>
      </c>
      <c r="T53" s="115">
        <v>667.40599999999995</v>
      </c>
      <c r="U53" s="78">
        <v>2.8754</v>
      </c>
      <c r="V53" s="175">
        <v>8.3501600000000007</v>
      </c>
      <c r="W53" s="175">
        <v>667.221</v>
      </c>
      <c r="X53" s="175">
        <v>2.8157999999999999</v>
      </c>
      <c r="Y53" s="175">
        <v>8.3506199999999993</v>
      </c>
      <c r="Z53" s="175">
        <v>667.11</v>
      </c>
      <c r="AA53" s="181">
        <v>2.7214999999999998</v>
      </c>
      <c r="AB53" s="114">
        <f t="shared" si="13"/>
        <v>8.3502660000000013</v>
      </c>
      <c r="AC53" s="117">
        <f t="shared" si="14"/>
        <v>667.19579999999996</v>
      </c>
      <c r="AD53" s="182">
        <f t="shared" si="15"/>
        <v>2.8211199999999996</v>
      </c>
      <c r="AE53" s="78">
        <f t="shared" si="18"/>
        <v>3.0065136744896588</v>
      </c>
      <c r="AF53" s="103">
        <f t="shared" si="19"/>
        <v>7.825716052377478E-2</v>
      </c>
    </row>
    <row r="54" spans="3:32">
      <c r="D54" s="78">
        <v>0.03</v>
      </c>
      <c r="E54" s="78">
        <v>8.3612900000000003</v>
      </c>
      <c r="F54" s="105">
        <v>664.56200000000001</v>
      </c>
      <c r="G54" s="79">
        <v>2.9500999999999999</v>
      </c>
      <c r="H54" s="78">
        <f t="shared" si="16"/>
        <v>3.1436973847172904</v>
      </c>
      <c r="I54" s="103">
        <f t="shared" si="17"/>
        <v>0.11415500926748777</v>
      </c>
      <c r="K54" s="152"/>
      <c r="L54" s="179">
        <v>2.4E-2</v>
      </c>
      <c r="M54" s="78">
        <v>8.3689400000000003</v>
      </c>
      <c r="N54" s="115">
        <v>662.74099999999999</v>
      </c>
      <c r="O54" s="78">
        <v>2.9316</v>
      </c>
      <c r="P54" s="78">
        <v>8.3698200000000007</v>
      </c>
      <c r="Q54" s="115">
        <v>662.53</v>
      </c>
      <c r="R54" s="78">
        <v>2.9762</v>
      </c>
      <c r="S54" s="78">
        <v>8.3689900000000002</v>
      </c>
      <c r="T54" s="115">
        <v>662.72900000000004</v>
      </c>
      <c r="U54" s="78">
        <v>2.9487000000000001</v>
      </c>
      <c r="V54" s="175">
        <v>8.3683200000000006</v>
      </c>
      <c r="W54" s="175">
        <v>662.88699999999994</v>
      </c>
      <c r="X54" s="175">
        <v>2.9559000000000002</v>
      </c>
      <c r="Y54" s="175">
        <v>8.3688699999999994</v>
      </c>
      <c r="Z54" s="175">
        <v>662.75599999999997</v>
      </c>
      <c r="AA54" s="181">
        <v>2.9055</v>
      </c>
      <c r="AB54" s="114">
        <f t="shared" si="13"/>
        <v>8.3689879999999999</v>
      </c>
      <c r="AC54" s="117">
        <f t="shared" si="14"/>
        <v>662.72859999999991</v>
      </c>
      <c r="AD54" s="182">
        <f t="shared" si="15"/>
        <v>2.9435799999999999</v>
      </c>
      <c r="AE54" s="78">
        <f t="shared" si="18"/>
        <v>3.1365601853593699</v>
      </c>
      <c r="AF54" s="103">
        <f t="shared" si="19"/>
        <v>0.1124011506240901</v>
      </c>
    </row>
    <row r="55" spans="3:32">
      <c r="K55" s="152"/>
      <c r="L55" s="179">
        <v>2.5999999999999999E-2</v>
      </c>
      <c r="M55" s="78">
        <v>8.3877000000000006</v>
      </c>
      <c r="N55" s="115">
        <v>658.30399999999997</v>
      </c>
      <c r="O55" s="78">
        <v>3.0421999999999998</v>
      </c>
      <c r="P55" s="78">
        <v>8.3865200000000009</v>
      </c>
      <c r="Q55" s="115">
        <v>658.58100000000002</v>
      </c>
      <c r="R55" s="78">
        <v>3.1173000000000002</v>
      </c>
      <c r="S55" s="78">
        <v>8.3860700000000001</v>
      </c>
      <c r="T55" s="115">
        <v>658.68899999999996</v>
      </c>
      <c r="U55" s="78">
        <v>2.9102999999999999</v>
      </c>
      <c r="V55" s="175">
        <v>8.3872800000000005</v>
      </c>
      <c r="W55" s="175">
        <v>658.40300000000002</v>
      </c>
      <c r="X55" s="175">
        <v>2.9775999999999998</v>
      </c>
      <c r="Y55" s="175">
        <v>8.3874899999999997</v>
      </c>
      <c r="Z55" s="175">
        <v>658.35299999999995</v>
      </c>
      <c r="AA55" s="181">
        <v>3.0606</v>
      </c>
      <c r="AB55" s="114">
        <f t="shared" si="13"/>
        <v>8.3870120000000004</v>
      </c>
      <c r="AC55" s="117">
        <f t="shared" si="14"/>
        <v>658.46600000000001</v>
      </c>
      <c r="AD55" s="182">
        <f t="shared" si="15"/>
        <v>3.0216000000000003</v>
      </c>
      <c r="AE55" s="78">
        <f t="shared" si="18"/>
        <v>3.219241592593018</v>
      </c>
      <c r="AF55" s="103">
        <f t="shared" si="19"/>
        <v>0.13755036176383181</v>
      </c>
    </row>
    <row r="57" spans="3:32">
      <c r="C57" s="105" t="s">
        <v>268</v>
      </c>
      <c r="D57" s="78">
        <v>0.01</v>
      </c>
      <c r="E57" s="78">
        <v>7.8995300000000004</v>
      </c>
      <c r="F57" s="105">
        <v>802</v>
      </c>
      <c r="G57" s="79">
        <v>0.19</v>
      </c>
      <c r="H57" s="78">
        <f>G57/(1-$I$11*F$11/E57)</f>
        <v>0.20331628558821369</v>
      </c>
      <c r="I57" s="103">
        <f>((F57-$G$11)/$G$11)^2 + ((H57-$D$11)/$D$11)^2</f>
        <v>0.226994189013701</v>
      </c>
    </row>
  </sheetData>
  <mergeCells count="9">
    <mergeCell ref="AB16:AD16"/>
    <mergeCell ref="L15:U15"/>
    <mergeCell ref="C16:J16"/>
    <mergeCell ref="B2:D2"/>
    <mergeCell ref="M16:O16"/>
    <mergeCell ref="P16:R16"/>
    <mergeCell ref="S16:U16"/>
    <mergeCell ref="V16:X16"/>
    <mergeCell ref="Y16:AA1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4A79-229D-40A1-9EF2-2AA48E78AAE8}">
  <dimension ref="B2:AE11"/>
  <sheetViews>
    <sheetView tabSelected="1" workbookViewId="0">
      <selection activeCell="R26" sqref="R26"/>
    </sheetView>
  </sheetViews>
  <sheetFormatPr defaultRowHeight="15.75"/>
  <cols>
    <col min="1" max="1" width="5.75" style="68" customWidth="1"/>
    <col min="2" max="2" width="41.625" style="68" customWidth="1"/>
    <col min="3" max="5" width="7.5" style="68" customWidth="1"/>
    <col min="6" max="6" width="9" style="68"/>
    <col min="7" max="15" width="9" style="71"/>
    <col min="16" max="18" width="9" style="68"/>
    <col min="19" max="19" width="3.25" style="68" customWidth="1"/>
    <col min="20" max="20" width="9" style="211"/>
    <col min="21" max="22" width="9" style="68"/>
    <col min="23" max="24" width="17" style="68" customWidth="1"/>
    <col min="25" max="16384" width="9" style="68"/>
  </cols>
  <sheetData>
    <row r="2" spans="2:31" s="187" customFormat="1">
      <c r="C2" s="191" t="s">
        <v>414</v>
      </c>
      <c r="D2" s="191"/>
      <c r="E2" s="191"/>
      <c r="G2" s="160"/>
      <c r="H2" s="160"/>
      <c r="I2" s="160"/>
      <c r="J2" s="160"/>
      <c r="K2" s="160"/>
      <c r="L2" s="160"/>
      <c r="M2" s="160"/>
      <c r="N2" s="160"/>
      <c r="O2" s="160"/>
      <c r="Q2" s="187" t="s">
        <v>413</v>
      </c>
      <c r="T2" s="212"/>
    </row>
    <row r="3" spans="2:31" s="163" customFormat="1">
      <c r="B3" s="163" t="s">
        <v>415</v>
      </c>
      <c r="C3" s="163" t="s">
        <v>417</v>
      </c>
      <c r="D3" s="163" t="s">
        <v>418</v>
      </c>
      <c r="E3" s="163" t="s">
        <v>419</v>
      </c>
      <c r="F3" s="163" t="s">
        <v>420</v>
      </c>
      <c r="G3" s="174" t="s">
        <v>404</v>
      </c>
      <c r="H3" s="174" t="s">
        <v>405</v>
      </c>
      <c r="I3" s="174" t="s">
        <v>406</v>
      </c>
      <c r="J3" s="174" t="s">
        <v>407</v>
      </c>
      <c r="K3" s="174" t="s">
        <v>408</v>
      </c>
      <c r="L3" s="174" t="s">
        <v>409</v>
      </c>
      <c r="M3" s="174" t="s">
        <v>410</v>
      </c>
      <c r="N3" s="174" t="s">
        <v>411</v>
      </c>
      <c r="O3" s="174" t="s">
        <v>412</v>
      </c>
      <c r="P3" s="207" t="s">
        <v>425</v>
      </c>
      <c r="Q3" s="207" t="s">
        <v>426</v>
      </c>
      <c r="R3" s="207" t="s">
        <v>427</v>
      </c>
      <c r="S3" s="207"/>
      <c r="T3" s="213"/>
      <c r="V3" s="163" t="s">
        <v>438</v>
      </c>
      <c r="W3" s="163" t="s">
        <v>286</v>
      </c>
      <c r="X3" s="163" t="s">
        <v>444</v>
      </c>
      <c r="Y3" s="163" t="s">
        <v>439</v>
      </c>
      <c r="Z3" s="163" t="s">
        <v>440</v>
      </c>
      <c r="AA3" s="163" t="s">
        <v>441</v>
      </c>
      <c r="AB3" s="210" t="s">
        <v>442</v>
      </c>
      <c r="AC3" s="174" t="s">
        <v>443</v>
      </c>
      <c r="AD3" s="174" t="s">
        <v>23</v>
      </c>
      <c r="AE3" s="174" t="s">
        <v>444</v>
      </c>
    </row>
    <row r="4" spans="2:31" s="208" customFormat="1">
      <c r="B4" s="208" t="s">
        <v>416</v>
      </c>
      <c r="C4" s="208">
        <v>1</v>
      </c>
      <c r="D4" s="208">
        <v>1</v>
      </c>
      <c r="E4" s="208">
        <v>1</v>
      </c>
      <c r="F4" s="208">
        <f>C4*D4*E4</f>
        <v>1</v>
      </c>
      <c r="G4" s="209">
        <v>0.42698999999999998</v>
      </c>
      <c r="H4" s="209">
        <v>0.46002999999999999</v>
      </c>
      <c r="I4" s="209">
        <v>2.06298</v>
      </c>
      <c r="J4" s="209">
        <v>0</v>
      </c>
      <c r="K4" s="209">
        <v>0</v>
      </c>
      <c r="L4" s="209">
        <v>0.14065</v>
      </c>
      <c r="M4" s="209">
        <v>0</v>
      </c>
      <c r="N4" s="209">
        <v>0.85763</v>
      </c>
      <c r="O4" s="209">
        <v>-3.9870000000000003E-2</v>
      </c>
      <c r="P4" s="208" t="b">
        <f>IF(G4 &gt; 2*L4, TRUE)</f>
        <v>1</v>
      </c>
      <c r="Q4" s="208" t="b">
        <f>IF(G4 &gt; 2*N4, TRUE)</f>
        <v>0</v>
      </c>
      <c r="R4" s="208" t="b">
        <f>IF(H4 &gt; 2*O4,TRUE)</f>
        <v>1</v>
      </c>
      <c r="T4" s="214"/>
      <c r="U4" s="68" t="s">
        <v>42</v>
      </c>
      <c r="V4" s="68"/>
      <c r="W4" s="68" t="s">
        <v>445</v>
      </c>
      <c r="X4" s="68"/>
      <c r="Y4" s="68"/>
      <c r="Z4" s="68"/>
      <c r="AA4" s="71"/>
      <c r="AB4" s="71"/>
      <c r="AC4" s="71"/>
      <c r="AD4" s="71"/>
      <c r="AE4" s="71"/>
    </row>
    <row r="5" spans="2:31">
      <c r="C5" s="68">
        <v>4</v>
      </c>
      <c r="D5" s="68">
        <v>4</v>
      </c>
      <c r="E5" s="68">
        <v>1</v>
      </c>
      <c r="F5" s="187">
        <f>C5*D5*E5</f>
        <v>16</v>
      </c>
      <c r="G5" s="71">
        <f>C5*G$4</f>
        <v>1.7079599999999999</v>
      </c>
      <c r="H5" s="71">
        <f>D5*H$4</f>
        <v>1.84012</v>
      </c>
      <c r="I5" s="71">
        <f>E5*I$4</f>
        <v>2.06298</v>
      </c>
      <c r="J5" s="71">
        <f>C5*J$4</f>
        <v>0</v>
      </c>
      <c r="K5" s="71">
        <f>C5*K$4</f>
        <v>0</v>
      </c>
      <c r="L5" s="71">
        <f>D5*L$4</f>
        <v>0.56259999999999999</v>
      </c>
      <c r="M5" s="71">
        <f>D5*M$4</f>
        <v>0</v>
      </c>
      <c r="N5" s="71">
        <f>E5*N$4</f>
        <v>0.85763</v>
      </c>
      <c r="O5" s="71">
        <f>E5*O$4</f>
        <v>-3.9870000000000003E-2</v>
      </c>
      <c r="P5" s="187" t="b">
        <f t="shared" ref="P5:P8" si="0">IF(G5 &gt; 2*L5, TRUE)</f>
        <v>1</v>
      </c>
      <c r="Q5" s="187" t="b">
        <f t="shared" ref="Q5:Q8" si="1">IF(G5 &gt; 2*N5, TRUE)</f>
        <v>0</v>
      </c>
      <c r="R5" s="187" t="b">
        <f t="shared" ref="R5:R8" si="2">IF(H5 &gt; 2*O5,TRUE)</f>
        <v>1</v>
      </c>
      <c r="S5" s="187"/>
      <c r="U5" s="68" t="s">
        <v>41</v>
      </c>
      <c r="W5" s="68" t="s">
        <v>446</v>
      </c>
      <c r="AA5" s="71"/>
      <c r="AB5" s="71"/>
      <c r="AC5" s="71"/>
      <c r="AD5" s="71"/>
      <c r="AE5" s="71"/>
    </row>
    <row r="6" spans="2:31">
      <c r="B6" s="68" t="s">
        <v>421</v>
      </c>
      <c r="C6" s="68">
        <v>5</v>
      </c>
      <c r="D6" s="68">
        <v>5</v>
      </c>
      <c r="E6" s="68">
        <v>1</v>
      </c>
      <c r="F6" s="187">
        <f>C6*D6*E6</f>
        <v>25</v>
      </c>
      <c r="G6" s="71">
        <f>C6*G$4</f>
        <v>2.1349499999999999</v>
      </c>
      <c r="H6" s="71">
        <f>D6*H$4</f>
        <v>2.3001499999999999</v>
      </c>
      <c r="I6" s="71">
        <f>E6*I$4</f>
        <v>2.06298</v>
      </c>
      <c r="J6" s="71">
        <f>C6*J$4</f>
        <v>0</v>
      </c>
      <c r="K6" s="71">
        <f>C6*K$4</f>
        <v>0</v>
      </c>
      <c r="L6" s="71">
        <f>D6*L$4</f>
        <v>0.70324999999999993</v>
      </c>
      <c r="M6" s="71">
        <f>D6*M$4</f>
        <v>0</v>
      </c>
      <c r="N6" s="71">
        <f>E6*N$4</f>
        <v>0.85763</v>
      </c>
      <c r="O6" s="71">
        <f>E6*O$4</f>
        <v>-3.9870000000000003E-2</v>
      </c>
      <c r="P6" s="187" t="b">
        <f t="shared" si="0"/>
        <v>1</v>
      </c>
      <c r="Q6" s="187" t="b">
        <f>IF(G6 &gt; 2*N6, TRUE)</f>
        <v>1</v>
      </c>
      <c r="R6" s="187" t="b">
        <f t="shared" si="2"/>
        <v>1</v>
      </c>
      <c r="S6" s="187"/>
      <c r="U6" s="68" t="s">
        <v>33</v>
      </c>
      <c r="AA6" s="71"/>
      <c r="AB6" s="71"/>
      <c r="AC6" s="71"/>
      <c r="AD6" s="71"/>
      <c r="AE6" s="71"/>
    </row>
    <row r="7" spans="2:31">
      <c r="B7" s="68" t="s">
        <v>422</v>
      </c>
      <c r="C7" s="68">
        <f>2*C6</f>
        <v>10</v>
      </c>
      <c r="D7" s="68">
        <f t="shared" ref="D7:E7" si="3">2*D6</f>
        <v>10</v>
      </c>
      <c r="E7" s="68">
        <f t="shared" si="3"/>
        <v>2</v>
      </c>
      <c r="F7" s="187">
        <f>C7*D7*E7</f>
        <v>200</v>
      </c>
      <c r="G7" s="71">
        <f>C7*G$4</f>
        <v>4.2698999999999998</v>
      </c>
      <c r="H7" s="71">
        <f>D7*H$4</f>
        <v>4.6002999999999998</v>
      </c>
      <c r="I7" s="71">
        <f>E7*I$4</f>
        <v>4.1259600000000001</v>
      </c>
      <c r="J7" s="71">
        <f>C7*J$4</f>
        <v>0</v>
      </c>
      <c r="K7" s="71">
        <f>C7*K$4</f>
        <v>0</v>
      </c>
      <c r="L7" s="71">
        <f>D7*L$4</f>
        <v>1.4064999999999999</v>
      </c>
      <c r="M7" s="71">
        <f>D7*M$4</f>
        <v>0</v>
      </c>
      <c r="N7" s="71">
        <f>E7*N$4</f>
        <v>1.71526</v>
      </c>
      <c r="O7" s="71">
        <f>E7*O$4</f>
        <v>-7.9740000000000005E-2</v>
      </c>
      <c r="P7" s="187" t="b">
        <f t="shared" si="0"/>
        <v>1</v>
      </c>
      <c r="Q7" s="187" t="b">
        <f t="shared" si="1"/>
        <v>1</v>
      </c>
      <c r="R7" s="187" t="b">
        <f t="shared" si="2"/>
        <v>1</v>
      </c>
      <c r="S7" s="187"/>
    </row>
    <row r="8" spans="2:31">
      <c r="B8" s="68" t="s">
        <v>423</v>
      </c>
      <c r="C8" s="68">
        <f>3*C6</f>
        <v>15</v>
      </c>
      <c r="D8" s="68">
        <f t="shared" ref="D8:E8" si="4">3*D6</f>
        <v>15</v>
      </c>
      <c r="E8" s="68">
        <f t="shared" si="4"/>
        <v>3</v>
      </c>
      <c r="F8" s="187">
        <f>C8*D8*E8</f>
        <v>675</v>
      </c>
      <c r="G8" s="71">
        <f>C8*G$4</f>
        <v>6.4048499999999997</v>
      </c>
      <c r="H8" s="71">
        <f>D8*H$4</f>
        <v>6.9004500000000002</v>
      </c>
      <c r="I8" s="71">
        <f>E8*I$4</f>
        <v>6.1889400000000006</v>
      </c>
      <c r="J8" s="71">
        <f>C8*J$4</f>
        <v>0</v>
      </c>
      <c r="K8" s="71">
        <f>C8*K$4</f>
        <v>0</v>
      </c>
      <c r="L8" s="71">
        <f>D8*L$4</f>
        <v>2.10975</v>
      </c>
      <c r="M8" s="71">
        <f>D8*M$4</f>
        <v>0</v>
      </c>
      <c r="N8" s="71">
        <f>E8*N$4</f>
        <v>2.5728900000000001</v>
      </c>
      <c r="O8" s="71">
        <f>E8*O$4</f>
        <v>-0.11961000000000001</v>
      </c>
      <c r="P8" s="187" t="b">
        <f t="shared" si="0"/>
        <v>1</v>
      </c>
      <c r="Q8" s="187" t="b">
        <f t="shared" si="1"/>
        <v>1</v>
      </c>
      <c r="R8" s="187" t="b">
        <f t="shared" si="2"/>
        <v>1</v>
      </c>
      <c r="S8" s="187"/>
    </row>
    <row r="9" spans="2:31">
      <c r="B9" s="68" t="s">
        <v>424</v>
      </c>
      <c r="C9" s="68">
        <f>4*C6</f>
        <v>20</v>
      </c>
      <c r="D9" s="68">
        <f t="shared" ref="D9:E9" si="5">4*D6</f>
        <v>20</v>
      </c>
      <c r="E9" s="68">
        <f t="shared" si="5"/>
        <v>4</v>
      </c>
      <c r="F9" s="187">
        <f>C9*D9*E9</f>
        <v>1600</v>
      </c>
      <c r="G9" s="71">
        <f>C9*G$4</f>
        <v>8.5397999999999996</v>
      </c>
      <c r="H9" s="71">
        <f>D9*H$4</f>
        <v>9.2005999999999997</v>
      </c>
      <c r="I9" s="71">
        <f>E9*I$4</f>
        <v>8.2519200000000001</v>
      </c>
      <c r="J9" s="71">
        <f>C9*J$4</f>
        <v>0</v>
      </c>
      <c r="K9" s="71">
        <f>C9*K$4</f>
        <v>0</v>
      </c>
      <c r="L9" s="71">
        <f>D9*L$4</f>
        <v>2.8129999999999997</v>
      </c>
      <c r="M9" s="71">
        <f>D9*M$4</f>
        <v>0</v>
      </c>
      <c r="N9" s="71">
        <f>E9*N$4</f>
        <v>3.43052</v>
      </c>
      <c r="O9" s="71">
        <f>E9*O$4</f>
        <v>-0.15948000000000001</v>
      </c>
      <c r="P9" s="187" t="b">
        <f>IF(G9 &gt; 2*L9, TRUE)</f>
        <v>1</v>
      </c>
      <c r="Q9" s="187" t="b">
        <f>IF(G9 &gt; 2*N9, TRUE)</f>
        <v>1</v>
      </c>
      <c r="R9" s="187" t="b">
        <f>IF(H9 &gt; 2*O9,TRUE)</f>
        <v>1</v>
      </c>
      <c r="S9" s="187"/>
    </row>
    <row r="10" spans="2:31">
      <c r="B10" s="68" t="s">
        <v>428</v>
      </c>
      <c r="C10" s="68">
        <v>16</v>
      </c>
      <c r="D10" s="68">
        <v>16</v>
      </c>
      <c r="E10" s="68">
        <v>3</v>
      </c>
      <c r="F10" s="187">
        <f>C10*D10*E10</f>
        <v>768</v>
      </c>
      <c r="G10" s="71">
        <f>C10*G$4</f>
        <v>6.8318399999999997</v>
      </c>
      <c r="H10" s="71">
        <f>D10*H$4</f>
        <v>7.3604799999999999</v>
      </c>
      <c r="I10" s="71">
        <f>E10*I$4</f>
        <v>6.1889400000000006</v>
      </c>
      <c r="J10" s="71">
        <f>C10*J$4</f>
        <v>0</v>
      </c>
      <c r="K10" s="71">
        <f>C10*K$4</f>
        <v>0</v>
      </c>
      <c r="L10" s="71">
        <f>D10*L$4</f>
        <v>2.2504</v>
      </c>
      <c r="M10" s="71">
        <f>D10*M$4</f>
        <v>0</v>
      </c>
      <c r="N10" s="71">
        <f>E10*N$4</f>
        <v>2.5728900000000001</v>
      </c>
      <c r="O10" s="71">
        <f>E10*O$4</f>
        <v>-0.11961000000000001</v>
      </c>
      <c r="P10" s="187" t="b">
        <f>IF(G10 &gt; 2*L10, TRUE)</f>
        <v>1</v>
      </c>
      <c r="Q10" s="187" t="b">
        <f>IF(G10 &gt; 2*N10, TRUE)</f>
        <v>1</v>
      </c>
      <c r="R10" s="187" t="b">
        <f>IF(H10 &gt; 2*O10,TRUE)</f>
        <v>1</v>
      </c>
      <c r="S10" s="187"/>
    </row>
    <row r="11" spans="2:31">
      <c r="C11" s="68">
        <v>18</v>
      </c>
      <c r="D11" s="68">
        <v>18</v>
      </c>
      <c r="E11" s="68">
        <v>4</v>
      </c>
      <c r="F11" s="187">
        <f>C11*D11*E11</f>
        <v>1296</v>
      </c>
      <c r="G11" s="71">
        <f>C11*G$4</f>
        <v>7.6858199999999997</v>
      </c>
      <c r="H11" s="71">
        <f>D11*H$4</f>
        <v>8.2805400000000002</v>
      </c>
      <c r="I11" s="71">
        <f>E11*I$4</f>
        <v>8.2519200000000001</v>
      </c>
      <c r="J11" s="71">
        <f>C11*J$4</f>
        <v>0</v>
      </c>
      <c r="K11" s="71">
        <f>C11*K$4</f>
        <v>0</v>
      </c>
      <c r="L11" s="71">
        <f>D11*L$4</f>
        <v>2.5316999999999998</v>
      </c>
      <c r="M11" s="71">
        <f>D11*M$4</f>
        <v>0</v>
      </c>
      <c r="N11" s="71">
        <f>E11*N$4</f>
        <v>3.43052</v>
      </c>
      <c r="O11" s="71">
        <f>E11*O$4</f>
        <v>-0.15948000000000001</v>
      </c>
      <c r="P11" s="187" t="b">
        <f>IF(G11 &gt; 2*L11, TRUE)</f>
        <v>1</v>
      </c>
      <c r="Q11" s="187" t="b">
        <f>IF(G11 &gt; 2*N11, TRUE)</f>
        <v>1</v>
      </c>
      <c r="R11" s="187" t="b">
        <f>IF(H11 &gt; 2*O11,TRUE)</f>
        <v>1</v>
      </c>
      <c r="S11" s="187"/>
    </row>
  </sheetData>
  <mergeCells count="1">
    <mergeCell ref="C2:E2"/>
  </mergeCells>
  <conditionalFormatting sqref="P4:S11">
    <cfRule type="cellIs" dxfId="0" priority="1" operator="equal">
      <formula>TRUE</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01DC-C123-4CCA-841E-6DF30D04B418}">
  <dimension ref="B1:AA35"/>
  <sheetViews>
    <sheetView workbookViewId="0">
      <selection activeCell="G46" sqref="G46"/>
    </sheetView>
  </sheetViews>
  <sheetFormatPr defaultColWidth="10.875" defaultRowHeight="15.75"/>
  <cols>
    <col min="1" max="1" width="3.875" style="150" customWidth="1"/>
    <col min="2" max="2" width="51.875" style="151" customWidth="1"/>
    <col min="3" max="3" width="10.75" style="150" customWidth="1"/>
    <col min="4" max="4" width="9.125" style="169" customWidth="1"/>
    <col min="5" max="5" width="21.375" style="140" customWidth="1"/>
    <col min="6" max="6" width="12" style="140" customWidth="1"/>
    <col min="7" max="12" width="9" style="150" customWidth="1"/>
    <col min="13" max="13" width="10.875" style="150"/>
    <col min="14" max="14" width="12.5" style="150" customWidth="1"/>
    <col min="15" max="15" width="10.875" style="150"/>
    <col min="16" max="16" width="31.875" style="42" customWidth="1"/>
    <col min="17" max="21" width="9" style="150" customWidth="1"/>
    <col min="22" max="22" width="9" style="141" customWidth="1"/>
    <col min="23" max="23" width="31.125" style="150" customWidth="1"/>
    <col min="24" max="24" width="9" style="141" customWidth="1"/>
    <col min="25" max="25" width="9" style="150" customWidth="1"/>
    <col min="26" max="26" width="47" style="150" customWidth="1"/>
    <col min="27" max="27" width="68" style="142" customWidth="1"/>
    <col min="28" max="16384" width="10.875" style="150"/>
  </cols>
  <sheetData>
    <row r="1" spans="2:27" s="188" customFormat="1">
      <c r="B1" s="189"/>
      <c r="D1" s="169"/>
      <c r="E1" s="140"/>
      <c r="F1" s="140"/>
      <c r="P1" s="42"/>
      <c r="V1" s="141"/>
      <c r="X1" s="141"/>
      <c r="AA1" s="142"/>
    </row>
    <row r="2" spans="2:27" s="188" customFormat="1">
      <c r="B2" s="189" t="s">
        <v>403</v>
      </c>
      <c r="D2" s="169"/>
      <c r="E2" s="140"/>
      <c r="F2" s="140"/>
      <c r="P2" s="42"/>
      <c r="V2" s="141"/>
      <c r="X2" s="141"/>
      <c r="AA2" s="142"/>
    </row>
    <row r="3" spans="2:27" s="188" customFormat="1">
      <c r="B3" s="189"/>
      <c r="D3" s="169"/>
      <c r="E3" s="140"/>
      <c r="F3" s="140"/>
      <c r="P3" s="42"/>
      <c r="V3" s="141"/>
      <c r="X3" s="141"/>
      <c r="AA3" s="142"/>
    </row>
    <row r="4" spans="2:27">
      <c r="E4" s="150"/>
      <c r="F4" s="150"/>
      <c r="J4" s="192" t="s">
        <v>293</v>
      </c>
      <c r="K4" s="192"/>
      <c r="N4" s="192" t="s">
        <v>78</v>
      </c>
      <c r="O4" s="192"/>
      <c r="Q4" s="192" t="s">
        <v>99</v>
      </c>
      <c r="R4" s="192"/>
      <c r="S4" s="192"/>
      <c r="T4" s="192"/>
      <c r="U4" s="192"/>
      <c r="V4" s="192"/>
      <c r="W4" s="192"/>
      <c r="X4" s="150"/>
      <c r="AA4" s="150"/>
    </row>
    <row r="5" spans="2:27" s="15" customFormat="1">
      <c r="B5" s="21" t="s">
        <v>77</v>
      </c>
      <c r="C5" s="15" t="s">
        <v>89</v>
      </c>
      <c r="D5" s="34" t="s">
        <v>61</v>
      </c>
      <c r="E5" s="15" t="s">
        <v>0</v>
      </c>
      <c r="F5" s="15" t="s">
        <v>1</v>
      </c>
      <c r="G5" s="15" t="s">
        <v>80</v>
      </c>
      <c r="H5" s="15" t="s">
        <v>81</v>
      </c>
      <c r="I5" s="15" t="s">
        <v>85</v>
      </c>
      <c r="J5" s="15" t="s">
        <v>292</v>
      </c>
      <c r="K5" s="15" t="s">
        <v>291</v>
      </c>
      <c r="L5" s="15" t="s">
        <v>290</v>
      </c>
      <c r="M5" s="15" t="s">
        <v>294</v>
      </c>
      <c r="N5" s="15" t="s">
        <v>93</v>
      </c>
      <c r="O5" s="15" t="s">
        <v>94</v>
      </c>
      <c r="P5" s="43" t="s">
        <v>299</v>
      </c>
      <c r="Q5" s="15" t="s">
        <v>100</v>
      </c>
      <c r="R5" s="25" t="s">
        <v>102</v>
      </c>
      <c r="S5" s="15" t="s">
        <v>101</v>
      </c>
      <c r="T5" s="15" t="s">
        <v>100</v>
      </c>
      <c r="U5" s="25" t="s">
        <v>102</v>
      </c>
      <c r="V5" s="15" t="s">
        <v>322</v>
      </c>
      <c r="W5" s="15" t="s">
        <v>334</v>
      </c>
    </row>
    <row r="7" spans="2:27">
      <c r="B7" s="151" t="s">
        <v>363</v>
      </c>
      <c r="C7" s="149" t="s">
        <v>42</v>
      </c>
      <c r="D7" s="171">
        <v>1024</v>
      </c>
      <c r="E7" s="149" t="s">
        <v>289</v>
      </c>
      <c r="F7" s="149" t="s">
        <v>7</v>
      </c>
      <c r="G7" s="149">
        <v>298</v>
      </c>
      <c r="H7" s="149">
        <v>1</v>
      </c>
      <c r="I7" s="149">
        <v>1</v>
      </c>
      <c r="J7" s="149">
        <v>2</v>
      </c>
      <c r="K7" s="149">
        <v>4</v>
      </c>
      <c r="L7" s="149">
        <v>5</v>
      </c>
      <c r="M7" s="149">
        <f>1000000*K7/I7</f>
        <v>4000000</v>
      </c>
      <c r="N7" s="149"/>
      <c r="O7" s="149"/>
      <c r="Q7" s="126" t="s">
        <v>21</v>
      </c>
      <c r="R7" s="26" t="s">
        <v>320</v>
      </c>
      <c r="S7" s="149"/>
      <c r="T7" s="149" t="s">
        <v>24</v>
      </c>
      <c r="U7" s="26" t="s">
        <v>321</v>
      </c>
      <c r="V7" s="154"/>
    </row>
    <row r="8" spans="2:27">
      <c r="E8" s="157" t="s">
        <v>13</v>
      </c>
      <c r="F8" s="157" t="s">
        <v>98</v>
      </c>
      <c r="G8" s="157"/>
      <c r="H8" s="157"/>
      <c r="I8" s="157">
        <v>1</v>
      </c>
      <c r="J8" s="157"/>
      <c r="K8" s="157">
        <v>10</v>
      </c>
      <c r="L8" s="157"/>
      <c r="M8" s="157">
        <f>1000000*K8/I8</f>
        <v>10000000</v>
      </c>
    </row>
    <row r="10" spans="2:27">
      <c r="B10" s="151" t="s">
        <v>364</v>
      </c>
      <c r="C10" s="149" t="s">
        <v>42</v>
      </c>
      <c r="D10" s="171">
        <v>1024</v>
      </c>
      <c r="E10" s="149" t="s">
        <v>297</v>
      </c>
      <c r="F10" s="149" t="s">
        <v>7</v>
      </c>
      <c r="G10" s="149"/>
      <c r="H10" s="149">
        <v>1</v>
      </c>
      <c r="I10" s="149">
        <v>2</v>
      </c>
      <c r="J10" s="149"/>
      <c r="K10" s="149">
        <v>100</v>
      </c>
      <c r="L10" s="149"/>
      <c r="M10" s="149">
        <f>1000000*K10/I10</f>
        <v>50000000</v>
      </c>
      <c r="N10" s="149" t="s">
        <v>91</v>
      </c>
      <c r="O10" s="149" t="s">
        <v>92</v>
      </c>
    </row>
    <row r="11" spans="2:27">
      <c r="C11" s="149"/>
      <c r="D11" s="171"/>
      <c r="E11" s="149"/>
      <c r="F11" s="149"/>
      <c r="G11" s="149"/>
      <c r="H11" s="149"/>
      <c r="I11" s="149"/>
      <c r="J11" s="149"/>
      <c r="K11" s="149"/>
      <c r="L11" s="149"/>
      <c r="M11" s="149"/>
      <c r="N11" s="149"/>
      <c r="O11" s="149"/>
    </row>
    <row r="12" spans="2:27">
      <c r="B12" s="151" t="s">
        <v>365</v>
      </c>
      <c r="C12" s="149" t="s">
        <v>42</v>
      </c>
      <c r="D12" s="171">
        <v>512</v>
      </c>
      <c r="E12" s="149" t="s">
        <v>296</v>
      </c>
      <c r="F12" s="149" t="s">
        <v>7</v>
      </c>
      <c r="G12" s="149"/>
      <c r="H12" s="149">
        <v>1</v>
      </c>
      <c r="I12" s="149">
        <v>2</v>
      </c>
      <c r="J12" s="149"/>
      <c r="K12" s="149">
        <v>100</v>
      </c>
      <c r="L12" s="149"/>
      <c r="M12" s="149">
        <f>1000000*K12/I12</f>
        <v>50000000</v>
      </c>
      <c r="N12" s="149" t="s">
        <v>91</v>
      </c>
      <c r="O12" s="149" t="s">
        <v>92</v>
      </c>
    </row>
    <row r="13" spans="2:27">
      <c r="C13" s="149"/>
      <c r="D13" s="171"/>
      <c r="E13" s="149"/>
      <c r="F13" s="149"/>
      <c r="G13" s="149"/>
      <c r="H13" s="149"/>
      <c r="I13" s="149"/>
      <c r="J13" s="149"/>
      <c r="K13" s="149"/>
      <c r="L13" s="149"/>
      <c r="M13" s="149"/>
      <c r="N13" s="149"/>
      <c r="O13" s="149"/>
    </row>
    <row r="14" spans="2:27">
      <c r="C14" s="149"/>
      <c r="D14" s="171"/>
      <c r="E14" s="149"/>
      <c r="F14" s="149"/>
      <c r="G14" s="149"/>
      <c r="H14" s="149"/>
      <c r="I14" s="149"/>
      <c r="J14" s="149"/>
      <c r="K14" s="149"/>
      <c r="L14" s="149"/>
      <c r="M14" s="149"/>
      <c r="N14" s="149"/>
      <c r="O14" s="149"/>
    </row>
    <row r="15" spans="2:27" s="15" customFormat="1">
      <c r="B15" s="21"/>
      <c r="D15" s="34"/>
      <c r="E15" s="19"/>
      <c r="F15" s="19"/>
      <c r="P15" s="43"/>
      <c r="V15" s="25"/>
      <c r="X15" s="25"/>
      <c r="AA15" s="168"/>
    </row>
    <row r="17" spans="2:27">
      <c r="B17" s="151" t="s">
        <v>366</v>
      </c>
      <c r="C17" s="149" t="s">
        <v>41</v>
      </c>
      <c r="D17" s="171">
        <v>1024</v>
      </c>
      <c r="E17" s="149" t="s">
        <v>289</v>
      </c>
      <c r="F17" s="149" t="s">
        <v>7</v>
      </c>
      <c r="G17" s="149">
        <v>298</v>
      </c>
      <c r="H17" s="149">
        <v>1</v>
      </c>
      <c r="I17" s="149">
        <v>1</v>
      </c>
      <c r="J17" s="149">
        <v>2</v>
      </c>
      <c r="K17" s="149">
        <v>4</v>
      </c>
      <c r="L17" s="149">
        <v>5</v>
      </c>
      <c r="M17" s="149">
        <f>1000000*K17/I17</f>
        <v>4000000</v>
      </c>
      <c r="N17" s="149"/>
      <c r="O17" s="149"/>
    </row>
    <row r="18" spans="2:27">
      <c r="I18" s="157">
        <v>1</v>
      </c>
      <c r="J18" s="157"/>
      <c r="K18" s="157">
        <v>10</v>
      </c>
    </row>
    <row r="20" spans="2:27">
      <c r="B20" s="151" t="s">
        <v>367</v>
      </c>
      <c r="C20" s="149" t="s">
        <v>41</v>
      </c>
      <c r="D20" s="171">
        <v>1024</v>
      </c>
      <c r="E20" s="149" t="s">
        <v>297</v>
      </c>
      <c r="F20" s="149" t="s">
        <v>7</v>
      </c>
      <c r="G20" s="149"/>
      <c r="H20" s="149">
        <v>1</v>
      </c>
      <c r="I20" s="149">
        <v>1</v>
      </c>
      <c r="J20" s="149"/>
      <c r="K20" s="149">
        <v>100</v>
      </c>
      <c r="L20" s="149"/>
      <c r="M20" s="149">
        <f>1000000*K20/I20</f>
        <v>100000000</v>
      </c>
      <c r="N20" s="149" t="s">
        <v>308</v>
      </c>
      <c r="O20" s="149" t="s">
        <v>92</v>
      </c>
    </row>
    <row r="21" spans="2:27">
      <c r="C21" s="149"/>
      <c r="D21" s="171"/>
      <c r="E21" s="149"/>
      <c r="F21" s="149"/>
      <c r="G21" s="149"/>
      <c r="H21" s="149"/>
      <c r="I21" s="149"/>
      <c r="J21" s="149"/>
      <c r="K21" s="149"/>
      <c r="L21" s="149"/>
      <c r="M21" s="149"/>
      <c r="N21" s="149"/>
      <c r="O21" s="149"/>
    </row>
    <row r="22" spans="2:27">
      <c r="B22" s="151" t="s">
        <v>368</v>
      </c>
      <c r="C22" s="149" t="s">
        <v>41</v>
      </c>
      <c r="D22" s="171">
        <v>512</v>
      </c>
      <c r="E22" s="149" t="s">
        <v>296</v>
      </c>
      <c r="F22" s="149" t="s">
        <v>7</v>
      </c>
      <c r="G22" s="149"/>
      <c r="H22" s="149">
        <v>1</v>
      </c>
      <c r="I22" s="149">
        <v>1</v>
      </c>
      <c r="J22" s="149"/>
      <c r="K22" s="149">
        <v>100</v>
      </c>
      <c r="L22" s="149"/>
      <c r="M22" s="149">
        <f>1000000*K22/I22</f>
        <v>100000000</v>
      </c>
      <c r="N22" s="149" t="s">
        <v>308</v>
      </c>
      <c r="O22" s="149" t="s">
        <v>92</v>
      </c>
    </row>
    <row r="23" spans="2:27">
      <c r="C23" s="149"/>
      <c r="D23" s="171"/>
      <c r="E23" s="149"/>
      <c r="F23" s="149"/>
      <c r="G23" s="149"/>
      <c r="H23" s="149"/>
      <c r="I23" s="149"/>
      <c r="J23" s="149"/>
      <c r="K23" s="149"/>
      <c r="L23" s="149"/>
      <c r="M23" s="149"/>
      <c r="N23" s="149"/>
      <c r="O23" s="149"/>
    </row>
    <row r="24" spans="2:27">
      <c r="C24" s="149"/>
      <c r="D24" s="171"/>
      <c r="E24" s="149"/>
      <c r="F24" s="149"/>
      <c r="G24" s="149"/>
      <c r="H24" s="149"/>
      <c r="I24" s="149"/>
      <c r="J24" s="149"/>
      <c r="K24" s="149"/>
      <c r="L24" s="149"/>
      <c r="M24" s="149"/>
      <c r="N24" s="149"/>
      <c r="O24" s="149"/>
    </row>
    <row r="25" spans="2:27" s="15" customFormat="1">
      <c r="B25" s="21"/>
      <c r="D25" s="34"/>
      <c r="E25" s="19"/>
      <c r="F25" s="19"/>
      <c r="P25" s="43"/>
      <c r="V25" s="25"/>
      <c r="X25" s="25"/>
      <c r="AA25" s="168"/>
    </row>
    <row r="27" spans="2:27">
      <c r="B27" s="151" t="s">
        <v>369</v>
      </c>
      <c r="C27" s="150" t="s">
        <v>33</v>
      </c>
      <c r="D27" s="169">
        <v>2048</v>
      </c>
      <c r="E27" s="149" t="s">
        <v>289</v>
      </c>
      <c r="F27" s="149" t="s">
        <v>7</v>
      </c>
      <c r="G27" s="149">
        <v>298</v>
      </c>
      <c r="H27" s="149">
        <v>1</v>
      </c>
      <c r="I27" s="149">
        <v>1</v>
      </c>
      <c r="J27" s="149">
        <v>2</v>
      </c>
      <c r="K27" s="149">
        <v>4</v>
      </c>
      <c r="L27" s="149">
        <v>5</v>
      </c>
      <c r="M27" s="149">
        <f>1000000*K27/I27</f>
        <v>4000000</v>
      </c>
    </row>
    <row r="28" spans="2:27">
      <c r="I28" s="157">
        <v>1</v>
      </c>
      <c r="J28" s="157"/>
      <c r="K28" s="157">
        <v>10</v>
      </c>
    </row>
    <row r="30" spans="2:27">
      <c r="B30" s="151" t="s">
        <v>370</v>
      </c>
      <c r="C30" s="150" t="s">
        <v>33</v>
      </c>
      <c r="D30" s="169">
        <v>2048</v>
      </c>
      <c r="E30" s="149" t="s">
        <v>297</v>
      </c>
      <c r="F30" s="149" t="s">
        <v>7</v>
      </c>
      <c r="G30" s="149"/>
      <c r="H30" s="149">
        <v>1</v>
      </c>
      <c r="I30" s="149">
        <v>1</v>
      </c>
      <c r="J30" s="149"/>
      <c r="K30" s="149">
        <v>100</v>
      </c>
      <c r="L30" s="149"/>
      <c r="M30" s="149">
        <f>1000000*K30/I30</f>
        <v>100000000</v>
      </c>
      <c r="N30" s="150" t="s">
        <v>316</v>
      </c>
      <c r="O30" s="149" t="s">
        <v>92</v>
      </c>
    </row>
    <row r="31" spans="2:27">
      <c r="E31" s="149"/>
      <c r="F31" s="149"/>
      <c r="G31" s="149"/>
      <c r="H31" s="149"/>
      <c r="I31" s="149"/>
      <c r="J31" s="149"/>
      <c r="K31" s="149"/>
      <c r="L31" s="149"/>
      <c r="M31" s="149"/>
      <c r="O31" s="149"/>
    </row>
    <row r="32" spans="2:27">
      <c r="B32" s="151" t="s">
        <v>371</v>
      </c>
      <c r="C32" s="150" t="s">
        <v>33</v>
      </c>
      <c r="D32" s="169">
        <v>1024</v>
      </c>
      <c r="E32" s="149" t="s">
        <v>296</v>
      </c>
      <c r="F32" s="149" t="s">
        <v>7</v>
      </c>
      <c r="G32" s="149"/>
      <c r="H32" s="149">
        <v>1</v>
      </c>
      <c r="I32" s="149">
        <v>1</v>
      </c>
      <c r="J32" s="149"/>
      <c r="K32" s="149">
        <v>100</v>
      </c>
      <c r="L32" s="149"/>
      <c r="M32" s="149">
        <f>1000000*K32/I32</f>
        <v>100000000</v>
      </c>
      <c r="N32" s="150" t="s">
        <v>316</v>
      </c>
      <c r="O32" s="149" t="s">
        <v>92</v>
      </c>
    </row>
    <row r="35" spans="2:27" s="15" customFormat="1">
      <c r="B35" s="21"/>
      <c r="D35" s="34"/>
      <c r="E35" s="19"/>
      <c r="F35" s="19"/>
      <c r="P35" s="43"/>
      <c r="V35" s="25"/>
      <c r="X35" s="25"/>
      <c r="AA35" s="168"/>
    </row>
  </sheetData>
  <mergeCells count="3">
    <mergeCell ref="J4:K4"/>
    <mergeCell ref="N4:O4"/>
    <mergeCell ref="Q4:W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F03F4-0D0E-4240-A36F-5BB31F518425}">
  <dimension ref="B2:E61"/>
  <sheetViews>
    <sheetView workbookViewId="0">
      <selection activeCell="P33" sqref="P33"/>
    </sheetView>
  </sheetViews>
  <sheetFormatPr defaultColWidth="10.625" defaultRowHeight="15.75"/>
  <cols>
    <col min="2" max="2" width="10.625" style="186"/>
    <col min="3" max="3" width="12.375" style="205" customWidth="1"/>
    <col min="4" max="4" width="15.625" style="205" customWidth="1"/>
    <col min="5" max="5" width="10.625" style="18"/>
  </cols>
  <sheetData>
    <row r="2" spans="2:5" s="57" customFormat="1">
      <c r="B2" s="15"/>
      <c r="C2" s="206" t="s">
        <v>397</v>
      </c>
      <c r="D2" s="206" t="s">
        <v>398</v>
      </c>
      <c r="E2" s="19"/>
    </row>
    <row r="3" spans="2:5">
      <c r="B3" s="186">
        <v>0</v>
      </c>
      <c r="C3" s="205">
        <v>19.351900000000001</v>
      </c>
      <c r="D3" s="205">
        <v>5.1878200000000004E-9</v>
      </c>
      <c r="E3" s="28">
        <f>C3-D3-C$21</f>
        <v>18.065689994812178</v>
      </c>
    </row>
    <row r="4" spans="2:5">
      <c r="B4" s="186">
        <v>10</v>
      </c>
      <c r="C4" s="205">
        <v>18.228200000000001</v>
      </c>
      <c r="D4" s="205">
        <v>7.6773200000000003E-4</v>
      </c>
      <c r="E4" s="28">
        <f>C4-D4-C$21</f>
        <v>16.941222268000001</v>
      </c>
    </row>
    <row r="5" spans="2:5">
      <c r="B5" s="186">
        <v>20</v>
      </c>
      <c r="C5" s="205">
        <v>15.342499999999999</v>
      </c>
      <c r="D5" s="205">
        <v>1.9854199999999999E-3</v>
      </c>
      <c r="E5" s="28">
        <f>C5-D5-C$21</f>
        <v>14.054304579999998</v>
      </c>
    </row>
    <row r="6" spans="2:5">
      <c r="B6" s="186">
        <v>30</v>
      </c>
      <c r="C6" s="205">
        <v>11.7247</v>
      </c>
      <c r="D6" s="205">
        <v>2.3831899999999999E-3</v>
      </c>
      <c r="E6" s="28">
        <f>C6-D6-C$21</f>
        <v>10.43610681</v>
      </c>
    </row>
    <row r="7" spans="2:5">
      <c r="B7" s="186">
        <v>40</v>
      </c>
      <c r="C7" s="205">
        <v>8.2703600000000002</v>
      </c>
      <c r="D7" s="205">
        <v>1.9995E-3</v>
      </c>
      <c r="E7" s="28">
        <f>C7-D7-C$21</f>
        <v>6.9821504999999995</v>
      </c>
    </row>
    <row r="8" spans="2:5">
      <c r="B8" s="186">
        <v>50</v>
      </c>
      <c r="C8" s="205">
        <v>5.4973599999999996</v>
      </c>
      <c r="D8" s="205">
        <v>1.2630499999999999E-3</v>
      </c>
      <c r="E8" s="28">
        <f>C8-D8-C$21</f>
        <v>4.2098869499999996</v>
      </c>
    </row>
    <row r="9" spans="2:5">
      <c r="B9" s="186">
        <v>60</v>
      </c>
      <c r="C9" s="205">
        <v>3.7089599999999998</v>
      </c>
      <c r="D9" s="205">
        <v>4.8211599999999999E-4</v>
      </c>
      <c r="E9" s="28">
        <f>C9-D9-C$21</f>
        <v>2.4222678839999996</v>
      </c>
    </row>
    <row r="10" spans="2:5">
      <c r="B10" s="186">
        <v>70</v>
      </c>
      <c r="C10" s="205">
        <v>3.1956099999999998</v>
      </c>
      <c r="D10" s="205">
        <v>1.0392500000000001E-4</v>
      </c>
      <c r="E10" s="28">
        <f>C10-D10-C$21</f>
        <v>1.9092960749999999</v>
      </c>
    </row>
    <row r="11" spans="2:5">
      <c r="B11" s="186">
        <v>80</v>
      </c>
      <c r="C11" s="205">
        <v>4.1715900000000001</v>
      </c>
      <c r="D11" s="205">
        <v>5.0139100000000001E-4</v>
      </c>
      <c r="E11" s="28">
        <f>C11-D11-C$21</f>
        <v>2.8848786089999998</v>
      </c>
    </row>
    <row r="12" spans="2:5">
      <c r="B12" s="186">
        <v>90</v>
      </c>
      <c r="C12" s="205">
        <v>6.4642499999999998</v>
      </c>
      <c r="D12" s="205">
        <v>1.2386999999999999E-3</v>
      </c>
      <c r="E12" s="28">
        <f>C12-D12-C$21</f>
        <v>5.1768012999999993</v>
      </c>
    </row>
    <row r="13" spans="2:5">
      <c r="B13" s="186">
        <v>100</v>
      </c>
      <c r="C13" s="205">
        <v>9.3593100000000007</v>
      </c>
      <c r="D13" s="205">
        <v>1.3458000000000001E-3</v>
      </c>
      <c r="E13" s="28">
        <f>C13-D13-C$21</f>
        <v>8.0717542000000009</v>
      </c>
    </row>
    <row r="14" spans="2:5">
      <c r="B14" s="186">
        <v>110</v>
      </c>
      <c r="C14" s="205">
        <v>11.8248</v>
      </c>
      <c r="D14" s="205">
        <v>5.9504600000000001E-4</v>
      </c>
      <c r="E14" s="28">
        <f>C14-D14-C$21</f>
        <v>10.537994953999998</v>
      </c>
    </row>
    <row r="15" spans="2:5">
      <c r="B15" s="186">
        <v>120</v>
      </c>
      <c r="C15" s="205">
        <v>12.906000000000001</v>
      </c>
      <c r="D15" s="205">
        <v>5.5970699999999998E-6</v>
      </c>
      <c r="E15" s="28">
        <f>C15-D15-C$21</f>
        <v>11.61978440293</v>
      </c>
    </row>
    <row r="16" spans="2:5">
      <c r="B16" s="186">
        <v>130</v>
      </c>
      <c r="C16" s="205">
        <v>12.1631</v>
      </c>
      <c r="D16" s="205">
        <v>4.2647200000000001E-4</v>
      </c>
      <c r="E16" s="28">
        <f>C16-D16-C$21</f>
        <v>10.876463528</v>
      </c>
    </row>
    <row r="17" spans="2:5">
      <c r="B17" s="186">
        <v>140</v>
      </c>
      <c r="C17" s="205">
        <v>9.8968699999999998</v>
      </c>
      <c r="D17" s="205">
        <v>1.27278E-3</v>
      </c>
      <c r="E17" s="28">
        <f>C17-D17-C$21</f>
        <v>8.6093872199999986</v>
      </c>
    </row>
    <row r="18" spans="2:5">
      <c r="B18" s="186">
        <v>150</v>
      </c>
      <c r="C18" s="205">
        <v>6.8963200000000002</v>
      </c>
      <c r="D18" s="205">
        <v>1.54448E-3</v>
      </c>
      <c r="E18" s="28">
        <f>C18-D18-C$21</f>
        <v>5.6085655200000009</v>
      </c>
    </row>
    <row r="19" spans="2:5">
      <c r="B19" s="186">
        <v>160</v>
      </c>
      <c r="C19" s="205">
        <v>4.0312200000000002</v>
      </c>
      <c r="D19" s="205">
        <v>1.0608200000000001E-3</v>
      </c>
      <c r="E19" s="28">
        <f>C19-D19-C$21</f>
        <v>2.74394918</v>
      </c>
    </row>
    <row r="20" spans="2:5">
      <c r="B20" s="186">
        <v>170</v>
      </c>
      <c r="C20" s="205">
        <v>2.0109400000000002</v>
      </c>
      <c r="D20" s="205">
        <v>3.3508099999999999E-4</v>
      </c>
      <c r="E20" s="28">
        <f>C20-D20-C$21</f>
        <v>0.7243949190000003</v>
      </c>
    </row>
    <row r="21" spans="2:5">
      <c r="B21" s="186">
        <v>180</v>
      </c>
      <c r="C21" s="205">
        <v>1.2862100000000001</v>
      </c>
      <c r="D21" s="205">
        <v>4.6980800000000004E-10</v>
      </c>
      <c r="E21" s="28">
        <f>C21-D21-C$21</f>
        <v>-4.6980797030471422E-10</v>
      </c>
    </row>
    <row r="24" spans="2:5">
      <c r="B24" s="186">
        <v>0</v>
      </c>
      <c r="C24" s="205">
        <v>19.351900000000001</v>
      </c>
      <c r="D24" s="205">
        <v>5.2364699999999998E-9</v>
      </c>
      <c r="E24" s="28">
        <f>C24-D24-C$60</f>
        <v>18.065679994763531</v>
      </c>
    </row>
    <row r="25" spans="2:5">
      <c r="B25" s="186">
        <v>5</v>
      </c>
      <c r="C25" s="205">
        <v>19.0623</v>
      </c>
      <c r="D25" s="205">
        <v>2.15164E-4</v>
      </c>
      <c r="E25" s="28">
        <f t="shared" ref="E25:E61" si="0">C25-D25-C$60</f>
        <v>17.775864836</v>
      </c>
    </row>
    <row r="26" spans="2:5">
      <c r="B26" s="186">
        <v>10</v>
      </c>
      <c r="C26" s="205">
        <v>18.228200000000001</v>
      </c>
      <c r="D26" s="205">
        <v>7.6795499999999996E-4</v>
      </c>
      <c r="E26" s="28">
        <f t="shared" si="0"/>
        <v>16.941212045</v>
      </c>
    </row>
    <row r="27" spans="2:5">
      <c r="B27" s="186">
        <v>15</v>
      </c>
      <c r="C27" s="205">
        <v>16.944800000000001</v>
      </c>
      <c r="D27" s="205">
        <v>1.4314799999999999E-3</v>
      </c>
      <c r="E27" s="28">
        <f t="shared" si="0"/>
        <v>15.65714852</v>
      </c>
    </row>
    <row r="28" spans="2:5">
      <c r="B28" s="186">
        <v>20</v>
      </c>
      <c r="C28" s="205">
        <v>15.342499999999999</v>
      </c>
      <c r="D28" s="205">
        <v>1.98482E-3</v>
      </c>
      <c r="E28" s="28">
        <f t="shared" si="0"/>
        <v>14.054295179999999</v>
      </c>
    </row>
    <row r="29" spans="2:5">
      <c r="B29" s="186">
        <v>25</v>
      </c>
      <c r="C29" s="205">
        <v>13.5604</v>
      </c>
      <c r="D29" s="205">
        <v>2.3084999999999998E-3</v>
      </c>
      <c r="E29" s="28">
        <f t="shared" si="0"/>
        <v>12.2718715</v>
      </c>
    </row>
    <row r="30" spans="2:5">
      <c r="B30" s="186">
        <v>30</v>
      </c>
      <c r="C30" s="205">
        <v>11.7247</v>
      </c>
      <c r="D30" s="205">
        <v>2.38404E-3</v>
      </c>
      <c r="E30" s="28">
        <f t="shared" si="0"/>
        <v>10.436095959999999</v>
      </c>
    </row>
    <row r="31" spans="2:5">
      <c r="B31" s="186">
        <v>35</v>
      </c>
      <c r="C31" s="205">
        <v>9.9366099999999999</v>
      </c>
      <c r="D31" s="205">
        <v>2.26078E-3</v>
      </c>
      <c r="E31" s="28">
        <f t="shared" si="0"/>
        <v>8.6481292199999995</v>
      </c>
    </row>
    <row r="32" spans="2:5">
      <c r="B32" s="186">
        <v>40</v>
      </c>
      <c r="C32" s="205">
        <v>8.2703600000000002</v>
      </c>
      <c r="D32" s="205">
        <v>2.0018599999999998E-3</v>
      </c>
      <c r="E32" s="28">
        <f t="shared" si="0"/>
        <v>6.98213814</v>
      </c>
    </row>
    <row r="33" spans="2:5">
      <c r="B33" s="186">
        <v>45</v>
      </c>
      <c r="C33" s="205">
        <v>6.7778400000000003</v>
      </c>
      <c r="D33" s="205">
        <v>1.6577300000000001E-3</v>
      </c>
      <c r="E33" s="28">
        <f t="shared" si="0"/>
        <v>5.4899622700000004</v>
      </c>
    </row>
    <row r="34" spans="2:5">
      <c r="B34" s="186">
        <v>50</v>
      </c>
      <c r="C34" s="205">
        <v>5.4973599999999996</v>
      </c>
      <c r="D34" s="205">
        <v>1.2629900000000001E-3</v>
      </c>
      <c r="E34" s="28">
        <f t="shared" si="0"/>
        <v>4.2098770099999996</v>
      </c>
    </row>
    <row r="35" spans="2:5">
      <c r="B35" s="186">
        <v>55</v>
      </c>
      <c r="C35" s="205">
        <v>4.4626200000000003</v>
      </c>
      <c r="D35" s="205">
        <v>8.5509599999999996E-4</v>
      </c>
      <c r="E35" s="28">
        <f t="shared" si="0"/>
        <v>3.1755449039999997</v>
      </c>
    </row>
    <row r="36" spans="2:5">
      <c r="B36" s="186">
        <v>60</v>
      </c>
      <c r="C36" s="205">
        <v>3.7089599999999998</v>
      </c>
      <c r="D36" s="205">
        <v>4.8199199999999999E-4</v>
      </c>
      <c r="E36" s="28">
        <f t="shared" si="0"/>
        <v>2.422258008</v>
      </c>
    </row>
    <row r="37" spans="2:5">
      <c r="B37" s="186">
        <v>65</v>
      </c>
      <c r="C37" s="205">
        <v>3.2745899999999999</v>
      </c>
      <c r="D37" s="205">
        <v>2.0925100000000001E-4</v>
      </c>
      <c r="E37" s="28">
        <f t="shared" si="0"/>
        <v>1.9881607490000002</v>
      </c>
    </row>
    <row r="38" spans="2:5">
      <c r="B38" s="186">
        <v>70</v>
      </c>
      <c r="C38" s="205">
        <v>3.1956099999999998</v>
      </c>
      <c r="D38" s="205">
        <v>1.0379599999999999E-4</v>
      </c>
      <c r="E38" s="28">
        <f t="shared" si="0"/>
        <v>1.909286204</v>
      </c>
    </row>
    <row r="39" spans="2:5">
      <c r="B39" s="186">
        <v>75</v>
      </c>
      <c r="C39" s="205">
        <v>3.4953799999999999</v>
      </c>
      <c r="D39" s="205">
        <v>2.0722700000000001E-4</v>
      </c>
      <c r="E39" s="28">
        <f t="shared" si="0"/>
        <v>2.208952773</v>
      </c>
    </row>
    <row r="40" spans="2:5">
      <c r="B40" s="186">
        <v>80</v>
      </c>
      <c r="C40" s="205">
        <v>4.1715999999999998</v>
      </c>
      <c r="D40" s="205">
        <v>5.0274399999999996E-4</v>
      </c>
      <c r="E40" s="28">
        <f t="shared" si="0"/>
        <v>2.8848772559999993</v>
      </c>
    </row>
    <row r="41" spans="2:5">
      <c r="B41" s="186">
        <v>85</v>
      </c>
      <c r="C41" s="205">
        <v>5.18642</v>
      </c>
      <c r="D41" s="205">
        <v>8.9616000000000001E-4</v>
      </c>
      <c r="E41" s="28">
        <f t="shared" si="0"/>
        <v>3.89930384</v>
      </c>
    </row>
    <row r="42" spans="2:5">
      <c r="B42" s="186">
        <v>90</v>
      </c>
      <c r="C42" s="205">
        <v>6.4642600000000003</v>
      </c>
      <c r="D42" s="205">
        <v>1.24814E-3</v>
      </c>
      <c r="E42" s="28">
        <f t="shared" si="0"/>
        <v>5.1767918599999998</v>
      </c>
    </row>
    <row r="43" spans="2:5">
      <c r="B43" s="186">
        <v>95</v>
      </c>
      <c r="C43" s="205">
        <v>7.89785</v>
      </c>
      <c r="D43" s="205">
        <v>1.4139300000000001E-3</v>
      </c>
      <c r="E43" s="28">
        <f t="shared" si="0"/>
        <v>6.6102160699999999</v>
      </c>
    </row>
    <row r="44" spans="2:5">
      <c r="B44" s="186">
        <v>100</v>
      </c>
      <c r="C44" s="205">
        <v>9.3592999999999993</v>
      </c>
      <c r="D44" s="205">
        <v>1.34914E-3</v>
      </c>
      <c r="E44" s="28">
        <f t="shared" si="0"/>
        <v>8.0717308599999988</v>
      </c>
    </row>
    <row r="45" spans="2:5">
      <c r="B45" s="186">
        <v>105</v>
      </c>
      <c r="C45" s="205">
        <v>10.712300000000001</v>
      </c>
      <c r="D45" s="205">
        <v>1.0297399999999999E-3</v>
      </c>
      <c r="E45" s="28">
        <f t="shared" si="0"/>
        <v>9.4250502600000008</v>
      </c>
    </row>
    <row r="46" spans="2:5">
      <c r="B46" s="186">
        <v>110</v>
      </c>
      <c r="C46" s="205">
        <v>11.8248</v>
      </c>
      <c r="D46" s="205">
        <v>5.9785999999999997E-4</v>
      </c>
      <c r="E46" s="28">
        <f t="shared" si="0"/>
        <v>10.53798214</v>
      </c>
    </row>
    <row r="47" spans="2:5">
      <c r="B47" s="186">
        <v>115</v>
      </c>
      <c r="C47" s="205">
        <v>12.582800000000001</v>
      </c>
      <c r="D47" s="205">
        <v>1.9972499999999999E-4</v>
      </c>
      <c r="E47" s="28">
        <f t="shared" si="0"/>
        <v>11.296380275000001</v>
      </c>
    </row>
    <row r="48" spans="2:5">
      <c r="B48" s="186">
        <v>120</v>
      </c>
      <c r="C48" s="205">
        <v>12.906000000000001</v>
      </c>
      <c r="D48" s="205">
        <v>5.6466999999999997E-6</v>
      </c>
      <c r="E48" s="28">
        <f t="shared" si="0"/>
        <v>11.6197743533</v>
      </c>
    </row>
    <row r="49" spans="2:5">
      <c r="B49" s="186">
        <v>125</v>
      </c>
      <c r="C49" s="205">
        <v>12.760300000000001</v>
      </c>
      <c r="D49" s="205">
        <v>9.3731000000000001E-5</v>
      </c>
      <c r="E49" s="28">
        <f t="shared" si="0"/>
        <v>11.473986269000001</v>
      </c>
    </row>
    <row r="50" spans="2:5">
      <c r="B50" s="186">
        <v>130</v>
      </c>
      <c r="C50" s="205">
        <v>12.1631</v>
      </c>
      <c r="D50" s="205">
        <v>4.2578199999999998E-4</v>
      </c>
      <c r="E50" s="28">
        <f t="shared" si="0"/>
        <v>10.876454217999999</v>
      </c>
    </row>
    <row r="51" spans="2:5">
      <c r="B51" s="186">
        <v>135</v>
      </c>
      <c r="C51" s="205">
        <v>11.177300000000001</v>
      </c>
      <c r="D51" s="205">
        <v>8.6617499999999995E-4</v>
      </c>
      <c r="E51" s="28">
        <f t="shared" si="0"/>
        <v>9.890213825</v>
      </c>
    </row>
    <row r="52" spans="2:5">
      <c r="B52" s="186">
        <v>140</v>
      </c>
      <c r="C52" s="205">
        <v>9.8968699999999998</v>
      </c>
      <c r="D52" s="205">
        <v>1.2724800000000001E-3</v>
      </c>
      <c r="E52" s="28">
        <f t="shared" si="0"/>
        <v>8.6093775199999989</v>
      </c>
    </row>
    <row r="53" spans="2:5">
      <c r="B53" s="186">
        <v>145</v>
      </c>
      <c r="C53" s="205">
        <v>8.4321300000000008</v>
      </c>
      <c r="D53" s="205">
        <v>1.5136100000000001E-3</v>
      </c>
      <c r="E53" s="28">
        <f t="shared" si="0"/>
        <v>7.1443963900000007</v>
      </c>
    </row>
    <row r="54" spans="2:5">
      <c r="B54" s="186">
        <v>150</v>
      </c>
      <c r="C54" s="205">
        <v>6.8963200000000002</v>
      </c>
      <c r="D54" s="205">
        <v>1.5525199999999999E-3</v>
      </c>
      <c r="E54" s="28">
        <f t="shared" si="0"/>
        <v>5.6085474800000004</v>
      </c>
    </row>
    <row r="55" spans="2:5">
      <c r="B55" s="186">
        <v>155</v>
      </c>
      <c r="C55" s="205">
        <v>5.3971600000000004</v>
      </c>
      <c r="D55" s="205">
        <v>1.3734400000000001E-3</v>
      </c>
      <c r="E55" s="28">
        <f t="shared" si="0"/>
        <v>4.1095665600000002</v>
      </c>
    </row>
    <row r="56" spans="2:5">
      <c r="B56" s="186">
        <v>160</v>
      </c>
      <c r="C56" s="205">
        <v>4.0312299999999999</v>
      </c>
      <c r="D56" s="205">
        <v>1.0658899999999999E-3</v>
      </c>
      <c r="E56" s="28">
        <f t="shared" si="0"/>
        <v>2.7439441100000002</v>
      </c>
    </row>
    <row r="57" spans="2:5">
      <c r="B57" s="186">
        <v>165</v>
      </c>
      <c r="C57" s="205">
        <v>2.88062</v>
      </c>
      <c r="D57" s="205">
        <v>6.8289999999999996E-4</v>
      </c>
      <c r="E57" s="28">
        <f t="shared" si="0"/>
        <v>1.5937170999999999</v>
      </c>
    </row>
    <row r="58" spans="2:5">
      <c r="B58" s="186">
        <v>170</v>
      </c>
      <c r="C58" s="205">
        <v>2.0109300000000001</v>
      </c>
      <c r="D58" s="205">
        <v>3.3138999999999998E-4</v>
      </c>
      <c r="E58" s="28">
        <f t="shared" si="0"/>
        <v>0.72437861000000026</v>
      </c>
    </row>
    <row r="59" spans="2:5">
      <c r="B59" s="186">
        <v>175</v>
      </c>
      <c r="C59" s="205">
        <v>1.4698100000000001</v>
      </c>
      <c r="D59" s="205">
        <v>8.7598500000000005E-5</v>
      </c>
      <c r="E59" s="28">
        <f t="shared" si="0"/>
        <v>0.18350240150000019</v>
      </c>
    </row>
    <row r="60" spans="2:5">
      <c r="B60" s="186">
        <v>180</v>
      </c>
      <c r="C60" s="205">
        <v>1.2862199999999999</v>
      </c>
      <c r="D60" s="205">
        <v>5.9488799999999998E-9</v>
      </c>
      <c r="E60" s="28">
        <f t="shared" si="0"/>
        <v>-5.9488800552287557E-9</v>
      </c>
    </row>
    <row r="61" spans="2:5">
      <c r="E61" s="28"/>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5"/>
  <sheetViews>
    <sheetView workbookViewId="0">
      <selection activeCell="AP7" sqref="AP7"/>
    </sheetView>
  </sheetViews>
  <sheetFormatPr defaultColWidth="7.875" defaultRowHeight="15" customHeight="1"/>
  <cols>
    <col min="1" max="1" width="5" style="3" customWidth="1"/>
    <col min="2" max="4" width="7.875" style="3"/>
    <col min="5" max="5" width="7.875" style="6"/>
    <col min="6" max="7" width="7.875" style="3"/>
    <col min="8" max="12" width="4" style="8" customWidth="1"/>
    <col min="13" max="13" width="5" style="3" customWidth="1"/>
    <col min="14" max="19" width="7.875" style="3"/>
    <col min="20" max="24" width="4" style="8" customWidth="1"/>
    <col min="25" max="25" width="5" style="3" customWidth="1"/>
    <col min="26" max="28" width="7.875" style="3"/>
    <col min="29" max="29" width="7.875" style="6"/>
    <col min="30" max="30" width="7.875" style="7"/>
    <col min="31" max="31" width="7.875" style="3"/>
    <col min="32" max="36" width="4" style="8" customWidth="1"/>
    <col min="37" max="37" width="5" style="3" customWidth="1"/>
    <col min="38" max="38" width="10.875" style="3" customWidth="1"/>
    <col min="39" max="39" width="7.875" style="3"/>
    <col min="40" max="40" width="7.875" style="10"/>
    <col min="41" max="41" width="7.875" style="3"/>
    <col min="42" max="42" width="7.875" style="7"/>
    <col min="43" max="43" width="7.875" style="3"/>
    <col min="44" max="48" width="4" style="8" customWidth="1"/>
    <col min="49" max="49" width="5" style="3" customWidth="1"/>
    <col min="50" max="50" width="7.875" style="3"/>
    <col min="51" max="52" width="8.875" style="3" customWidth="1"/>
    <col min="53" max="53" width="7.875" style="3"/>
    <col min="54" max="54" width="7.875" style="7"/>
    <col min="55" max="55" width="7.875" style="3"/>
    <col min="56" max="60" width="3.625" style="8" customWidth="1"/>
    <col min="61" max="16384" width="7.875" style="3"/>
  </cols>
  <sheetData>
    <row r="1" spans="2:60" s="90" customFormat="1" ht="25.5" customHeight="1">
      <c r="B1" s="90" t="s">
        <v>8</v>
      </c>
      <c r="E1" s="91"/>
      <c r="N1" s="90" t="s">
        <v>15</v>
      </c>
      <c r="Z1" s="90" t="s">
        <v>13</v>
      </c>
      <c r="AC1" s="91"/>
      <c r="AD1" s="92"/>
      <c r="AL1" s="90" t="s">
        <v>19</v>
      </c>
      <c r="AN1" s="93"/>
      <c r="AP1" s="92"/>
      <c r="BB1" s="92"/>
    </row>
    <row r="2" spans="2:60" s="83" customFormat="1" ht="18" customHeight="1">
      <c r="B2" s="83" t="s">
        <v>249</v>
      </c>
      <c r="C2" s="201" t="s">
        <v>17</v>
      </c>
      <c r="D2" s="201"/>
      <c r="E2" s="201"/>
      <c r="F2" s="201"/>
      <c r="G2" s="201"/>
      <c r="H2" s="203" t="s">
        <v>18</v>
      </c>
      <c r="I2" s="203"/>
      <c r="J2" s="203"/>
      <c r="K2" s="203"/>
      <c r="L2" s="203"/>
      <c r="N2" s="83" t="s">
        <v>45</v>
      </c>
      <c r="O2" s="201" t="s">
        <v>17</v>
      </c>
      <c r="P2" s="201"/>
      <c r="Q2" s="201"/>
      <c r="R2" s="201"/>
      <c r="S2" s="201"/>
      <c r="T2" s="73"/>
      <c r="U2" s="73"/>
      <c r="V2" s="73"/>
      <c r="W2" s="73"/>
      <c r="X2" s="73"/>
      <c r="Z2" s="83" t="s">
        <v>46</v>
      </c>
      <c r="AA2" s="201" t="s">
        <v>17</v>
      </c>
      <c r="AB2" s="201"/>
      <c r="AC2" s="201"/>
      <c r="AD2" s="201"/>
      <c r="AE2" s="201"/>
      <c r="AF2" s="73"/>
      <c r="AG2" s="73"/>
      <c r="AH2" s="73"/>
      <c r="AI2" s="73"/>
      <c r="AJ2" s="73"/>
      <c r="AL2" s="78" t="s">
        <v>250</v>
      </c>
      <c r="AM2" s="201" t="s">
        <v>17</v>
      </c>
      <c r="AN2" s="201"/>
      <c r="AO2" s="201"/>
      <c r="AP2" s="201"/>
      <c r="AQ2" s="201"/>
      <c r="AR2" s="73"/>
      <c r="AS2" s="73"/>
      <c r="AT2" s="73"/>
      <c r="AU2" s="73"/>
      <c r="AV2" s="73"/>
      <c r="AY2" s="85" t="s">
        <v>20</v>
      </c>
      <c r="AZ2" s="85"/>
      <c r="BA2" s="86"/>
      <c r="BB2" s="86"/>
      <c r="BC2" s="86"/>
      <c r="BD2" s="73"/>
      <c r="BE2" s="73"/>
      <c r="BF2" s="73"/>
      <c r="BG2" s="73"/>
      <c r="BH2" s="73"/>
    </row>
    <row r="3" spans="2:60" s="83" customFormat="1" ht="15" customHeight="1">
      <c r="B3" s="83" t="s">
        <v>21</v>
      </c>
      <c r="C3" s="83">
        <v>10</v>
      </c>
      <c r="D3" s="83">
        <v>15</v>
      </c>
      <c r="E3" s="83">
        <v>20</v>
      </c>
      <c r="F3" s="83">
        <v>25</v>
      </c>
      <c r="G3" s="83">
        <v>30</v>
      </c>
      <c r="H3" s="73">
        <v>10</v>
      </c>
      <c r="I3" s="73">
        <v>15</v>
      </c>
      <c r="J3" s="73">
        <v>20</v>
      </c>
      <c r="K3" s="73">
        <v>25</v>
      </c>
      <c r="L3" s="73">
        <v>30</v>
      </c>
      <c r="N3" s="83" t="s">
        <v>22</v>
      </c>
      <c r="O3" s="83">
        <v>10</v>
      </c>
      <c r="P3" s="83">
        <v>15</v>
      </c>
      <c r="Q3" s="83">
        <v>20</v>
      </c>
      <c r="R3" s="83">
        <v>25</v>
      </c>
      <c r="S3" s="83">
        <v>30</v>
      </c>
      <c r="T3" s="73">
        <v>10</v>
      </c>
      <c r="U3" s="73">
        <v>15</v>
      </c>
      <c r="V3" s="73">
        <v>20</v>
      </c>
      <c r="W3" s="73">
        <v>25</v>
      </c>
      <c r="X3" s="73">
        <v>30</v>
      </c>
      <c r="Z3" s="87" t="s">
        <v>23</v>
      </c>
      <c r="AA3" s="83">
        <v>10</v>
      </c>
      <c r="AB3" s="83">
        <v>15</v>
      </c>
      <c r="AC3" s="83">
        <v>20</v>
      </c>
      <c r="AD3" s="96" t="s">
        <v>167</v>
      </c>
      <c r="AE3" s="83">
        <v>30</v>
      </c>
      <c r="AF3" s="73">
        <v>10</v>
      </c>
      <c r="AG3" s="73">
        <v>15</v>
      </c>
      <c r="AH3" s="73">
        <v>20</v>
      </c>
      <c r="AI3" s="73">
        <v>25</v>
      </c>
      <c r="AJ3" s="73">
        <v>30</v>
      </c>
      <c r="AL3" s="83" t="s">
        <v>24</v>
      </c>
      <c r="AM3" s="83">
        <v>10</v>
      </c>
      <c r="AN3" s="83">
        <v>15</v>
      </c>
      <c r="AO3" s="83">
        <v>20</v>
      </c>
      <c r="AP3" s="83">
        <v>25</v>
      </c>
      <c r="AQ3" s="83">
        <v>30</v>
      </c>
      <c r="AR3" s="73">
        <v>10</v>
      </c>
      <c r="AS3" s="73">
        <v>15</v>
      </c>
      <c r="AT3" s="73">
        <v>20</v>
      </c>
      <c r="AU3" s="73">
        <v>25</v>
      </c>
      <c r="AV3" s="73">
        <v>30</v>
      </c>
      <c r="AY3" s="83" t="s">
        <v>25</v>
      </c>
      <c r="AZ3" s="13" t="s">
        <v>26</v>
      </c>
      <c r="BA3" s="104" t="s">
        <v>266</v>
      </c>
      <c r="BD3" s="73"/>
      <c r="BE3" s="73"/>
      <c r="BF3" s="73"/>
      <c r="BG3" s="73"/>
      <c r="BH3" s="73"/>
    </row>
    <row r="4" spans="2:60" ht="15" customHeight="1">
      <c r="B4" s="3" t="s">
        <v>27</v>
      </c>
      <c r="C4" s="6"/>
      <c r="D4" s="6">
        <v>631.04</v>
      </c>
      <c r="E4" s="6">
        <v>626.12</v>
      </c>
      <c r="F4" s="6">
        <v>621.14</v>
      </c>
      <c r="G4" s="6">
        <v>616.11</v>
      </c>
      <c r="H4" s="8" t="s">
        <v>28</v>
      </c>
      <c r="I4" s="8" t="s">
        <v>28</v>
      </c>
      <c r="J4" s="8" t="s">
        <v>28</v>
      </c>
      <c r="K4" s="8" t="s">
        <v>28</v>
      </c>
      <c r="L4" s="8" t="s">
        <v>28</v>
      </c>
      <c r="N4" s="3" t="s">
        <v>27</v>
      </c>
      <c r="Q4" s="6"/>
      <c r="R4" s="10"/>
      <c r="Z4" s="3" t="s">
        <v>27</v>
      </c>
      <c r="AA4" s="6">
        <v>17.149999999999999</v>
      </c>
      <c r="AC4" s="6">
        <v>16.05</v>
      </c>
      <c r="AD4" s="95">
        <f>0.5*(AC4+AE4)</f>
        <v>15.495000000000001</v>
      </c>
      <c r="AE4" s="3">
        <v>14.94</v>
      </c>
      <c r="AF4" s="8" t="s">
        <v>29</v>
      </c>
      <c r="AH4" s="8" t="s">
        <v>29</v>
      </c>
      <c r="AJ4" s="8" t="s">
        <v>29</v>
      </c>
      <c r="AL4" s="3" t="s">
        <v>27</v>
      </c>
      <c r="AM4" s="7"/>
      <c r="AN4" s="7"/>
      <c r="AO4" s="7"/>
      <c r="AQ4" s="7"/>
      <c r="AX4" s="3" t="s">
        <v>27</v>
      </c>
      <c r="AY4" s="3">
        <v>143.5</v>
      </c>
      <c r="AZ4" s="13">
        <f t="shared" ref="AZ4:AZ15" si="0">AY4-273.15</f>
        <v>-129.64999999999998</v>
      </c>
    </row>
    <row r="5" spans="2:60" ht="15" customHeight="1">
      <c r="B5" s="3" t="s">
        <v>30</v>
      </c>
      <c r="C5" s="6">
        <v>668.37</v>
      </c>
      <c r="D5" s="6">
        <v>663.91</v>
      </c>
      <c r="E5" s="6">
        <v>659.42</v>
      </c>
      <c r="F5" s="6">
        <v>654.89</v>
      </c>
      <c r="G5" s="6">
        <v>650.33000000000004</v>
      </c>
      <c r="H5" s="8" t="s">
        <v>28</v>
      </c>
      <c r="I5" s="8" t="s">
        <v>28</v>
      </c>
      <c r="J5" s="8" t="s">
        <v>28</v>
      </c>
      <c r="K5" s="8" t="s">
        <v>28</v>
      </c>
      <c r="L5" s="8" t="s">
        <v>28</v>
      </c>
      <c r="N5" s="3" t="s">
        <v>30</v>
      </c>
      <c r="Q5" s="6"/>
      <c r="R5" s="10">
        <v>0.2949</v>
      </c>
      <c r="W5" s="8" t="s">
        <v>31</v>
      </c>
      <c r="Z5" s="3" t="s">
        <v>30</v>
      </c>
      <c r="AA5" s="6">
        <v>19.420000000000002</v>
      </c>
      <c r="AC5" s="6">
        <v>18.399999999999999</v>
      </c>
      <c r="AD5" s="95">
        <f t="shared" ref="AD5:AD15" si="1">0.5*(AC5+AE5)</f>
        <v>17.89</v>
      </c>
      <c r="AE5" s="3">
        <v>17.38</v>
      </c>
      <c r="AF5" s="8" t="s">
        <v>29</v>
      </c>
      <c r="AH5" s="8" t="s">
        <v>29</v>
      </c>
      <c r="AJ5" s="8" t="s">
        <v>29</v>
      </c>
      <c r="AL5" s="3" t="s">
        <v>30</v>
      </c>
      <c r="AM5" s="7"/>
      <c r="AN5" s="7"/>
      <c r="AO5" s="7"/>
      <c r="AQ5" s="7"/>
      <c r="AX5" s="3" t="s">
        <v>30</v>
      </c>
      <c r="AY5" s="3">
        <v>177.8</v>
      </c>
      <c r="AZ5" s="13">
        <f t="shared" si="0"/>
        <v>-95.349999999999966</v>
      </c>
    </row>
    <row r="6" spans="2:60" ht="15" customHeight="1">
      <c r="B6" s="3" t="s">
        <v>32</v>
      </c>
      <c r="C6" s="6">
        <v>692.4</v>
      </c>
      <c r="D6" s="6">
        <v>688.2</v>
      </c>
      <c r="E6" s="6">
        <v>683.99</v>
      </c>
      <c r="F6" s="6">
        <v>679.75</v>
      </c>
      <c r="G6" s="6">
        <v>675.49</v>
      </c>
      <c r="H6" s="8" t="s">
        <v>28</v>
      </c>
      <c r="I6" s="8" t="s">
        <v>28</v>
      </c>
      <c r="J6" s="8" t="s">
        <v>28</v>
      </c>
      <c r="K6" s="8" t="s">
        <v>28</v>
      </c>
      <c r="L6" s="8" t="s">
        <v>28</v>
      </c>
      <c r="N6" s="3" t="s">
        <v>32</v>
      </c>
      <c r="Q6" s="6"/>
      <c r="R6" s="10">
        <v>0.38900000000000001</v>
      </c>
      <c r="W6" s="8" t="s">
        <v>31</v>
      </c>
      <c r="Z6" s="3" t="s">
        <v>32</v>
      </c>
      <c r="AA6" s="6">
        <v>21.12</v>
      </c>
      <c r="AC6" s="6">
        <v>20.14</v>
      </c>
      <c r="AD6" s="95">
        <f t="shared" si="1"/>
        <v>19.655000000000001</v>
      </c>
      <c r="AE6" s="3">
        <v>19.170000000000002</v>
      </c>
      <c r="AF6" s="8" t="s">
        <v>29</v>
      </c>
      <c r="AH6" s="8" t="s">
        <v>29</v>
      </c>
      <c r="AJ6" s="8" t="s">
        <v>29</v>
      </c>
      <c r="AL6" s="3" t="s">
        <v>32</v>
      </c>
      <c r="AM6" s="7"/>
      <c r="AN6" s="7"/>
      <c r="AO6" s="7"/>
      <c r="AQ6" s="7"/>
      <c r="AX6" s="3" t="s">
        <v>32</v>
      </c>
      <c r="AY6" s="3">
        <v>182.6</v>
      </c>
      <c r="AZ6" s="13">
        <f t="shared" si="0"/>
        <v>-90.549999999999983</v>
      </c>
    </row>
    <row r="7" spans="2:60" ht="15" customHeight="1">
      <c r="B7" s="3" t="s">
        <v>33</v>
      </c>
      <c r="C7" s="6"/>
      <c r="D7" s="6"/>
      <c r="F7" s="6"/>
      <c r="G7" s="6"/>
      <c r="N7" s="3" t="s">
        <v>33</v>
      </c>
      <c r="Q7" s="6"/>
      <c r="R7" s="10">
        <v>0.50919999999999999</v>
      </c>
      <c r="W7" s="8" t="s">
        <v>31</v>
      </c>
      <c r="Z7" s="3" t="s">
        <v>33</v>
      </c>
      <c r="AA7" s="6">
        <v>22.57</v>
      </c>
      <c r="AC7" s="6">
        <v>21.62</v>
      </c>
      <c r="AD7" s="95">
        <f t="shared" si="1"/>
        <v>21.145000000000003</v>
      </c>
      <c r="AE7" s="3">
        <v>20.67</v>
      </c>
      <c r="AF7" s="8" t="s">
        <v>29</v>
      </c>
      <c r="AH7" s="8" t="s">
        <v>29</v>
      </c>
      <c r="AJ7" s="8" t="s">
        <v>29</v>
      </c>
      <c r="AL7" s="3" t="s">
        <v>33</v>
      </c>
      <c r="AM7" s="7"/>
      <c r="AN7" s="7">
        <v>1.988</v>
      </c>
      <c r="AO7" s="7">
        <v>2.14</v>
      </c>
      <c r="AP7" s="7">
        <v>2.3559999999999999</v>
      </c>
      <c r="AQ7" s="7">
        <v>2.633</v>
      </c>
      <c r="AS7" s="8" t="s">
        <v>34</v>
      </c>
      <c r="AT7" s="8" t="s">
        <v>34</v>
      </c>
      <c r="AU7" s="8" t="s">
        <v>34</v>
      </c>
      <c r="AV7" s="8" t="s">
        <v>34</v>
      </c>
      <c r="AX7" s="3" t="s">
        <v>33</v>
      </c>
      <c r="AY7" s="3">
        <v>216.4</v>
      </c>
      <c r="AZ7" s="13">
        <f t="shared" si="0"/>
        <v>-56.749999999999972</v>
      </c>
    </row>
    <row r="8" spans="2:60" ht="15" customHeight="1">
      <c r="B8" s="3" t="s">
        <v>35</v>
      </c>
      <c r="C8" s="6"/>
      <c r="D8" s="6"/>
      <c r="F8" s="6"/>
      <c r="G8" s="6"/>
      <c r="N8" s="3" t="s">
        <v>35</v>
      </c>
      <c r="Q8" s="6"/>
      <c r="R8" s="10"/>
      <c r="Z8" s="3" t="s">
        <v>35</v>
      </c>
      <c r="AA8" s="6">
        <v>23.79</v>
      </c>
      <c r="AC8" s="6">
        <v>22.85</v>
      </c>
      <c r="AD8" s="95">
        <f t="shared" si="1"/>
        <v>22.385000000000002</v>
      </c>
      <c r="AE8" s="3">
        <v>21.92</v>
      </c>
      <c r="AF8" s="8" t="s">
        <v>29</v>
      </c>
      <c r="AH8" s="8" t="s">
        <v>29</v>
      </c>
      <c r="AJ8" s="8" t="s">
        <v>29</v>
      </c>
      <c r="AL8" s="3" t="s">
        <v>35</v>
      </c>
      <c r="AM8" s="7"/>
      <c r="AN8" s="7">
        <v>1.5249999999999999</v>
      </c>
      <c r="AO8" s="7">
        <v>1.6259999999999999</v>
      </c>
      <c r="AP8" s="7">
        <v>1.772</v>
      </c>
      <c r="AQ8" s="7">
        <v>1.9610000000000001</v>
      </c>
      <c r="AS8" s="8" t="s">
        <v>34</v>
      </c>
      <c r="AT8" s="8" t="s">
        <v>34</v>
      </c>
      <c r="AU8" s="8" t="s">
        <v>34</v>
      </c>
      <c r="AV8" s="8" t="s">
        <v>34</v>
      </c>
      <c r="AX8" s="3" t="s">
        <v>35</v>
      </c>
      <c r="AY8" s="3">
        <v>219.7</v>
      </c>
      <c r="AZ8" s="13">
        <f t="shared" si="0"/>
        <v>-53.449999999999989</v>
      </c>
    </row>
    <row r="9" spans="2:60" ht="15" customHeight="1">
      <c r="B9" s="3" t="s">
        <v>36</v>
      </c>
      <c r="C9" s="6"/>
      <c r="D9" s="6"/>
      <c r="F9" s="6"/>
      <c r="G9" s="6"/>
      <c r="N9" s="3" t="s">
        <v>36</v>
      </c>
      <c r="Q9" s="6"/>
      <c r="R9" s="10">
        <v>0.8498</v>
      </c>
      <c r="W9" s="8" t="s">
        <v>31</v>
      </c>
      <c r="Z9" s="3" t="s">
        <v>36</v>
      </c>
      <c r="AA9" s="6">
        <v>24.75</v>
      </c>
      <c r="AC9" s="6">
        <v>23.83</v>
      </c>
      <c r="AD9" s="95">
        <f t="shared" si="1"/>
        <v>23.369999999999997</v>
      </c>
      <c r="AE9" s="3">
        <v>22.91</v>
      </c>
      <c r="AF9" s="8" t="s">
        <v>29</v>
      </c>
      <c r="AH9" s="8" t="s">
        <v>29</v>
      </c>
      <c r="AJ9" s="8" t="s">
        <v>29</v>
      </c>
      <c r="AL9" s="3" t="s">
        <v>36</v>
      </c>
      <c r="AM9" s="7"/>
      <c r="AN9" s="7">
        <v>1.165</v>
      </c>
      <c r="AO9" s="7">
        <v>1.268</v>
      </c>
      <c r="AP9" s="7">
        <v>1.3859999999999999</v>
      </c>
      <c r="AQ9" s="7">
        <v>1.5589999999999999</v>
      </c>
      <c r="AS9" s="8" t="s">
        <v>34</v>
      </c>
      <c r="AT9" s="8" t="s">
        <v>34</v>
      </c>
      <c r="AU9" s="8" t="s">
        <v>34</v>
      </c>
      <c r="AV9" s="8" t="s">
        <v>34</v>
      </c>
      <c r="AX9" s="3" t="s">
        <v>36</v>
      </c>
      <c r="AY9" s="3">
        <v>243.5</v>
      </c>
      <c r="AZ9" s="13">
        <f t="shared" si="0"/>
        <v>-29.649999999999977</v>
      </c>
    </row>
    <row r="10" spans="2:60" ht="15" customHeight="1">
      <c r="B10" s="3" t="s">
        <v>37</v>
      </c>
      <c r="C10" s="6"/>
      <c r="D10" s="6"/>
      <c r="F10" s="6"/>
      <c r="G10" s="6"/>
      <c r="N10" s="3" t="s">
        <v>37</v>
      </c>
      <c r="Q10" s="6"/>
      <c r="R10" s="10"/>
      <c r="Z10" s="3" t="s">
        <v>37</v>
      </c>
      <c r="AA10" s="6">
        <v>25.56</v>
      </c>
      <c r="AC10" s="6">
        <v>24.66</v>
      </c>
      <c r="AD10" s="95">
        <f t="shared" si="1"/>
        <v>24.21</v>
      </c>
      <c r="AE10" s="3">
        <v>23.76</v>
      </c>
      <c r="AF10" s="8" t="s">
        <v>29</v>
      </c>
      <c r="AH10" s="8" t="s">
        <v>29</v>
      </c>
      <c r="AJ10" s="8" t="s">
        <v>29</v>
      </c>
      <c r="AL10" s="3" t="s">
        <v>37</v>
      </c>
      <c r="AM10" s="7"/>
      <c r="AN10" s="7">
        <v>0.93100000000000005</v>
      </c>
      <c r="AO10" s="7">
        <v>1.0089999999999999</v>
      </c>
      <c r="AP10" s="7">
        <v>1.1120000000000001</v>
      </c>
      <c r="AQ10" s="7">
        <v>1.248</v>
      </c>
      <c r="AS10" s="8" t="s">
        <v>34</v>
      </c>
      <c r="AT10" s="8" t="s">
        <v>34</v>
      </c>
      <c r="AU10" s="8" t="s">
        <v>34</v>
      </c>
      <c r="AV10" s="8" t="s">
        <v>34</v>
      </c>
      <c r="AX10" s="3" t="s">
        <v>37</v>
      </c>
      <c r="AY10" s="3">
        <v>247.6</v>
      </c>
      <c r="AZ10" s="13">
        <f t="shared" si="0"/>
        <v>-25.549999999999983</v>
      </c>
    </row>
    <row r="11" spans="2:60" ht="15" customHeight="1">
      <c r="B11" s="3" t="s">
        <v>38</v>
      </c>
      <c r="C11" s="6"/>
      <c r="D11" s="6"/>
      <c r="F11" s="6"/>
      <c r="G11" s="6"/>
      <c r="N11" s="3" t="s">
        <v>38</v>
      </c>
      <c r="Q11" s="6"/>
      <c r="R11" s="10">
        <v>1.3585</v>
      </c>
      <c r="W11" s="8" t="s">
        <v>31</v>
      </c>
      <c r="Z11" s="3" t="s">
        <v>38</v>
      </c>
      <c r="AA11" s="6">
        <v>26.24</v>
      </c>
      <c r="AC11" s="6">
        <v>25.35</v>
      </c>
      <c r="AD11" s="95">
        <f t="shared" si="1"/>
        <v>24.91</v>
      </c>
      <c r="AE11" s="3">
        <v>24.47</v>
      </c>
      <c r="AF11" s="8" t="s">
        <v>29</v>
      </c>
      <c r="AH11" s="8" t="s">
        <v>29</v>
      </c>
      <c r="AJ11" s="8" t="s">
        <v>29</v>
      </c>
      <c r="AL11" s="3" t="s">
        <v>38</v>
      </c>
      <c r="AM11" s="7"/>
      <c r="AN11" s="7">
        <v>0.70799999999999996</v>
      </c>
      <c r="AO11" s="7">
        <v>0.78800000000000003</v>
      </c>
      <c r="AP11" s="7">
        <v>0.871</v>
      </c>
      <c r="AQ11" s="7">
        <v>0.996</v>
      </c>
      <c r="AS11" s="8" t="s">
        <v>34</v>
      </c>
      <c r="AT11" s="8" t="s">
        <v>34</v>
      </c>
      <c r="AU11" s="8" t="s">
        <v>34</v>
      </c>
      <c r="AV11" s="8" t="s">
        <v>34</v>
      </c>
      <c r="AX11" s="3" t="s">
        <v>38</v>
      </c>
      <c r="AY11" s="3">
        <v>263.60000000000002</v>
      </c>
      <c r="AZ11" s="13">
        <f t="shared" si="0"/>
        <v>-9.5499999999999545</v>
      </c>
    </row>
    <row r="12" spans="2:60" ht="15" customHeight="1">
      <c r="B12" s="3" t="s">
        <v>39</v>
      </c>
      <c r="C12" s="6"/>
      <c r="D12" s="6"/>
      <c r="F12" s="6"/>
      <c r="G12" s="6"/>
      <c r="N12" s="3" t="s">
        <v>39</v>
      </c>
      <c r="Q12" s="6"/>
      <c r="R12" s="10"/>
      <c r="Z12" s="3" t="s">
        <v>39</v>
      </c>
      <c r="AA12" s="6">
        <v>26.86</v>
      </c>
      <c r="AC12" s="6">
        <v>25.99</v>
      </c>
      <c r="AD12" s="95">
        <f t="shared" si="1"/>
        <v>25.549999999999997</v>
      </c>
      <c r="AE12" s="3">
        <v>25.11</v>
      </c>
      <c r="AF12" s="8" t="s">
        <v>29</v>
      </c>
      <c r="AH12" s="8" t="s">
        <v>29</v>
      </c>
      <c r="AJ12" s="8" t="s">
        <v>29</v>
      </c>
      <c r="AL12" s="3" t="s">
        <v>39</v>
      </c>
      <c r="AM12" s="7"/>
      <c r="AN12" s="7">
        <v>0.56499999999999995</v>
      </c>
      <c r="AO12" s="7">
        <v>0.64</v>
      </c>
      <c r="AP12" s="7">
        <v>0.70699999999999996</v>
      </c>
      <c r="AQ12" s="7">
        <v>0.80500000000000005</v>
      </c>
      <c r="AS12" s="8" t="s">
        <v>34</v>
      </c>
      <c r="AT12" s="8" t="s">
        <v>34</v>
      </c>
      <c r="AU12" s="8" t="s">
        <v>34</v>
      </c>
      <c r="AV12" s="8" t="s">
        <v>34</v>
      </c>
      <c r="AX12" s="3" t="s">
        <v>39</v>
      </c>
      <c r="AY12" s="3">
        <v>267.8</v>
      </c>
      <c r="AZ12" s="13">
        <f t="shared" si="0"/>
        <v>-5.3499999999999659</v>
      </c>
    </row>
    <row r="13" spans="2:60" ht="15" customHeight="1">
      <c r="B13" s="3" t="s">
        <v>40</v>
      </c>
      <c r="C13" s="6"/>
      <c r="D13" s="6"/>
      <c r="F13" s="6"/>
      <c r="G13" s="6"/>
      <c r="N13" s="3" t="s">
        <v>40</v>
      </c>
      <c r="Q13" s="6"/>
      <c r="R13" s="10">
        <v>2.0779999999999998</v>
      </c>
      <c r="W13" s="8" t="s">
        <v>31</v>
      </c>
      <c r="Z13" s="3" t="s">
        <v>40</v>
      </c>
      <c r="AA13" s="6">
        <v>27.43</v>
      </c>
      <c r="AC13" s="6">
        <v>26.56</v>
      </c>
      <c r="AD13" s="95">
        <f t="shared" si="1"/>
        <v>26.125</v>
      </c>
      <c r="AE13" s="3">
        <v>25.69</v>
      </c>
      <c r="AF13" s="8" t="s">
        <v>29</v>
      </c>
      <c r="AH13" s="8" t="s">
        <v>29</v>
      </c>
      <c r="AJ13" s="8" t="s">
        <v>29</v>
      </c>
      <c r="AL13" s="3" t="s">
        <v>40</v>
      </c>
      <c r="AM13" s="7"/>
      <c r="AN13" s="7">
        <v>0.443</v>
      </c>
      <c r="AO13" s="7">
        <v>0.495</v>
      </c>
      <c r="AP13" s="7">
        <v>0.55000000000000004</v>
      </c>
      <c r="AQ13" s="7">
        <v>0.63700000000000001</v>
      </c>
      <c r="AS13" s="8" t="s">
        <v>34</v>
      </c>
      <c r="AT13" s="8" t="s">
        <v>34</v>
      </c>
      <c r="AU13" s="8" t="s">
        <v>34</v>
      </c>
      <c r="AV13" s="8" t="s">
        <v>34</v>
      </c>
      <c r="AX13" s="3" t="s">
        <v>40</v>
      </c>
      <c r="AY13" s="3">
        <v>279</v>
      </c>
      <c r="AZ13" s="13">
        <f t="shared" si="0"/>
        <v>5.8500000000000227</v>
      </c>
    </row>
    <row r="14" spans="2:60" ht="15" customHeight="1">
      <c r="B14" s="3" t="s">
        <v>41</v>
      </c>
      <c r="C14" s="6"/>
      <c r="D14" s="6"/>
      <c r="E14" s="6">
        <v>768.45</v>
      </c>
      <c r="F14" s="97">
        <f>(E14+G14)/2</f>
        <v>764.96500000000003</v>
      </c>
      <c r="G14" s="6">
        <v>761.48</v>
      </c>
      <c r="J14" s="8" t="s">
        <v>262</v>
      </c>
      <c r="L14" s="8" t="s">
        <v>262</v>
      </c>
      <c r="N14" s="3" t="s">
        <v>41</v>
      </c>
      <c r="Q14" s="6"/>
      <c r="Z14" s="3" t="s">
        <v>41</v>
      </c>
      <c r="AC14" s="6">
        <v>27.07</v>
      </c>
      <c r="AD14" s="95">
        <f t="shared" si="1"/>
        <v>26.64</v>
      </c>
      <c r="AE14" s="3">
        <v>26.21</v>
      </c>
      <c r="AH14" s="8" t="s">
        <v>29</v>
      </c>
      <c r="AJ14" s="8" t="s">
        <v>29</v>
      </c>
      <c r="AL14" s="3" t="s">
        <v>41</v>
      </c>
      <c r="AM14" s="7"/>
      <c r="AN14" s="7">
        <v>0.35699999999999998</v>
      </c>
      <c r="AO14" s="7">
        <v>0.40400000000000003</v>
      </c>
      <c r="AP14" s="7">
        <v>0.46100000000000002</v>
      </c>
      <c r="AQ14" s="7">
        <v>0.53500000000000003</v>
      </c>
      <c r="AS14" s="8" t="s">
        <v>34</v>
      </c>
      <c r="AT14" s="8" t="s">
        <v>34</v>
      </c>
      <c r="AU14" s="8" t="s">
        <v>34</v>
      </c>
      <c r="AV14" s="8" t="s">
        <v>34</v>
      </c>
      <c r="AX14" s="3" t="s">
        <v>41</v>
      </c>
      <c r="AY14" s="3">
        <v>283.10000000000002</v>
      </c>
      <c r="AZ14" s="13">
        <f t="shared" si="0"/>
        <v>9.9500000000000455</v>
      </c>
    </row>
    <row r="15" spans="2:60" ht="15" customHeight="1">
      <c r="B15" s="3" t="s">
        <v>42</v>
      </c>
      <c r="C15" s="6"/>
      <c r="D15" s="6"/>
      <c r="F15" s="6"/>
      <c r="G15" s="6"/>
      <c r="N15" s="3" t="s">
        <v>42</v>
      </c>
      <c r="Q15" s="6"/>
      <c r="Z15" s="3" t="s">
        <v>42</v>
      </c>
      <c r="AC15" s="6">
        <v>27.47</v>
      </c>
      <c r="AD15" s="95">
        <f t="shared" si="1"/>
        <v>27.045000000000002</v>
      </c>
      <c r="AE15" s="3">
        <v>26.62</v>
      </c>
      <c r="AH15" s="8" t="s">
        <v>29</v>
      </c>
      <c r="AJ15" s="8" t="s">
        <v>29</v>
      </c>
      <c r="AL15" s="3" t="s">
        <v>42</v>
      </c>
      <c r="AM15" s="7"/>
      <c r="AN15" s="11"/>
      <c r="AO15" s="7">
        <v>0.34100000000000003</v>
      </c>
      <c r="AP15" s="7">
        <v>0.38700000000000001</v>
      </c>
      <c r="AQ15" s="7">
        <v>0.44600000000000001</v>
      </c>
      <c r="AT15" s="8" t="s">
        <v>34</v>
      </c>
      <c r="AU15" s="8" t="s">
        <v>34</v>
      </c>
      <c r="AV15" s="8" t="s">
        <v>34</v>
      </c>
      <c r="AX15" s="3" t="s">
        <v>42</v>
      </c>
      <c r="AY15" s="3">
        <v>291.10000000000002</v>
      </c>
      <c r="AZ15" s="13">
        <f t="shared" si="0"/>
        <v>17.950000000000045</v>
      </c>
    </row>
    <row r="16" spans="2:60" ht="15" customHeight="1">
      <c r="Q16" s="6"/>
      <c r="AM16" s="7"/>
      <c r="AN16" s="11"/>
      <c r="AO16" s="7"/>
      <c r="AQ16" s="7"/>
    </row>
    <row r="17" spans="2:60" ht="15" customHeight="1">
      <c r="B17" s="83" t="s">
        <v>249</v>
      </c>
      <c r="C17" s="202" t="s">
        <v>17</v>
      </c>
      <c r="D17" s="202"/>
      <c r="E17" s="202"/>
      <c r="F17" s="202"/>
      <c r="G17" s="202"/>
      <c r="N17" s="83" t="s">
        <v>45</v>
      </c>
      <c r="O17" s="202" t="s">
        <v>17</v>
      </c>
      <c r="P17" s="202"/>
      <c r="Q17" s="202"/>
      <c r="R17" s="202"/>
      <c r="S17" s="202"/>
      <c r="AL17" s="78" t="s">
        <v>250</v>
      </c>
      <c r="AM17" s="201" t="s">
        <v>17</v>
      </c>
      <c r="AN17" s="201"/>
      <c r="AO17" s="201"/>
      <c r="AP17" s="201"/>
      <c r="AQ17" s="201"/>
      <c r="AR17" s="73"/>
      <c r="AS17" s="73"/>
      <c r="AT17" s="73"/>
      <c r="AU17" s="73"/>
      <c r="AV17" s="73"/>
    </row>
    <row r="18" spans="2:60" s="83" customFormat="1" ht="15" customHeight="1">
      <c r="B18" s="83" t="s">
        <v>21</v>
      </c>
      <c r="C18" s="83">
        <v>10</v>
      </c>
      <c r="D18" s="83">
        <v>15</v>
      </c>
      <c r="E18" s="83">
        <v>20</v>
      </c>
      <c r="F18" s="83">
        <v>25</v>
      </c>
      <c r="G18" s="83">
        <v>30</v>
      </c>
      <c r="H18" s="73">
        <v>10</v>
      </c>
      <c r="I18" s="73">
        <v>15</v>
      </c>
      <c r="J18" s="73">
        <v>20</v>
      </c>
      <c r="K18" s="73">
        <v>25</v>
      </c>
      <c r="L18" s="73">
        <v>30</v>
      </c>
      <c r="N18" s="83" t="s">
        <v>22</v>
      </c>
      <c r="O18" s="83">
        <v>10</v>
      </c>
      <c r="P18" s="83">
        <v>15</v>
      </c>
      <c r="Q18" s="83">
        <v>20</v>
      </c>
      <c r="R18" s="83">
        <v>25</v>
      </c>
      <c r="S18" s="83">
        <v>30</v>
      </c>
      <c r="T18" s="73">
        <v>10</v>
      </c>
      <c r="U18" s="73">
        <v>15</v>
      </c>
      <c r="V18" s="73">
        <v>20</v>
      </c>
      <c r="W18" s="73">
        <v>25</v>
      </c>
      <c r="X18" s="73">
        <v>30</v>
      </c>
      <c r="AC18" s="87"/>
      <c r="AD18" s="88"/>
      <c r="AF18" s="73"/>
      <c r="AG18" s="73"/>
      <c r="AH18" s="73"/>
      <c r="AI18" s="73"/>
      <c r="AJ18" s="73"/>
      <c r="AL18" s="83" t="s">
        <v>24</v>
      </c>
      <c r="AM18" s="83">
        <v>10</v>
      </c>
      <c r="AN18" s="83">
        <v>15</v>
      </c>
      <c r="AO18" s="83">
        <v>20</v>
      </c>
      <c r="AP18" s="83">
        <v>25</v>
      </c>
      <c r="AQ18" s="83">
        <v>30</v>
      </c>
      <c r="AR18" s="73">
        <v>10</v>
      </c>
      <c r="AS18" s="73">
        <v>15</v>
      </c>
      <c r="AT18" s="73">
        <v>20</v>
      </c>
      <c r="AU18" s="73">
        <v>25</v>
      </c>
      <c r="AV18" s="73">
        <v>30</v>
      </c>
      <c r="BB18" s="88"/>
      <c r="BD18" s="73"/>
      <c r="BE18" s="73"/>
      <c r="BF18" s="73"/>
      <c r="BG18" s="73"/>
      <c r="BH18" s="73"/>
    </row>
    <row r="19" spans="2:60" ht="15" customHeight="1">
      <c r="B19" s="3" t="s">
        <v>27</v>
      </c>
      <c r="C19" s="6"/>
      <c r="D19" s="6"/>
      <c r="E19" s="6">
        <v>626.20000000000005</v>
      </c>
      <c r="F19" s="6"/>
      <c r="G19" s="6"/>
      <c r="J19" s="8" t="s">
        <v>43</v>
      </c>
      <c r="N19" s="3" t="s">
        <v>27</v>
      </c>
      <c r="O19" s="10"/>
      <c r="P19" s="10"/>
      <c r="Q19" s="10"/>
      <c r="R19" s="10"/>
      <c r="S19" s="10"/>
      <c r="AL19" s="72" t="s">
        <v>27</v>
      </c>
      <c r="AM19" s="7"/>
      <c r="AN19" s="7"/>
      <c r="AO19" s="7"/>
      <c r="AQ19" s="7"/>
      <c r="AR19" s="73"/>
      <c r="AS19" s="73"/>
      <c r="AT19" s="73"/>
      <c r="AU19" s="73"/>
      <c r="AV19" s="73"/>
    </row>
    <row r="20" spans="2:60" ht="15" customHeight="1">
      <c r="B20" s="3" t="s">
        <v>30</v>
      </c>
      <c r="C20" s="6"/>
      <c r="D20" s="6"/>
      <c r="F20" s="6">
        <v>660.6</v>
      </c>
      <c r="G20" s="6"/>
      <c r="K20" s="8" t="s">
        <v>43</v>
      </c>
      <c r="N20" s="3" t="s">
        <v>30</v>
      </c>
      <c r="O20" s="10"/>
      <c r="P20" s="10"/>
      <c r="Q20" s="10"/>
      <c r="R20" s="10"/>
      <c r="S20" s="10"/>
      <c r="AL20" s="72" t="s">
        <v>30</v>
      </c>
      <c r="AM20" s="7"/>
      <c r="AN20" s="7"/>
      <c r="AO20" s="7"/>
      <c r="AP20" s="89">
        <v>4.18</v>
      </c>
      <c r="AQ20" s="7"/>
      <c r="AR20" s="73"/>
      <c r="AS20" s="73"/>
      <c r="AT20" s="73"/>
      <c r="AU20" s="73" t="s">
        <v>254</v>
      </c>
      <c r="AV20" s="73"/>
    </row>
    <row r="21" spans="2:60" ht="15" customHeight="1">
      <c r="B21" s="3" t="s">
        <v>32</v>
      </c>
      <c r="C21" s="6"/>
      <c r="D21" s="6"/>
      <c r="F21" s="6">
        <v>679.5</v>
      </c>
      <c r="G21" s="6"/>
      <c r="K21" s="8" t="s">
        <v>43</v>
      </c>
      <c r="N21" s="3" t="s">
        <v>32</v>
      </c>
      <c r="O21" s="10"/>
      <c r="P21" s="10"/>
      <c r="Q21" s="10"/>
      <c r="R21" s="10"/>
      <c r="S21" s="10"/>
      <c r="AL21" s="72" t="s">
        <v>32</v>
      </c>
      <c r="AM21" s="7"/>
      <c r="AN21" s="7"/>
      <c r="AO21" s="7">
        <v>3.1</v>
      </c>
      <c r="AP21" s="7">
        <v>3.12</v>
      </c>
      <c r="AQ21" s="7">
        <v>3.22</v>
      </c>
      <c r="AR21" s="73"/>
      <c r="AS21" s="73"/>
      <c r="AT21" s="73" t="s">
        <v>252</v>
      </c>
      <c r="AU21" s="73" t="s">
        <v>252</v>
      </c>
      <c r="AV21" s="73" t="s">
        <v>252</v>
      </c>
    </row>
    <row r="22" spans="2:60" ht="15" customHeight="1">
      <c r="B22" s="3" t="s">
        <v>33</v>
      </c>
      <c r="C22" s="6"/>
      <c r="D22" s="6"/>
      <c r="F22" s="6">
        <v>698.6</v>
      </c>
      <c r="G22" s="6"/>
      <c r="K22" s="8" t="s">
        <v>43</v>
      </c>
      <c r="N22" s="3" t="s">
        <v>33</v>
      </c>
      <c r="O22" s="10"/>
      <c r="P22" s="10"/>
      <c r="Q22" s="10">
        <v>0.54330000000000001</v>
      </c>
      <c r="R22" s="10">
        <v>0.51049999999999995</v>
      </c>
      <c r="S22" s="10"/>
      <c r="V22" s="8" t="s">
        <v>242</v>
      </c>
      <c r="W22" s="8" t="s">
        <v>242</v>
      </c>
      <c r="AL22" s="72" t="s">
        <v>33</v>
      </c>
      <c r="AM22" s="7"/>
      <c r="AN22" s="7"/>
      <c r="AO22" s="7"/>
      <c r="AQ22" s="7"/>
      <c r="AR22" s="73"/>
      <c r="AS22" s="73"/>
      <c r="AT22" s="73"/>
      <c r="AU22" s="73"/>
      <c r="AV22" s="73"/>
    </row>
    <row r="23" spans="2:60" ht="15" customHeight="1">
      <c r="B23" s="3" t="s">
        <v>35</v>
      </c>
      <c r="C23" s="6"/>
      <c r="D23" s="6"/>
      <c r="E23" s="6">
        <v>719.2</v>
      </c>
      <c r="F23" s="6"/>
      <c r="G23" s="6"/>
      <c r="J23" s="8" t="s">
        <v>43</v>
      </c>
      <c r="N23" s="3" t="s">
        <v>35</v>
      </c>
      <c r="O23" s="10"/>
      <c r="P23" s="10"/>
      <c r="Q23" s="10"/>
      <c r="R23" s="10"/>
      <c r="S23" s="10"/>
      <c r="AL23" s="72" t="s">
        <v>35</v>
      </c>
      <c r="AM23" s="7"/>
      <c r="AN23" s="7"/>
      <c r="AO23" s="7"/>
      <c r="AQ23" s="7"/>
      <c r="AR23" s="73"/>
      <c r="AS23" s="73"/>
      <c r="AT23" s="73"/>
      <c r="AU23" s="73"/>
      <c r="AV23" s="73"/>
    </row>
    <row r="24" spans="2:60" ht="15" customHeight="1">
      <c r="B24" s="3" t="s">
        <v>36</v>
      </c>
      <c r="C24" s="6"/>
      <c r="D24" s="6"/>
      <c r="F24" s="6">
        <v>726.6</v>
      </c>
      <c r="G24" s="6"/>
      <c r="K24" s="8" t="s">
        <v>43</v>
      </c>
      <c r="N24" s="3" t="s">
        <v>36</v>
      </c>
      <c r="O24" s="10"/>
      <c r="P24" s="10"/>
      <c r="Q24" s="10">
        <v>0.91830000000000001</v>
      </c>
      <c r="R24" s="10">
        <v>0.85050000000000003</v>
      </c>
      <c r="S24" s="10"/>
      <c r="V24" s="8" t="s">
        <v>242</v>
      </c>
      <c r="W24" s="8" t="s">
        <v>242</v>
      </c>
      <c r="AL24" s="72" t="s">
        <v>36</v>
      </c>
      <c r="AM24" s="7"/>
      <c r="AN24" s="7"/>
      <c r="AO24" s="7">
        <v>1.44</v>
      </c>
      <c r="AP24" s="7">
        <v>1.55</v>
      </c>
      <c r="AQ24" s="7">
        <v>1.68</v>
      </c>
      <c r="AR24" s="73"/>
      <c r="AS24" s="73"/>
      <c r="AT24" s="73" t="s">
        <v>252</v>
      </c>
      <c r="AU24" s="73" t="s">
        <v>252</v>
      </c>
      <c r="AV24" s="73" t="s">
        <v>252</v>
      </c>
    </row>
    <row r="25" spans="2:60" ht="15" customHeight="1">
      <c r="B25" s="3" t="s">
        <v>37</v>
      </c>
      <c r="C25" s="6"/>
      <c r="D25" s="6"/>
      <c r="E25" s="6">
        <v>740.2</v>
      </c>
      <c r="F25" s="6"/>
      <c r="G25" s="6"/>
      <c r="J25" s="8" t="s">
        <v>43</v>
      </c>
      <c r="N25" s="3" t="s">
        <v>37</v>
      </c>
      <c r="O25" s="10"/>
      <c r="P25" s="10"/>
      <c r="Q25" s="10">
        <v>1.1739999999999999</v>
      </c>
      <c r="R25" s="10">
        <v>1.081</v>
      </c>
      <c r="S25" s="10"/>
      <c r="V25" s="8" t="s">
        <v>242</v>
      </c>
      <c r="W25" s="8" t="s">
        <v>242</v>
      </c>
      <c r="AL25" s="72" t="s">
        <v>37</v>
      </c>
      <c r="AM25" s="7"/>
      <c r="AN25" s="7"/>
      <c r="AO25" s="7"/>
      <c r="AQ25" s="7"/>
      <c r="AR25" s="73"/>
      <c r="AS25" s="73"/>
      <c r="AT25" s="73"/>
      <c r="AU25" s="73"/>
      <c r="AV25" s="73"/>
    </row>
    <row r="26" spans="2:60" ht="15" customHeight="1">
      <c r="B26" s="3" t="s">
        <v>38</v>
      </c>
      <c r="C26" s="6"/>
      <c r="D26" s="6"/>
      <c r="E26" s="6">
        <v>749.5</v>
      </c>
      <c r="F26" s="6"/>
      <c r="G26" s="6"/>
      <c r="J26" s="8" t="s">
        <v>43</v>
      </c>
      <c r="N26" s="3" t="s">
        <v>38</v>
      </c>
      <c r="O26" s="10"/>
      <c r="P26" s="10"/>
      <c r="Q26" s="10"/>
      <c r="R26" s="10"/>
      <c r="S26" s="10"/>
      <c r="AL26" s="72" t="s">
        <v>38</v>
      </c>
      <c r="AM26" s="7"/>
      <c r="AN26" s="7"/>
      <c r="AO26" s="7"/>
      <c r="AQ26" s="7"/>
      <c r="AR26" s="73"/>
      <c r="AS26" s="73"/>
      <c r="AT26" s="73"/>
      <c r="AU26" s="73"/>
      <c r="AV26" s="73"/>
    </row>
    <row r="27" spans="2:60" ht="15" customHeight="1">
      <c r="B27" s="3" t="s">
        <v>39</v>
      </c>
      <c r="C27" s="6"/>
      <c r="D27" s="6"/>
      <c r="E27" s="6">
        <v>756.4</v>
      </c>
      <c r="F27" s="6"/>
      <c r="G27" s="6"/>
      <c r="J27" s="8" t="s">
        <v>43</v>
      </c>
      <c r="N27" s="3" t="s">
        <v>39</v>
      </c>
      <c r="O27" s="10"/>
      <c r="P27" s="10"/>
      <c r="Q27" s="10">
        <v>1.863</v>
      </c>
      <c r="R27" s="10">
        <v>1.6879999999999999</v>
      </c>
      <c r="S27" s="10"/>
      <c r="V27" s="8" t="s">
        <v>242</v>
      </c>
      <c r="W27" s="8" t="s">
        <v>242</v>
      </c>
      <c r="AL27" s="72" t="s">
        <v>39</v>
      </c>
      <c r="AM27" s="7"/>
      <c r="AN27" s="7"/>
      <c r="AO27" s="88"/>
      <c r="AQ27" s="7"/>
      <c r="AR27" s="73"/>
      <c r="AS27" s="73"/>
      <c r="AT27" s="73"/>
      <c r="AU27" s="73"/>
      <c r="AV27" s="73"/>
    </row>
    <row r="28" spans="2:60" ht="15" customHeight="1">
      <c r="B28" s="3" t="s">
        <v>40</v>
      </c>
      <c r="C28" s="6"/>
      <c r="D28" s="6"/>
      <c r="E28" s="6">
        <v>759.6</v>
      </c>
      <c r="F28" s="6"/>
      <c r="G28" s="6"/>
      <c r="J28" s="8" t="s">
        <v>43</v>
      </c>
      <c r="N28" s="3" t="s">
        <v>40</v>
      </c>
      <c r="O28" s="10"/>
      <c r="P28" s="10"/>
      <c r="Q28" s="10"/>
      <c r="R28" s="10"/>
      <c r="S28" s="10"/>
      <c r="AL28" s="72" t="s">
        <v>40</v>
      </c>
      <c r="AM28" s="7"/>
      <c r="AN28" s="7"/>
      <c r="AO28" s="7"/>
      <c r="AQ28" s="7"/>
      <c r="AR28" s="73"/>
      <c r="AS28" s="73"/>
      <c r="AT28" s="73"/>
      <c r="AU28" s="73"/>
      <c r="AV28" s="73"/>
    </row>
    <row r="29" spans="2:60" ht="15" customHeight="1">
      <c r="B29" s="3" t="s">
        <v>41</v>
      </c>
      <c r="C29" s="6"/>
      <c r="D29" s="6"/>
      <c r="E29" s="6">
        <v>768.5</v>
      </c>
      <c r="F29" s="6"/>
      <c r="G29" s="6"/>
      <c r="J29" s="8" t="s">
        <v>43</v>
      </c>
      <c r="N29" s="3" t="s">
        <v>41</v>
      </c>
      <c r="O29" s="10"/>
      <c r="P29" s="10"/>
      <c r="Q29" s="10">
        <v>2.8410000000000002</v>
      </c>
      <c r="R29" s="10">
        <v>2.5339999999999998</v>
      </c>
      <c r="S29" s="10"/>
      <c r="V29" s="8" t="s">
        <v>242</v>
      </c>
      <c r="W29" s="8" t="s">
        <v>242</v>
      </c>
      <c r="AL29" s="72" t="s">
        <v>41</v>
      </c>
      <c r="AM29" s="7"/>
      <c r="AN29" s="7"/>
      <c r="AO29" s="7"/>
      <c r="AQ29" s="7"/>
      <c r="AR29" s="73"/>
      <c r="AS29" s="73"/>
      <c r="AT29" s="73"/>
      <c r="AU29" s="73"/>
      <c r="AV29" s="73"/>
    </row>
    <row r="30" spans="2:60" ht="15" customHeight="1">
      <c r="B30" s="3" t="s">
        <v>42</v>
      </c>
      <c r="C30" s="6"/>
      <c r="D30" s="6"/>
      <c r="F30" s="6">
        <v>770.1</v>
      </c>
      <c r="G30" s="6"/>
      <c r="K30" s="8" t="s">
        <v>43</v>
      </c>
      <c r="N30" s="3" t="s">
        <v>42</v>
      </c>
      <c r="O30" s="10"/>
      <c r="P30" s="10"/>
      <c r="Q30" s="10"/>
      <c r="R30" s="10"/>
      <c r="S30" s="10"/>
      <c r="AL30" s="72" t="s">
        <v>42</v>
      </c>
      <c r="AM30" s="7"/>
      <c r="AN30" s="11"/>
      <c r="AO30" s="7"/>
      <c r="AQ30" s="7"/>
      <c r="AR30" s="73"/>
      <c r="AS30" s="73"/>
      <c r="AT30" s="73"/>
      <c r="AU30" s="73"/>
      <c r="AV30" s="73"/>
    </row>
    <row r="32" spans="2:60" ht="15" customHeight="1">
      <c r="B32" s="83" t="s">
        <v>249</v>
      </c>
      <c r="C32" s="201" t="s">
        <v>17</v>
      </c>
      <c r="D32" s="201"/>
      <c r="E32" s="201"/>
      <c r="F32" s="201"/>
      <c r="G32" s="201"/>
      <c r="H32" s="203" t="s">
        <v>18</v>
      </c>
      <c r="I32" s="203"/>
      <c r="J32" s="203"/>
      <c r="K32" s="203"/>
      <c r="L32" s="203"/>
      <c r="N32" s="83" t="s">
        <v>45</v>
      </c>
      <c r="O32" s="202" t="s">
        <v>17</v>
      </c>
      <c r="P32" s="202"/>
      <c r="Q32" s="202"/>
      <c r="R32" s="202"/>
      <c r="S32" s="202"/>
      <c r="AL32" s="78" t="s">
        <v>250</v>
      </c>
      <c r="AM32" s="201" t="s">
        <v>17</v>
      </c>
      <c r="AN32" s="201"/>
      <c r="AO32" s="201"/>
      <c r="AP32" s="201"/>
      <c r="AQ32" s="201"/>
      <c r="AR32" s="73"/>
      <c r="AS32" s="73"/>
      <c r="AT32" s="73"/>
      <c r="AU32" s="73"/>
      <c r="AV32" s="73"/>
    </row>
    <row r="33" spans="2:60" s="83" customFormat="1" ht="15" customHeight="1">
      <c r="B33" s="83" t="s">
        <v>21</v>
      </c>
      <c r="C33" s="83">
        <v>10</v>
      </c>
      <c r="D33" s="83">
        <v>15</v>
      </c>
      <c r="E33" s="83">
        <v>20</v>
      </c>
      <c r="F33" s="83">
        <v>25</v>
      </c>
      <c r="G33" s="83">
        <v>30</v>
      </c>
      <c r="H33" s="73">
        <v>10</v>
      </c>
      <c r="I33" s="73">
        <v>15</v>
      </c>
      <c r="J33" s="73">
        <v>20</v>
      </c>
      <c r="K33" s="73">
        <v>25</v>
      </c>
      <c r="L33" s="73">
        <v>30</v>
      </c>
      <c r="N33" s="83" t="s">
        <v>22</v>
      </c>
      <c r="O33" s="83">
        <v>10</v>
      </c>
      <c r="P33" s="83">
        <v>15</v>
      </c>
      <c r="Q33" s="83">
        <v>20</v>
      </c>
      <c r="R33" s="83">
        <v>25</v>
      </c>
      <c r="S33" s="83">
        <v>30</v>
      </c>
      <c r="T33" s="73">
        <v>10</v>
      </c>
      <c r="U33" s="73">
        <v>15</v>
      </c>
      <c r="V33" s="73">
        <v>20</v>
      </c>
      <c r="W33" s="73">
        <v>25</v>
      </c>
      <c r="X33" s="73">
        <v>30</v>
      </c>
      <c r="AC33" s="87"/>
      <c r="AD33" s="88"/>
      <c r="AF33" s="73"/>
      <c r="AG33" s="73"/>
      <c r="AH33" s="73"/>
      <c r="AI33" s="73"/>
      <c r="AJ33" s="73"/>
      <c r="AL33" s="83" t="s">
        <v>24</v>
      </c>
      <c r="AO33" s="74" t="s">
        <v>255</v>
      </c>
      <c r="AP33" s="74" t="s">
        <v>256</v>
      </c>
      <c r="AR33" s="73"/>
      <c r="AS33" s="73"/>
      <c r="AT33" s="73">
        <v>22</v>
      </c>
      <c r="AU33" s="73"/>
      <c r="AV33" s="73"/>
      <c r="BB33" s="88"/>
      <c r="BD33" s="73"/>
      <c r="BE33" s="73"/>
      <c r="BF33" s="73"/>
      <c r="BG33" s="73"/>
      <c r="BH33" s="73"/>
    </row>
    <row r="34" spans="2:60" ht="15" customHeight="1">
      <c r="B34" s="72" t="s">
        <v>27</v>
      </c>
      <c r="C34" s="6"/>
      <c r="D34" s="6"/>
      <c r="F34" s="6"/>
      <c r="G34" s="6"/>
      <c r="H34" s="73"/>
      <c r="I34" s="73"/>
      <c r="J34" s="73"/>
      <c r="K34" s="73"/>
      <c r="L34" s="73"/>
      <c r="N34" s="3" t="s">
        <v>27</v>
      </c>
      <c r="O34" s="10"/>
      <c r="P34" s="10"/>
      <c r="Q34" s="10"/>
      <c r="R34" s="10"/>
      <c r="S34" s="10"/>
      <c r="AL34" s="72" t="s">
        <v>27</v>
      </c>
      <c r="AM34" s="7"/>
      <c r="AN34" s="7"/>
      <c r="AO34" s="7"/>
      <c r="AQ34" s="7"/>
      <c r="AR34" s="73"/>
      <c r="AS34" s="73"/>
      <c r="AT34" s="73"/>
      <c r="AU34" s="73"/>
      <c r="AV34" s="73"/>
    </row>
    <row r="35" spans="2:60" ht="15" customHeight="1">
      <c r="B35" s="72" t="s">
        <v>30</v>
      </c>
      <c r="C35" s="6"/>
      <c r="D35" s="6"/>
      <c r="F35" s="6"/>
      <c r="G35" s="6"/>
      <c r="H35" s="73"/>
      <c r="I35" s="73"/>
      <c r="J35" s="73"/>
      <c r="K35" s="73"/>
      <c r="L35" s="73"/>
      <c r="N35" s="3" t="s">
        <v>30</v>
      </c>
      <c r="O35" s="10"/>
      <c r="P35" s="10"/>
      <c r="Q35" s="10"/>
      <c r="R35" s="10"/>
      <c r="S35" s="10"/>
      <c r="AL35" s="72" t="s">
        <v>30</v>
      </c>
      <c r="AM35" s="7"/>
      <c r="AN35" s="7"/>
      <c r="AO35" s="7">
        <v>4.0199999999999996</v>
      </c>
      <c r="AP35" s="7">
        <v>3.9</v>
      </c>
      <c r="AQ35" s="7"/>
      <c r="AR35" s="73"/>
      <c r="AS35" s="73"/>
      <c r="AT35" s="73" t="s">
        <v>258</v>
      </c>
      <c r="AU35" s="73"/>
      <c r="AV35" s="73"/>
    </row>
    <row r="36" spans="2:60" ht="15" customHeight="1">
      <c r="B36" s="72" t="s">
        <v>32</v>
      </c>
      <c r="C36" s="6"/>
      <c r="D36" s="6"/>
      <c r="F36" s="6"/>
      <c r="G36" s="6"/>
      <c r="H36" s="73"/>
      <c r="I36" s="73"/>
      <c r="J36" s="73"/>
      <c r="K36" s="73"/>
      <c r="L36" s="73"/>
      <c r="N36" s="3" t="s">
        <v>32</v>
      </c>
      <c r="O36" s="10"/>
      <c r="P36" s="10"/>
      <c r="Q36" s="10"/>
      <c r="R36" s="10"/>
      <c r="S36" s="10"/>
      <c r="AL36" s="72" t="s">
        <v>32</v>
      </c>
      <c r="AM36" s="7"/>
      <c r="AN36" s="7"/>
      <c r="AO36" s="7"/>
      <c r="AQ36" s="7"/>
      <c r="AR36" s="73"/>
      <c r="AS36" s="73"/>
      <c r="AT36" s="73"/>
      <c r="AU36" s="73"/>
      <c r="AV36" s="73"/>
    </row>
    <row r="37" spans="2:60" ht="15" customHeight="1">
      <c r="B37" s="72" t="s">
        <v>33</v>
      </c>
      <c r="C37" s="6"/>
      <c r="D37" s="6"/>
      <c r="F37" s="6"/>
      <c r="G37" s="6"/>
      <c r="H37" s="73"/>
      <c r="I37" s="73"/>
      <c r="J37" s="73"/>
      <c r="K37" s="73"/>
      <c r="L37" s="73"/>
      <c r="N37" s="3" t="s">
        <v>33</v>
      </c>
      <c r="O37" s="10"/>
      <c r="P37" s="10"/>
      <c r="Q37" s="10"/>
      <c r="R37" s="77">
        <v>0.50939999999999996</v>
      </c>
      <c r="S37" s="10"/>
      <c r="W37" s="8" t="s">
        <v>244</v>
      </c>
      <c r="AL37" s="72" t="s">
        <v>33</v>
      </c>
      <c r="AM37" s="7"/>
      <c r="AN37" s="7"/>
      <c r="AO37" s="7"/>
      <c r="AQ37" s="7"/>
      <c r="AR37" s="73"/>
      <c r="AS37" s="73"/>
      <c r="AT37" s="73"/>
      <c r="AU37" s="73"/>
      <c r="AV37" s="73"/>
    </row>
    <row r="38" spans="2:60" ht="15" customHeight="1">
      <c r="B38" s="72" t="s">
        <v>35</v>
      </c>
      <c r="C38" s="6"/>
      <c r="D38" s="6"/>
      <c r="F38" s="6"/>
      <c r="G38" s="6"/>
      <c r="H38" s="73"/>
      <c r="I38" s="73"/>
      <c r="J38" s="73"/>
      <c r="K38" s="73"/>
      <c r="L38" s="73"/>
      <c r="N38" s="3" t="s">
        <v>35</v>
      </c>
      <c r="O38" s="10"/>
      <c r="P38" s="10"/>
      <c r="Q38" s="10"/>
      <c r="R38" s="77">
        <v>0.66</v>
      </c>
      <c r="S38" s="10"/>
      <c r="W38" s="8" t="s">
        <v>244</v>
      </c>
      <c r="AL38" s="72" t="s">
        <v>35</v>
      </c>
      <c r="AM38" s="7"/>
      <c r="AN38" s="7"/>
      <c r="AO38" s="7"/>
      <c r="AQ38" s="7"/>
      <c r="AR38" s="73"/>
      <c r="AS38" s="73"/>
      <c r="AT38" s="73"/>
      <c r="AU38" s="73"/>
      <c r="AV38" s="73"/>
    </row>
    <row r="39" spans="2:60" ht="15" customHeight="1">
      <c r="B39" s="72" t="s">
        <v>36</v>
      </c>
      <c r="C39" s="6"/>
      <c r="D39" s="6"/>
      <c r="F39" s="6"/>
      <c r="G39" s="6"/>
      <c r="H39" s="73"/>
      <c r="I39" s="73"/>
      <c r="J39" s="73"/>
      <c r="K39" s="73"/>
      <c r="L39" s="73"/>
      <c r="N39" s="3" t="s">
        <v>36</v>
      </c>
      <c r="O39" s="10"/>
      <c r="P39" s="10"/>
      <c r="Q39" s="10"/>
      <c r="R39" s="77">
        <v>0.84589999999999999</v>
      </c>
      <c r="S39" s="10"/>
      <c r="W39" s="8" t="s">
        <v>244</v>
      </c>
      <c r="AL39" s="72" t="s">
        <v>36</v>
      </c>
      <c r="AM39" s="7"/>
      <c r="AN39" s="7"/>
      <c r="AO39" s="7"/>
      <c r="AQ39" s="7"/>
      <c r="AR39" s="73"/>
      <c r="AS39" s="73"/>
      <c r="AT39" s="73"/>
      <c r="AU39" s="73"/>
      <c r="AV39" s="73"/>
    </row>
    <row r="40" spans="2:60" ht="15" customHeight="1">
      <c r="B40" s="72" t="s">
        <v>37</v>
      </c>
      <c r="C40" s="6"/>
      <c r="D40" s="6"/>
      <c r="F40" s="6"/>
      <c r="G40" s="6"/>
      <c r="H40" s="73"/>
      <c r="I40" s="73"/>
      <c r="J40" s="73"/>
      <c r="K40" s="73"/>
      <c r="L40" s="73"/>
      <c r="N40" s="3" t="s">
        <v>37</v>
      </c>
      <c r="O40" s="10"/>
      <c r="P40" s="10"/>
      <c r="Q40" s="10"/>
      <c r="R40" s="77">
        <v>1.0841000000000001</v>
      </c>
      <c r="S40" s="10"/>
      <c r="W40" s="8" t="s">
        <v>244</v>
      </c>
      <c r="AL40" s="72" t="s">
        <v>37</v>
      </c>
      <c r="AM40" s="7"/>
      <c r="AN40" s="7"/>
      <c r="AO40" s="7"/>
      <c r="AQ40" s="7"/>
      <c r="AR40" s="73"/>
      <c r="AS40" s="73"/>
      <c r="AT40" s="73"/>
      <c r="AU40" s="73"/>
      <c r="AV40" s="73"/>
    </row>
    <row r="41" spans="2:60" ht="15" customHeight="1">
      <c r="B41" s="72" t="s">
        <v>38</v>
      </c>
      <c r="C41" s="6"/>
      <c r="D41" s="6"/>
      <c r="F41" s="6"/>
      <c r="G41" s="6"/>
      <c r="H41" s="73"/>
      <c r="I41" s="73"/>
      <c r="J41" s="73"/>
      <c r="K41" s="73"/>
      <c r="L41" s="73"/>
      <c r="N41" s="3" t="s">
        <v>38</v>
      </c>
      <c r="O41" s="10"/>
      <c r="P41" s="10"/>
      <c r="Q41" s="10"/>
      <c r="R41" s="77">
        <v>1.3791</v>
      </c>
      <c r="S41" s="10"/>
      <c r="W41" s="8" t="s">
        <v>244</v>
      </c>
      <c r="AL41" s="72" t="s">
        <v>38</v>
      </c>
      <c r="AM41" s="7"/>
      <c r="AN41" s="7"/>
      <c r="AO41" s="7"/>
      <c r="AQ41" s="7"/>
      <c r="AR41" s="73"/>
      <c r="AS41" s="73"/>
      <c r="AT41" s="73"/>
      <c r="AU41" s="73"/>
      <c r="AV41" s="73"/>
    </row>
    <row r="42" spans="2:60" ht="15" customHeight="1">
      <c r="B42" s="72" t="s">
        <v>39</v>
      </c>
      <c r="C42" s="6"/>
      <c r="D42" s="6"/>
      <c r="F42" s="6"/>
      <c r="G42" s="6"/>
      <c r="H42" s="73"/>
      <c r="I42" s="73"/>
      <c r="J42" s="73"/>
      <c r="K42" s="73"/>
      <c r="L42" s="73"/>
      <c r="N42" s="3" t="s">
        <v>39</v>
      </c>
      <c r="O42" s="10"/>
      <c r="P42" s="10"/>
      <c r="Q42" s="10"/>
      <c r="R42" s="10"/>
      <c r="S42" s="10"/>
      <c r="AL42" s="72" t="s">
        <v>39</v>
      </c>
      <c r="AM42" s="7"/>
      <c r="AN42" s="7"/>
      <c r="AO42" s="88"/>
      <c r="AQ42" s="7"/>
      <c r="AR42" s="73"/>
      <c r="AS42" s="73"/>
      <c r="AT42" s="73"/>
      <c r="AU42" s="73"/>
      <c r="AV42" s="73"/>
    </row>
    <row r="43" spans="2:60" ht="15" customHeight="1">
      <c r="B43" s="72" t="s">
        <v>40</v>
      </c>
      <c r="C43" s="6"/>
      <c r="D43" s="6"/>
      <c r="F43" s="6"/>
      <c r="G43" s="6"/>
      <c r="H43" s="73"/>
      <c r="I43" s="73"/>
      <c r="J43" s="73"/>
      <c r="K43" s="73"/>
      <c r="L43" s="73"/>
      <c r="N43" s="3" t="s">
        <v>40</v>
      </c>
      <c r="O43" s="10"/>
      <c r="P43" s="10"/>
      <c r="Q43" s="10"/>
      <c r="R43" s="10"/>
      <c r="S43" s="10"/>
      <c r="AL43" s="72" t="s">
        <v>40</v>
      </c>
      <c r="AM43" s="7"/>
      <c r="AN43" s="7"/>
      <c r="AO43" s="7"/>
      <c r="AQ43" s="7"/>
      <c r="AR43" s="73"/>
      <c r="AS43" s="73"/>
      <c r="AT43" s="73"/>
      <c r="AU43" s="73"/>
      <c r="AV43" s="73"/>
    </row>
    <row r="44" spans="2:60" ht="15" customHeight="1">
      <c r="B44" s="72" t="s">
        <v>41</v>
      </c>
      <c r="C44" s="6"/>
      <c r="D44" s="6"/>
      <c r="F44" s="6"/>
      <c r="G44" s="6"/>
      <c r="H44" s="73"/>
      <c r="I44" s="73"/>
      <c r="J44" s="73"/>
      <c r="K44" s="73"/>
      <c r="L44" s="73"/>
      <c r="N44" s="3" t="s">
        <v>41</v>
      </c>
      <c r="O44" s="10"/>
      <c r="P44" s="10"/>
      <c r="Q44" s="10"/>
      <c r="R44" s="10"/>
      <c r="S44" s="10"/>
      <c r="AL44" s="72" t="s">
        <v>41</v>
      </c>
      <c r="AM44" s="7"/>
      <c r="AN44" s="7"/>
      <c r="AO44" s="7"/>
      <c r="AQ44" s="7"/>
      <c r="AR44" s="73"/>
      <c r="AS44" s="73"/>
      <c r="AT44" s="73"/>
      <c r="AU44" s="73"/>
      <c r="AV44" s="73"/>
    </row>
    <row r="45" spans="2:60" ht="15" customHeight="1">
      <c r="B45" s="72" t="s">
        <v>42</v>
      </c>
      <c r="C45" s="6"/>
      <c r="D45" s="6"/>
      <c r="F45" s="6"/>
      <c r="G45" s="6"/>
      <c r="H45" s="73"/>
      <c r="I45" s="73"/>
      <c r="J45" s="73"/>
      <c r="K45" s="73"/>
      <c r="L45" s="73"/>
      <c r="N45" s="3" t="s">
        <v>42</v>
      </c>
      <c r="O45" s="10"/>
      <c r="P45" s="10"/>
      <c r="Q45" s="10"/>
      <c r="R45" s="77">
        <v>3.093</v>
      </c>
      <c r="S45" s="10"/>
      <c r="W45" s="8" t="s">
        <v>244</v>
      </c>
      <c r="AL45" s="72" t="s">
        <v>42</v>
      </c>
      <c r="AM45" s="7"/>
      <c r="AN45" s="11"/>
      <c r="AO45" s="7">
        <v>0.35</v>
      </c>
      <c r="AP45" s="7">
        <v>0.35</v>
      </c>
      <c r="AQ45" s="7"/>
      <c r="AR45" s="73"/>
      <c r="AS45" s="73"/>
      <c r="AT45" s="73" t="s">
        <v>258</v>
      </c>
      <c r="AU45" s="73"/>
      <c r="AV45" s="73"/>
    </row>
  </sheetData>
  <mergeCells count="12">
    <mergeCell ref="C17:G17"/>
    <mergeCell ref="H2:L2"/>
    <mergeCell ref="C2:G2"/>
    <mergeCell ref="O2:S2"/>
    <mergeCell ref="C32:G32"/>
    <mergeCell ref="H32:L32"/>
    <mergeCell ref="AA2:AE2"/>
    <mergeCell ref="AM2:AQ2"/>
    <mergeCell ref="O17:S17"/>
    <mergeCell ref="AM17:AQ17"/>
    <mergeCell ref="AM32:AQ32"/>
    <mergeCell ref="O32:S3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D32"/>
  <sheetViews>
    <sheetView workbookViewId="0">
      <selection activeCell="C57" sqref="C57"/>
    </sheetView>
  </sheetViews>
  <sheetFormatPr defaultColWidth="8.875" defaultRowHeight="15"/>
  <cols>
    <col min="1" max="2" width="8.875" style="86"/>
    <col min="3" max="3" width="204.625" style="86" customWidth="1"/>
    <col min="4" max="4" width="28.125" style="86" customWidth="1"/>
    <col min="5" max="16384" width="8.875" style="86"/>
  </cols>
  <sheetData>
    <row r="2" spans="2:4" s="100" customFormat="1">
      <c r="B2" s="99"/>
      <c r="C2" s="98" t="s">
        <v>260</v>
      </c>
      <c r="D2" s="100" t="s">
        <v>5</v>
      </c>
    </row>
    <row r="3" spans="2:4">
      <c r="B3" s="101">
        <v>1</v>
      </c>
      <c r="C3" s="84" t="s">
        <v>56</v>
      </c>
    </row>
    <row r="4" spans="2:4">
      <c r="B4" s="101">
        <v>2</v>
      </c>
      <c r="C4" s="84" t="s">
        <v>57</v>
      </c>
    </row>
    <row r="5" spans="2:4">
      <c r="B5" s="101">
        <v>3</v>
      </c>
      <c r="C5" s="84" t="s">
        <v>58</v>
      </c>
    </row>
    <row r="6" spans="2:4">
      <c r="B6" s="101">
        <v>4</v>
      </c>
      <c r="C6" s="84" t="s">
        <v>59</v>
      </c>
    </row>
    <row r="7" spans="2:4">
      <c r="B7" s="101">
        <v>5</v>
      </c>
      <c r="C7" s="84" t="s">
        <v>60</v>
      </c>
    </row>
    <row r="8" spans="2:4">
      <c r="B8" s="101">
        <v>6</v>
      </c>
      <c r="C8" s="84" t="s">
        <v>241</v>
      </c>
    </row>
    <row r="9" spans="2:4">
      <c r="B9" s="101">
        <v>7</v>
      </c>
      <c r="C9" s="84" t="s">
        <v>243</v>
      </c>
    </row>
    <row r="10" spans="2:4">
      <c r="B10" s="101">
        <v>8</v>
      </c>
      <c r="C10" s="84" t="s">
        <v>251</v>
      </c>
    </row>
    <row r="11" spans="2:4">
      <c r="B11" s="101">
        <v>9</v>
      </c>
      <c r="C11" s="84" t="s">
        <v>253</v>
      </c>
    </row>
    <row r="12" spans="2:4">
      <c r="B12" s="101">
        <v>10</v>
      </c>
      <c r="C12" s="84" t="s">
        <v>257</v>
      </c>
    </row>
    <row r="13" spans="2:4">
      <c r="B13" s="101">
        <v>11</v>
      </c>
      <c r="C13" s="84" t="s">
        <v>259</v>
      </c>
      <c r="D13" s="86" t="s">
        <v>261</v>
      </c>
    </row>
    <row r="14" spans="2:4">
      <c r="B14" s="101">
        <v>12</v>
      </c>
      <c r="C14" s="84"/>
    </row>
    <row r="15" spans="2:4">
      <c r="B15" s="101">
        <v>13</v>
      </c>
      <c r="C15" s="84"/>
    </row>
    <row r="16" spans="2:4">
      <c r="B16" s="101">
        <v>14</v>
      </c>
      <c r="C16" s="84"/>
    </row>
    <row r="17" spans="2:3">
      <c r="B17" s="101">
        <v>15</v>
      </c>
      <c r="C17" s="84"/>
    </row>
    <row r="18" spans="2:3">
      <c r="B18" s="101">
        <v>16</v>
      </c>
      <c r="C18" s="84"/>
    </row>
    <row r="19" spans="2:3">
      <c r="B19" s="101">
        <v>17</v>
      </c>
      <c r="C19" s="84"/>
    </row>
    <row r="20" spans="2:3">
      <c r="B20" s="101">
        <v>18</v>
      </c>
      <c r="C20" s="84"/>
    </row>
    <row r="21" spans="2:3">
      <c r="B21" s="101">
        <v>19</v>
      </c>
      <c r="C21" s="84"/>
    </row>
    <row r="22" spans="2:3">
      <c r="B22" s="101">
        <v>20</v>
      </c>
      <c r="C22" s="84"/>
    </row>
    <row r="23" spans="2:3">
      <c r="B23" s="101">
        <v>21</v>
      </c>
      <c r="C23" s="84"/>
    </row>
    <row r="24" spans="2:3">
      <c r="B24" s="101">
        <v>22</v>
      </c>
      <c r="C24" s="84"/>
    </row>
    <row r="25" spans="2:3">
      <c r="B25" s="101">
        <v>23</v>
      </c>
      <c r="C25" s="84"/>
    </row>
    <row r="26" spans="2:3">
      <c r="B26" s="101">
        <v>24</v>
      </c>
      <c r="C26" s="84"/>
    </row>
    <row r="27" spans="2:3">
      <c r="B27" s="101">
        <v>25</v>
      </c>
      <c r="C27" s="84"/>
    </row>
    <row r="28" spans="2:3">
      <c r="B28" s="101">
        <v>26</v>
      </c>
      <c r="C28" s="84"/>
    </row>
    <row r="29" spans="2:3">
      <c r="B29" s="101">
        <v>27</v>
      </c>
      <c r="C29" s="84"/>
    </row>
    <row r="30" spans="2:3">
      <c r="B30" s="101">
        <v>28</v>
      </c>
      <c r="C30" s="84"/>
    </row>
    <row r="31" spans="2:3">
      <c r="B31" s="101">
        <v>29</v>
      </c>
      <c r="C31" s="84"/>
    </row>
    <row r="32" spans="2:3">
      <c r="B32" s="101">
        <v>30</v>
      </c>
      <c r="C32" s="8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10"/>
  <sheetViews>
    <sheetView workbookViewId="0">
      <selection activeCell="G4" sqref="G4"/>
    </sheetView>
  </sheetViews>
  <sheetFormatPr defaultColWidth="10.875" defaultRowHeight="15.75"/>
  <cols>
    <col min="1" max="7" width="10.875" style="14"/>
    <col min="8" max="8" width="10.875" style="16"/>
    <col min="9" max="10" width="10.875" style="18"/>
    <col min="11" max="11" width="10.875" style="22"/>
    <col min="12" max="16384" width="10.875" style="14"/>
  </cols>
  <sheetData>
    <row r="1" spans="2:11">
      <c r="D1" s="14" t="s">
        <v>66</v>
      </c>
      <c r="E1" s="14" t="s">
        <v>65</v>
      </c>
      <c r="G1" s="14" t="s">
        <v>71</v>
      </c>
      <c r="H1" s="16" t="s">
        <v>69</v>
      </c>
      <c r="J1" s="18" t="s">
        <v>71</v>
      </c>
      <c r="K1" s="22" t="s">
        <v>72</v>
      </c>
    </row>
    <row r="2" spans="2:11" s="15" customFormat="1">
      <c r="B2" s="15" t="s">
        <v>64</v>
      </c>
      <c r="C2" s="15" t="s">
        <v>61</v>
      </c>
      <c r="D2" s="15" t="s">
        <v>62</v>
      </c>
      <c r="E2" s="15" t="s">
        <v>21</v>
      </c>
      <c r="F2" s="15" t="s">
        <v>63</v>
      </c>
      <c r="G2" s="15" t="s">
        <v>70</v>
      </c>
      <c r="H2" s="17" t="s">
        <v>68</v>
      </c>
      <c r="I2" s="19" t="s">
        <v>67</v>
      </c>
      <c r="J2" s="19" t="s">
        <v>122</v>
      </c>
      <c r="K2" s="23" t="s">
        <v>122</v>
      </c>
    </row>
    <row r="3" spans="2:11">
      <c r="B3" s="14" t="s">
        <v>42</v>
      </c>
      <c r="C3" s="14">
        <v>512</v>
      </c>
      <c r="D3" s="14">
        <v>0.22639999999999999</v>
      </c>
      <c r="E3" s="6">
        <v>770.1</v>
      </c>
      <c r="F3" s="14">
        <v>0.8</v>
      </c>
      <c r="G3" s="14">
        <v>0.2</v>
      </c>
      <c r="H3" s="16">
        <f>C3*D3/(E3*F3*0.0006022)</f>
        <v>312.44136171957632</v>
      </c>
      <c r="I3" s="18">
        <f>H3^(1/3)</f>
        <v>6.7856195648525022</v>
      </c>
      <c r="J3" s="18">
        <f>H3^(1/3)-G3</f>
        <v>6.585619564852502</v>
      </c>
      <c r="K3" s="22">
        <f>J3*10</f>
        <v>65.856195648525016</v>
      </c>
    </row>
    <row r="4" spans="2:11">
      <c r="B4" s="14" t="s">
        <v>41</v>
      </c>
      <c r="C4" s="14">
        <v>512</v>
      </c>
      <c r="D4" s="14">
        <v>0.21240000000000001</v>
      </c>
      <c r="E4" s="6">
        <v>768.5</v>
      </c>
      <c r="F4" s="14">
        <v>0.8</v>
      </c>
      <c r="G4" s="14">
        <v>0.2</v>
      </c>
      <c r="H4" s="16">
        <f>C4*D4/(E4*F4*0.0006022)</f>
        <v>293.73105380034644</v>
      </c>
      <c r="I4" s="18">
        <f>H4^(1/3)</f>
        <v>6.6473715566333178</v>
      </c>
      <c r="J4" s="18">
        <f>H4^(1/3)-G4</f>
        <v>6.4473715566333176</v>
      </c>
      <c r="K4" s="22">
        <f>J4*10</f>
        <v>64.473715566333169</v>
      </c>
    </row>
    <row r="6" spans="2:11">
      <c r="B6" s="14" t="s">
        <v>33</v>
      </c>
      <c r="C6" s="14">
        <v>1024</v>
      </c>
      <c r="D6" s="14">
        <v>0.1142</v>
      </c>
      <c r="E6" s="6">
        <v>698.6</v>
      </c>
      <c r="F6" s="14">
        <v>1</v>
      </c>
      <c r="G6" s="14">
        <v>0.25</v>
      </c>
      <c r="H6" s="16">
        <f>C6*D6/(E6*F6*0.0006022)</f>
        <v>277.96923257721971</v>
      </c>
      <c r="I6" s="18">
        <f>H6^(1/3)</f>
        <v>6.5262780980799064</v>
      </c>
      <c r="J6" s="18">
        <f>H6^(1/3)-G6</f>
        <v>6.2762780980799064</v>
      </c>
      <c r="K6" s="22">
        <f>J6*10</f>
        <v>62.762780980799064</v>
      </c>
    </row>
    <row r="7" spans="2:11" s="127" customFormat="1">
      <c r="B7" s="127" t="s">
        <v>33</v>
      </c>
      <c r="C7" s="127">
        <v>1024</v>
      </c>
      <c r="D7" s="127">
        <v>0.1142</v>
      </c>
      <c r="E7" s="6">
        <v>698.6</v>
      </c>
      <c r="F7" s="127">
        <v>0.8</v>
      </c>
      <c r="G7" s="127">
        <v>0.2</v>
      </c>
      <c r="H7" s="16">
        <f>C7*D7/(E7*F7*0.0006022)</f>
        <v>347.46154072152467</v>
      </c>
      <c r="I7" s="18">
        <f>H7^(1/3)</f>
        <v>7.0302199656493274</v>
      </c>
      <c r="J7" s="18">
        <f>H7^(1/3)-G7</f>
        <v>6.8302199656493272</v>
      </c>
      <c r="K7" s="22">
        <f>J7*10</f>
        <v>68.302199656493272</v>
      </c>
    </row>
    <row r="8" spans="2:11">
      <c r="B8" s="14" t="s">
        <v>32</v>
      </c>
      <c r="C8" s="14">
        <v>2048</v>
      </c>
      <c r="D8" s="14">
        <v>0.1002</v>
      </c>
      <c r="E8" s="6">
        <v>679.5</v>
      </c>
      <c r="F8" s="14">
        <v>1</v>
      </c>
      <c r="G8" s="14">
        <v>0.25</v>
      </c>
      <c r="H8" s="16">
        <f>C8*D8/(E8*F8*0.0006022)</f>
        <v>501.49598638692709</v>
      </c>
      <c r="I8" s="18">
        <f>H8^(1/3)</f>
        <v>7.9449131462311176</v>
      </c>
      <c r="J8" s="18">
        <f>H8^(1/3)-G8</f>
        <v>7.6949131462311176</v>
      </c>
      <c r="K8" s="22">
        <f>J8*10</f>
        <v>76.949131462311172</v>
      </c>
    </row>
    <row r="10" spans="2:11">
      <c r="E10"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10" zoomScaleNormal="110" workbookViewId="0">
      <selection activeCell="F5" sqref="F5"/>
    </sheetView>
  </sheetViews>
  <sheetFormatPr defaultColWidth="10.875" defaultRowHeight="15.75"/>
  <cols>
    <col min="1" max="4" width="10.875" style="14"/>
    <col min="5" max="5" width="10.875" style="28"/>
    <col min="6" max="6" width="10.875" style="30"/>
    <col min="7" max="7" width="12.125" style="32" bestFit="1" customWidth="1"/>
    <col min="8" max="8" width="12.125" style="28" customWidth="1"/>
    <col min="9" max="9" width="15.625" style="37" customWidth="1"/>
    <col min="10" max="11" width="10.875" style="32"/>
    <col min="12" max="16384" width="10.875" style="14"/>
  </cols>
  <sheetData>
    <row r="1" spans="2:17">
      <c r="I1" s="204" t="s">
        <v>119</v>
      </c>
      <c r="J1" s="204"/>
      <c r="K1" s="204"/>
      <c r="L1" s="204"/>
      <c r="M1" s="204"/>
      <c r="N1" s="204"/>
      <c r="O1" s="204"/>
    </row>
    <row r="2" spans="2:17">
      <c r="C2" s="190" t="s">
        <v>111</v>
      </c>
      <c r="D2" s="190"/>
      <c r="F2" s="30" t="s">
        <v>115</v>
      </c>
      <c r="I2" s="204" t="s">
        <v>117</v>
      </c>
      <c r="J2" s="204"/>
      <c r="K2" s="204"/>
      <c r="L2" s="14" t="s">
        <v>118</v>
      </c>
      <c r="M2" s="14" t="s">
        <v>118</v>
      </c>
    </row>
    <row r="3" spans="2:17" s="15" customFormat="1">
      <c r="B3" s="15" t="s">
        <v>110</v>
      </c>
      <c r="C3" s="15" t="s">
        <v>112</v>
      </c>
      <c r="D3" s="15" t="s">
        <v>113</v>
      </c>
      <c r="E3" s="29" t="s">
        <v>116</v>
      </c>
      <c r="F3" s="31" t="s">
        <v>114</v>
      </c>
      <c r="G3" s="33" t="s">
        <v>87</v>
      </c>
      <c r="H3" s="15" t="s">
        <v>121</v>
      </c>
      <c r="I3" s="36"/>
      <c r="J3" s="34"/>
      <c r="K3" s="34"/>
      <c r="M3" s="15" t="s">
        <v>120</v>
      </c>
    </row>
    <row r="4" spans="2:17">
      <c r="B4" s="14" t="s">
        <v>42</v>
      </c>
      <c r="C4" s="14">
        <v>3.01</v>
      </c>
      <c r="D4" s="14">
        <v>770</v>
      </c>
      <c r="E4" s="28">
        <v>7.8543099999999999</v>
      </c>
      <c r="F4" s="30">
        <f>1/332</f>
        <v>3.0120481927710845E-3</v>
      </c>
      <c r="G4" s="38">
        <f>2*PI()*F4*C4*1000/(D4*E4)</f>
        <v>9.4191023645437116E-3</v>
      </c>
      <c r="H4" s="35">
        <f>D4*E4*E4*(0.000001)/(C4*0.001)</f>
        <v>15.78121026365349</v>
      </c>
    </row>
    <row r="5" spans="2:17">
      <c r="B5" s="14" t="s">
        <v>41</v>
      </c>
      <c r="F5" s="30">
        <f>1/300</f>
        <v>3.3333333333333335E-3</v>
      </c>
      <c r="G5" s="38"/>
      <c r="H5" s="35"/>
    </row>
    <row r="6" spans="2:17">
      <c r="B6" s="14" t="s">
        <v>33</v>
      </c>
      <c r="G6" s="38"/>
      <c r="H6" s="35"/>
    </row>
    <row r="7" spans="2:17">
      <c r="B7" s="14" t="s">
        <v>32</v>
      </c>
      <c r="G7" s="38"/>
      <c r="H7" s="35"/>
    </row>
    <row r="8" spans="2:17">
      <c r="G8" s="38"/>
      <c r="H8" s="35"/>
    </row>
    <row r="9" spans="2:17" s="15" customFormat="1">
      <c r="E9" s="29"/>
      <c r="F9" s="31"/>
      <c r="G9" s="39"/>
      <c r="H9" s="40"/>
      <c r="I9" s="41"/>
      <c r="J9" s="33"/>
      <c r="K9" s="33"/>
    </row>
    <row r="10" spans="2:17">
      <c r="B10" s="14" t="s">
        <v>42</v>
      </c>
      <c r="G10" s="32">
        <v>1E-3</v>
      </c>
      <c r="I10" s="37">
        <f>1000/587.575</f>
        <v>1.7019103944177338</v>
      </c>
      <c r="J10" s="32">
        <f>1000/393.087</f>
        <v>2.5439660940198991</v>
      </c>
      <c r="K10" s="32">
        <f>1000/524.365</f>
        <v>1.9070685495790145</v>
      </c>
      <c r="L10" s="14">
        <f>1000/429.592</f>
        <v>2.3277900892009162</v>
      </c>
      <c r="M10" s="14">
        <f>1000/471.267</f>
        <v>2.1219393677045071</v>
      </c>
      <c r="P10" s="30">
        <f>SUM(I10:O10)/5</f>
        <v>2.1205348989844142</v>
      </c>
    </row>
    <row r="11" spans="2:17">
      <c r="G11" s="32">
        <v>2E-3</v>
      </c>
      <c r="I11" s="37">
        <f>1000/ 539.436</f>
        <v>1.8537880304614447</v>
      </c>
      <c r="J11" s="32">
        <f>1000/427.898</f>
        <v>2.3370055480511711</v>
      </c>
      <c r="K11" s="32">
        <f>1000/482.665</f>
        <v>2.0718303585302436</v>
      </c>
      <c r="L11" s="14">
        <f>1000/425.574</f>
        <v>2.3497676079835705</v>
      </c>
      <c r="M11" s="14">
        <f>1000/450.603</f>
        <v>2.2192484293269241</v>
      </c>
      <c r="P11" s="30">
        <f>SUM(I11:O11)/5</f>
        <v>2.1663279948706711</v>
      </c>
    </row>
    <row r="12" spans="2:17">
      <c r="G12" s="32">
        <v>3.0000000000000001E-3</v>
      </c>
      <c r="I12" s="37">
        <f>1000/511.599</f>
        <v>1.9546558926033866</v>
      </c>
      <c r="J12" s="32">
        <f>1000/463.492</f>
        <v>2.1575345421280194</v>
      </c>
      <c r="K12" s="32">
        <f>1000/428.438</f>
        <v>2.3340600040145834</v>
      </c>
      <c r="L12" s="14">
        <f>1000/484.767</f>
        <v>2.0628466871713629</v>
      </c>
      <c r="M12" s="14">
        <f>1000/456.876</f>
        <v>2.1887776989817809</v>
      </c>
      <c r="P12" s="30">
        <f>SUM(I12:O12)/5</f>
        <v>2.1395749649798268</v>
      </c>
      <c r="Q12" s="30"/>
    </row>
    <row r="13" spans="2:17">
      <c r="G13" s="32">
        <v>6.0000000000000001E-3</v>
      </c>
      <c r="I13" s="37">
        <f>1000/468.013</f>
        <v>2.1366927841747985</v>
      </c>
      <c r="J13" s="32">
        <f>1000/484.467</f>
        <v>2.0641240786266146</v>
      </c>
      <c r="K13" s="32">
        <f>1000/495.902</f>
        <v>2.01652745905441</v>
      </c>
      <c r="L13" s="14">
        <f>1000/476.432</f>
        <v>2.0989354199549988</v>
      </c>
      <c r="M13" s="14">
        <f>1000/480.887</f>
        <v>2.0794906079806692</v>
      </c>
      <c r="P13" s="30">
        <f>SUM(I13:O13)/5</f>
        <v>2.0791540699582982</v>
      </c>
      <c r="Q13" s="30"/>
    </row>
    <row r="14" spans="2:17">
      <c r="G14" s="32">
        <v>1.2E-2</v>
      </c>
      <c r="I14" s="37">
        <f>1000/561.938</f>
        <v>1.7795557517021452</v>
      </c>
      <c r="J14" s="32">
        <f>1000/567.598</f>
        <v>1.7618102953146417</v>
      </c>
      <c r="K14" s="32">
        <f>1000/573.548</f>
        <v>1.7435332352305299</v>
      </c>
      <c r="L14" s="14">
        <f>1000/580.314</f>
        <v>1.7232050234872847</v>
      </c>
      <c r="M14" s="14">
        <f>1000/559.257</f>
        <v>1.7880866935952524</v>
      </c>
      <c r="P14" s="30">
        <f>SUM(I14:O14)/5</f>
        <v>1.7592381998659707</v>
      </c>
    </row>
    <row r="15" spans="2:17">
      <c r="I15" s="37" t="s">
        <v>124</v>
      </c>
    </row>
    <row r="16" spans="2:17">
      <c r="I16" s="37" t="s">
        <v>123</v>
      </c>
    </row>
    <row r="17" spans="2:9">
      <c r="B17" s="14" t="s">
        <v>42</v>
      </c>
      <c r="G17" s="32">
        <v>2.5000000000000001E-3</v>
      </c>
      <c r="I17" s="37">
        <f>1000/447.965</f>
        <v>2.232317256928555</v>
      </c>
    </row>
    <row r="18" spans="2:9">
      <c r="G18" s="32">
        <v>3.5000000000000001E-3</v>
      </c>
      <c r="I18" s="37">
        <f>1000/462.314</f>
        <v>2.1630320518089436</v>
      </c>
    </row>
    <row r="19" spans="2:9">
      <c r="G19" s="32">
        <v>5.0000000000000001E-3</v>
      </c>
      <c r="I19" s="37">
        <f>1000/473.077</f>
        <v>2.1138207945006839</v>
      </c>
    </row>
    <row r="20" spans="2:9">
      <c r="G20" s="32">
        <v>7.1000000000000004E-3</v>
      </c>
      <c r="I20" s="37">
        <f>1000/490.985</f>
        <v>2.0367220994531401</v>
      </c>
    </row>
    <row r="21" spans="2:9">
      <c r="G21" s="32">
        <v>0.01</v>
      </c>
      <c r="I21" s="37">
        <f>1000/537.393</f>
        <v>1.8608355523797295</v>
      </c>
    </row>
    <row r="22" spans="2:9">
      <c r="G22" s="32">
        <v>1.41E-2</v>
      </c>
      <c r="I22" s="37">
        <f>1000/618.682</f>
        <v>1.6163392502125487</v>
      </c>
    </row>
    <row r="23" spans="2:9">
      <c r="G23" s="32">
        <v>0.02</v>
      </c>
      <c r="I23" s="37">
        <f>1000/768.18</f>
        <v>1.3017782290608972</v>
      </c>
    </row>
    <row r="25" spans="2:9">
      <c r="I25" s="37" t="s">
        <v>125</v>
      </c>
    </row>
    <row r="26" spans="2:9">
      <c r="I26" s="37" t="s">
        <v>123</v>
      </c>
    </row>
    <row r="27" spans="2:9">
      <c r="G27" s="32">
        <v>2.5000000000000001E-3</v>
      </c>
      <c r="I27" s="37">
        <f>1000/450.232</f>
        <v>2.2210771335666943</v>
      </c>
    </row>
    <row r="28" spans="2:9">
      <c r="G28" s="32">
        <v>3.5000000000000001E-3</v>
      </c>
      <c r="I28" s="37">
        <f>1000/467.009</f>
        <v>2.1412863563657232</v>
      </c>
    </row>
    <row r="29" spans="2:9">
      <c r="G29" s="32">
        <v>5.0000000000000001E-3</v>
      </c>
      <c r="I29" s="37">
        <f>1000/468.867</f>
        <v>2.132800986207176</v>
      </c>
    </row>
    <row r="30" spans="2:9">
      <c r="G30" s="32">
        <v>7.1000000000000004E-3</v>
      </c>
      <c r="I30" s="37">
        <f>1000/490.496</f>
        <v>2.0387526096033404</v>
      </c>
    </row>
    <row r="31" spans="2:9">
      <c r="G31" s="32">
        <v>0.01</v>
      </c>
      <c r="I31" s="37">
        <f>1000/523.234</f>
        <v>1.9111907865314561</v>
      </c>
    </row>
    <row r="32" spans="2:9">
      <c r="G32" s="32">
        <v>1.41E-2</v>
      </c>
      <c r="I32" s="37">
        <f>1000/599.115</f>
        <v>1.6691286313979787</v>
      </c>
    </row>
    <row r="33" spans="7:9">
      <c r="G33" s="32">
        <v>0.02</v>
      </c>
      <c r="I33" s="37">
        <f>1000/741.736</f>
        <v>1.348188573832199</v>
      </c>
    </row>
  </sheetData>
  <mergeCells count="3">
    <mergeCell ref="C2:D2"/>
    <mergeCell ref="I2:K2"/>
    <mergeCell ref="I1:O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3" customFormat="1" ht="15" customHeight="1">
      <c r="B3" s="3" t="s">
        <v>44</v>
      </c>
      <c r="C3" s="5"/>
      <c r="D3" s="5"/>
      <c r="E3" s="5"/>
      <c r="F3" s="5"/>
      <c r="G3" s="5"/>
      <c r="H3" s="8"/>
      <c r="I3" s="8"/>
      <c r="J3" s="8"/>
      <c r="K3" s="8"/>
      <c r="L3" s="8"/>
      <c r="T3" s="8"/>
      <c r="U3" s="8"/>
      <c r="V3" s="8"/>
      <c r="W3" s="8"/>
      <c r="X3" s="8"/>
      <c r="AC3" s="6"/>
      <c r="AD3" s="7"/>
      <c r="AF3" s="8"/>
      <c r="AG3" s="8"/>
      <c r="AH3" s="8"/>
      <c r="AI3" s="8"/>
      <c r="AJ3" s="8"/>
      <c r="AN3" s="10"/>
      <c r="AP3" s="7"/>
      <c r="AR3" s="8"/>
      <c r="AS3" s="8"/>
      <c r="AT3" s="8"/>
      <c r="AU3" s="8"/>
      <c r="AV3" s="8"/>
      <c r="BB3" s="7"/>
      <c r="BD3" s="8"/>
      <c r="BE3" s="8"/>
      <c r="BF3" s="8"/>
      <c r="BG3" s="8"/>
      <c r="BH3" s="8"/>
    </row>
    <row r="4" spans="2:60" s="3" customFormat="1" ht="15" customHeight="1">
      <c r="D4" s="3" t="s">
        <v>45</v>
      </c>
      <c r="E4" s="6" t="s">
        <v>46</v>
      </c>
      <c r="F4" s="3" t="s">
        <v>47</v>
      </c>
      <c r="H4" s="203" t="s">
        <v>18</v>
      </c>
      <c r="I4" s="203"/>
      <c r="J4" s="203"/>
      <c r="K4" s="203"/>
      <c r="L4" s="203"/>
      <c r="O4" s="5"/>
      <c r="P4" s="5"/>
      <c r="Q4" s="5"/>
      <c r="R4" s="5"/>
      <c r="S4" s="5"/>
      <c r="T4" s="203" t="s">
        <v>18</v>
      </c>
      <c r="U4" s="203"/>
      <c r="V4" s="203"/>
      <c r="W4" s="203"/>
      <c r="X4" s="203"/>
      <c r="AC4" s="6"/>
      <c r="AD4" s="7"/>
      <c r="AF4" s="203" t="s">
        <v>18</v>
      </c>
      <c r="AG4" s="203"/>
      <c r="AH4" s="203"/>
      <c r="AI4" s="203"/>
      <c r="AJ4" s="203"/>
      <c r="AN4" s="10"/>
      <c r="AP4" s="7"/>
      <c r="AR4" s="203" t="s">
        <v>18</v>
      </c>
      <c r="AS4" s="203"/>
      <c r="AT4" s="203"/>
      <c r="AU4" s="203"/>
      <c r="AV4" s="203"/>
      <c r="BB4" s="7"/>
      <c r="BD4" s="203" t="s">
        <v>18</v>
      </c>
      <c r="BE4" s="203"/>
      <c r="BF4" s="203"/>
      <c r="BG4" s="203"/>
      <c r="BH4" s="203"/>
    </row>
    <row r="5" spans="2:60" s="3" customFormat="1" ht="15" customHeight="1">
      <c r="B5" s="12" t="s">
        <v>48</v>
      </c>
      <c r="C5" s="3" t="s">
        <v>21</v>
      </c>
      <c r="D5" s="3" t="s">
        <v>22</v>
      </c>
      <c r="E5" s="6" t="s">
        <v>23</v>
      </c>
      <c r="F5" s="3" t="s">
        <v>24</v>
      </c>
      <c r="G5" s="3" t="s">
        <v>49</v>
      </c>
      <c r="H5" s="8" t="s">
        <v>21</v>
      </c>
      <c r="I5" s="8" t="s">
        <v>22</v>
      </c>
      <c r="J5" s="9" t="s">
        <v>23</v>
      </c>
      <c r="K5" s="8" t="s">
        <v>24</v>
      </c>
      <c r="L5" s="8" t="s">
        <v>50</v>
      </c>
      <c r="N5" s="12" t="s">
        <v>51</v>
      </c>
      <c r="O5" s="3" t="s">
        <v>21</v>
      </c>
      <c r="P5" s="3" t="s">
        <v>22</v>
      </c>
      <c r="Q5" s="3" t="s">
        <v>23</v>
      </c>
      <c r="R5" s="3" t="s">
        <v>24</v>
      </c>
      <c r="S5" s="3" t="s">
        <v>49</v>
      </c>
      <c r="T5" s="8" t="s">
        <v>21</v>
      </c>
      <c r="U5" s="8" t="s">
        <v>22</v>
      </c>
      <c r="V5" s="9" t="s">
        <v>23</v>
      </c>
      <c r="W5" s="8" t="s">
        <v>24</v>
      </c>
      <c r="X5" s="8" t="s">
        <v>50</v>
      </c>
      <c r="Z5" s="12" t="s">
        <v>52</v>
      </c>
      <c r="AA5" s="3" t="s">
        <v>21</v>
      </c>
      <c r="AB5" s="3" t="s">
        <v>22</v>
      </c>
      <c r="AC5" s="6" t="s">
        <v>23</v>
      </c>
      <c r="AD5" s="7" t="s">
        <v>24</v>
      </c>
      <c r="AE5" s="3" t="s">
        <v>49</v>
      </c>
      <c r="AF5" s="8" t="s">
        <v>21</v>
      </c>
      <c r="AG5" s="8" t="s">
        <v>22</v>
      </c>
      <c r="AH5" s="9" t="s">
        <v>23</v>
      </c>
      <c r="AI5" s="8" t="s">
        <v>24</v>
      </c>
      <c r="AJ5" s="8" t="s">
        <v>50</v>
      </c>
      <c r="AL5" s="12" t="s">
        <v>53</v>
      </c>
      <c r="AM5" s="3" t="s">
        <v>21</v>
      </c>
      <c r="AN5" s="10" t="s">
        <v>22</v>
      </c>
      <c r="AO5" s="3" t="s">
        <v>23</v>
      </c>
      <c r="AP5" s="7" t="s">
        <v>24</v>
      </c>
      <c r="AQ5" s="3" t="s">
        <v>49</v>
      </c>
      <c r="AR5" s="8" t="s">
        <v>21</v>
      </c>
      <c r="AS5" s="8" t="s">
        <v>22</v>
      </c>
      <c r="AT5" s="9" t="s">
        <v>23</v>
      </c>
      <c r="AU5" s="8" t="s">
        <v>24</v>
      </c>
      <c r="AV5" s="8" t="s">
        <v>50</v>
      </c>
      <c r="AX5" s="12" t="s">
        <v>54</v>
      </c>
      <c r="AY5" s="3" t="s">
        <v>21</v>
      </c>
      <c r="AZ5" s="3" t="s">
        <v>22</v>
      </c>
      <c r="BA5" s="3" t="s">
        <v>23</v>
      </c>
      <c r="BB5" s="7" t="s">
        <v>24</v>
      </c>
      <c r="BC5" s="3" t="s">
        <v>49</v>
      </c>
      <c r="BD5" s="8" t="s">
        <v>21</v>
      </c>
      <c r="BE5" s="8" t="s">
        <v>22</v>
      </c>
      <c r="BF5" s="9" t="s">
        <v>23</v>
      </c>
      <c r="BG5" s="8" t="s">
        <v>24</v>
      </c>
      <c r="BH5" s="8" t="s">
        <v>50</v>
      </c>
    </row>
    <row r="6" spans="2:60" s="3" customFormat="1" ht="15" customHeight="1">
      <c r="B6" s="3" t="s">
        <v>27</v>
      </c>
      <c r="E6" s="6">
        <v>17.149999999999999</v>
      </c>
      <c r="H6" s="8"/>
      <c r="I6" s="8"/>
      <c r="J6" s="8" t="s">
        <v>29</v>
      </c>
      <c r="K6" s="8"/>
      <c r="L6" s="8"/>
      <c r="N6" s="3" t="s">
        <v>27</v>
      </c>
      <c r="T6" s="8"/>
      <c r="U6" s="8"/>
      <c r="V6" s="8"/>
      <c r="W6" s="8"/>
      <c r="X6" s="8"/>
      <c r="Z6" s="3" t="s">
        <v>27</v>
      </c>
      <c r="AC6" s="6">
        <v>16.05</v>
      </c>
      <c r="AD6" s="7"/>
      <c r="AF6" s="8"/>
      <c r="AG6" s="8"/>
      <c r="AH6" s="8" t="s">
        <v>29</v>
      </c>
      <c r="AI6" s="8"/>
      <c r="AJ6" s="8"/>
      <c r="AL6" s="3" t="s">
        <v>27</v>
      </c>
      <c r="AN6" s="10"/>
      <c r="AP6" s="7"/>
      <c r="AR6" s="8"/>
      <c r="AS6" s="8"/>
      <c r="AT6" s="8"/>
      <c r="AU6" s="8"/>
      <c r="AV6" s="8"/>
      <c r="AX6" s="3" t="s">
        <v>27</v>
      </c>
      <c r="BA6" s="3">
        <v>14.94</v>
      </c>
      <c r="BB6" s="7"/>
      <c r="BD6" s="8"/>
      <c r="BE6" s="8"/>
      <c r="BF6" s="8" t="s">
        <v>29</v>
      </c>
      <c r="BG6" s="8"/>
      <c r="BH6" s="8"/>
    </row>
    <row r="7" spans="2:60" s="3" customFormat="1" ht="15" customHeight="1">
      <c r="B7" s="3" t="s">
        <v>30</v>
      </c>
      <c r="E7" s="6">
        <v>19.420000000000002</v>
      </c>
      <c r="H7" s="8"/>
      <c r="I7" s="8"/>
      <c r="J7" s="8" t="s">
        <v>29</v>
      </c>
      <c r="K7" s="8"/>
      <c r="L7" s="8"/>
      <c r="N7" s="3" t="s">
        <v>30</v>
      </c>
      <c r="T7" s="8"/>
      <c r="U7" s="8"/>
      <c r="V7" s="8"/>
      <c r="W7" s="8"/>
      <c r="X7" s="8"/>
      <c r="Z7" s="3" t="s">
        <v>30</v>
      </c>
      <c r="AC7" s="6">
        <v>18.399999999999999</v>
      </c>
      <c r="AD7" s="7"/>
      <c r="AF7" s="8"/>
      <c r="AG7" s="8"/>
      <c r="AH7" s="8" t="s">
        <v>29</v>
      </c>
      <c r="AI7" s="8"/>
      <c r="AJ7" s="8"/>
      <c r="AL7" s="3" t="s">
        <v>30</v>
      </c>
      <c r="AN7" s="10">
        <v>0.2949</v>
      </c>
      <c r="AP7" s="7"/>
      <c r="AR7" s="8"/>
      <c r="AS7" s="8" t="s">
        <v>31</v>
      </c>
      <c r="AT7" s="8"/>
      <c r="AU7" s="8"/>
      <c r="AV7" s="8"/>
      <c r="AX7" s="3" t="s">
        <v>30</v>
      </c>
      <c r="BA7" s="3">
        <v>17.38</v>
      </c>
      <c r="BB7" s="7"/>
      <c r="BD7" s="8"/>
      <c r="BE7" s="8"/>
      <c r="BF7" s="8" t="s">
        <v>29</v>
      </c>
      <c r="BG7" s="8"/>
      <c r="BH7" s="8"/>
    </row>
    <row r="8" spans="2:60" s="3" customFormat="1" ht="15" customHeight="1">
      <c r="B8" s="3" t="s">
        <v>32</v>
      </c>
      <c r="E8" s="6">
        <v>21.12</v>
      </c>
      <c r="H8" s="8"/>
      <c r="I8" s="8"/>
      <c r="J8" s="8" t="s">
        <v>29</v>
      </c>
      <c r="K8" s="8"/>
      <c r="L8" s="8"/>
      <c r="N8" s="3" t="s">
        <v>32</v>
      </c>
      <c r="T8" s="8"/>
      <c r="U8" s="8"/>
      <c r="V8" s="8"/>
      <c r="W8" s="8"/>
      <c r="X8" s="8"/>
      <c r="Z8" s="3" t="s">
        <v>32</v>
      </c>
      <c r="AC8" s="6">
        <v>20.14</v>
      </c>
      <c r="AD8" s="7"/>
      <c r="AF8" s="8"/>
      <c r="AG8" s="8"/>
      <c r="AH8" s="8" t="s">
        <v>29</v>
      </c>
      <c r="AI8" s="8"/>
      <c r="AJ8" s="8"/>
      <c r="AL8" s="3" t="s">
        <v>32</v>
      </c>
      <c r="AN8" s="10">
        <v>0.38900000000000001</v>
      </c>
      <c r="AP8" s="7"/>
      <c r="AR8" s="8"/>
      <c r="AS8" s="8" t="s">
        <v>31</v>
      </c>
      <c r="AT8" s="8"/>
      <c r="AU8" s="8"/>
      <c r="AV8" s="8"/>
      <c r="AX8" s="3" t="s">
        <v>32</v>
      </c>
      <c r="BA8" s="3">
        <v>19.170000000000002</v>
      </c>
      <c r="BB8" s="7"/>
      <c r="BD8" s="8"/>
      <c r="BE8" s="8"/>
      <c r="BF8" s="8" t="s">
        <v>29</v>
      </c>
      <c r="BG8" s="8"/>
      <c r="BH8" s="8"/>
    </row>
    <row r="9" spans="2:60" s="3" customFormat="1" ht="15" customHeight="1">
      <c r="B9" s="3" t="s">
        <v>33</v>
      </c>
      <c r="E9" s="6">
        <v>22.57</v>
      </c>
      <c r="H9" s="8"/>
      <c r="I9" s="8"/>
      <c r="J9" s="8" t="s">
        <v>29</v>
      </c>
      <c r="K9" s="8"/>
      <c r="L9" s="8"/>
      <c r="N9" s="3" t="s">
        <v>33</v>
      </c>
      <c r="T9" s="8"/>
      <c r="U9" s="8"/>
      <c r="V9" s="8"/>
      <c r="W9" s="8"/>
      <c r="X9" s="8"/>
      <c r="Z9" s="3" t="s">
        <v>33</v>
      </c>
      <c r="AC9" s="6">
        <v>21.62</v>
      </c>
      <c r="AD9" s="7"/>
      <c r="AF9" s="8"/>
      <c r="AG9" s="8"/>
      <c r="AH9" s="8" t="s">
        <v>29</v>
      </c>
      <c r="AI9" s="8"/>
      <c r="AJ9" s="8"/>
      <c r="AL9" s="3" t="s">
        <v>33</v>
      </c>
      <c r="AN9" s="10">
        <v>0.50919999999999999</v>
      </c>
      <c r="AP9" s="7"/>
      <c r="AR9" s="8"/>
      <c r="AS9" s="8" t="s">
        <v>31</v>
      </c>
      <c r="AT9" s="8"/>
      <c r="AU9" s="8"/>
      <c r="AV9" s="8"/>
      <c r="AX9" s="3" t="s">
        <v>33</v>
      </c>
      <c r="BA9" s="3">
        <v>20.67</v>
      </c>
      <c r="BB9" s="7"/>
      <c r="BD9" s="8"/>
      <c r="BE9" s="8"/>
      <c r="BF9" s="8" t="s">
        <v>29</v>
      </c>
      <c r="BG9" s="8"/>
      <c r="BH9" s="8"/>
    </row>
    <row r="10" spans="2:60" s="3" customFormat="1" ht="15" customHeight="1">
      <c r="B10" s="3" t="s">
        <v>35</v>
      </c>
      <c r="E10" s="6">
        <v>23.79</v>
      </c>
      <c r="H10" s="8"/>
      <c r="I10" s="8"/>
      <c r="J10" s="8" t="s">
        <v>29</v>
      </c>
      <c r="K10" s="8"/>
      <c r="L10" s="8"/>
      <c r="N10" s="3" t="s">
        <v>35</v>
      </c>
      <c r="T10" s="8"/>
      <c r="U10" s="8"/>
      <c r="V10" s="8"/>
      <c r="W10" s="8"/>
      <c r="X10" s="8"/>
      <c r="Z10" s="3" t="s">
        <v>35</v>
      </c>
      <c r="AC10" s="6">
        <v>22.85</v>
      </c>
      <c r="AD10" s="7"/>
      <c r="AF10" s="8"/>
      <c r="AG10" s="8"/>
      <c r="AH10" s="8" t="s">
        <v>29</v>
      </c>
      <c r="AI10" s="8"/>
      <c r="AJ10" s="8"/>
      <c r="AL10" s="3" t="s">
        <v>35</v>
      </c>
      <c r="AN10" s="10"/>
      <c r="AP10" s="7"/>
      <c r="AR10" s="8"/>
      <c r="AS10" s="8"/>
      <c r="AT10" s="8"/>
      <c r="AU10" s="8"/>
      <c r="AV10" s="8"/>
      <c r="AX10" s="3" t="s">
        <v>35</v>
      </c>
      <c r="BA10" s="3">
        <v>21.92</v>
      </c>
      <c r="BB10" s="7"/>
      <c r="BD10" s="8"/>
      <c r="BE10" s="8"/>
      <c r="BF10" s="8" t="s">
        <v>29</v>
      </c>
      <c r="BG10" s="8"/>
      <c r="BH10" s="8"/>
    </row>
    <row r="11" spans="2:60" s="3" customFormat="1" ht="15" customHeight="1">
      <c r="B11" s="3" t="s">
        <v>36</v>
      </c>
      <c r="E11" s="6">
        <v>24.75</v>
      </c>
      <c r="H11" s="8"/>
      <c r="I11" s="8"/>
      <c r="J11" s="8" t="s">
        <v>29</v>
      </c>
      <c r="K11" s="8"/>
      <c r="L11" s="8"/>
      <c r="N11" s="3" t="s">
        <v>36</v>
      </c>
      <c r="R11" s="3">
        <v>1.165</v>
      </c>
      <c r="T11" s="8"/>
      <c r="U11" s="8"/>
      <c r="V11" s="8"/>
      <c r="W11" s="8" t="s">
        <v>34</v>
      </c>
      <c r="X11" s="8"/>
      <c r="Z11" s="3" t="s">
        <v>36</v>
      </c>
      <c r="AC11" s="6">
        <v>23.83</v>
      </c>
      <c r="AD11" s="7">
        <v>1.268</v>
      </c>
      <c r="AF11" s="8"/>
      <c r="AG11" s="8"/>
      <c r="AH11" s="8" t="s">
        <v>29</v>
      </c>
      <c r="AI11" s="8" t="s">
        <v>34</v>
      </c>
      <c r="AJ11" s="8"/>
      <c r="AL11" s="3" t="s">
        <v>36</v>
      </c>
      <c r="AN11" s="10">
        <v>0.8498</v>
      </c>
      <c r="AP11" s="7">
        <v>1.3859999999999999</v>
      </c>
      <c r="AR11" s="8"/>
      <c r="AS11" s="8" t="s">
        <v>31</v>
      </c>
      <c r="AT11" s="8"/>
      <c r="AU11" s="8" t="s">
        <v>34</v>
      </c>
      <c r="AV11" s="8"/>
      <c r="AX11" s="3" t="s">
        <v>36</v>
      </c>
      <c r="BA11" s="3">
        <v>22.91</v>
      </c>
      <c r="BB11" s="7">
        <v>1.5589999999999999</v>
      </c>
      <c r="BD11" s="8"/>
      <c r="BE11" s="8"/>
      <c r="BF11" s="8" t="s">
        <v>29</v>
      </c>
      <c r="BG11" s="8" t="s">
        <v>34</v>
      </c>
      <c r="BH11" s="8"/>
    </row>
    <row r="12" spans="2:60" s="3" customFormat="1" ht="15" customHeight="1">
      <c r="B12" s="3" t="s">
        <v>37</v>
      </c>
      <c r="E12" s="6">
        <v>25.56</v>
      </c>
      <c r="H12" s="8"/>
      <c r="I12" s="8"/>
      <c r="J12" s="8" t="s">
        <v>29</v>
      </c>
      <c r="K12" s="8"/>
      <c r="L12" s="8"/>
      <c r="N12" s="3" t="s">
        <v>37</v>
      </c>
      <c r="R12" s="3">
        <v>0.93100000000000005</v>
      </c>
      <c r="T12" s="8"/>
      <c r="U12" s="8"/>
      <c r="V12" s="8"/>
      <c r="W12" s="8" t="s">
        <v>34</v>
      </c>
      <c r="X12" s="8"/>
      <c r="Z12" s="3" t="s">
        <v>37</v>
      </c>
      <c r="AC12" s="6">
        <v>24.66</v>
      </c>
      <c r="AD12" s="7">
        <v>1.0089999999999999</v>
      </c>
      <c r="AF12" s="8"/>
      <c r="AG12" s="8"/>
      <c r="AH12" s="8" t="s">
        <v>29</v>
      </c>
      <c r="AI12" s="8" t="s">
        <v>34</v>
      </c>
      <c r="AJ12" s="8"/>
      <c r="AL12" s="3" t="s">
        <v>37</v>
      </c>
      <c r="AN12" s="10"/>
      <c r="AP12" s="7">
        <v>1.1120000000000001</v>
      </c>
      <c r="AR12" s="8"/>
      <c r="AS12" s="8"/>
      <c r="AT12" s="8"/>
      <c r="AU12" s="8" t="s">
        <v>34</v>
      </c>
      <c r="AV12" s="8"/>
      <c r="AX12" s="3" t="s">
        <v>37</v>
      </c>
      <c r="BA12" s="3">
        <v>23.76</v>
      </c>
      <c r="BB12" s="7">
        <v>1.248</v>
      </c>
      <c r="BD12" s="8"/>
      <c r="BE12" s="8"/>
      <c r="BF12" s="8" t="s">
        <v>29</v>
      </c>
      <c r="BG12" s="8" t="s">
        <v>34</v>
      </c>
      <c r="BH12" s="8"/>
    </row>
    <row r="13" spans="2:60" s="3" customFormat="1" ht="15" customHeight="1">
      <c r="B13" s="3" t="s">
        <v>38</v>
      </c>
      <c r="E13" s="6">
        <v>26.24</v>
      </c>
      <c r="H13" s="8"/>
      <c r="I13" s="8"/>
      <c r="J13" s="8" t="s">
        <v>29</v>
      </c>
      <c r="K13" s="8"/>
      <c r="L13" s="8"/>
      <c r="N13" s="3" t="s">
        <v>38</v>
      </c>
      <c r="R13" s="3">
        <v>0.70799999999999996</v>
      </c>
      <c r="T13" s="8"/>
      <c r="U13" s="8"/>
      <c r="V13" s="8"/>
      <c r="W13" s="8" t="s">
        <v>34</v>
      </c>
      <c r="X13" s="8"/>
      <c r="Z13" s="3" t="s">
        <v>38</v>
      </c>
      <c r="AC13" s="6">
        <v>25.35</v>
      </c>
      <c r="AD13" s="7">
        <v>0.78800000000000003</v>
      </c>
      <c r="AF13" s="8"/>
      <c r="AG13" s="8"/>
      <c r="AH13" s="8" t="s">
        <v>29</v>
      </c>
      <c r="AI13" s="8" t="s">
        <v>34</v>
      </c>
      <c r="AJ13" s="8"/>
      <c r="AL13" s="3" t="s">
        <v>38</v>
      </c>
      <c r="AN13" s="10">
        <v>1.3585</v>
      </c>
      <c r="AP13" s="7">
        <v>0.871</v>
      </c>
      <c r="AR13" s="8"/>
      <c r="AS13" s="8" t="s">
        <v>31</v>
      </c>
      <c r="AT13" s="8"/>
      <c r="AU13" s="8" t="s">
        <v>34</v>
      </c>
      <c r="AV13" s="8"/>
      <c r="AX13" s="3" t="s">
        <v>38</v>
      </c>
      <c r="BA13" s="3">
        <v>24.47</v>
      </c>
      <c r="BB13" s="7">
        <v>0.996</v>
      </c>
      <c r="BD13" s="8"/>
      <c r="BE13" s="8"/>
      <c r="BF13" s="8" t="s">
        <v>29</v>
      </c>
      <c r="BG13" s="8" t="s">
        <v>34</v>
      </c>
      <c r="BH13" s="8"/>
    </row>
    <row r="14" spans="2:60" s="3" customFormat="1" ht="15" customHeight="1">
      <c r="B14" s="3" t="s">
        <v>39</v>
      </c>
      <c r="E14" s="6">
        <v>26.86</v>
      </c>
      <c r="H14" s="8"/>
      <c r="I14" s="8"/>
      <c r="J14" s="8" t="s">
        <v>29</v>
      </c>
      <c r="K14" s="8"/>
      <c r="L14" s="8"/>
      <c r="N14" s="3" t="s">
        <v>39</v>
      </c>
      <c r="R14" s="3">
        <v>0.56499999999999995</v>
      </c>
      <c r="T14" s="8"/>
      <c r="U14" s="8"/>
      <c r="V14" s="8"/>
      <c r="W14" s="8" t="s">
        <v>34</v>
      </c>
      <c r="X14" s="8"/>
      <c r="Z14" s="3" t="s">
        <v>39</v>
      </c>
      <c r="AC14" s="6">
        <v>25.99</v>
      </c>
      <c r="AD14" s="7">
        <v>0.64</v>
      </c>
      <c r="AF14" s="8"/>
      <c r="AG14" s="8"/>
      <c r="AH14" s="8" t="s">
        <v>29</v>
      </c>
      <c r="AI14" s="8" t="s">
        <v>34</v>
      </c>
      <c r="AJ14" s="8"/>
      <c r="AL14" s="3" t="s">
        <v>39</v>
      </c>
      <c r="AN14" s="10"/>
      <c r="AP14" s="7">
        <v>0.70699999999999996</v>
      </c>
      <c r="AR14" s="8"/>
      <c r="AS14" s="8"/>
      <c r="AT14" s="8"/>
      <c r="AU14" s="8" t="s">
        <v>34</v>
      </c>
      <c r="AV14" s="8"/>
      <c r="AX14" s="3" t="s">
        <v>39</v>
      </c>
      <c r="BA14" s="3">
        <v>25.11</v>
      </c>
      <c r="BB14" s="7">
        <v>0.80500000000000005</v>
      </c>
      <c r="BD14" s="8"/>
      <c r="BE14" s="8"/>
      <c r="BF14" s="8" t="s">
        <v>29</v>
      </c>
      <c r="BG14" s="8" t="s">
        <v>34</v>
      </c>
      <c r="BH14" s="8"/>
    </row>
    <row r="15" spans="2:60" s="3" customFormat="1" ht="15" customHeight="1">
      <c r="B15" s="3" t="s">
        <v>40</v>
      </c>
      <c r="E15" s="6">
        <v>27.43</v>
      </c>
      <c r="H15" s="8"/>
      <c r="I15" s="8"/>
      <c r="J15" s="8" t="s">
        <v>29</v>
      </c>
      <c r="K15" s="8"/>
      <c r="L15" s="8"/>
      <c r="N15" s="3" t="s">
        <v>40</v>
      </c>
      <c r="R15" s="3">
        <v>0.443</v>
      </c>
      <c r="T15" s="8"/>
      <c r="U15" s="8"/>
      <c r="V15" s="8"/>
      <c r="W15" s="8" t="s">
        <v>34</v>
      </c>
      <c r="X15" s="8"/>
      <c r="Z15" s="3" t="s">
        <v>40</v>
      </c>
      <c r="AC15" s="6">
        <v>26.56</v>
      </c>
      <c r="AD15" s="7">
        <v>0.495</v>
      </c>
      <c r="AF15" s="8"/>
      <c r="AG15" s="8"/>
      <c r="AH15" s="8" t="s">
        <v>29</v>
      </c>
      <c r="AI15" s="8" t="s">
        <v>34</v>
      </c>
      <c r="AJ15" s="8"/>
      <c r="AL15" s="3" t="s">
        <v>40</v>
      </c>
      <c r="AN15" s="10">
        <v>2.0779999999999998</v>
      </c>
      <c r="AP15" s="7">
        <v>0.55000000000000004</v>
      </c>
      <c r="AR15" s="8"/>
      <c r="AS15" s="8" t="s">
        <v>31</v>
      </c>
      <c r="AT15" s="8"/>
      <c r="AU15" s="8" t="s">
        <v>34</v>
      </c>
      <c r="AV15" s="8"/>
      <c r="AX15" s="3" t="s">
        <v>40</v>
      </c>
      <c r="BA15" s="3">
        <v>25.69</v>
      </c>
      <c r="BB15" s="7">
        <v>0.63700000000000001</v>
      </c>
      <c r="BD15" s="8"/>
      <c r="BE15" s="8"/>
      <c r="BF15" s="8" t="s">
        <v>29</v>
      </c>
      <c r="BG15" s="8" t="s">
        <v>34</v>
      </c>
      <c r="BH15" s="8"/>
    </row>
    <row r="16" spans="2:60" s="3" customFormat="1" ht="15" customHeight="1">
      <c r="B16" s="3" t="s">
        <v>41</v>
      </c>
      <c r="E16" s="6"/>
      <c r="H16" s="8"/>
      <c r="I16" s="8"/>
      <c r="J16" s="8"/>
      <c r="K16" s="8"/>
      <c r="L16" s="8"/>
      <c r="N16" s="3" t="s">
        <v>41</v>
      </c>
      <c r="R16" s="3">
        <v>0.35699999999999998</v>
      </c>
      <c r="T16" s="8"/>
      <c r="U16" s="8"/>
      <c r="V16" s="8"/>
      <c r="W16" s="8" t="s">
        <v>34</v>
      </c>
      <c r="X16" s="8"/>
      <c r="Z16" s="3" t="s">
        <v>41</v>
      </c>
      <c r="AC16" s="6">
        <v>27.07</v>
      </c>
      <c r="AD16" s="7">
        <v>0.40400000000000003</v>
      </c>
      <c r="AF16" s="8"/>
      <c r="AG16" s="8"/>
      <c r="AH16" s="8" t="s">
        <v>29</v>
      </c>
      <c r="AI16" s="8" t="s">
        <v>34</v>
      </c>
      <c r="AJ16" s="8"/>
      <c r="AL16" s="3" t="s">
        <v>41</v>
      </c>
      <c r="AN16" s="10"/>
      <c r="AP16" s="7">
        <v>0.46100000000000002</v>
      </c>
      <c r="AR16" s="8"/>
      <c r="AS16" s="8"/>
      <c r="AT16" s="8"/>
      <c r="AU16" s="8" t="s">
        <v>34</v>
      </c>
      <c r="AV16" s="8"/>
      <c r="AX16" s="3" t="s">
        <v>41</v>
      </c>
      <c r="BA16" s="3">
        <v>26.21</v>
      </c>
      <c r="BB16" s="7">
        <v>0.53500000000000003</v>
      </c>
      <c r="BD16" s="8"/>
      <c r="BE16" s="8"/>
      <c r="BF16" s="8" t="s">
        <v>29</v>
      </c>
      <c r="BG16" s="8" t="s">
        <v>34</v>
      </c>
      <c r="BH16" s="8"/>
    </row>
    <row r="17" spans="2:60" s="3" customFormat="1" ht="15" customHeight="1">
      <c r="B17" s="3" t="s">
        <v>42</v>
      </c>
      <c r="E17" s="6"/>
      <c r="F17" s="4"/>
      <c r="H17" s="8"/>
      <c r="I17" s="8"/>
      <c r="J17" s="8"/>
      <c r="K17" s="8"/>
      <c r="L17" s="8"/>
      <c r="N17" s="3" t="s">
        <v>42</v>
      </c>
      <c r="R17" s="4" t="s">
        <v>55</v>
      </c>
      <c r="T17" s="8"/>
      <c r="U17" s="8"/>
      <c r="V17" s="8"/>
      <c r="W17" s="8"/>
      <c r="X17" s="8"/>
      <c r="Z17" s="3" t="s">
        <v>42</v>
      </c>
      <c r="AC17" s="6">
        <v>27.47</v>
      </c>
      <c r="AD17" s="7">
        <v>0.34100000000000003</v>
      </c>
      <c r="AF17" s="8"/>
      <c r="AG17" s="8"/>
      <c r="AH17" s="8" t="s">
        <v>29</v>
      </c>
      <c r="AI17" s="8" t="s">
        <v>34</v>
      </c>
      <c r="AJ17" s="8"/>
      <c r="AL17" s="3" t="s">
        <v>42</v>
      </c>
      <c r="AN17" s="10"/>
      <c r="AP17" s="7">
        <v>0.38700000000000001</v>
      </c>
      <c r="AR17" s="8"/>
      <c r="AS17" s="8"/>
      <c r="AT17" s="8"/>
      <c r="AU17" s="8" t="s">
        <v>34</v>
      </c>
      <c r="AV17" s="8"/>
      <c r="AX17" s="3" t="s">
        <v>42</v>
      </c>
      <c r="BA17" s="3">
        <v>26.62</v>
      </c>
      <c r="BB17" s="7">
        <v>0.44600000000000001</v>
      </c>
      <c r="BD17" s="8"/>
      <c r="BE17" s="8"/>
      <c r="BF17" s="8" t="s">
        <v>29</v>
      </c>
      <c r="BG17" s="8" t="s">
        <v>34</v>
      </c>
      <c r="BH17" s="8"/>
    </row>
  </sheetData>
  <mergeCells count="5">
    <mergeCell ref="BD4:BH4"/>
    <mergeCell ref="H4:L4"/>
    <mergeCell ref="T4:X4"/>
    <mergeCell ref="AF4:AJ4"/>
    <mergeCell ref="AR4:AV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22"/>
  <sheetViews>
    <sheetView workbookViewId="0">
      <selection activeCell="F37" sqref="F37"/>
    </sheetView>
  </sheetViews>
  <sheetFormatPr defaultColWidth="10.875" defaultRowHeight="15.75"/>
  <cols>
    <col min="1" max="1" width="10.875" style="1"/>
    <col min="2" max="2" width="45" style="1" customWidth="1"/>
    <col min="3" max="3" width="13" style="1" customWidth="1"/>
    <col min="4" max="5" width="10.875" style="1"/>
    <col min="6" max="6" width="35.62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4</v>
      </c>
      <c r="F3" s="1" t="s">
        <v>8</v>
      </c>
      <c r="G3" s="1" t="s">
        <v>9</v>
      </c>
    </row>
    <row r="4" spans="2:9">
      <c r="E4" s="1" t="s">
        <v>326</v>
      </c>
      <c r="F4" s="1" t="s">
        <v>10</v>
      </c>
      <c r="G4" s="1" t="s">
        <v>11</v>
      </c>
    </row>
    <row r="5" spans="2:9">
      <c r="F5" s="133" t="s">
        <v>15</v>
      </c>
      <c r="G5" s="133" t="s">
        <v>9</v>
      </c>
      <c r="H5" s="133"/>
      <c r="I5" s="133" t="s">
        <v>76</v>
      </c>
    </row>
    <row r="7" spans="2:9">
      <c r="C7" s="1" t="s">
        <v>12</v>
      </c>
      <c r="E7" s="1">
        <v>10</v>
      </c>
      <c r="F7" s="1" t="s">
        <v>13</v>
      </c>
      <c r="G7" s="1" t="s">
        <v>9</v>
      </c>
      <c r="I7" s="1" t="s">
        <v>74</v>
      </c>
    </row>
    <row r="8" spans="2:9">
      <c r="E8" s="1">
        <v>10</v>
      </c>
      <c r="F8" s="1" t="s">
        <v>14</v>
      </c>
      <c r="G8" s="1" t="s">
        <v>9</v>
      </c>
    </row>
    <row r="10" spans="2:9">
      <c r="B10" s="133" t="s">
        <v>73</v>
      </c>
      <c r="C10" s="133" t="s">
        <v>7</v>
      </c>
      <c r="D10" s="133"/>
      <c r="E10" s="133">
        <v>10</v>
      </c>
      <c r="F10" s="133" t="s">
        <v>15</v>
      </c>
      <c r="G10" s="133" t="s">
        <v>9</v>
      </c>
      <c r="H10" s="133"/>
      <c r="I10" s="133" t="s">
        <v>75</v>
      </c>
    </row>
    <row r="13" spans="2:9">
      <c r="B13" s="1" t="s">
        <v>16</v>
      </c>
      <c r="E13" s="1">
        <v>100</v>
      </c>
      <c r="F13" s="1" t="s">
        <v>331</v>
      </c>
    </row>
    <row r="16" spans="2:9">
      <c r="B16" s="1" t="s">
        <v>327</v>
      </c>
      <c r="E16" s="1" t="s">
        <v>330</v>
      </c>
      <c r="F16" s="1" t="s">
        <v>331</v>
      </c>
    </row>
    <row r="19" spans="2:6">
      <c r="B19" s="1" t="s">
        <v>329</v>
      </c>
      <c r="E19" s="1">
        <v>100</v>
      </c>
      <c r="F19" s="1" t="s">
        <v>332</v>
      </c>
    </row>
    <row r="22" spans="2:6">
      <c r="B22" s="1" t="s">
        <v>328</v>
      </c>
      <c r="E22" s="1">
        <v>100</v>
      </c>
      <c r="F22" s="1" t="s">
        <v>333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A190-501B-4C49-B409-EF6D4B9C2D6D}">
  <dimension ref="B2:X68"/>
  <sheetViews>
    <sheetView workbookViewId="0">
      <selection activeCell="G72" sqref="G72"/>
    </sheetView>
  </sheetViews>
  <sheetFormatPr defaultColWidth="10.875" defaultRowHeight="15.75"/>
  <cols>
    <col min="1" max="1" width="3.875" style="123" customWidth="1"/>
    <col min="2" max="2" width="42.125" style="124" customWidth="1"/>
    <col min="3" max="3" width="11.125" style="123" customWidth="1"/>
    <col min="4" max="4" width="8.375" style="123" customWidth="1"/>
    <col min="5" max="5" width="25.625" style="123" customWidth="1"/>
    <col min="6" max="6" width="10.875" style="123"/>
    <col min="7" max="11" width="9" style="123" customWidth="1"/>
    <col min="12" max="12" width="10.875" style="123"/>
    <col min="13" max="13" width="11.125" style="123" bestFit="1" customWidth="1"/>
    <col min="14" max="14" width="12.875" style="123" customWidth="1"/>
    <col min="15" max="15" width="10.5" style="123" customWidth="1"/>
    <col min="16" max="16" width="27.5" style="42" customWidth="1"/>
    <col min="17" max="17" width="9" style="123" customWidth="1"/>
    <col min="18" max="18" width="9" style="26" customWidth="1"/>
    <col min="19" max="20" width="9" style="123" customWidth="1"/>
    <col min="21" max="21" width="9" style="26" customWidth="1"/>
    <col min="22" max="22" width="9" style="129" customWidth="1"/>
    <col min="23" max="23" width="29.5" style="123" customWidth="1"/>
    <col min="24" max="24" width="63.125" style="123" customWidth="1"/>
    <col min="25" max="16384" width="10.875" style="123"/>
  </cols>
  <sheetData>
    <row r="2" spans="2:24">
      <c r="Q2"/>
      <c r="R2" s="24"/>
      <c r="S2"/>
      <c r="T2"/>
    </row>
    <row r="3" spans="2:24">
      <c r="J3" s="190" t="s">
        <v>293</v>
      </c>
      <c r="K3" s="190"/>
      <c r="N3" s="190" t="s">
        <v>78</v>
      </c>
      <c r="O3" s="190"/>
      <c r="Q3" s="190" t="s">
        <v>99</v>
      </c>
      <c r="R3" s="190"/>
      <c r="S3" s="190"/>
      <c r="T3" s="190"/>
      <c r="U3" s="190"/>
      <c r="V3" s="190"/>
      <c r="W3" s="190"/>
    </row>
    <row r="4" spans="2:24" s="15" customFormat="1">
      <c r="B4" s="21" t="s">
        <v>77</v>
      </c>
      <c r="C4" s="15" t="s">
        <v>89</v>
      </c>
      <c r="D4" s="15" t="s">
        <v>61</v>
      </c>
      <c r="E4" s="15" t="s">
        <v>0</v>
      </c>
      <c r="F4" s="15" t="s">
        <v>1</v>
      </c>
      <c r="G4" s="15" t="s">
        <v>80</v>
      </c>
      <c r="H4" s="15" t="s">
        <v>81</v>
      </c>
      <c r="I4" s="15" t="s">
        <v>85</v>
      </c>
      <c r="J4" s="15" t="s">
        <v>292</v>
      </c>
      <c r="K4" s="15" t="s">
        <v>291</v>
      </c>
      <c r="L4" s="15" t="s">
        <v>290</v>
      </c>
      <c r="M4" s="15" t="s">
        <v>294</v>
      </c>
      <c r="N4" s="15" t="s">
        <v>93</v>
      </c>
      <c r="O4" s="15" t="s">
        <v>94</v>
      </c>
      <c r="P4" s="43" t="s">
        <v>299</v>
      </c>
      <c r="Q4" s="15" t="s">
        <v>100</v>
      </c>
      <c r="R4" s="25" t="s">
        <v>102</v>
      </c>
      <c r="S4" s="15" t="s">
        <v>101</v>
      </c>
      <c r="T4" s="15" t="s">
        <v>100</v>
      </c>
      <c r="U4" s="25" t="s">
        <v>102</v>
      </c>
      <c r="V4" s="33" t="s">
        <v>336</v>
      </c>
      <c r="W4" s="15" t="s">
        <v>334</v>
      </c>
      <c r="X4" s="15" t="s">
        <v>5</v>
      </c>
    </row>
    <row r="5" spans="2:24" s="45" customFormat="1" hidden="1">
      <c r="B5" s="47" t="s">
        <v>79</v>
      </c>
      <c r="C5" s="45" t="s">
        <v>42</v>
      </c>
      <c r="D5" s="45">
        <v>1024</v>
      </c>
      <c r="E5" s="45" t="s">
        <v>97</v>
      </c>
      <c r="F5" s="45" t="s">
        <v>7</v>
      </c>
      <c r="G5" s="45">
        <v>298</v>
      </c>
      <c r="H5" s="45">
        <v>1</v>
      </c>
      <c r="I5" s="45">
        <v>2</v>
      </c>
      <c r="K5" s="45">
        <v>10</v>
      </c>
      <c r="M5" s="45">
        <f t="shared" ref="M5:M10" si="0">1000000*K5/I5</f>
        <v>5000000</v>
      </c>
      <c r="P5" s="48"/>
      <c r="Q5" s="45" t="s">
        <v>21</v>
      </c>
      <c r="R5" s="45" t="s">
        <v>103</v>
      </c>
      <c r="S5" s="45">
        <v>794.41200000000003</v>
      </c>
      <c r="T5" s="45" t="s">
        <v>24</v>
      </c>
      <c r="U5" s="49" t="s">
        <v>104</v>
      </c>
      <c r="V5" s="52"/>
      <c r="W5" s="46" t="s">
        <v>108</v>
      </c>
    </row>
    <row r="6" spans="2:24" s="45" customFormat="1" hidden="1">
      <c r="B6" s="47"/>
      <c r="D6" s="46"/>
      <c r="E6" s="45" t="s">
        <v>15</v>
      </c>
      <c r="F6" s="45" t="s">
        <v>7</v>
      </c>
      <c r="G6" s="45">
        <v>298</v>
      </c>
      <c r="H6" s="45">
        <v>1</v>
      </c>
      <c r="I6" s="45">
        <v>2</v>
      </c>
      <c r="K6" s="45">
        <v>10</v>
      </c>
      <c r="M6" s="45">
        <f t="shared" si="0"/>
        <v>5000000</v>
      </c>
      <c r="P6" s="48"/>
      <c r="Q6" s="45" t="s">
        <v>22</v>
      </c>
      <c r="R6" s="45" t="s">
        <v>105</v>
      </c>
      <c r="V6" s="52"/>
    </row>
    <row r="7" spans="2:24" s="45" customFormat="1" hidden="1">
      <c r="B7" s="47"/>
      <c r="E7" s="45" t="s">
        <v>15</v>
      </c>
      <c r="F7" s="45" t="s">
        <v>7</v>
      </c>
      <c r="G7" s="45">
        <v>298</v>
      </c>
      <c r="H7" s="45">
        <v>1</v>
      </c>
      <c r="I7" s="45">
        <v>2</v>
      </c>
      <c r="K7" s="45">
        <v>10</v>
      </c>
      <c r="M7" s="45">
        <f t="shared" si="0"/>
        <v>5000000</v>
      </c>
      <c r="P7" s="48"/>
      <c r="Q7" s="45" t="s">
        <v>22</v>
      </c>
      <c r="R7" s="45" t="s">
        <v>105</v>
      </c>
      <c r="V7" s="52"/>
    </row>
    <row r="8" spans="2:24" s="45" customFormat="1" hidden="1">
      <c r="B8" s="47"/>
      <c r="E8" s="45" t="s">
        <v>15</v>
      </c>
      <c r="F8" s="45" t="s">
        <v>7</v>
      </c>
      <c r="G8" s="45">
        <v>298</v>
      </c>
      <c r="H8" s="45">
        <v>1</v>
      </c>
      <c r="I8" s="45">
        <v>2</v>
      </c>
      <c r="K8" s="45">
        <v>10</v>
      </c>
      <c r="M8" s="45">
        <f t="shared" si="0"/>
        <v>5000000</v>
      </c>
      <c r="P8" s="48"/>
      <c r="Q8" s="45" t="s">
        <v>22</v>
      </c>
      <c r="R8" s="45" t="s">
        <v>105</v>
      </c>
      <c r="V8" s="52"/>
    </row>
    <row r="9" spans="2:24" s="45" customFormat="1" hidden="1">
      <c r="B9" s="47"/>
      <c r="E9" s="45" t="s">
        <v>15</v>
      </c>
      <c r="F9" s="45" t="s">
        <v>7</v>
      </c>
      <c r="G9" s="45">
        <v>298</v>
      </c>
      <c r="H9" s="45">
        <v>1</v>
      </c>
      <c r="I9" s="45">
        <v>2</v>
      </c>
      <c r="K9" s="45">
        <v>10</v>
      </c>
      <c r="M9" s="45">
        <f t="shared" si="0"/>
        <v>5000000</v>
      </c>
      <c r="P9" s="48"/>
      <c r="Q9" s="45" t="s">
        <v>22</v>
      </c>
      <c r="R9" s="45" t="s">
        <v>105</v>
      </c>
      <c r="V9" s="52"/>
    </row>
    <row r="10" spans="2:24" s="45" customFormat="1" hidden="1">
      <c r="B10" s="47"/>
      <c r="E10" s="45" t="s">
        <v>15</v>
      </c>
      <c r="F10" s="45" t="s">
        <v>7</v>
      </c>
      <c r="G10" s="45">
        <v>298</v>
      </c>
      <c r="H10" s="45">
        <v>1</v>
      </c>
      <c r="I10" s="45">
        <v>2</v>
      </c>
      <c r="K10" s="45">
        <v>10</v>
      </c>
      <c r="M10" s="45">
        <f t="shared" si="0"/>
        <v>5000000</v>
      </c>
      <c r="P10" s="48"/>
      <c r="Q10" s="45" t="s">
        <v>22</v>
      </c>
      <c r="R10" s="45" t="s">
        <v>105</v>
      </c>
      <c r="V10" s="52"/>
    </row>
    <row r="11" spans="2:24" s="45" customFormat="1" hidden="1">
      <c r="B11" s="47"/>
      <c r="E11" s="45" t="s">
        <v>13</v>
      </c>
      <c r="F11" s="45" t="s">
        <v>98</v>
      </c>
      <c r="P11" s="48"/>
      <c r="V11" s="52"/>
    </row>
    <row r="12" spans="2:24" s="45" customFormat="1" hidden="1">
      <c r="B12" s="47"/>
      <c r="P12" s="48"/>
      <c r="V12" s="52"/>
    </row>
    <row r="13" spans="2:24" s="45" customFormat="1" hidden="1">
      <c r="B13" s="47" t="s">
        <v>88</v>
      </c>
      <c r="C13" s="45" t="s">
        <v>42</v>
      </c>
      <c r="D13" s="45">
        <v>1024</v>
      </c>
      <c r="E13" s="45" t="s">
        <v>106</v>
      </c>
      <c r="F13" s="45" t="s">
        <v>7</v>
      </c>
      <c r="G13" s="45" t="s">
        <v>86</v>
      </c>
      <c r="H13" s="45">
        <v>1</v>
      </c>
      <c r="I13" s="45">
        <v>2</v>
      </c>
      <c r="K13" s="45">
        <v>200</v>
      </c>
      <c r="M13" s="45">
        <f>1000000*K13/I13</f>
        <v>100000000</v>
      </c>
      <c r="N13" s="45" t="s">
        <v>91</v>
      </c>
      <c r="O13" s="45" t="s">
        <v>92</v>
      </c>
      <c r="P13" s="48"/>
      <c r="V13" s="52"/>
    </row>
    <row r="14" spans="2:24" s="45" customFormat="1" hidden="1">
      <c r="B14" s="47"/>
      <c r="P14" s="48"/>
      <c r="V14" s="52"/>
    </row>
    <row r="15" spans="2:24" s="45" customFormat="1" hidden="1">
      <c r="B15" s="47"/>
      <c r="P15" s="48"/>
      <c r="V15" s="52"/>
    </row>
    <row r="16" spans="2:24" s="45" customFormat="1" hidden="1">
      <c r="B16" s="47"/>
      <c r="P16" s="48"/>
      <c r="V16" s="52"/>
    </row>
    <row r="17" spans="2:22" s="45" customFormat="1" hidden="1">
      <c r="B17" s="47"/>
      <c r="P17" s="48"/>
      <c r="V17" s="52"/>
    </row>
    <row r="18" spans="2:22" s="53" customFormat="1" hidden="1">
      <c r="B18" s="54"/>
      <c r="P18" s="125"/>
      <c r="V18" s="134"/>
    </row>
    <row r="19" spans="2:22" s="45" customFormat="1" hidden="1">
      <c r="B19" s="47" t="s">
        <v>96</v>
      </c>
      <c r="C19" s="45" t="s">
        <v>41</v>
      </c>
      <c r="D19" s="45">
        <v>1024</v>
      </c>
      <c r="E19" s="45" t="s">
        <v>95</v>
      </c>
      <c r="F19" s="45" t="s">
        <v>7</v>
      </c>
      <c r="G19" s="45">
        <v>298</v>
      </c>
      <c r="H19" s="45">
        <v>1</v>
      </c>
      <c r="I19" s="45">
        <v>2</v>
      </c>
      <c r="K19" s="45">
        <v>10</v>
      </c>
      <c r="M19" s="45">
        <f t="shared" ref="M19:M24" si="1">1000000*K19/I19</f>
        <v>5000000</v>
      </c>
      <c r="P19" s="48"/>
      <c r="Q19" s="45" t="s">
        <v>21</v>
      </c>
      <c r="R19" s="45" t="s">
        <v>103</v>
      </c>
      <c r="S19" s="45">
        <v>786.97</v>
      </c>
      <c r="T19" s="45" t="s">
        <v>24</v>
      </c>
      <c r="U19" s="49" t="s">
        <v>104</v>
      </c>
      <c r="V19" s="52"/>
    </row>
    <row r="20" spans="2:22" s="45" customFormat="1" hidden="1">
      <c r="B20" s="47"/>
      <c r="D20" s="46"/>
      <c r="E20" s="45" t="s">
        <v>15</v>
      </c>
      <c r="F20" s="45" t="s">
        <v>7</v>
      </c>
      <c r="G20" s="45">
        <v>298</v>
      </c>
      <c r="H20" s="45">
        <v>1</v>
      </c>
      <c r="I20" s="45">
        <v>2</v>
      </c>
      <c r="K20" s="45">
        <v>10</v>
      </c>
      <c r="M20" s="45">
        <f t="shared" si="1"/>
        <v>5000000</v>
      </c>
      <c r="P20" s="48"/>
      <c r="Q20" s="45" t="s">
        <v>22</v>
      </c>
      <c r="R20" s="45" t="s">
        <v>105</v>
      </c>
      <c r="V20" s="52"/>
    </row>
    <row r="21" spans="2:22" s="45" customFormat="1" hidden="1">
      <c r="B21" s="47"/>
      <c r="E21" s="45" t="s">
        <v>15</v>
      </c>
      <c r="F21" s="45" t="s">
        <v>7</v>
      </c>
      <c r="G21" s="45">
        <v>298</v>
      </c>
      <c r="H21" s="45">
        <v>1</v>
      </c>
      <c r="I21" s="45">
        <v>2</v>
      </c>
      <c r="K21" s="45">
        <v>10</v>
      </c>
      <c r="M21" s="45">
        <f t="shared" si="1"/>
        <v>5000000</v>
      </c>
      <c r="P21" s="48"/>
      <c r="Q21" s="45" t="s">
        <v>22</v>
      </c>
      <c r="R21" s="45" t="s">
        <v>105</v>
      </c>
      <c r="V21" s="52"/>
    </row>
    <row r="22" spans="2:22" s="45" customFormat="1" hidden="1">
      <c r="B22" s="47"/>
      <c r="E22" s="45" t="s">
        <v>15</v>
      </c>
      <c r="F22" s="45" t="s">
        <v>7</v>
      </c>
      <c r="G22" s="45">
        <v>298</v>
      </c>
      <c r="H22" s="45">
        <v>1</v>
      </c>
      <c r="I22" s="45">
        <v>2</v>
      </c>
      <c r="K22" s="45">
        <v>10</v>
      </c>
      <c r="M22" s="45">
        <f t="shared" si="1"/>
        <v>5000000</v>
      </c>
      <c r="P22" s="48"/>
      <c r="Q22" s="45" t="s">
        <v>22</v>
      </c>
      <c r="R22" s="45" t="s">
        <v>105</v>
      </c>
      <c r="V22" s="52"/>
    </row>
    <row r="23" spans="2:22" s="45" customFormat="1" hidden="1">
      <c r="B23" s="47"/>
      <c r="E23" s="45" t="s">
        <v>15</v>
      </c>
      <c r="F23" s="45" t="s">
        <v>7</v>
      </c>
      <c r="G23" s="45">
        <v>298</v>
      </c>
      <c r="H23" s="45">
        <v>1</v>
      </c>
      <c r="I23" s="45">
        <v>2</v>
      </c>
      <c r="K23" s="45">
        <v>10</v>
      </c>
      <c r="M23" s="45">
        <f t="shared" si="1"/>
        <v>5000000</v>
      </c>
      <c r="P23" s="48"/>
      <c r="Q23" s="45" t="s">
        <v>22</v>
      </c>
      <c r="R23" s="45" t="s">
        <v>105</v>
      </c>
      <c r="V23" s="52"/>
    </row>
    <row r="24" spans="2:22" s="45" customFormat="1" hidden="1">
      <c r="B24" s="47"/>
      <c r="E24" s="45" t="s">
        <v>15</v>
      </c>
      <c r="F24" s="45" t="s">
        <v>7</v>
      </c>
      <c r="G24" s="45">
        <v>298</v>
      </c>
      <c r="H24" s="45">
        <v>1</v>
      </c>
      <c r="I24" s="45">
        <v>2</v>
      </c>
      <c r="K24" s="45">
        <v>10</v>
      </c>
      <c r="M24" s="45">
        <f t="shared" si="1"/>
        <v>5000000</v>
      </c>
      <c r="P24" s="48"/>
      <c r="Q24" s="45" t="s">
        <v>22</v>
      </c>
      <c r="R24" s="45" t="s">
        <v>105</v>
      </c>
      <c r="V24" s="52"/>
    </row>
    <row r="25" spans="2:22" s="45" customFormat="1" hidden="1">
      <c r="B25" s="47"/>
      <c r="E25" s="45" t="s">
        <v>13</v>
      </c>
      <c r="F25" s="45" t="s">
        <v>98</v>
      </c>
      <c r="P25" s="48"/>
      <c r="V25" s="52"/>
    </row>
    <row r="26" spans="2:22" s="45" customFormat="1" hidden="1">
      <c r="B26" s="47"/>
      <c r="P26" s="48"/>
      <c r="V26" s="52"/>
    </row>
    <row r="27" spans="2:22" s="45" customFormat="1" hidden="1">
      <c r="B27" s="47" t="s">
        <v>107</v>
      </c>
      <c r="C27" s="45" t="s">
        <v>41</v>
      </c>
      <c r="D27" s="45">
        <v>1024</v>
      </c>
      <c r="E27" s="45" t="s">
        <v>106</v>
      </c>
      <c r="F27" s="45" t="s">
        <v>7</v>
      </c>
      <c r="G27" s="45" t="s">
        <v>86</v>
      </c>
      <c r="H27" s="45">
        <v>1</v>
      </c>
      <c r="I27" s="45">
        <v>2</v>
      </c>
      <c r="K27" s="45">
        <v>200</v>
      </c>
      <c r="M27" s="45">
        <f>1000000*K27/I27</f>
        <v>100000000</v>
      </c>
      <c r="N27" s="45" t="s">
        <v>91</v>
      </c>
      <c r="O27" s="45" t="s">
        <v>92</v>
      </c>
      <c r="P27" s="48"/>
      <c r="V27" s="52"/>
    </row>
    <row r="28" spans="2:22" s="45" customFormat="1" hidden="1">
      <c r="B28" s="47"/>
      <c r="P28" s="48"/>
      <c r="V28" s="52"/>
    </row>
    <row r="29" spans="2:22" s="45" customFormat="1" hidden="1">
      <c r="B29" s="47"/>
      <c r="P29" s="48"/>
      <c r="V29" s="52"/>
    </row>
    <row r="30" spans="2:22" s="45" customFormat="1" hidden="1">
      <c r="B30" s="47"/>
      <c r="P30" s="48"/>
      <c r="V30" s="52"/>
    </row>
    <row r="31" spans="2:22" s="53" customFormat="1" hidden="1">
      <c r="B31" s="54"/>
      <c r="P31" s="125"/>
      <c r="V31" s="134"/>
    </row>
    <row r="32" spans="2:22" s="45" customFormat="1" hidden="1">
      <c r="B32" s="47" t="s">
        <v>109</v>
      </c>
      <c r="C32" s="45" t="s">
        <v>33</v>
      </c>
      <c r="D32" s="45">
        <v>2048</v>
      </c>
      <c r="E32" s="45" t="s">
        <v>95</v>
      </c>
      <c r="F32" s="45" t="s">
        <v>7</v>
      </c>
      <c r="G32" s="45">
        <v>298</v>
      </c>
      <c r="H32" s="45">
        <v>1</v>
      </c>
      <c r="I32" s="45">
        <v>2</v>
      </c>
      <c r="K32" s="45">
        <v>10</v>
      </c>
      <c r="M32" s="45">
        <f t="shared" ref="M32:M37" si="2">1000000*K32/I32</f>
        <v>5000000</v>
      </c>
      <c r="P32" s="48"/>
      <c r="Q32" s="45" t="s">
        <v>21</v>
      </c>
      <c r="R32" s="45" t="s">
        <v>103</v>
      </c>
      <c r="T32" s="45" t="s">
        <v>24</v>
      </c>
      <c r="U32" s="49" t="s">
        <v>104</v>
      </c>
      <c r="V32" s="52"/>
    </row>
    <row r="33" spans="2:24" s="45" customFormat="1" hidden="1">
      <c r="B33" s="47"/>
      <c r="E33" s="45" t="s">
        <v>15</v>
      </c>
      <c r="F33" s="45" t="s">
        <v>7</v>
      </c>
      <c r="G33" s="45">
        <v>298</v>
      </c>
      <c r="H33" s="45">
        <v>1</v>
      </c>
      <c r="I33" s="45">
        <v>2</v>
      </c>
      <c r="K33" s="45">
        <v>10</v>
      </c>
      <c r="M33" s="45">
        <f t="shared" si="2"/>
        <v>5000000</v>
      </c>
      <c r="P33" s="48"/>
      <c r="Q33" s="45" t="s">
        <v>22</v>
      </c>
      <c r="R33" s="45" t="s">
        <v>105</v>
      </c>
      <c r="V33" s="52"/>
    </row>
    <row r="34" spans="2:24" s="45" customFormat="1" hidden="1">
      <c r="B34" s="47"/>
      <c r="E34" s="45" t="s">
        <v>15</v>
      </c>
      <c r="F34" s="45" t="s">
        <v>7</v>
      </c>
      <c r="G34" s="45">
        <v>298</v>
      </c>
      <c r="H34" s="45">
        <v>1</v>
      </c>
      <c r="I34" s="45">
        <v>2</v>
      </c>
      <c r="K34" s="45">
        <v>10</v>
      </c>
      <c r="M34" s="45">
        <f t="shared" si="2"/>
        <v>5000000</v>
      </c>
      <c r="P34" s="48"/>
      <c r="Q34" s="45" t="s">
        <v>22</v>
      </c>
      <c r="R34" s="45" t="s">
        <v>105</v>
      </c>
      <c r="V34" s="52"/>
    </row>
    <row r="35" spans="2:24" s="45" customFormat="1" hidden="1">
      <c r="B35" s="47"/>
      <c r="E35" s="45" t="s">
        <v>15</v>
      </c>
      <c r="F35" s="45" t="s">
        <v>7</v>
      </c>
      <c r="G35" s="45">
        <v>298</v>
      </c>
      <c r="H35" s="45">
        <v>1</v>
      </c>
      <c r="I35" s="45">
        <v>2</v>
      </c>
      <c r="K35" s="45">
        <v>10</v>
      </c>
      <c r="M35" s="45">
        <f t="shared" si="2"/>
        <v>5000000</v>
      </c>
      <c r="P35" s="48"/>
      <c r="Q35" s="45" t="s">
        <v>22</v>
      </c>
      <c r="R35" s="45" t="s">
        <v>105</v>
      </c>
      <c r="V35" s="52"/>
    </row>
    <row r="36" spans="2:24" s="45" customFormat="1" hidden="1">
      <c r="B36" s="47"/>
      <c r="E36" s="45" t="s">
        <v>15</v>
      </c>
      <c r="F36" s="45" t="s">
        <v>7</v>
      </c>
      <c r="G36" s="45">
        <v>298</v>
      </c>
      <c r="H36" s="45">
        <v>1</v>
      </c>
      <c r="I36" s="45">
        <v>2</v>
      </c>
      <c r="K36" s="45">
        <v>10</v>
      </c>
      <c r="M36" s="45">
        <f t="shared" si="2"/>
        <v>5000000</v>
      </c>
      <c r="P36" s="48"/>
      <c r="Q36" s="45" t="s">
        <v>22</v>
      </c>
      <c r="R36" s="45" t="s">
        <v>105</v>
      </c>
      <c r="V36" s="52"/>
    </row>
    <row r="37" spans="2:24" s="45" customFormat="1" hidden="1">
      <c r="B37" s="47"/>
      <c r="E37" s="45" t="s">
        <v>15</v>
      </c>
      <c r="F37" s="45" t="s">
        <v>7</v>
      </c>
      <c r="G37" s="45">
        <v>298</v>
      </c>
      <c r="H37" s="45">
        <v>1</v>
      </c>
      <c r="I37" s="45">
        <v>2</v>
      </c>
      <c r="K37" s="45">
        <v>10</v>
      </c>
      <c r="M37" s="45">
        <f t="shared" si="2"/>
        <v>5000000</v>
      </c>
      <c r="P37" s="48"/>
      <c r="Q37" s="45" t="s">
        <v>22</v>
      </c>
      <c r="R37" s="45" t="s">
        <v>105</v>
      </c>
      <c r="V37" s="52"/>
    </row>
    <row r="38" spans="2:24" s="45" customFormat="1">
      <c r="B38" s="47"/>
      <c r="P38" s="48"/>
      <c r="V38" s="52"/>
    </row>
    <row r="39" spans="2:24">
      <c r="B39" s="124" t="s">
        <v>319</v>
      </c>
      <c r="C39" s="123" t="s">
        <v>42</v>
      </c>
      <c r="D39" s="123">
        <v>1024</v>
      </c>
      <c r="E39" s="123" t="s">
        <v>289</v>
      </c>
      <c r="F39" s="123" t="s">
        <v>7</v>
      </c>
      <c r="G39" s="123">
        <v>298</v>
      </c>
      <c r="H39" s="123">
        <v>1</v>
      </c>
      <c r="I39" s="123">
        <v>2</v>
      </c>
      <c r="J39" s="123">
        <v>2</v>
      </c>
      <c r="K39" s="123">
        <v>4</v>
      </c>
      <c r="L39" s="123">
        <v>3</v>
      </c>
      <c r="M39" s="123">
        <f>1000000*K39/I39</f>
        <v>2000000</v>
      </c>
      <c r="P39" s="42" t="s">
        <v>306</v>
      </c>
      <c r="Q39" s="126" t="s">
        <v>21</v>
      </c>
      <c r="R39" s="26" t="s">
        <v>301</v>
      </c>
      <c r="S39" s="123">
        <v>781.238333333333</v>
      </c>
      <c r="T39" s="123" t="s">
        <v>24</v>
      </c>
      <c r="U39" s="26" t="s">
        <v>325</v>
      </c>
      <c r="V39" s="129">
        <v>0.69079999999999997</v>
      </c>
      <c r="X39" s="123" t="s">
        <v>337</v>
      </c>
    </row>
    <row r="40" spans="2:24">
      <c r="E40" s="123" t="s">
        <v>13</v>
      </c>
      <c r="F40" s="123" t="s">
        <v>98</v>
      </c>
      <c r="I40" s="123">
        <v>2</v>
      </c>
      <c r="K40" s="123">
        <v>10</v>
      </c>
      <c r="M40" s="123">
        <f>1000000*K40/I40</f>
        <v>5000000</v>
      </c>
      <c r="Q40" s="126" t="s">
        <v>23</v>
      </c>
    </row>
    <row r="42" spans="2:24">
      <c r="B42" s="124" t="s">
        <v>342</v>
      </c>
      <c r="C42" s="123" t="s">
        <v>42</v>
      </c>
      <c r="D42" s="123">
        <v>1024</v>
      </c>
      <c r="E42" s="123" t="s">
        <v>297</v>
      </c>
      <c r="F42" s="123" t="s">
        <v>7</v>
      </c>
      <c r="H42" s="123">
        <v>1</v>
      </c>
      <c r="I42" s="123">
        <v>2</v>
      </c>
      <c r="K42" s="123">
        <v>100</v>
      </c>
      <c r="M42" s="123">
        <f>1000000*K42/I42</f>
        <v>50000000</v>
      </c>
      <c r="N42" s="123" t="s">
        <v>91</v>
      </c>
      <c r="O42" s="123" t="s">
        <v>92</v>
      </c>
      <c r="P42" s="42" t="s">
        <v>302</v>
      </c>
      <c r="Q42" s="123" t="s">
        <v>303</v>
      </c>
      <c r="T42" s="123" t="s">
        <v>304</v>
      </c>
    </row>
    <row r="44" spans="2:24">
      <c r="C44" s="123" t="s">
        <v>42</v>
      </c>
      <c r="D44" s="123">
        <v>512</v>
      </c>
      <c r="E44" s="123" t="s">
        <v>296</v>
      </c>
      <c r="F44" s="123" t="s">
        <v>7</v>
      </c>
      <c r="H44" s="123">
        <v>1</v>
      </c>
      <c r="I44" s="123">
        <v>2</v>
      </c>
      <c r="K44" s="123">
        <v>100</v>
      </c>
      <c r="M44" s="123">
        <f>1000000*K44/I44</f>
        <v>50000000</v>
      </c>
      <c r="N44" s="123" t="s">
        <v>91</v>
      </c>
      <c r="O44" s="123" t="s">
        <v>92</v>
      </c>
      <c r="P44" s="42" t="s">
        <v>345</v>
      </c>
      <c r="Q44" s="123" t="s">
        <v>303</v>
      </c>
      <c r="T44" s="123" t="s">
        <v>304</v>
      </c>
    </row>
    <row r="47" spans="2:24" s="15" customFormat="1">
      <c r="B47" s="21"/>
      <c r="P47" s="43"/>
      <c r="R47" s="25"/>
      <c r="U47" s="25"/>
      <c r="V47" s="33"/>
    </row>
    <row r="49" spans="2:22">
      <c r="B49" s="128" t="s">
        <v>323</v>
      </c>
      <c r="C49" s="123" t="s">
        <v>41</v>
      </c>
      <c r="D49" s="123">
        <v>1024</v>
      </c>
      <c r="E49" s="123" t="s">
        <v>289</v>
      </c>
      <c r="F49" s="123" t="s">
        <v>7</v>
      </c>
      <c r="G49" s="123">
        <v>298</v>
      </c>
      <c r="H49" s="123">
        <v>1</v>
      </c>
      <c r="I49" s="123">
        <v>2</v>
      </c>
      <c r="J49" s="123">
        <v>2</v>
      </c>
      <c r="K49" s="123">
        <v>4</v>
      </c>
      <c r="L49" s="123">
        <v>5</v>
      </c>
      <c r="M49" s="123">
        <f>1000000*K49/I49</f>
        <v>2000000</v>
      </c>
      <c r="P49" s="42" t="s">
        <v>306</v>
      </c>
      <c r="Q49" s="126" t="s">
        <v>21</v>
      </c>
      <c r="R49" s="26" t="s">
        <v>301</v>
      </c>
      <c r="S49" s="127">
        <v>775.721</v>
      </c>
      <c r="T49" s="127" t="s">
        <v>24</v>
      </c>
      <c r="U49" s="26" t="s">
        <v>325</v>
      </c>
      <c r="V49" s="129">
        <v>0.83096666666666597</v>
      </c>
    </row>
    <row r="50" spans="2:22">
      <c r="E50" s="123" t="s">
        <v>13</v>
      </c>
      <c r="F50" s="123" t="s">
        <v>98</v>
      </c>
      <c r="I50" s="123">
        <v>2</v>
      </c>
      <c r="K50" s="123">
        <v>10</v>
      </c>
      <c r="M50" s="123">
        <f>1000000*K50/I50</f>
        <v>5000000</v>
      </c>
      <c r="Q50" s="126" t="s">
        <v>23</v>
      </c>
      <c r="S50" s="127"/>
      <c r="T50" s="127"/>
    </row>
    <row r="51" spans="2:22">
      <c r="Q51" s="127"/>
      <c r="S51" s="127"/>
      <c r="T51" s="127"/>
    </row>
    <row r="52" spans="2:22">
      <c r="B52" s="124" t="s">
        <v>347</v>
      </c>
      <c r="C52" s="123" t="s">
        <v>41</v>
      </c>
      <c r="D52" s="123">
        <v>1024</v>
      </c>
      <c r="E52" s="123" t="s">
        <v>297</v>
      </c>
      <c r="F52" s="123" t="s">
        <v>7</v>
      </c>
      <c r="H52" s="123">
        <v>1</v>
      </c>
      <c r="I52" s="123">
        <v>2</v>
      </c>
      <c r="K52" s="123">
        <v>100</v>
      </c>
      <c r="M52" s="123">
        <f>1000000*K52/I52</f>
        <v>50000000</v>
      </c>
      <c r="N52" s="123" t="s">
        <v>308</v>
      </c>
      <c r="O52" s="123" t="s">
        <v>92</v>
      </c>
      <c r="P52" s="42" t="s">
        <v>346</v>
      </c>
      <c r="Q52" s="127" t="s">
        <v>303</v>
      </c>
      <c r="S52" s="127"/>
      <c r="T52" s="127" t="s">
        <v>304</v>
      </c>
    </row>
    <row r="53" spans="2:22">
      <c r="Q53" s="127"/>
      <c r="S53" s="127"/>
      <c r="T53" s="127"/>
    </row>
    <row r="54" spans="2:22">
      <c r="C54" s="123" t="s">
        <v>41</v>
      </c>
      <c r="D54" s="123">
        <v>512</v>
      </c>
      <c r="E54" s="123" t="s">
        <v>296</v>
      </c>
      <c r="F54" s="123" t="s">
        <v>7</v>
      </c>
      <c r="H54" s="123">
        <v>1</v>
      </c>
      <c r="I54" s="123">
        <v>2</v>
      </c>
      <c r="K54" s="123">
        <v>100</v>
      </c>
      <c r="M54" s="123">
        <f>1000000*K54/I54</f>
        <v>50000000</v>
      </c>
      <c r="N54" s="123" t="s">
        <v>308</v>
      </c>
      <c r="O54" s="123" t="s">
        <v>92</v>
      </c>
      <c r="P54" s="42" t="s">
        <v>345</v>
      </c>
      <c r="Q54" s="127" t="s">
        <v>303</v>
      </c>
      <c r="S54" s="127"/>
      <c r="T54" s="127" t="s">
        <v>304</v>
      </c>
    </row>
    <row r="57" spans="2:22" s="15" customFormat="1">
      <c r="B57" s="21"/>
      <c r="P57" s="43"/>
      <c r="R57" s="25"/>
      <c r="U57" s="25"/>
      <c r="V57" s="33"/>
    </row>
    <row r="59" spans="2:22">
      <c r="B59" s="124" t="s">
        <v>324</v>
      </c>
      <c r="C59" s="123" t="s">
        <v>33</v>
      </c>
      <c r="D59" s="123">
        <v>2048</v>
      </c>
      <c r="E59" s="123" t="s">
        <v>289</v>
      </c>
      <c r="F59" s="123" t="s">
        <v>7</v>
      </c>
      <c r="G59" s="123">
        <v>298</v>
      </c>
      <c r="H59" s="123">
        <v>1</v>
      </c>
      <c r="I59" s="123">
        <v>2</v>
      </c>
      <c r="J59" s="123">
        <v>2</v>
      </c>
      <c r="K59" s="123">
        <v>4</v>
      </c>
      <c r="L59" s="123">
        <v>5</v>
      </c>
      <c r="M59" s="123">
        <f>1000000*K59/I59</f>
        <v>2000000</v>
      </c>
      <c r="P59" s="42" t="s">
        <v>306</v>
      </c>
      <c r="Q59" s="126" t="s">
        <v>21</v>
      </c>
      <c r="R59" s="26" t="s">
        <v>301</v>
      </c>
      <c r="S59" s="127">
        <v>705.19899999999996</v>
      </c>
      <c r="T59" s="127" t="s">
        <v>24</v>
      </c>
      <c r="U59" s="26" t="s">
        <v>325</v>
      </c>
      <c r="V59" s="129">
        <v>3.4604666666666599</v>
      </c>
    </row>
    <row r="60" spans="2:22">
      <c r="E60" s="123" t="s">
        <v>13</v>
      </c>
      <c r="F60" s="123" t="s">
        <v>98</v>
      </c>
      <c r="I60" s="123">
        <v>2</v>
      </c>
      <c r="K60" s="123">
        <v>10</v>
      </c>
      <c r="M60" s="123">
        <f>1000000*K60/I60</f>
        <v>5000000</v>
      </c>
      <c r="Q60" s="126" t="s">
        <v>23</v>
      </c>
      <c r="S60" s="127"/>
      <c r="T60" s="127"/>
    </row>
    <row r="61" spans="2:22">
      <c r="Q61" s="127"/>
      <c r="S61" s="127"/>
      <c r="T61" s="127"/>
    </row>
    <row r="62" spans="2:22">
      <c r="B62" s="124" t="s">
        <v>349</v>
      </c>
      <c r="C62" s="123" t="s">
        <v>33</v>
      </c>
      <c r="D62" s="123">
        <v>2048</v>
      </c>
      <c r="E62" s="123" t="s">
        <v>313</v>
      </c>
      <c r="F62" s="123" t="s">
        <v>7</v>
      </c>
      <c r="H62" s="123">
        <v>1</v>
      </c>
      <c r="I62" s="123">
        <v>2</v>
      </c>
      <c r="K62" s="123">
        <v>100</v>
      </c>
      <c r="M62" s="123">
        <f>1000000*K62/I62</f>
        <v>50000000</v>
      </c>
      <c r="N62" s="127" t="s">
        <v>314</v>
      </c>
      <c r="O62" s="127" t="s">
        <v>92</v>
      </c>
      <c r="P62" s="42" t="s">
        <v>351</v>
      </c>
      <c r="Q62" s="127" t="s">
        <v>303</v>
      </c>
      <c r="S62" s="127"/>
      <c r="T62" s="127" t="s">
        <v>304</v>
      </c>
    </row>
    <row r="63" spans="2:22" s="135" customFormat="1">
      <c r="B63" s="136" t="s">
        <v>350</v>
      </c>
      <c r="C63" s="135" t="s">
        <v>33</v>
      </c>
      <c r="D63" s="135">
        <v>2048</v>
      </c>
      <c r="E63" s="135" t="s">
        <v>313</v>
      </c>
      <c r="F63" s="135" t="s">
        <v>7</v>
      </c>
      <c r="H63" s="135">
        <v>1</v>
      </c>
      <c r="I63" s="135">
        <v>2</v>
      </c>
      <c r="K63" s="135">
        <v>100</v>
      </c>
      <c r="M63" s="135">
        <f>1000000*K63/I63</f>
        <v>50000000</v>
      </c>
      <c r="N63" s="135" t="s">
        <v>316</v>
      </c>
      <c r="O63" s="135" t="s">
        <v>92</v>
      </c>
      <c r="P63" s="42" t="s">
        <v>348</v>
      </c>
      <c r="R63" s="26"/>
      <c r="U63" s="26"/>
      <c r="V63" s="137"/>
    </row>
    <row r="64" spans="2:22">
      <c r="R64" s="123"/>
    </row>
    <row r="65" spans="2:22">
      <c r="C65" s="123" t="s">
        <v>33</v>
      </c>
      <c r="D65" s="123">
        <v>1024</v>
      </c>
      <c r="E65" s="123" t="s">
        <v>297</v>
      </c>
      <c r="F65" s="123" t="s">
        <v>7</v>
      </c>
      <c r="H65" s="123">
        <v>1</v>
      </c>
      <c r="I65" s="123">
        <v>2</v>
      </c>
      <c r="K65" s="123">
        <v>100</v>
      </c>
      <c r="M65" s="123">
        <f>1000000*K65/I65</f>
        <v>50000000</v>
      </c>
      <c r="N65" s="123" t="s">
        <v>318</v>
      </c>
      <c r="O65" s="123" t="s">
        <v>92</v>
      </c>
      <c r="P65" s="42" t="s">
        <v>345</v>
      </c>
      <c r="Q65" s="127" t="s">
        <v>303</v>
      </c>
      <c r="S65" s="127"/>
      <c r="T65" s="127" t="s">
        <v>304</v>
      </c>
    </row>
    <row r="68" spans="2:22" s="15" customFormat="1">
      <c r="B68" s="21"/>
      <c r="P68" s="43"/>
      <c r="R68" s="25"/>
      <c r="U68" s="25"/>
      <c r="V68" s="33"/>
    </row>
  </sheetData>
  <mergeCells count="3">
    <mergeCell ref="J3:K3"/>
    <mergeCell ref="N3:O3"/>
    <mergeCell ref="Q3:W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W69"/>
  <sheetViews>
    <sheetView workbookViewId="0">
      <selection activeCell="C87" sqref="C87"/>
    </sheetView>
  </sheetViews>
  <sheetFormatPr defaultColWidth="10.875" defaultRowHeight="15.75"/>
  <cols>
    <col min="1" max="1" width="3.875" style="14" customWidth="1"/>
    <col min="2" max="2" width="48.125" style="122" customWidth="1"/>
    <col min="3" max="3" width="11.125" style="14" customWidth="1"/>
    <col min="4" max="4" width="8.375" style="14" customWidth="1"/>
    <col min="5" max="5" width="21.5" style="14" customWidth="1"/>
    <col min="6" max="6" width="10.875" style="14"/>
    <col min="7" max="9" width="9" style="14" customWidth="1"/>
    <col min="10" max="10" width="9" style="121" customWidth="1"/>
    <col min="11" max="11" width="9" style="14" customWidth="1"/>
    <col min="12" max="12" width="9" style="121" customWidth="1"/>
    <col min="13" max="13" width="11.125" style="14" bestFit="1" customWidth="1"/>
    <col min="14" max="14" width="12.875" style="14" customWidth="1"/>
    <col min="15" max="15" width="10.5" style="14" customWidth="1"/>
    <col min="16" max="16" width="36.625" style="42" customWidth="1"/>
    <col min="17" max="17" width="9" style="14" customWidth="1"/>
    <col min="18" max="18" width="9" style="26" customWidth="1"/>
    <col min="19" max="20" width="9" style="14" customWidth="1"/>
    <col min="21" max="21" width="9" style="26" customWidth="1"/>
    <col min="22" max="22" width="9" style="14" customWidth="1"/>
    <col min="23" max="23" width="34" style="14" customWidth="1"/>
    <col min="24" max="16384" width="10.875" style="14"/>
  </cols>
  <sheetData>
    <row r="2" spans="2:23">
      <c r="Q2"/>
      <c r="R2" s="24"/>
      <c r="S2"/>
      <c r="T2"/>
    </row>
    <row r="3" spans="2:23">
      <c r="J3" s="190" t="s">
        <v>293</v>
      </c>
      <c r="K3" s="190"/>
      <c r="N3" s="190" t="s">
        <v>78</v>
      </c>
      <c r="O3" s="190"/>
      <c r="Q3" s="190" t="s">
        <v>99</v>
      </c>
      <c r="R3" s="190"/>
      <c r="S3" s="190"/>
      <c r="T3" s="190"/>
      <c r="U3" s="190"/>
      <c r="V3" s="190"/>
      <c r="W3" s="190"/>
    </row>
    <row r="4" spans="2:23" s="15" customFormat="1">
      <c r="B4" s="21" t="s">
        <v>77</v>
      </c>
      <c r="C4" s="15" t="s">
        <v>89</v>
      </c>
      <c r="D4" s="15" t="s">
        <v>61</v>
      </c>
      <c r="E4" s="15" t="s">
        <v>0</v>
      </c>
      <c r="F4" s="15" t="s">
        <v>1</v>
      </c>
      <c r="G4" s="15" t="s">
        <v>80</v>
      </c>
      <c r="H4" s="15" t="s">
        <v>81</v>
      </c>
      <c r="I4" s="15" t="s">
        <v>85</v>
      </c>
      <c r="J4" s="15" t="s">
        <v>292</v>
      </c>
      <c r="K4" s="15" t="s">
        <v>291</v>
      </c>
      <c r="L4" s="15" t="s">
        <v>290</v>
      </c>
      <c r="M4" s="15" t="s">
        <v>294</v>
      </c>
      <c r="N4" s="15" t="s">
        <v>93</v>
      </c>
      <c r="O4" s="15" t="s">
        <v>94</v>
      </c>
      <c r="P4" s="43" t="s">
        <v>299</v>
      </c>
      <c r="Q4" s="15" t="s">
        <v>100</v>
      </c>
      <c r="R4" s="25" t="s">
        <v>102</v>
      </c>
      <c r="S4" s="15" t="s">
        <v>101</v>
      </c>
      <c r="T4" s="15" t="s">
        <v>100</v>
      </c>
      <c r="U4" s="25" t="s">
        <v>102</v>
      </c>
      <c r="V4" s="15" t="s">
        <v>322</v>
      </c>
      <c r="W4" s="15" t="s">
        <v>334</v>
      </c>
    </row>
    <row r="5" spans="2:23" s="45" customFormat="1" hidden="1">
      <c r="B5" s="47" t="s">
        <v>79</v>
      </c>
      <c r="C5" s="45" t="s">
        <v>42</v>
      </c>
      <c r="D5" s="45">
        <v>1024</v>
      </c>
      <c r="E5" s="45" t="s">
        <v>97</v>
      </c>
      <c r="F5" s="45" t="s">
        <v>7</v>
      </c>
      <c r="G5" s="45">
        <v>298</v>
      </c>
      <c r="H5" s="45">
        <v>1</v>
      </c>
      <c r="I5" s="45">
        <v>2</v>
      </c>
      <c r="K5" s="45">
        <v>10</v>
      </c>
      <c r="M5" s="45">
        <f t="shared" ref="M5:M10" si="0">1000000*K5/I5</f>
        <v>5000000</v>
      </c>
      <c r="P5" s="48"/>
      <c r="Q5" s="45" t="s">
        <v>21</v>
      </c>
      <c r="R5" s="45" t="s">
        <v>103</v>
      </c>
      <c r="S5" s="45">
        <v>794.41200000000003</v>
      </c>
      <c r="T5" s="45" t="s">
        <v>24</v>
      </c>
      <c r="U5" s="49" t="s">
        <v>104</v>
      </c>
      <c r="V5" s="45">
        <v>0.4728</v>
      </c>
      <c r="W5" s="46" t="s">
        <v>108</v>
      </c>
    </row>
    <row r="6" spans="2:23" s="45" customFormat="1" hidden="1">
      <c r="B6" s="47"/>
      <c r="D6" s="46"/>
      <c r="E6" s="45" t="s">
        <v>15</v>
      </c>
      <c r="F6" s="45" t="s">
        <v>7</v>
      </c>
      <c r="G6" s="45">
        <v>298</v>
      </c>
      <c r="H6" s="45">
        <v>1</v>
      </c>
      <c r="I6" s="45">
        <v>2</v>
      </c>
      <c r="K6" s="45">
        <v>10</v>
      </c>
      <c r="M6" s="45">
        <f t="shared" si="0"/>
        <v>5000000</v>
      </c>
      <c r="P6" s="48"/>
      <c r="Q6" s="45" t="s">
        <v>22</v>
      </c>
      <c r="R6" s="45" t="s">
        <v>105</v>
      </c>
    </row>
    <row r="7" spans="2:23" s="45" customFormat="1" hidden="1">
      <c r="B7" s="47"/>
      <c r="E7" s="45" t="s">
        <v>15</v>
      </c>
      <c r="F7" s="45" t="s">
        <v>7</v>
      </c>
      <c r="G7" s="45">
        <v>298</v>
      </c>
      <c r="H7" s="45">
        <v>1</v>
      </c>
      <c r="I7" s="45">
        <v>2</v>
      </c>
      <c r="K7" s="45">
        <v>10</v>
      </c>
      <c r="M7" s="45">
        <f t="shared" si="0"/>
        <v>5000000</v>
      </c>
      <c r="P7" s="48"/>
      <c r="Q7" s="45" t="s">
        <v>22</v>
      </c>
      <c r="R7" s="45" t="s">
        <v>105</v>
      </c>
    </row>
    <row r="8" spans="2:23" s="45" customFormat="1" hidden="1">
      <c r="B8" s="47"/>
      <c r="E8" s="45" t="s">
        <v>15</v>
      </c>
      <c r="F8" s="45" t="s">
        <v>7</v>
      </c>
      <c r="G8" s="45">
        <v>298</v>
      </c>
      <c r="H8" s="45">
        <v>1</v>
      </c>
      <c r="I8" s="45">
        <v>2</v>
      </c>
      <c r="K8" s="45">
        <v>10</v>
      </c>
      <c r="M8" s="45">
        <f t="shared" si="0"/>
        <v>5000000</v>
      </c>
      <c r="P8" s="48"/>
      <c r="Q8" s="45" t="s">
        <v>22</v>
      </c>
      <c r="R8" s="45" t="s">
        <v>105</v>
      </c>
    </row>
    <row r="9" spans="2:23" s="45" customFormat="1" hidden="1">
      <c r="B9" s="47"/>
      <c r="E9" s="45" t="s">
        <v>15</v>
      </c>
      <c r="F9" s="45" t="s">
        <v>7</v>
      </c>
      <c r="G9" s="45">
        <v>298</v>
      </c>
      <c r="H9" s="45">
        <v>1</v>
      </c>
      <c r="I9" s="45">
        <v>2</v>
      </c>
      <c r="K9" s="45">
        <v>10</v>
      </c>
      <c r="M9" s="45">
        <f t="shared" si="0"/>
        <v>5000000</v>
      </c>
      <c r="P9" s="48"/>
      <c r="Q9" s="45" t="s">
        <v>22</v>
      </c>
      <c r="R9" s="45" t="s">
        <v>105</v>
      </c>
    </row>
    <row r="10" spans="2:23" s="45" customFormat="1" hidden="1">
      <c r="B10" s="47"/>
      <c r="E10" s="45" t="s">
        <v>15</v>
      </c>
      <c r="F10" s="45" t="s">
        <v>7</v>
      </c>
      <c r="G10" s="45">
        <v>298</v>
      </c>
      <c r="H10" s="45">
        <v>1</v>
      </c>
      <c r="I10" s="45">
        <v>2</v>
      </c>
      <c r="K10" s="45">
        <v>10</v>
      </c>
      <c r="M10" s="45">
        <f t="shared" si="0"/>
        <v>5000000</v>
      </c>
      <c r="P10" s="48"/>
      <c r="Q10" s="45" t="s">
        <v>22</v>
      </c>
      <c r="R10" s="45" t="s">
        <v>105</v>
      </c>
    </row>
    <row r="11" spans="2:23" s="45" customFormat="1" hidden="1">
      <c r="B11" s="47"/>
      <c r="E11" s="45" t="s">
        <v>13</v>
      </c>
      <c r="F11" s="45" t="s">
        <v>98</v>
      </c>
      <c r="P11" s="48"/>
    </row>
    <row r="12" spans="2:23" s="45" customFormat="1" hidden="1">
      <c r="B12" s="47"/>
      <c r="P12" s="48"/>
    </row>
    <row r="13" spans="2:23" s="45" customFormat="1" hidden="1">
      <c r="B13" s="47" t="s">
        <v>88</v>
      </c>
      <c r="C13" s="45" t="s">
        <v>42</v>
      </c>
      <c r="D13" s="45">
        <v>1024</v>
      </c>
      <c r="E13" s="45" t="s">
        <v>106</v>
      </c>
      <c r="F13" s="45" t="s">
        <v>7</v>
      </c>
      <c r="G13" s="45" t="s">
        <v>86</v>
      </c>
      <c r="H13" s="45">
        <v>1</v>
      </c>
      <c r="I13" s="45">
        <v>2</v>
      </c>
      <c r="K13" s="45">
        <v>200</v>
      </c>
      <c r="M13" s="45">
        <f>1000000*K13/I13</f>
        <v>100000000</v>
      </c>
      <c r="N13" s="45" t="s">
        <v>91</v>
      </c>
      <c r="O13" s="45" t="s">
        <v>92</v>
      </c>
      <c r="P13" s="48"/>
    </row>
    <row r="14" spans="2:23" s="45" customFormat="1" hidden="1">
      <c r="B14" s="47"/>
      <c r="P14" s="48"/>
    </row>
    <row r="15" spans="2:23" s="45" customFormat="1" hidden="1">
      <c r="B15" s="47"/>
      <c r="P15" s="48"/>
    </row>
    <row r="16" spans="2:23" s="45" customFormat="1" hidden="1">
      <c r="B16" s="47"/>
      <c r="P16" s="48"/>
    </row>
    <row r="17" spans="2:22" s="45" customFormat="1" hidden="1">
      <c r="B17" s="47"/>
      <c r="P17" s="48"/>
    </row>
    <row r="18" spans="2:22" s="53" customFormat="1" hidden="1">
      <c r="B18" s="54"/>
      <c r="P18" s="125"/>
    </row>
    <row r="19" spans="2:22" s="45" customFormat="1" hidden="1">
      <c r="B19" s="47" t="s">
        <v>96</v>
      </c>
      <c r="C19" s="45" t="s">
        <v>41</v>
      </c>
      <c r="D19" s="45">
        <v>1024</v>
      </c>
      <c r="E19" s="45" t="s">
        <v>95</v>
      </c>
      <c r="F19" s="45" t="s">
        <v>7</v>
      </c>
      <c r="G19" s="45">
        <v>298</v>
      </c>
      <c r="H19" s="45">
        <v>1</v>
      </c>
      <c r="I19" s="45">
        <v>2</v>
      </c>
      <c r="K19" s="45">
        <v>10</v>
      </c>
      <c r="M19" s="45">
        <f t="shared" ref="M19:M24" si="1">1000000*K19/I19</f>
        <v>5000000</v>
      </c>
      <c r="P19" s="48"/>
      <c r="Q19" s="45" t="s">
        <v>21</v>
      </c>
      <c r="R19" s="45" t="s">
        <v>103</v>
      </c>
      <c r="S19" s="45">
        <v>786.97</v>
      </c>
      <c r="T19" s="45" t="s">
        <v>24</v>
      </c>
      <c r="U19" s="49" t="s">
        <v>104</v>
      </c>
      <c r="V19" s="45">
        <v>0.623</v>
      </c>
    </row>
    <row r="20" spans="2:22" s="45" customFormat="1" hidden="1">
      <c r="B20" s="47"/>
      <c r="D20" s="46"/>
      <c r="E20" s="45" t="s">
        <v>15</v>
      </c>
      <c r="F20" s="45" t="s">
        <v>7</v>
      </c>
      <c r="G20" s="45">
        <v>298</v>
      </c>
      <c r="H20" s="45">
        <v>1</v>
      </c>
      <c r="I20" s="45">
        <v>2</v>
      </c>
      <c r="K20" s="45">
        <v>10</v>
      </c>
      <c r="M20" s="45">
        <f t="shared" si="1"/>
        <v>5000000</v>
      </c>
      <c r="P20" s="48"/>
      <c r="Q20" s="45" t="s">
        <v>22</v>
      </c>
      <c r="R20" s="45" t="s">
        <v>105</v>
      </c>
    </row>
    <row r="21" spans="2:22" s="45" customFormat="1" hidden="1">
      <c r="B21" s="47"/>
      <c r="E21" s="45" t="s">
        <v>15</v>
      </c>
      <c r="F21" s="45" t="s">
        <v>7</v>
      </c>
      <c r="G21" s="45">
        <v>298</v>
      </c>
      <c r="H21" s="45">
        <v>1</v>
      </c>
      <c r="I21" s="45">
        <v>2</v>
      </c>
      <c r="K21" s="45">
        <v>10</v>
      </c>
      <c r="M21" s="45">
        <f t="shared" si="1"/>
        <v>5000000</v>
      </c>
      <c r="P21" s="48"/>
      <c r="Q21" s="45" t="s">
        <v>22</v>
      </c>
      <c r="R21" s="45" t="s">
        <v>105</v>
      </c>
    </row>
    <row r="22" spans="2:22" s="45" customFormat="1" hidden="1">
      <c r="B22" s="47"/>
      <c r="E22" s="45" t="s">
        <v>15</v>
      </c>
      <c r="F22" s="45" t="s">
        <v>7</v>
      </c>
      <c r="G22" s="45">
        <v>298</v>
      </c>
      <c r="H22" s="45">
        <v>1</v>
      </c>
      <c r="I22" s="45">
        <v>2</v>
      </c>
      <c r="K22" s="45">
        <v>10</v>
      </c>
      <c r="M22" s="45">
        <f t="shared" si="1"/>
        <v>5000000</v>
      </c>
      <c r="P22" s="48"/>
      <c r="Q22" s="45" t="s">
        <v>22</v>
      </c>
      <c r="R22" s="45" t="s">
        <v>105</v>
      </c>
    </row>
    <row r="23" spans="2:22" s="45" customFormat="1" hidden="1">
      <c r="B23" s="47"/>
      <c r="E23" s="45" t="s">
        <v>15</v>
      </c>
      <c r="F23" s="45" t="s">
        <v>7</v>
      </c>
      <c r="G23" s="45">
        <v>298</v>
      </c>
      <c r="H23" s="45">
        <v>1</v>
      </c>
      <c r="I23" s="45">
        <v>2</v>
      </c>
      <c r="K23" s="45">
        <v>10</v>
      </c>
      <c r="M23" s="45">
        <f t="shared" si="1"/>
        <v>5000000</v>
      </c>
      <c r="P23" s="48"/>
      <c r="Q23" s="45" t="s">
        <v>22</v>
      </c>
      <c r="R23" s="45" t="s">
        <v>105</v>
      </c>
    </row>
    <row r="24" spans="2:22" s="45" customFormat="1" hidden="1">
      <c r="B24" s="47"/>
      <c r="E24" s="45" t="s">
        <v>15</v>
      </c>
      <c r="F24" s="45" t="s">
        <v>7</v>
      </c>
      <c r="G24" s="45">
        <v>298</v>
      </c>
      <c r="H24" s="45">
        <v>1</v>
      </c>
      <c r="I24" s="45">
        <v>2</v>
      </c>
      <c r="K24" s="45">
        <v>10</v>
      </c>
      <c r="M24" s="45">
        <f t="shared" si="1"/>
        <v>5000000</v>
      </c>
      <c r="P24" s="48"/>
      <c r="Q24" s="45" t="s">
        <v>22</v>
      </c>
      <c r="R24" s="45" t="s">
        <v>105</v>
      </c>
    </row>
    <row r="25" spans="2:22" s="45" customFormat="1" hidden="1">
      <c r="B25" s="47"/>
      <c r="E25" s="45" t="s">
        <v>13</v>
      </c>
      <c r="F25" s="45" t="s">
        <v>98</v>
      </c>
      <c r="P25" s="48"/>
    </row>
    <row r="26" spans="2:22" s="45" customFormat="1" hidden="1">
      <c r="B26" s="47"/>
      <c r="P26" s="48"/>
    </row>
    <row r="27" spans="2:22" s="45" customFormat="1" hidden="1">
      <c r="B27" s="47" t="s">
        <v>107</v>
      </c>
      <c r="C27" s="45" t="s">
        <v>41</v>
      </c>
      <c r="D27" s="45">
        <v>1024</v>
      </c>
      <c r="E27" s="45" t="s">
        <v>106</v>
      </c>
      <c r="F27" s="45" t="s">
        <v>7</v>
      </c>
      <c r="G27" s="45" t="s">
        <v>86</v>
      </c>
      <c r="H27" s="45">
        <v>1</v>
      </c>
      <c r="I27" s="45">
        <v>2</v>
      </c>
      <c r="K27" s="45">
        <v>200</v>
      </c>
      <c r="M27" s="45">
        <f>1000000*K27/I27</f>
        <v>100000000</v>
      </c>
      <c r="N27" s="45" t="s">
        <v>91</v>
      </c>
      <c r="O27" s="45" t="s">
        <v>92</v>
      </c>
      <c r="P27" s="48"/>
    </row>
    <row r="28" spans="2:22" s="45" customFormat="1" hidden="1">
      <c r="B28" s="47"/>
      <c r="P28" s="48"/>
    </row>
    <row r="29" spans="2:22" s="45" customFormat="1" hidden="1">
      <c r="B29" s="47"/>
      <c r="P29" s="48"/>
    </row>
    <row r="30" spans="2:22" s="45" customFormat="1" hidden="1">
      <c r="B30" s="47"/>
      <c r="P30" s="48"/>
    </row>
    <row r="31" spans="2:22" s="53" customFormat="1" hidden="1">
      <c r="B31" s="54"/>
      <c r="P31" s="125"/>
    </row>
    <row r="32" spans="2:22" s="45" customFormat="1" hidden="1">
      <c r="B32" s="47" t="s">
        <v>109</v>
      </c>
      <c r="C32" s="45" t="s">
        <v>33</v>
      </c>
      <c r="D32" s="45">
        <v>2048</v>
      </c>
      <c r="E32" s="45" t="s">
        <v>95</v>
      </c>
      <c r="F32" s="45" t="s">
        <v>7</v>
      </c>
      <c r="G32" s="45">
        <v>298</v>
      </c>
      <c r="H32" s="45">
        <v>1</v>
      </c>
      <c r="I32" s="45">
        <v>2</v>
      </c>
      <c r="K32" s="45">
        <v>10</v>
      </c>
      <c r="M32" s="45">
        <f t="shared" ref="M32:M37" si="2">1000000*K32/I32</f>
        <v>5000000</v>
      </c>
      <c r="P32" s="48"/>
      <c r="Q32" s="45" t="s">
        <v>21</v>
      </c>
      <c r="R32" s="45" t="s">
        <v>103</v>
      </c>
      <c r="T32" s="45" t="s">
        <v>24</v>
      </c>
      <c r="U32" s="49" t="s">
        <v>104</v>
      </c>
    </row>
    <row r="33" spans="2:22" s="45" customFormat="1" hidden="1">
      <c r="B33" s="47"/>
      <c r="E33" s="45" t="s">
        <v>15</v>
      </c>
      <c r="F33" s="45" t="s">
        <v>7</v>
      </c>
      <c r="G33" s="45">
        <v>298</v>
      </c>
      <c r="H33" s="45">
        <v>1</v>
      </c>
      <c r="I33" s="45">
        <v>2</v>
      </c>
      <c r="K33" s="45">
        <v>10</v>
      </c>
      <c r="M33" s="45">
        <f t="shared" si="2"/>
        <v>5000000</v>
      </c>
      <c r="P33" s="48"/>
      <c r="Q33" s="45" t="s">
        <v>22</v>
      </c>
      <c r="R33" s="45" t="s">
        <v>105</v>
      </c>
    </row>
    <row r="34" spans="2:22" s="45" customFormat="1" hidden="1">
      <c r="B34" s="47"/>
      <c r="E34" s="45" t="s">
        <v>15</v>
      </c>
      <c r="F34" s="45" t="s">
        <v>7</v>
      </c>
      <c r="G34" s="45">
        <v>298</v>
      </c>
      <c r="H34" s="45">
        <v>1</v>
      </c>
      <c r="I34" s="45">
        <v>2</v>
      </c>
      <c r="K34" s="45">
        <v>10</v>
      </c>
      <c r="M34" s="45">
        <f t="shared" si="2"/>
        <v>5000000</v>
      </c>
      <c r="P34" s="48"/>
      <c r="Q34" s="45" t="s">
        <v>22</v>
      </c>
      <c r="R34" s="45" t="s">
        <v>105</v>
      </c>
    </row>
    <row r="35" spans="2:22" s="45" customFormat="1" hidden="1">
      <c r="B35" s="47"/>
      <c r="E35" s="45" t="s">
        <v>15</v>
      </c>
      <c r="F35" s="45" t="s">
        <v>7</v>
      </c>
      <c r="G35" s="45">
        <v>298</v>
      </c>
      <c r="H35" s="45">
        <v>1</v>
      </c>
      <c r="I35" s="45">
        <v>2</v>
      </c>
      <c r="K35" s="45">
        <v>10</v>
      </c>
      <c r="M35" s="45">
        <f t="shared" si="2"/>
        <v>5000000</v>
      </c>
      <c r="P35" s="48"/>
      <c r="Q35" s="45" t="s">
        <v>22</v>
      </c>
      <c r="R35" s="45" t="s">
        <v>105</v>
      </c>
    </row>
    <row r="36" spans="2:22" s="45" customFormat="1" hidden="1">
      <c r="B36" s="47"/>
      <c r="E36" s="45" t="s">
        <v>15</v>
      </c>
      <c r="F36" s="45" t="s">
        <v>7</v>
      </c>
      <c r="G36" s="45">
        <v>298</v>
      </c>
      <c r="H36" s="45">
        <v>1</v>
      </c>
      <c r="I36" s="45">
        <v>2</v>
      </c>
      <c r="K36" s="45">
        <v>10</v>
      </c>
      <c r="M36" s="45">
        <f t="shared" si="2"/>
        <v>5000000</v>
      </c>
      <c r="P36" s="48"/>
      <c r="Q36" s="45" t="s">
        <v>22</v>
      </c>
      <c r="R36" s="45" t="s">
        <v>105</v>
      </c>
    </row>
    <row r="37" spans="2:22" s="45" customFormat="1" hidden="1">
      <c r="B37" s="47"/>
      <c r="E37" s="45" t="s">
        <v>15</v>
      </c>
      <c r="F37" s="45" t="s">
        <v>7</v>
      </c>
      <c r="G37" s="45">
        <v>298</v>
      </c>
      <c r="H37" s="45">
        <v>1</v>
      </c>
      <c r="I37" s="45">
        <v>2</v>
      </c>
      <c r="K37" s="45">
        <v>10</v>
      </c>
      <c r="M37" s="45">
        <f t="shared" si="2"/>
        <v>5000000</v>
      </c>
      <c r="P37" s="48"/>
      <c r="Q37" s="45" t="s">
        <v>22</v>
      </c>
      <c r="R37" s="45" t="s">
        <v>105</v>
      </c>
    </row>
    <row r="38" spans="2:22" s="45" customFormat="1">
      <c r="B38" s="47"/>
      <c r="P38" s="48"/>
    </row>
    <row r="39" spans="2:22">
      <c r="B39" s="122" t="s">
        <v>288</v>
      </c>
      <c r="C39" s="14" t="s">
        <v>42</v>
      </c>
      <c r="D39" s="14">
        <v>1024</v>
      </c>
      <c r="E39" s="14" t="s">
        <v>289</v>
      </c>
      <c r="F39" s="14" t="s">
        <v>7</v>
      </c>
      <c r="G39" s="14">
        <v>298</v>
      </c>
      <c r="H39" s="14">
        <v>1</v>
      </c>
      <c r="I39" s="14">
        <v>2</v>
      </c>
      <c r="J39" s="121">
        <v>2</v>
      </c>
      <c r="K39" s="14">
        <v>4</v>
      </c>
      <c r="L39" s="121">
        <v>3</v>
      </c>
      <c r="M39" s="14">
        <f>1000000*K39/I39</f>
        <v>2000000</v>
      </c>
      <c r="P39" s="42" t="s">
        <v>306</v>
      </c>
      <c r="Q39" s="126" t="s">
        <v>21</v>
      </c>
      <c r="R39" s="26" t="s">
        <v>320</v>
      </c>
      <c r="S39" s="14">
        <v>795.48699999999997</v>
      </c>
      <c r="T39" s="14" t="s">
        <v>24</v>
      </c>
      <c r="U39" s="26" t="s">
        <v>321</v>
      </c>
      <c r="V39" s="129">
        <v>0.38026666666666598</v>
      </c>
    </row>
    <row r="40" spans="2:22">
      <c r="E40" s="14" t="s">
        <v>13</v>
      </c>
      <c r="F40" s="14" t="s">
        <v>98</v>
      </c>
      <c r="I40" s="14">
        <v>2</v>
      </c>
      <c r="K40" s="14">
        <v>10</v>
      </c>
      <c r="M40" s="14">
        <f>1000000*K40/I40</f>
        <v>5000000</v>
      </c>
      <c r="Q40" s="126" t="s">
        <v>23</v>
      </c>
    </row>
    <row r="41" spans="2:22">
      <c r="V41" s="14" t="s">
        <v>335</v>
      </c>
    </row>
    <row r="42" spans="2:22">
      <c r="B42" s="122" t="s">
        <v>298</v>
      </c>
      <c r="C42" s="14" t="s">
        <v>42</v>
      </c>
      <c r="D42" s="14">
        <v>1024</v>
      </c>
      <c r="E42" s="14" t="s">
        <v>297</v>
      </c>
      <c r="F42" s="14" t="s">
        <v>7</v>
      </c>
      <c r="H42" s="14">
        <v>1</v>
      </c>
      <c r="I42" s="14">
        <v>2</v>
      </c>
      <c r="K42" s="14">
        <v>100</v>
      </c>
      <c r="M42" s="121">
        <f>1000000*K42/I42</f>
        <v>50000000</v>
      </c>
      <c r="N42" s="14" t="s">
        <v>91</v>
      </c>
      <c r="O42" s="14" t="s">
        <v>92</v>
      </c>
      <c r="P42" s="42" t="s">
        <v>302</v>
      </c>
      <c r="Q42" s="14" t="s">
        <v>304</v>
      </c>
      <c r="R42" s="26">
        <v>250</v>
      </c>
      <c r="T42" s="14" t="s">
        <v>303</v>
      </c>
      <c r="U42" s="26">
        <v>300</v>
      </c>
      <c r="V42" s="16">
        <f>R42+U42-SQRT(R42*U42)</f>
        <v>276.13872124741692</v>
      </c>
    </row>
    <row r="44" spans="2:22">
      <c r="B44" s="122" t="s">
        <v>295</v>
      </c>
      <c r="C44" s="14" t="s">
        <v>42</v>
      </c>
      <c r="D44" s="14">
        <v>512</v>
      </c>
      <c r="E44" s="14" t="s">
        <v>296</v>
      </c>
      <c r="F44" s="14" t="s">
        <v>7</v>
      </c>
      <c r="H44" s="14">
        <v>1</v>
      </c>
      <c r="I44" s="14">
        <v>2</v>
      </c>
      <c r="K44" s="14">
        <v>100</v>
      </c>
      <c r="M44" s="121">
        <f>1000000*K44/I44</f>
        <v>50000000</v>
      </c>
      <c r="N44" s="121" t="s">
        <v>91</v>
      </c>
      <c r="O44" s="121" t="s">
        <v>92</v>
      </c>
      <c r="P44" s="42" t="s">
        <v>305</v>
      </c>
      <c r="Q44" s="14" t="s">
        <v>304</v>
      </c>
      <c r="T44" s="14" t="s">
        <v>303</v>
      </c>
    </row>
    <row r="47" spans="2:22" s="15" customFormat="1">
      <c r="B47" s="21"/>
      <c r="P47" s="43"/>
      <c r="R47" s="25"/>
      <c r="U47" s="25"/>
    </row>
    <row r="49" spans="2:22">
      <c r="B49" s="122" t="s">
        <v>300</v>
      </c>
      <c r="C49" s="14" t="s">
        <v>41</v>
      </c>
      <c r="D49" s="14">
        <v>1024</v>
      </c>
      <c r="E49" s="121" t="s">
        <v>289</v>
      </c>
      <c r="F49" s="121" t="s">
        <v>7</v>
      </c>
      <c r="G49" s="121">
        <v>298</v>
      </c>
      <c r="H49" s="121">
        <v>1</v>
      </c>
      <c r="I49" s="121">
        <v>2</v>
      </c>
      <c r="J49" s="121">
        <v>2</v>
      </c>
      <c r="K49" s="121">
        <v>4</v>
      </c>
      <c r="L49" s="121">
        <v>3</v>
      </c>
      <c r="M49" s="121">
        <f>1000000*K49/I49</f>
        <v>2000000</v>
      </c>
      <c r="P49" s="42" t="s">
        <v>306</v>
      </c>
      <c r="Q49" s="126" t="s">
        <v>21</v>
      </c>
      <c r="R49" s="26" t="s">
        <v>320</v>
      </c>
      <c r="S49" s="121">
        <v>788.18700000000001</v>
      </c>
      <c r="T49" s="121" t="s">
        <v>24</v>
      </c>
      <c r="U49" s="26" t="s">
        <v>321</v>
      </c>
      <c r="V49" s="14">
        <v>0.48380000000000001</v>
      </c>
    </row>
    <row r="50" spans="2:22">
      <c r="E50" s="121" t="s">
        <v>13</v>
      </c>
      <c r="F50" s="121" t="s">
        <v>98</v>
      </c>
      <c r="G50" s="121"/>
      <c r="H50" s="121"/>
      <c r="I50" s="121">
        <v>2</v>
      </c>
      <c r="K50" s="121">
        <v>10</v>
      </c>
      <c r="M50" s="121">
        <f>1000000*K50/I50</f>
        <v>5000000</v>
      </c>
      <c r="Q50" s="126" t="s">
        <v>23</v>
      </c>
      <c r="S50" s="121"/>
      <c r="T50" s="121"/>
    </row>
    <row r="51" spans="2:22">
      <c r="Q51" s="121"/>
      <c r="S51" s="121"/>
      <c r="T51" s="121"/>
      <c r="V51" s="127" t="s">
        <v>335</v>
      </c>
    </row>
    <row r="52" spans="2:22">
      <c r="B52" s="122" t="s">
        <v>307</v>
      </c>
      <c r="C52" s="14" t="s">
        <v>41</v>
      </c>
      <c r="D52" s="14">
        <v>1024</v>
      </c>
      <c r="E52" s="123" t="s">
        <v>297</v>
      </c>
      <c r="F52" s="123" t="s">
        <v>7</v>
      </c>
      <c r="G52" s="123"/>
      <c r="H52" s="123">
        <v>1</v>
      </c>
      <c r="I52" s="123">
        <v>2</v>
      </c>
      <c r="J52" s="123"/>
      <c r="K52" s="123">
        <v>100</v>
      </c>
      <c r="L52" s="123"/>
      <c r="M52" s="123">
        <f>1000000*K52/I52</f>
        <v>50000000</v>
      </c>
      <c r="N52" s="123" t="s">
        <v>308</v>
      </c>
      <c r="O52" s="123" t="s">
        <v>92</v>
      </c>
      <c r="P52" s="42" t="s">
        <v>302</v>
      </c>
      <c r="Q52" s="127" t="s">
        <v>304</v>
      </c>
      <c r="S52" s="127"/>
      <c r="T52" s="127" t="s">
        <v>303</v>
      </c>
      <c r="V52" s="16">
        <f>R52+U52-SQRT(R52*U52)</f>
        <v>0</v>
      </c>
    </row>
    <row r="53" spans="2:22">
      <c r="Q53" s="127"/>
      <c r="S53" s="127"/>
      <c r="T53" s="127"/>
    </row>
    <row r="54" spans="2:22">
      <c r="B54" s="122" t="s">
        <v>310</v>
      </c>
      <c r="C54" s="14" t="s">
        <v>41</v>
      </c>
      <c r="D54" s="14">
        <v>512</v>
      </c>
      <c r="E54" s="123" t="s">
        <v>296</v>
      </c>
      <c r="F54" s="123" t="s">
        <v>7</v>
      </c>
      <c r="G54" s="123"/>
      <c r="H54" s="123">
        <v>1</v>
      </c>
      <c r="I54" s="123">
        <v>2</v>
      </c>
      <c r="J54" s="123"/>
      <c r="K54" s="123">
        <v>100</v>
      </c>
      <c r="L54" s="123"/>
      <c r="M54" s="123">
        <f>1000000*K54/I54</f>
        <v>50000000</v>
      </c>
      <c r="N54" s="123" t="s">
        <v>308</v>
      </c>
      <c r="O54" s="123" t="s">
        <v>92</v>
      </c>
      <c r="P54" s="42" t="s">
        <v>302</v>
      </c>
      <c r="Q54" s="127" t="s">
        <v>304</v>
      </c>
      <c r="S54" s="127"/>
      <c r="T54" s="127" t="s">
        <v>303</v>
      </c>
      <c r="V54" s="16">
        <f>R54+U54-SQRT(R54*U54)</f>
        <v>0</v>
      </c>
    </row>
    <row r="55" spans="2:22">
      <c r="Q55" s="121"/>
      <c r="S55" s="121"/>
      <c r="T55" s="121"/>
    </row>
    <row r="57" spans="2:22" s="15" customFormat="1">
      <c r="B57" s="21"/>
      <c r="P57" s="43"/>
      <c r="R57" s="25"/>
      <c r="U57" s="25"/>
    </row>
    <row r="59" spans="2:22">
      <c r="B59" s="122" t="s">
        <v>311</v>
      </c>
      <c r="C59" s="14" t="s">
        <v>33</v>
      </c>
      <c r="D59" s="14">
        <v>2048</v>
      </c>
      <c r="E59" s="123" t="s">
        <v>289</v>
      </c>
      <c r="F59" s="123" t="s">
        <v>7</v>
      </c>
      <c r="G59" s="123">
        <v>298</v>
      </c>
      <c r="H59" s="123">
        <v>1</v>
      </c>
      <c r="I59" s="123">
        <v>2</v>
      </c>
      <c r="J59" s="123">
        <v>2</v>
      </c>
      <c r="K59" s="123">
        <v>4</v>
      </c>
      <c r="L59" s="123">
        <v>3</v>
      </c>
      <c r="M59" s="123">
        <f>1000000*K59/I59</f>
        <v>2000000</v>
      </c>
      <c r="P59" s="42" t="s">
        <v>306</v>
      </c>
      <c r="Q59" s="126" t="s">
        <v>21</v>
      </c>
      <c r="R59" s="26" t="s">
        <v>320</v>
      </c>
      <c r="S59" s="127">
        <v>689.71500000000003</v>
      </c>
      <c r="T59" s="127" t="s">
        <v>24</v>
      </c>
      <c r="U59" s="26" t="s">
        <v>321</v>
      </c>
      <c r="V59" s="127">
        <v>3.1444000000000001</v>
      </c>
    </row>
    <row r="60" spans="2:22">
      <c r="E60" s="123" t="s">
        <v>13</v>
      </c>
      <c r="F60" s="123" t="s">
        <v>98</v>
      </c>
      <c r="G60" s="123"/>
      <c r="H60" s="123"/>
      <c r="I60" s="123">
        <v>2</v>
      </c>
      <c r="J60" s="123"/>
      <c r="K60" s="123">
        <v>10</v>
      </c>
      <c r="L60" s="123"/>
      <c r="M60" s="123">
        <f>1000000*K60/I60</f>
        <v>5000000</v>
      </c>
      <c r="Q60" s="126" t="s">
        <v>23</v>
      </c>
      <c r="S60" s="127"/>
      <c r="T60" s="127"/>
      <c r="V60" s="127"/>
    </row>
    <row r="61" spans="2:22">
      <c r="Q61" s="127"/>
      <c r="S61" s="127"/>
      <c r="T61" s="127"/>
      <c r="V61" s="127" t="s">
        <v>335</v>
      </c>
    </row>
    <row r="62" spans="2:22">
      <c r="B62" s="122" t="s">
        <v>312</v>
      </c>
      <c r="C62" s="123" t="s">
        <v>33</v>
      </c>
      <c r="D62" s="123">
        <v>2048</v>
      </c>
      <c r="E62" s="123" t="s">
        <v>313</v>
      </c>
      <c r="F62" s="123" t="s">
        <v>7</v>
      </c>
      <c r="G62" s="123"/>
      <c r="H62" s="123">
        <v>1</v>
      </c>
      <c r="I62" s="123">
        <v>2</v>
      </c>
      <c r="J62" s="123"/>
      <c r="K62" s="123">
        <v>100</v>
      </c>
      <c r="L62" s="123"/>
      <c r="M62" s="123">
        <f>1000000*K62/I62</f>
        <v>50000000</v>
      </c>
      <c r="N62" s="123" t="s">
        <v>314</v>
      </c>
      <c r="O62" s="123" t="s">
        <v>92</v>
      </c>
      <c r="P62" s="42" t="s">
        <v>341</v>
      </c>
      <c r="Q62" s="127"/>
      <c r="S62" s="127"/>
      <c r="T62" s="127"/>
      <c r="V62" s="16"/>
    </row>
    <row r="63" spans="2:22">
      <c r="B63" s="122" t="s">
        <v>317</v>
      </c>
      <c r="C63" s="123" t="s">
        <v>33</v>
      </c>
      <c r="D63" s="123">
        <v>2048</v>
      </c>
      <c r="E63" s="123" t="s">
        <v>313</v>
      </c>
      <c r="F63" s="123" t="s">
        <v>7</v>
      </c>
      <c r="G63" s="123"/>
      <c r="H63" s="123">
        <v>1</v>
      </c>
      <c r="I63" s="123">
        <v>2</v>
      </c>
      <c r="J63" s="123"/>
      <c r="K63" s="123">
        <v>100</v>
      </c>
      <c r="L63" s="123"/>
      <c r="M63" s="123">
        <f>1000000*K63/I63</f>
        <v>50000000</v>
      </c>
      <c r="N63" s="14" t="s">
        <v>316</v>
      </c>
      <c r="O63" s="123" t="s">
        <v>92</v>
      </c>
      <c r="P63" s="42" t="s">
        <v>315</v>
      </c>
      <c r="Q63" s="127"/>
      <c r="S63" s="127"/>
      <c r="T63" s="127"/>
      <c r="V63" s="127"/>
    </row>
    <row r="64" spans="2:22" s="127" customFormat="1">
      <c r="B64" s="128" t="s">
        <v>339</v>
      </c>
      <c r="C64" s="127" t="s">
        <v>33</v>
      </c>
      <c r="D64" s="127">
        <v>2048</v>
      </c>
      <c r="E64" s="127" t="s">
        <v>313</v>
      </c>
      <c r="F64" s="127" t="s">
        <v>7</v>
      </c>
      <c r="H64" s="127">
        <v>1</v>
      </c>
      <c r="I64" s="127">
        <v>2</v>
      </c>
      <c r="K64" s="127">
        <v>100</v>
      </c>
      <c r="M64" s="127">
        <f>1000000*K64/I64</f>
        <v>50000000</v>
      </c>
      <c r="N64" s="127" t="s">
        <v>340</v>
      </c>
      <c r="O64" s="127" t="s">
        <v>92</v>
      </c>
      <c r="P64" s="42" t="s">
        <v>352</v>
      </c>
      <c r="Q64" s="127" t="s">
        <v>304</v>
      </c>
      <c r="R64" s="26"/>
      <c r="T64" s="127" t="s">
        <v>303</v>
      </c>
      <c r="U64" s="26"/>
      <c r="V64" s="16">
        <f>R64+U64-SQRT(R64*U64)</f>
        <v>0</v>
      </c>
    </row>
    <row r="65" spans="2:22">
      <c r="V65" s="16"/>
    </row>
    <row r="66" spans="2:22">
      <c r="B66" s="128" t="s">
        <v>338</v>
      </c>
      <c r="C66" s="14" t="s">
        <v>33</v>
      </c>
      <c r="D66" s="14">
        <v>1024</v>
      </c>
      <c r="E66" s="14" t="s">
        <v>297</v>
      </c>
      <c r="F66" s="123" t="s">
        <v>7</v>
      </c>
      <c r="G66" s="123"/>
      <c r="H66" s="123">
        <v>1</v>
      </c>
      <c r="I66" s="123">
        <v>2</v>
      </c>
      <c r="J66" s="123"/>
      <c r="K66" s="123">
        <v>100</v>
      </c>
      <c r="L66" s="123"/>
      <c r="M66" s="123">
        <f>1000000*K66/I66</f>
        <v>50000000</v>
      </c>
      <c r="N66" s="127" t="s">
        <v>316</v>
      </c>
      <c r="O66" s="123" t="s">
        <v>92</v>
      </c>
      <c r="P66" s="42" t="s">
        <v>344</v>
      </c>
      <c r="Q66" s="127" t="s">
        <v>304</v>
      </c>
      <c r="S66" s="127"/>
      <c r="T66" s="127" t="s">
        <v>303</v>
      </c>
      <c r="V66" s="16">
        <f>R66+U66-SQRT(R66*U66)</f>
        <v>0</v>
      </c>
    </row>
    <row r="67" spans="2:22">
      <c r="C67" s="135" t="s">
        <v>33</v>
      </c>
      <c r="D67" s="135">
        <v>1024</v>
      </c>
      <c r="E67" s="135" t="s">
        <v>297</v>
      </c>
      <c r="F67" s="135" t="s">
        <v>7</v>
      </c>
      <c r="G67" s="135"/>
      <c r="H67" s="135">
        <v>1</v>
      </c>
      <c r="I67" s="135">
        <v>2</v>
      </c>
      <c r="J67" s="135"/>
      <c r="K67" s="135">
        <v>100</v>
      </c>
      <c r="L67" s="135"/>
      <c r="M67" s="135">
        <f>1000000*K67/I67</f>
        <v>50000000</v>
      </c>
      <c r="N67" s="127" t="s">
        <v>340</v>
      </c>
      <c r="O67" s="135" t="s">
        <v>92</v>
      </c>
      <c r="P67" s="42" t="s">
        <v>352</v>
      </c>
    </row>
    <row r="69" spans="2:22" s="15" customFormat="1">
      <c r="B69" s="21"/>
      <c r="P69" s="43"/>
      <c r="R69" s="25"/>
      <c r="U69" s="25"/>
    </row>
  </sheetData>
  <mergeCells count="3">
    <mergeCell ref="N3:O3"/>
    <mergeCell ref="Q3:W3"/>
    <mergeCell ref="J3:K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C264-63EF-4521-A32D-4132AFD87DEA}">
  <dimension ref="B2:W34"/>
  <sheetViews>
    <sheetView workbookViewId="0">
      <selection activeCell="H44" sqref="H44"/>
    </sheetView>
  </sheetViews>
  <sheetFormatPr defaultColWidth="10.875" defaultRowHeight="15.75"/>
  <cols>
    <col min="1" max="1" width="3.875" style="155" customWidth="1"/>
    <col min="2" max="2" width="58.375" style="69" customWidth="1"/>
    <col min="3" max="3" width="11.125" style="155" customWidth="1"/>
    <col min="4" max="4" width="8.375" style="155" customWidth="1"/>
    <col min="5" max="5" width="21.5" style="155" customWidth="1"/>
    <col min="6" max="6" width="10.875" style="155"/>
    <col min="7" max="12" width="9" style="155" customWidth="1"/>
    <col min="13" max="13" width="11.125" style="155" bestFit="1" customWidth="1"/>
    <col min="14" max="14" width="12.875" style="155" customWidth="1"/>
    <col min="15" max="15" width="10.5" style="155" customWidth="1"/>
    <col min="16" max="16" width="36.625" style="70" customWidth="1"/>
    <col min="17" max="18" width="9" style="155" customWidth="1"/>
    <col min="19" max="19" width="9" style="166" customWidth="1"/>
    <col min="20" max="22" width="9" style="155" customWidth="1"/>
    <col min="23" max="23" width="47" style="155" customWidth="1"/>
    <col min="24" max="16384" width="10.875" style="155"/>
  </cols>
  <sheetData>
    <row r="2" spans="2:23">
      <c r="Q2" s="156"/>
      <c r="R2" s="156"/>
      <c r="S2" s="164"/>
      <c r="T2" s="156"/>
    </row>
    <row r="3" spans="2:23">
      <c r="J3" s="191" t="s">
        <v>293</v>
      </c>
      <c r="K3" s="191"/>
      <c r="N3" s="191" t="s">
        <v>78</v>
      </c>
      <c r="O3" s="191"/>
      <c r="Q3" s="191" t="s">
        <v>99</v>
      </c>
      <c r="R3" s="191"/>
      <c r="S3" s="191"/>
      <c r="T3" s="191"/>
      <c r="U3" s="191"/>
      <c r="V3" s="191"/>
      <c r="W3" s="191"/>
    </row>
    <row r="4" spans="2:23" s="163" customFormat="1">
      <c r="B4" s="167" t="s">
        <v>77</v>
      </c>
      <c r="C4" s="163" t="s">
        <v>89</v>
      </c>
      <c r="D4" s="163" t="s">
        <v>61</v>
      </c>
      <c r="E4" s="163" t="s">
        <v>0</v>
      </c>
      <c r="F4" s="163" t="s">
        <v>1</v>
      </c>
      <c r="G4" s="163" t="s">
        <v>80</v>
      </c>
      <c r="H4" s="163" t="s">
        <v>81</v>
      </c>
      <c r="I4" s="163" t="s">
        <v>85</v>
      </c>
      <c r="J4" s="163" t="s">
        <v>292</v>
      </c>
      <c r="K4" s="163" t="s">
        <v>291</v>
      </c>
      <c r="L4" s="163" t="s">
        <v>290</v>
      </c>
      <c r="M4" s="163" t="s">
        <v>294</v>
      </c>
      <c r="N4" s="163" t="s">
        <v>93</v>
      </c>
      <c r="O4" s="163" t="s">
        <v>94</v>
      </c>
      <c r="P4" s="173" t="s">
        <v>299</v>
      </c>
      <c r="Q4" s="163" t="s">
        <v>100</v>
      </c>
      <c r="R4" s="163" t="s">
        <v>102</v>
      </c>
      <c r="S4" s="165" t="s">
        <v>101</v>
      </c>
      <c r="T4" s="163" t="s">
        <v>100</v>
      </c>
      <c r="U4" s="163" t="s">
        <v>102</v>
      </c>
      <c r="V4" s="163" t="s">
        <v>322</v>
      </c>
      <c r="W4" s="163" t="s">
        <v>334</v>
      </c>
    </row>
    <row r="6" spans="2:23">
      <c r="B6" s="69" t="s">
        <v>152</v>
      </c>
      <c r="C6" s="155" t="s">
        <v>42</v>
      </c>
      <c r="D6" s="155">
        <v>1024</v>
      </c>
      <c r="E6" s="155" t="s">
        <v>154</v>
      </c>
      <c r="F6" s="155" t="s">
        <v>7</v>
      </c>
      <c r="G6" s="155">
        <v>298</v>
      </c>
      <c r="H6" s="155">
        <v>1</v>
      </c>
      <c r="I6" s="155">
        <v>1</v>
      </c>
      <c r="J6" s="159" t="s">
        <v>55</v>
      </c>
      <c r="K6" s="155">
        <v>5</v>
      </c>
      <c r="L6" s="155">
        <v>1</v>
      </c>
      <c r="M6" s="155">
        <f>1000000*K6/I6</f>
        <v>5000000</v>
      </c>
      <c r="Q6" s="155" t="s">
        <v>21</v>
      </c>
      <c r="R6" s="155" t="s">
        <v>133</v>
      </c>
      <c r="S6" s="166">
        <v>775.06899999999996</v>
      </c>
      <c r="T6" s="155" t="s">
        <v>24</v>
      </c>
      <c r="U6" s="158" t="s">
        <v>133</v>
      </c>
      <c r="V6" s="160">
        <v>0.2656</v>
      </c>
      <c r="W6" s="159" t="s">
        <v>153</v>
      </c>
    </row>
    <row r="7" spans="2:23">
      <c r="C7" s="155" t="s">
        <v>42</v>
      </c>
      <c r="D7" s="155">
        <v>1024</v>
      </c>
      <c r="E7" s="135" t="s">
        <v>155</v>
      </c>
      <c r="F7" s="155" t="s">
        <v>7</v>
      </c>
      <c r="G7" s="155">
        <v>298</v>
      </c>
      <c r="H7" s="155">
        <v>1</v>
      </c>
      <c r="I7" s="155">
        <v>1</v>
      </c>
      <c r="J7" s="159" t="s">
        <v>55</v>
      </c>
      <c r="K7" s="155">
        <v>5</v>
      </c>
      <c r="L7" s="155">
        <v>1</v>
      </c>
      <c r="M7" s="155">
        <f>1000000*K7/I7</f>
        <v>5000000</v>
      </c>
      <c r="Q7" s="135" t="s">
        <v>21</v>
      </c>
      <c r="R7" s="26" t="s">
        <v>133</v>
      </c>
      <c r="S7" s="28">
        <v>790.25</v>
      </c>
      <c r="T7" s="135" t="s">
        <v>24</v>
      </c>
      <c r="U7" s="27" t="s">
        <v>133</v>
      </c>
      <c r="V7" s="137">
        <v>0.1439</v>
      </c>
      <c r="W7" s="135" t="s">
        <v>157</v>
      </c>
    </row>
    <row r="8" spans="2:23" s="163" customFormat="1">
      <c r="B8" s="167"/>
      <c r="P8" s="173"/>
      <c r="S8" s="165"/>
    </row>
    <row r="10" spans="2:23">
      <c r="B10" s="69" t="s">
        <v>394</v>
      </c>
      <c r="C10" s="155" t="s">
        <v>42</v>
      </c>
      <c r="D10" s="155">
        <v>1024</v>
      </c>
      <c r="E10" s="155" t="s">
        <v>289</v>
      </c>
      <c r="F10" s="155" t="s">
        <v>7</v>
      </c>
      <c r="G10" s="155">
        <v>298</v>
      </c>
      <c r="H10" s="155">
        <v>1</v>
      </c>
      <c r="I10" s="155">
        <v>1</v>
      </c>
      <c r="J10" s="155">
        <v>2</v>
      </c>
      <c r="K10" s="155">
        <v>4</v>
      </c>
      <c r="L10" s="155">
        <v>5</v>
      </c>
      <c r="M10" s="155">
        <f>1000000*K10/I10</f>
        <v>4000000</v>
      </c>
      <c r="P10" s="70" t="s">
        <v>306</v>
      </c>
      <c r="Q10" s="161" t="s">
        <v>21</v>
      </c>
      <c r="R10" s="155" t="s">
        <v>320</v>
      </c>
      <c r="T10" s="155" t="s">
        <v>24</v>
      </c>
      <c r="U10" s="155" t="s">
        <v>321</v>
      </c>
      <c r="V10" s="160"/>
    </row>
    <row r="11" spans="2:23">
      <c r="E11" s="155" t="s">
        <v>13</v>
      </c>
      <c r="F11" s="155" t="s">
        <v>98</v>
      </c>
      <c r="I11" s="155">
        <v>1</v>
      </c>
      <c r="K11" s="155">
        <v>10</v>
      </c>
      <c r="M11" s="155">
        <f>1000000*K11/I11</f>
        <v>10000000</v>
      </c>
      <c r="Q11" s="161" t="s">
        <v>23</v>
      </c>
    </row>
    <row r="12" spans="2:23">
      <c r="E12" s="184"/>
      <c r="V12" s="155" t="s">
        <v>335</v>
      </c>
    </row>
    <row r="13" spans="2:23">
      <c r="B13" s="69" t="s">
        <v>156</v>
      </c>
      <c r="C13" s="155" t="s">
        <v>42</v>
      </c>
      <c r="D13" s="155">
        <v>1024</v>
      </c>
      <c r="E13" s="184" t="s">
        <v>158</v>
      </c>
      <c r="F13" s="155" t="s">
        <v>7</v>
      </c>
      <c r="H13" s="155">
        <v>1</v>
      </c>
      <c r="I13" s="155">
        <v>1</v>
      </c>
      <c r="K13" s="155">
        <v>100</v>
      </c>
      <c r="M13" s="155">
        <f>1000000*K13/I13</f>
        <v>100000000</v>
      </c>
      <c r="N13" s="155" t="s">
        <v>91</v>
      </c>
      <c r="O13" s="155" t="s">
        <v>92</v>
      </c>
      <c r="P13" s="70" t="s">
        <v>352</v>
      </c>
      <c r="Q13" s="155" t="s">
        <v>304</v>
      </c>
      <c r="T13" s="155" t="s">
        <v>303</v>
      </c>
      <c r="V13" s="162">
        <f>R13+U13-SQRT(R13*U13)</f>
        <v>0</v>
      </c>
    </row>
    <row r="15" spans="2:23">
      <c r="B15" s="69" t="s">
        <v>434</v>
      </c>
      <c r="C15" s="155" t="s">
        <v>42</v>
      </c>
      <c r="D15" s="155">
        <v>512</v>
      </c>
      <c r="E15" s="184" t="s">
        <v>158</v>
      </c>
      <c r="F15" s="155" t="s">
        <v>7</v>
      </c>
      <c r="H15" s="155">
        <v>1</v>
      </c>
      <c r="I15" s="155">
        <v>1</v>
      </c>
      <c r="K15" s="155">
        <v>100</v>
      </c>
      <c r="M15" s="155">
        <f>1000000*K15/I15</f>
        <v>100000000</v>
      </c>
      <c r="N15" s="155" t="s">
        <v>91</v>
      </c>
      <c r="O15" s="155" t="s">
        <v>92</v>
      </c>
      <c r="P15" s="70" t="s">
        <v>435</v>
      </c>
      <c r="Q15" s="155" t="s">
        <v>304</v>
      </c>
      <c r="T15" s="155" t="s">
        <v>303</v>
      </c>
    </row>
    <row r="16" spans="2:23" s="163" customFormat="1">
      <c r="B16" s="167"/>
      <c r="P16" s="173"/>
      <c r="S16" s="165"/>
    </row>
    <row r="17" spans="2:19">
      <c r="C17" s="184"/>
      <c r="D17" s="184"/>
      <c r="E17" s="184"/>
      <c r="F17" s="184"/>
      <c r="G17" s="184"/>
      <c r="H17" s="184"/>
      <c r="I17" s="184"/>
      <c r="J17" s="184"/>
      <c r="K17" s="184"/>
      <c r="L17" s="184"/>
      <c r="M17" s="184"/>
      <c r="N17" s="184"/>
      <c r="O17" s="184"/>
    </row>
    <row r="18" spans="2:19">
      <c r="B18" s="69" t="s">
        <v>395</v>
      </c>
      <c r="C18" s="184" t="s">
        <v>41</v>
      </c>
      <c r="D18" s="184">
        <v>1024</v>
      </c>
      <c r="E18" s="184" t="s">
        <v>289</v>
      </c>
      <c r="F18" s="184" t="s">
        <v>7</v>
      </c>
      <c r="G18" s="184">
        <v>298</v>
      </c>
      <c r="H18" s="184">
        <v>1</v>
      </c>
      <c r="I18" s="184">
        <v>1</v>
      </c>
      <c r="J18" s="184">
        <v>2</v>
      </c>
      <c r="K18" s="184">
        <v>4</v>
      </c>
      <c r="L18" s="184">
        <v>5</v>
      </c>
      <c r="M18" s="184">
        <f>1000000*K18/I18</f>
        <v>4000000</v>
      </c>
      <c r="N18" s="184"/>
      <c r="O18" s="184"/>
    </row>
    <row r="19" spans="2:19">
      <c r="C19" s="184"/>
      <c r="D19" s="184"/>
      <c r="E19" s="184" t="s">
        <v>13</v>
      </c>
      <c r="F19" s="184" t="s">
        <v>98</v>
      </c>
      <c r="G19" s="184"/>
      <c r="H19" s="184"/>
      <c r="I19" s="184">
        <v>1</v>
      </c>
      <c r="J19" s="184"/>
      <c r="K19" s="184">
        <v>10</v>
      </c>
      <c r="L19" s="184"/>
      <c r="M19" s="184">
        <f>1000000*K19/I19</f>
        <v>10000000</v>
      </c>
      <c r="N19" s="184"/>
      <c r="O19" s="184"/>
    </row>
    <row r="20" spans="2:19">
      <c r="C20" s="184"/>
      <c r="D20" s="184"/>
      <c r="E20" s="184"/>
      <c r="F20" s="184"/>
      <c r="G20" s="184"/>
      <c r="H20" s="184"/>
      <c r="I20" s="184"/>
      <c r="J20" s="184"/>
      <c r="K20" s="184"/>
      <c r="L20" s="184"/>
      <c r="M20" s="184"/>
      <c r="N20" s="184"/>
      <c r="O20" s="184"/>
    </row>
    <row r="21" spans="2:19">
      <c r="B21" s="69" t="s">
        <v>391</v>
      </c>
      <c r="C21" s="184" t="s">
        <v>41</v>
      </c>
      <c r="D21" s="184">
        <v>1024</v>
      </c>
      <c r="E21" s="184" t="s">
        <v>158</v>
      </c>
      <c r="F21" s="184" t="s">
        <v>7</v>
      </c>
      <c r="G21" s="184"/>
      <c r="H21" s="184">
        <v>1</v>
      </c>
      <c r="I21" s="184">
        <v>1</v>
      </c>
      <c r="J21" s="184"/>
      <c r="K21" s="184">
        <v>100</v>
      </c>
      <c r="L21" s="184"/>
      <c r="M21" s="184">
        <f>1000000*K21/I21</f>
        <v>100000000</v>
      </c>
      <c r="N21" s="183" t="s">
        <v>308</v>
      </c>
      <c r="O21" s="183" t="s">
        <v>92</v>
      </c>
      <c r="P21" s="70" t="s">
        <v>352</v>
      </c>
    </row>
    <row r="22" spans="2:19">
      <c r="C22" s="184"/>
      <c r="D22" s="184"/>
      <c r="E22" s="184"/>
      <c r="F22" s="184"/>
      <c r="G22" s="184"/>
      <c r="H22" s="184"/>
      <c r="I22" s="184"/>
      <c r="J22" s="184"/>
      <c r="K22" s="184"/>
      <c r="L22" s="184"/>
      <c r="M22" s="184"/>
      <c r="N22" s="183"/>
      <c r="O22" s="183"/>
    </row>
    <row r="23" spans="2:19">
      <c r="B23" s="69" t="s">
        <v>433</v>
      </c>
      <c r="C23" s="184" t="s">
        <v>41</v>
      </c>
      <c r="D23" s="184">
        <v>512</v>
      </c>
      <c r="E23" s="184" t="s">
        <v>158</v>
      </c>
      <c r="F23" s="184" t="s">
        <v>7</v>
      </c>
      <c r="G23" s="184"/>
      <c r="H23" s="184">
        <v>1</v>
      </c>
      <c r="I23" s="184">
        <v>1</v>
      </c>
      <c r="J23" s="184"/>
      <c r="K23" s="184">
        <v>100</v>
      </c>
      <c r="L23" s="184"/>
      <c r="M23" s="184">
        <f>1000000*K23/I23</f>
        <v>100000000</v>
      </c>
      <c r="N23" s="183" t="s">
        <v>308</v>
      </c>
      <c r="O23" s="183" t="s">
        <v>92</v>
      </c>
    </row>
    <row r="24" spans="2:19" s="163" customFormat="1">
      <c r="B24" s="167"/>
      <c r="P24" s="173"/>
      <c r="S24" s="165"/>
    </row>
    <row r="25" spans="2:19">
      <c r="C25" s="184"/>
      <c r="D25" s="184"/>
      <c r="E25" s="184"/>
      <c r="F25" s="184"/>
      <c r="G25" s="184"/>
      <c r="H25" s="184"/>
      <c r="I25" s="184"/>
      <c r="J25" s="184"/>
      <c r="K25" s="184"/>
      <c r="L25" s="184"/>
      <c r="M25" s="184"/>
      <c r="N25" s="184"/>
      <c r="O25" s="184"/>
    </row>
    <row r="26" spans="2:19">
      <c r="B26" s="69" t="s">
        <v>401</v>
      </c>
      <c r="C26" s="184" t="s">
        <v>33</v>
      </c>
      <c r="D26" s="184">
        <v>2048</v>
      </c>
      <c r="E26" s="184" t="s">
        <v>289</v>
      </c>
      <c r="F26" s="184" t="s">
        <v>7</v>
      </c>
      <c r="G26" s="184">
        <v>298</v>
      </c>
      <c r="H26" s="184">
        <v>1</v>
      </c>
      <c r="I26" s="184">
        <v>1</v>
      </c>
      <c r="J26" s="184">
        <v>2</v>
      </c>
      <c r="K26" s="184">
        <v>4</v>
      </c>
      <c r="L26" s="184">
        <v>5</v>
      </c>
      <c r="M26" s="184">
        <f>1000000*K26/I26</f>
        <v>4000000</v>
      </c>
      <c r="N26" s="184"/>
      <c r="O26" s="184"/>
      <c r="P26" s="70" t="s">
        <v>400</v>
      </c>
    </row>
    <row r="27" spans="2:19">
      <c r="C27" s="184"/>
      <c r="D27" s="184"/>
      <c r="E27" s="184" t="s">
        <v>13</v>
      </c>
      <c r="F27" s="184" t="s">
        <v>98</v>
      </c>
      <c r="G27" s="184"/>
      <c r="H27" s="184"/>
      <c r="I27" s="184">
        <v>1</v>
      </c>
      <c r="J27" s="184"/>
      <c r="K27" s="184">
        <v>10</v>
      </c>
      <c r="L27" s="184"/>
      <c r="M27" s="184">
        <f>1000000*K27/I27</f>
        <v>10000000</v>
      </c>
      <c r="N27" s="184"/>
      <c r="O27" s="184"/>
    </row>
    <row r="28" spans="2:19">
      <c r="C28" s="184"/>
      <c r="D28" s="184"/>
      <c r="E28" s="184"/>
      <c r="F28" s="184"/>
      <c r="G28" s="184"/>
      <c r="H28" s="184"/>
      <c r="I28" s="184"/>
      <c r="J28" s="184"/>
      <c r="K28" s="184"/>
      <c r="L28" s="184"/>
      <c r="M28" s="184"/>
      <c r="N28" s="184"/>
      <c r="O28" s="184"/>
    </row>
    <row r="29" spans="2:19">
      <c r="B29" s="69" t="s">
        <v>392</v>
      </c>
      <c r="C29" s="184" t="s">
        <v>33</v>
      </c>
      <c r="D29" s="184">
        <v>2048</v>
      </c>
      <c r="E29" s="184" t="s">
        <v>158</v>
      </c>
      <c r="F29" s="184" t="s">
        <v>7</v>
      </c>
      <c r="G29" s="184"/>
      <c r="H29" s="184">
        <v>1</v>
      </c>
      <c r="I29" s="184">
        <v>1</v>
      </c>
      <c r="J29" s="184"/>
      <c r="K29" s="184">
        <v>100</v>
      </c>
      <c r="L29" s="184"/>
      <c r="M29" s="184">
        <f>1000000*K29/I29</f>
        <v>100000000</v>
      </c>
      <c r="N29" s="185" t="s">
        <v>314</v>
      </c>
      <c r="O29" s="183" t="s">
        <v>92</v>
      </c>
      <c r="P29" s="70" t="s">
        <v>393</v>
      </c>
    </row>
    <row r="30" spans="2:19">
      <c r="C30" s="184"/>
      <c r="D30" s="184"/>
      <c r="E30" s="184"/>
      <c r="F30" s="184"/>
      <c r="G30" s="184"/>
      <c r="H30" s="184"/>
      <c r="I30" s="184"/>
      <c r="J30" s="184"/>
      <c r="K30" s="184"/>
      <c r="L30" s="184"/>
      <c r="M30" s="184"/>
      <c r="N30" s="185"/>
      <c r="O30" s="183"/>
    </row>
    <row r="31" spans="2:19" s="187" customFormat="1">
      <c r="B31" s="69" t="s">
        <v>429</v>
      </c>
      <c r="C31" s="187" t="s">
        <v>33</v>
      </c>
      <c r="D31" s="187">
        <v>2048</v>
      </c>
      <c r="E31" s="187" t="s">
        <v>158</v>
      </c>
      <c r="F31" s="187" t="s">
        <v>7</v>
      </c>
      <c r="H31" s="187">
        <v>1</v>
      </c>
      <c r="I31" s="187">
        <v>1</v>
      </c>
      <c r="K31" s="187">
        <v>100</v>
      </c>
      <c r="M31" s="187">
        <f>1000000*K31/I31</f>
        <v>100000000</v>
      </c>
      <c r="N31" s="188" t="s">
        <v>430</v>
      </c>
      <c r="O31" s="186" t="s">
        <v>92</v>
      </c>
      <c r="P31" s="70" t="s">
        <v>431</v>
      </c>
      <c r="S31" s="166"/>
    </row>
    <row r="32" spans="2:19" s="187" customFormat="1">
      <c r="B32" s="69"/>
      <c r="N32" s="188"/>
      <c r="O32" s="186"/>
      <c r="P32" s="70"/>
      <c r="S32" s="166"/>
    </row>
    <row r="33" spans="2:19">
      <c r="B33" s="69" t="s">
        <v>432</v>
      </c>
      <c r="C33" s="184" t="s">
        <v>33</v>
      </c>
      <c r="D33" s="184">
        <v>1024</v>
      </c>
      <c r="E33" s="184" t="s">
        <v>158</v>
      </c>
      <c r="F33" s="184" t="s">
        <v>7</v>
      </c>
      <c r="G33" s="184"/>
      <c r="H33" s="184">
        <v>1</v>
      </c>
      <c r="I33" s="184">
        <v>1</v>
      </c>
      <c r="J33" s="184"/>
      <c r="K33" s="184">
        <v>100</v>
      </c>
      <c r="L33" s="184"/>
      <c r="M33" s="184">
        <f>1000000*K33/I33</f>
        <v>100000000</v>
      </c>
      <c r="N33" s="185" t="s">
        <v>314</v>
      </c>
      <c r="O33" s="183" t="s">
        <v>92</v>
      </c>
    </row>
    <row r="34" spans="2:19" s="163" customFormat="1">
      <c r="B34" s="167"/>
      <c r="P34" s="173"/>
      <c r="S34" s="165"/>
    </row>
  </sheetData>
  <mergeCells count="3">
    <mergeCell ref="J3:K3"/>
    <mergeCell ref="N3:O3"/>
    <mergeCell ref="Q3:W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DEB4-BD19-48D8-9023-335FB17A38E5}">
  <dimension ref="B1:AA35"/>
  <sheetViews>
    <sheetView topLeftCell="A9" workbookViewId="0">
      <selection activeCell="B62" sqref="B62"/>
    </sheetView>
  </sheetViews>
  <sheetFormatPr defaultColWidth="10.875" defaultRowHeight="15.75"/>
  <cols>
    <col min="1" max="1" width="3.875" style="150" customWidth="1"/>
    <col min="2" max="2" width="51.875" style="151" customWidth="1"/>
    <col min="3" max="3" width="10.75" style="150" customWidth="1"/>
    <col min="4" max="4" width="9.125" style="169" customWidth="1"/>
    <col min="5" max="5" width="21.375" style="140" customWidth="1"/>
    <col min="6" max="6" width="12" style="140" customWidth="1"/>
    <col min="7" max="12" width="9" style="150" customWidth="1"/>
    <col min="13" max="13" width="10.875" style="150"/>
    <col min="14" max="14" width="12.5" style="150" customWidth="1"/>
    <col min="15" max="15" width="10.875" style="150"/>
    <col min="16" max="16" width="31.875" style="42" customWidth="1"/>
    <col min="17" max="21" width="9" style="150" customWidth="1"/>
    <col min="22" max="22" width="9" style="184" customWidth="1"/>
    <col min="23" max="23" width="31.125" style="150" customWidth="1"/>
    <col min="24" max="24" width="9" style="141" customWidth="1"/>
    <col min="25" max="25" width="9" style="150" customWidth="1"/>
    <col min="26" max="26" width="47" style="150" customWidth="1"/>
    <col min="27" max="27" width="68" style="142" customWidth="1"/>
    <col min="28" max="16384" width="10.875" style="150"/>
  </cols>
  <sheetData>
    <row r="1" spans="2:27" hidden="1"/>
    <row r="2" spans="2:27" hidden="1">
      <c r="U2" s="143"/>
      <c r="V2" s="156"/>
      <c r="W2" s="143"/>
    </row>
    <row r="3" spans="2:27" hidden="1">
      <c r="C3" s="150" t="s">
        <v>134</v>
      </c>
      <c r="O3" s="150" t="s">
        <v>83</v>
      </c>
      <c r="Q3" s="192" t="s">
        <v>78</v>
      </c>
      <c r="R3" s="192"/>
      <c r="S3" s="192"/>
      <c r="U3" s="192" t="s">
        <v>99</v>
      </c>
      <c r="V3" s="192"/>
      <c r="W3" s="192"/>
      <c r="X3" s="192"/>
      <c r="Y3" s="192"/>
      <c r="Z3" s="192"/>
    </row>
    <row r="4" spans="2:27" hidden="1">
      <c r="B4" s="151" t="s">
        <v>77</v>
      </c>
      <c r="C4" s="150" t="s">
        <v>126</v>
      </c>
      <c r="D4" s="169" t="s">
        <v>129</v>
      </c>
      <c r="E4" s="140" t="s">
        <v>130</v>
      </c>
      <c r="F4" s="140" t="s">
        <v>131</v>
      </c>
      <c r="G4" s="150" t="s">
        <v>89</v>
      </c>
      <c r="H4" s="150" t="s">
        <v>61</v>
      </c>
      <c r="I4" s="150" t="s">
        <v>0</v>
      </c>
      <c r="J4" s="150" t="s">
        <v>1</v>
      </c>
      <c r="K4" s="150" t="s">
        <v>80</v>
      </c>
      <c r="L4" s="150" t="s">
        <v>81</v>
      </c>
      <c r="M4" s="150" t="s">
        <v>87</v>
      </c>
      <c r="N4" s="150" t="s">
        <v>85</v>
      </c>
      <c r="O4" s="150" t="s">
        <v>82</v>
      </c>
      <c r="P4" s="42" t="s">
        <v>84</v>
      </c>
      <c r="Q4" s="150" t="s">
        <v>93</v>
      </c>
      <c r="R4" s="150" t="s">
        <v>94</v>
      </c>
      <c r="S4" s="150" t="s">
        <v>90</v>
      </c>
      <c r="T4" s="150" t="s">
        <v>138</v>
      </c>
      <c r="U4" s="150" t="s">
        <v>100</v>
      </c>
      <c r="V4" s="184" t="s">
        <v>102</v>
      </c>
      <c r="W4" s="150" t="s">
        <v>101</v>
      </c>
      <c r="X4" s="141" t="s">
        <v>102</v>
      </c>
      <c r="Y4" s="150" t="s">
        <v>101</v>
      </c>
      <c r="Z4" s="150" t="s">
        <v>5</v>
      </c>
      <c r="AA4" s="142" t="s">
        <v>5</v>
      </c>
    </row>
    <row r="5" spans="2:27" s="139" customFormat="1" hidden="1">
      <c r="B5" s="47" t="s">
        <v>132</v>
      </c>
      <c r="C5" s="139" t="s">
        <v>136</v>
      </c>
      <c r="D5" s="170">
        <v>1.25</v>
      </c>
      <c r="E5" s="145">
        <v>1.05</v>
      </c>
      <c r="F5" s="145">
        <v>1.05</v>
      </c>
      <c r="G5" s="139" t="s">
        <v>42</v>
      </c>
      <c r="H5" s="139">
        <v>1024</v>
      </c>
      <c r="I5" s="139" t="s">
        <v>97</v>
      </c>
      <c r="J5" s="139" t="s">
        <v>7</v>
      </c>
      <c r="K5" s="139">
        <v>298</v>
      </c>
      <c r="L5" s="139">
        <v>1</v>
      </c>
      <c r="M5" s="146" t="s">
        <v>55</v>
      </c>
      <c r="N5" s="139">
        <v>1</v>
      </c>
      <c r="O5" s="139">
        <v>5</v>
      </c>
      <c r="P5" s="48">
        <f>1000000*O5/N5</f>
        <v>5000000</v>
      </c>
      <c r="T5" s="139">
        <v>27.507000000000001</v>
      </c>
      <c r="U5" s="139" t="s">
        <v>21</v>
      </c>
      <c r="V5" s="184" t="s">
        <v>133</v>
      </c>
      <c r="W5" s="139">
        <v>767.95699999999999</v>
      </c>
      <c r="X5" s="147" t="s">
        <v>133</v>
      </c>
      <c r="Y5" s="139">
        <v>0.23219999999999999</v>
      </c>
      <c r="Z5" s="146" t="s">
        <v>135</v>
      </c>
      <c r="AA5" s="148"/>
    </row>
    <row r="6" spans="2:27" s="139" customFormat="1" hidden="1">
      <c r="B6" s="47"/>
      <c r="C6" s="139" t="s">
        <v>127</v>
      </c>
      <c r="D6" s="170">
        <v>1.1499999999999999</v>
      </c>
      <c r="E6" s="145">
        <v>1.05</v>
      </c>
      <c r="F6" s="145">
        <v>1.05</v>
      </c>
      <c r="G6" s="139" t="s">
        <v>42</v>
      </c>
      <c r="H6" s="139">
        <v>1024</v>
      </c>
      <c r="I6" s="139" t="s">
        <v>97</v>
      </c>
      <c r="J6" s="139" t="s">
        <v>7</v>
      </c>
      <c r="K6" s="139">
        <v>298</v>
      </c>
      <c r="L6" s="139">
        <v>1</v>
      </c>
      <c r="M6" s="146" t="s">
        <v>55</v>
      </c>
      <c r="N6" s="139">
        <v>1</v>
      </c>
      <c r="O6" s="139">
        <v>5</v>
      </c>
      <c r="P6" s="48">
        <f>1000000*O6/N6</f>
        <v>5000000</v>
      </c>
      <c r="T6" s="139">
        <v>31.248999999999999</v>
      </c>
      <c r="U6" s="139" t="s">
        <v>21</v>
      </c>
      <c r="V6" s="184" t="s">
        <v>133</v>
      </c>
      <c r="W6" s="139">
        <v>768.41700000000003</v>
      </c>
      <c r="X6" s="147" t="s">
        <v>133</v>
      </c>
      <c r="Y6" s="139">
        <v>0.24929999999999999</v>
      </c>
      <c r="Z6" s="146" t="s">
        <v>139</v>
      </c>
      <c r="AA6" s="148"/>
    </row>
    <row r="7" spans="2:27" s="139" customFormat="1" hidden="1">
      <c r="B7" s="47"/>
      <c r="C7" s="139" t="s">
        <v>137</v>
      </c>
      <c r="D7" s="170">
        <v>1.25</v>
      </c>
      <c r="E7" s="145">
        <v>1.05</v>
      </c>
      <c r="F7" s="145">
        <v>1.05</v>
      </c>
      <c r="G7" s="139" t="s">
        <v>42</v>
      </c>
      <c r="H7" s="139">
        <v>1024</v>
      </c>
      <c r="I7" s="139" t="s">
        <v>97</v>
      </c>
      <c r="J7" s="139" t="s">
        <v>7</v>
      </c>
      <c r="K7" s="139">
        <v>298</v>
      </c>
      <c r="L7" s="139">
        <v>1</v>
      </c>
      <c r="M7" s="146" t="s">
        <v>55</v>
      </c>
      <c r="N7" s="139">
        <v>1</v>
      </c>
      <c r="O7" s="139">
        <v>5</v>
      </c>
      <c r="P7" s="48">
        <f>1000000*O7/N7</f>
        <v>5000000</v>
      </c>
      <c r="T7" s="139">
        <v>22.291</v>
      </c>
      <c r="U7" s="139" t="s">
        <v>21</v>
      </c>
      <c r="V7" s="184" t="s">
        <v>133</v>
      </c>
      <c r="W7" s="139">
        <v>775.88400000000001</v>
      </c>
      <c r="X7" s="147" t="s">
        <v>133</v>
      </c>
      <c r="Y7" s="139">
        <v>0.21210000000000001</v>
      </c>
      <c r="Z7" s="146" t="s">
        <v>140</v>
      </c>
      <c r="AA7" s="148"/>
    </row>
    <row r="8" spans="2:27" s="139" customFormat="1" hidden="1">
      <c r="B8" s="47"/>
      <c r="C8" s="139" t="s">
        <v>128</v>
      </c>
      <c r="D8" s="170">
        <v>1.1499999999999999</v>
      </c>
      <c r="E8" s="145">
        <v>1.05</v>
      </c>
      <c r="F8" s="145">
        <v>1.05</v>
      </c>
      <c r="G8" s="139" t="s">
        <v>42</v>
      </c>
      <c r="H8" s="139">
        <v>1024</v>
      </c>
      <c r="I8" s="139" t="s">
        <v>97</v>
      </c>
      <c r="J8" s="139" t="s">
        <v>7</v>
      </c>
      <c r="K8" s="139">
        <v>298</v>
      </c>
      <c r="L8" s="139">
        <v>1</v>
      </c>
      <c r="M8" s="146" t="s">
        <v>55</v>
      </c>
      <c r="N8" s="139">
        <v>1</v>
      </c>
      <c r="O8" s="139">
        <v>5</v>
      </c>
      <c r="P8" s="48">
        <f>1000000*O8/N8</f>
        <v>5000000</v>
      </c>
      <c r="T8" s="139">
        <v>26.669</v>
      </c>
      <c r="U8" s="139" t="s">
        <v>21</v>
      </c>
      <c r="V8" s="184" t="s">
        <v>133</v>
      </c>
      <c r="W8" s="139">
        <v>771.99900000000002</v>
      </c>
      <c r="X8" s="147" t="s">
        <v>133</v>
      </c>
      <c r="Y8" s="139">
        <v>0.2487</v>
      </c>
      <c r="Z8" s="139" t="s">
        <v>141</v>
      </c>
      <c r="AA8" s="148" t="s">
        <v>142</v>
      </c>
    </row>
    <row r="10" spans="2:27">
      <c r="E10" s="150"/>
      <c r="F10" s="150"/>
      <c r="J10" s="192" t="s">
        <v>293</v>
      </c>
      <c r="K10" s="192"/>
      <c r="N10" s="192" t="s">
        <v>78</v>
      </c>
      <c r="O10" s="192"/>
      <c r="Q10" s="192" t="s">
        <v>99</v>
      </c>
      <c r="R10" s="192"/>
      <c r="S10" s="192"/>
      <c r="T10" s="192"/>
      <c r="U10" s="192"/>
      <c r="V10" s="192"/>
      <c r="W10" s="192"/>
      <c r="X10" s="150"/>
      <c r="AA10" s="150"/>
    </row>
    <row r="11" spans="2:27" s="15" customFormat="1">
      <c r="B11" s="21" t="s">
        <v>77</v>
      </c>
      <c r="C11" s="15" t="s">
        <v>89</v>
      </c>
      <c r="D11" s="34" t="s">
        <v>61</v>
      </c>
      <c r="E11" s="15" t="s">
        <v>0</v>
      </c>
      <c r="F11" s="15" t="s">
        <v>1</v>
      </c>
      <c r="G11" s="15" t="s">
        <v>80</v>
      </c>
      <c r="H11" s="15" t="s">
        <v>81</v>
      </c>
      <c r="I11" s="15" t="s">
        <v>85</v>
      </c>
      <c r="J11" s="15" t="s">
        <v>292</v>
      </c>
      <c r="K11" s="15" t="s">
        <v>291</v>
      </c>
      <c r="L11" s="15" t="s">
        <v>290</v>
      </c>
      <c r="M11" s="15" t="s">
        <v>294</v>
      </c>
      <c r="N11" s="15" t="s">
        <v>93</v>
      </c>
      <c r="O11" s="15" t="s">
        <v>94</v>
      </c>
      <c r="P11" s="43" t="s">
        <v>299</v>
      </c>
      <c r="Q11" s="15" t="s">
        <v>100</v>
      </c>
      <c r="R11" s="25" t="s">
        <v>102</v>
      </c>
      <c r="S11" s="15" t="s">
        <v>101</v>
      </c>
      <c r="T11" s="15" t="s">
        <v>100</v>
      </c>
      <c r="U11" s="25" t="s">
        <v>102</v>
      </c>
      <c r="V11" s="163" t="s">
        <v>322</v>
      </c>
      <c r="W11" s="15" t="s">
        <v>334</v>
      </c>
    </row>
    <row r="13" spans="2:27">
      <c r="B13" s="151" t="s">
        <v>382</v>
      </c>
      <c r="C13" s="149" t="s">
        <v>42</v>
      </c>
      <c r="D13" s="171">
        <v>1024</v>
      </c>
      <c r="E13" s="149" t="s">
        <v>289</v>
      </c>
      <c r="F13" s="149" t="s">
        <v>7</v>
      </c>
      <c r="G13" s="149">
        <v>298</v>
      </c>
      <c r="H13" s="149">
        <v>1</v>
      </c>
      <c r="I13" s="149">
        <v>2</v>
      </c>
      <c r="J13" s="149">
        <v>4</v>
      </c>
      <c r="K13" s="149">
        <v>8</v>
      </c>
      <c r="L13" s="149">
        <v>5</v>
      </c>
      <c r="M13" s="149">
        <f>1000000*K13/I13</f>
        <v>4000000</v>
      </c>
      <c r="N13" s="149"/>
      <c r="O13" s="149"/>
      <c r="P13" s="42" t="s">
        <v>306</v>
      </c>
      <c r="Q13" s="126" t="s">
        <v>21</v>
      </c>
      <c r="R13" s="26" t="s">
        <v>320</v>
      </c>
      <c r="S13" s="149">
        <v>768.56359999999995</v>
      </c>
      <c r="T13" s="149" t="s">
        <v>24</v>
      </c>
      <c r="U13" s="26" t="s">
        <v>321</v>
      </c>
      <c r="V13" s="71">
        <v>0.24729999999999999</v>
      </c>
    </row>
    <row r="14" spans="2:27">
      <c r="E14" s="157" t="s">
        <v>13</v>
      </c>
      <c r="F14" s="157" t="s">
        <v>98</v>
      </c>
      <c r="G14" s="157"/>
      <c r="H14" s="157"/>
      <c r="I14" s="157">
        <v>2</v>
      </c>
      <c r="J14" s="157"/>
      <c r="K14" s="157">
        <v>10</v>
      </c>
      <c r="L14" s="157"/>
      <c r="M14" s="157">
        <f>1000000*K14/I14</f>
        <v>5000000</v>
      </c>
    </row>
    <row r="16" spans="2:27">
      <c r="B16" s="151" t="s">
        <v>383</v>
      </c>
      <c r="C16" s="149" t="s">
        <v>42</v>
      </c>
      <c r="D16" s="171">
        <v>1024</v>
      </c>
      <c r="E16" s="149" t="s">
        <v>297</v>
      </c>
      <c r="F16" s="149" t="s">
        <v>7</v>
      </c>
      <c r="G16" s="149"/>
      <c r="H16" s="149">
        <v>1</v>
      </c>
      <c r="I16" s="149">
        <v>2</v>
      </c>
      <c r="J16" s="149"/>
      <c r="K16" s="149">
        <v>100</v>
      </c>
      <c r="L16" s="149"/>
      <c r="M16" s="149">
        <f>1000000*K16/I16</f>
        <v>50000000</v>
      </c>
      <c r="N16" s="149" t="s">
        <v>91</v>
      </c>
      <c r="O16" s="149" t="s">
        <v>92</v>
      </c>
    </row>
    <row r="17" spans="2:27">
      <c r="C17" s="149"/>
      <c r="D17" s="171"/>
      <c r="E17" s="149"/>
      <c r="F17" s="149"/>
      <c r="G17" s="149"/>
      <c r="H17" s="149"/>
      <c r="I17" s="149"/>
      <c r="J17" s="149"/>
      <c r="K17" s="149"/>
      <c r="L17" s="149"/>
      <c r="M17" s="149"/>
      <c r="N17" s="149"/>
      <c r="O17" s="149"/>
    </row>
    <row r="18" spans="2:27">
      <c r="B18" s="151" t="s">
        <v>384</v>
      </c>
      <c r="C18" s="149" t="s">
        <v>42</v>
      </c>
      <c r="D18" s="171">
        <v>512</v>
      </c>
      <c r="E18" s="149" t="s">
        <v>296</v>
      </c>
      <c r="F18" s="149" t="s">
        <v>7</v>
      </c>
      <c r="G18" s="149"/>
      <c r="H18" s="149">
        <v>1</v>
      </c>
      <c r="I18" s="149">
        <v>2</v>
      </c>
      <c r="J18" s="149"/>
      <c r="K18" s="149">
        <v>100</v>
      </c>
      <c r="L18" s="149"/>
      <c r="M18" s="149">
        <f>1000000*K18/I18</f>
        <v>50000000</v>
      </c>
      <c r="N18" s="149" t="s">
        <v>91</v>
      </c>
      <c r="O18" s="149" t="s">
        <v>92</v>
      </c>
    </row>
    <row r="19" spans="2:27" s="15" customFormat="1">
      <c r="B19" s="21"/>
      <c r="D19" s="34"/>
      <c r="E19" s="19"/>
      <c r="F19" s="19"/>
      <c r="P19" s="43"/>
      <c r="V19" s="163"/>
      <c r="X19" s="25"/>
      <c r="AA19" s="168"/>
    </row>
    <row r="21" spans="2:27">
      <c r="B21" s="151" t="s">
        <v>385</v>
      </c>
      <c r="C21" s="149" t="s">
        <v>41</v>
      </c>
      <c r="D21" s="171">
        <v>1024</v>
      </c>
      <c r="E21" s="149" t="s">
        <v>289</v>
      </c>
      <c r="F21" s="149" t="s">
        <v>7</v>
      </c>
      <c r="G21" s="149">
        <v>298</v>
      </c>
      <c r="H21" s="149">
        <v>1</v>
      </c>
      <c r="I21" s="149">
        <v>2</v>
      </c>
      <c r="J21" s="149">
        <v>4</v>
      </c>
      <c r="K21" s="149">
        <v>8</v>
      </c>
      <c r="L21" s="149">
        <v>5</v>
      </c>
      <c r="M21" s="149">
        <f>1000000*K21/I21</f>
        <v>4000000</v>
      </c>
      <c r="N21" s="149"/>
      <c r="O21" s="149"/>
      <c r="P21" s="42" t="s">
        <v>306</v>
      </c>
      <c r="Q21" s="126" t="s">
        <v>21</v>
      </c>
      <c r="R21" s="26" t="s">
        <v>320</v>
      </c>
      <c r="S21" s="150">
        <v>763.49900000000002</v>
      </c>
      <c r="T21" s="183" t="s">
        <v>24</v>
      </c>
      <c r="U21" s="26" t="s">
        <v>321</v>
      </c>
      <c r="V21" s="184">
        <v>0.29976000000000003</v>
      </c>
    </row>
    <row r="24" spans="2:27">
      <c r="B24" s="151" t="s">
        <v>386</v>
      </c>
      <c r="C24" s="149" t="s">
        <v>41</v>
      </c>
      <c r="D24" s="171">
        <v>1024</v>
      </c>
      <c r="E24" s="149" t="s">
        <v>297</v>
      </c>
      <c r="F24" s="149" t="s">
        <v>7</v>
      </c>
      <c r="G24" s="149"/>
      <c r="H24" s="149">
        <v>1</v>
      </c>
      <c r="I24" s="149">
        <v>2</v>
      </c>
      <c r="J24" s="149"/>
      <c r="K24" s="149">
        <v>100</v>
      </c>
      <c r="L24" s="149"/>
      <c r="M24" s="149">
        <f>1000000*K24/I24</f>
        <v>50000000</v>
      </c>
      <c r="N24" s="149" t="s">
        <v>308</v>
      </c>
      <c r="O24" s="149" t="s">
        <v>92</v>
      </c>
    </row>
    <row r="25" spans="2:27">
      <c r="C25" s="149"/>
      <c r="D25" s="171"/>
      <c r="E25" s="149"/>
      <c r="F25" s="149"/>
      <c r="G25" s="149"/>
      <c r="H25" s="149"/>
      <c r="I25" s="149"/>
      <c r="J25" s="149"/>
      <c r="K25" s="149"/>
      <c r="L25" s="149"/>
      <c r="M25" s="149"/>
      <c r="N25" s="149"/>
      <c r="O25" s="149"/>
    </row>
    <row r="26" spans="2:27">
      <c r="B26" s="151" t="s">
        <v>387</v>
      </c>
      <c r="C26" s="149" t="s">
        <v>41</v>
      </c>
      <c r="D26" s="171">
        <v>512</v>
      </c>
      <c r="E26" s="149" t="s">
        <v>296</v>
      </c>
      <c r="F26" s="149" t="s">
        <v>7</v>
      </c>
      <c r="G26" s="149"/>
      <c r="H26" s="149">
        <v>1</v>
      </c>
      <c r="I26" s="149">
        <v>1</v>
      </c>
      <c r="J26" s="149"/>
      <c r="K26" s="149">
        <v>100</v>
      </c>
      <c r="L26" s="149"/>
      <c r="M26" s="149">
        <f>1000000*K26/I26</f>
        <v>100000000</v>
      </c>
      <c r="N26" s="149" t="s">
        <v>308</v>
      </c>
      <c r="O26" s="149" t="s">
        <v>92</v>
      </c>
    </row>
    <row r="27" spans="2:27" s="15" customFormat="1">
      <c r="B27" s="21"/>
      <c r="D27" s="34"/>
      <c r="E27" s="19"/>
      <c r="F27" s="19"/>
      <c r="P27" s="43"/>
      <c r="V27" s="163"/>
      <c r="X27" s="25"/>
      <c r="AA27" s="168"/>
    </row>
    <row r="29" spans="2:27">
      <c r="B29" s="151" t="s">
        <v>388</v>
      </c>
      <c r="C29" s="150" t="s">
        <v>33</v>
      </c>
      <c r="D29" s="169">
        <v>2048</v>
      </c>
      <c r="E29" s="149" t="s">
        <v>289</v>
      </c>
      <c r="F29" s="149" t="s">
        <v>7</v>
      </c>
      <c r="G29" s="149">
        <v>298</v>
      </c>
      <c r="H29" s="149">
        <v>1</v>
      </c>
      <c r="I29" s="149">
        <v>2</v>
      </c>
      <c r="J29" s="149">
        <v>4</v>
      </c>
      <c r="K29" s="149">
        <v>8</v>
      </c>
      <c r="L29" s="149">
        <v>5</v>
      </c>
      <c r="M29" s="149">
        <f>1000000*K29/I29</f>
        <v>4000000</v>
      </c>
      <c r="P29" s="42" t="s">
        <v>306</v>
      </c>
      <c r="Q29" s="126" t="s">
        <v>21</v>
      </c>
      <c r="R29" s="26" t="s">
        <v>320</v>
      </c>
      <c r="S29" s="150">
        <v>694.23820000000001</v>
      </c>
      <c r="T29" s="183" t="s">
        <v>24</v>
      </c>
      <c r="U29" s="26" t="s">
        <v>321</v>
      </c>
      <c r="V29" s="184">
        <v>1.8680600000000001</v>
      </c>
    </row>
    <row r="32" spans="2:27">
      <c r="B32" s="151" t="s">
        <v>389</v>
      </c>
      <c r="C32" s="150" t="s">
        <v>33</v>
      </c>
      <c r="D32" s="169">
        <v>2048</v>
      </c>
      <c r="E32" s="149" t="s">
        <v>297</v>
      </c>
      <c r="F32" s="149" t="s">
        <v>7</v>
      </c>
      <c r="G32" s="149"/>
      <c r="H32" s="149">
        <v>1</v>
      </c>
      <c r="I32" s="149">
        <v>2</v>
      </c>
      <c r="J32" s="149"/>
      <c r="K32" s="149">
        <v>100</v>
      </c>
      <c r="L32" s="149"/>
      <c r="M32" s="149">
        <f>1000000*K32/I32</f>
        <v>50000000</v>
      </c>
      <c r="N32" s="150" t="s">
        <v>316</v>
      </c>
      <c r="O32" s="149" t="s">
        <v>92</v>
      </c>
    </row>
    <row r="33" spans="2:27">
      <c r="E33" s="149"/>
      <c r="F33" s="149"/>
      <c r="G33" s="149"/>
      <c r="H33" s="149"/>
      <c r="I33" s="149"/>
      <c r="J33" s="149"/>
      <c r="K33" s="149"/>
      <c r="L33" s="149"/>
      <c r="M33" s="149"/>
      <c r="O33" s="149"/>
    </row>
    <row r="34" spans="2:27">
      <c r="B34" s="151" t="s">
        <v>390</v>
      </c>
      <c r="C34" s="150" t="s">
        <v>33</v>
      </c>
      <c r="D34" s="169">
        <v>1024</v>
      </c>
      <c r="E34" s="149" t="s">
        <v>296</v>
      </c>
      <c r="F34" s="149" t="s">
        <v>7</v>
      </c>
      <c r="G34" s="149"/>
      <c r="H34" s="149">
        <v>1</v>
      </c>
      <c r="I34" s="149">
        <v>2</v>
      </c>
      <c r="J34" s="149"/>
      <c r="K34" s="149">
        <v>100</v>
      </c>
      <c r="L34" s="149"/>
      <c r="M34" s="149">
        <f>1000000*K34/I34</f>
        <v>50000000</v>
      </c>
      <c r="N34" s="150" t="s">
        <v>316</v>
      </c>
      <c r="O34" s="149" t="s">
        <v>92</v>
      </c>
    </row>
    <row r="35" spans="2:27" s="15" customFormat="1">
      <c r="B35" s="21"/>
      <c r="D35" s="34"/>
      <c r="E35" s="19"/>
      <c r="F35" s="19"/>
      <c r="P35" s="43"/>
      <c r="V35" s="163"/>
      <c r="X35" s="25"/>
      <c r="AA35" s="168"/>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1:AA41"/>
  <sheetViews>
    <sheetView topLeftCell="A9" workbookViewId="0">
      <selection activeCell="P48" sqref="P48"/>
    </sheetView>
  </sheetViews>
  <sheetFormatPr defaultColWidth="10.875" defaultRowHeight="15.75"/>
  <cols>
    <col min="1" max="1" width="3.875" style="138" customWidth="1"/>
    <col min="2" max="2" width="51.875" style="131" customWidth="1"/>
    <col min="3" max="3" width="10.75" style="138" customWidth="1"/>
    <col min="4" max="4" width="9.125" style="169" customWidth="1"/>
    <col min="5" max="5" width="21.375" style="140" customWidth="1"/>
    <col min="6" max="6" width="12" style="140" customWidth="1"/>
    <col min="7" max="12" width="9" style="138" customWidth="1"/>
    <col min="13" max="13" width="10.875" style="138"/>
    <col min="14" max="14" width="12.5" style="138" customWidth="1"/>
    <col min="15" max="15" width="10.875" style="138"/>
    <col min="16" max="16" width="31.875" style="42" customWidth="1"/>
    <col min="17" max="21" width="9" style="138" customWidth="1"/>
    <col min="22" max="22" width="9" style="141" customWidth="1"/>
    <col min="23" max="23" width="31.125" style="138" customWidth="1"/>
    <col min="24" max="24" width="9" style="141" customWidth="1"/>
    <col min="25" max="25" width="9" style="138" customWidth="1"/>
    <col min="26" max="26" width="47" style="138" customWidth="1"/>
    <col min="27" max="27" width="68" style="142" customWidth="1"/>
    <col min="28" max="16384" width="10.875" style="138"/>
  </cols>
  <sheetData>
    <row r="1" spans="2:27" hidden="1"/>
    <row r="2" spans="2:27" hidden="1">
      <c r="U2" s="143"/>
      <c r="V2" s="144"/>
      <c r="W2" s="143"/>
    </row>
    <row r="3" spans="2:27" hidden="1">
      <c r="C3" s="138" t="s">
        <v>134</v>
      </c>
      <c r="O3" s="138" t="s">
        <v>83</v>
      </c>
      <c r="Q3" s="192" t="s">
        <v>78</v>
      </c>
      <c r="R3" s="192"/>
      <c r="S3" s="192"/>
      <c r="U3" s="192" t="s">
        <v>99</v>
      </c>
      <c r="V3" s="192"/>
      <c r="W3" s="192"/>
      <c r="X3" s="192"/>
      <c r="Y3" s="192"/>
      <c r="Z3" s="192"/>
    </row>
    <row r="4" spans="2:27" hidden="1">
      <c r="B4" s="131" t="s">
        <v>77</v>
      </c>
      <c r="C4" s="138" t="s">
        <v>126</v>
      </c>
      <c r="D4" s="169" t="s">
        <v>129</v>
      </c>
      <c r="E4" s="140" t="s">
        <v>130</v>
      </c>
      <c r="F4" s="140" t="s">
        <v>131</v>
      </c>
      <c r="G4" s="138" t="s">
        <v>89</v>
      </c>
      <c r="H4" s="138" t="s">
        <v>61</v>
      </c>
      <c r="I4" s="138" t="s">
        <v>0</v>
      </c>
      <c r="J4" s="138" t="s">
        <v>1</v>
      </c>
      <c r="K4" s="138" t="s">
        <v>80</v>
      </c>
      <c r="L4" s="138" t="s">
        <v>81</v>
      </c>
      <c r="M4" s="138" t="s">
        <v>87</v>
      </c>
      <c r="N4" s="138" t="s">
        <v>85</v>
      </c>
      <c r="O4" s="138" t="s">
        <v>82</v>
      </c>
      <c r="P4" s="42" t="s">
        <v>84</v>
      </c>
      <c r="Q4" s="138" t="s">
        <v>93</v>
      </c>
      <c r="R4" s="138" t="s">
        <v>94</v>
      </c>
      <c r="S4" s="138" t="s">
        <v>90</v>
      </c>
      <c r="T4" s="138" t="s">
        <v>138</v>
      </c>
      <c r="U4" s="138" t="s">
        <v>100</v>
      </c>
      <c r="V4" s="141" t="s">
        <v>102</v>
      </c>
      <c r="W4" s="138" t="s">
        <v>101</v>
      </c>
      <c r="X4" s="141" t="s">
        <v>102</v>
      </c>
      <c r="Y4" s="138" t="s">
        <v>101</v>
      </c>
      <c r="Z4" s="138" t="s">
        <v>5</v>
      </c>
      <c r="AA4" s="142" t="s">
        <v>5</v>
      </c>
    </row>
    <row r="5" spans="2:27" s="139" customFormat="1" hidden="1">
      <c r="B5" s="47" t="s">
        <v>132</v>
      </c>
      <c r="C5" s="139" t="s">
        <v>136</v>
      </c>
      <c r="D5" s="170">
        <v>1.25</v>
      </c>
      <c r="E5" s="145">
        <v>1.05</v>
      </c>
      <c r="F5" s="145">
        <v>1.05</v>
      </c>
      <c r="G5" s="139" t="s">
        <v>42</v>
      </c>
      <c r="H5" s="139">
        <v>1024</v>
      </c>
      <c r="I5" s="139" t="s">
        <v>97</v>
      </c>
      <c r="J5" s="139" t="s">
        <v>7</v>
      </c>
      <c r="K5" s="139">
        <v>298</v>
      </c>
      <c r="L5" s="139">
        <v>1</v>
      </c>
      <c r="M5" s="146" t="s">
        <v>55</v>
      </c>
      <c r="N5" s="139">
        <v>1</v>
      </c>
      <c r="O5" s="139">
        <v>5</v>
      </c>
      <c r="P5" s="48">
        <f>1000000*O5/N5</f>
        <v>5000000</v>
      </c>
      <c r="T5" s="139">
        <v>27.507000000000001</v>
      </c>
      <c r="U5" s="139" t="s">
        <v>21</v>
      </c>
      <c r="V5" s="139" t="s">
        <v>133</v>
      </c>
      <c r="W5" s="139">
        <v>767.95699999999999</v>
      </c>
      <c r="X5" s="147" t="s">
        <v>133</v>
      </c>
      <c r="Y5" s="139">
        <v>0.23219999999999999</v>
      </c>
      <c r="Z5" s="146" t="s">
        <v>135</v>
      </c>
      <c r="AA5" s="148"/>
    </row>
    <row r="6" spans="2:27" s="139" customFormat="1" hidden="1">
      <c r="B6" s="47"/>
      <c r="C6" s="139" t="s">
        <v>127</v>
      </c>
      <c r="D6" s="170">
        <v>1.1499999999999999</v>
      </c>
      <c r="E6" s="145">
        <v>1.05</v>
      </c>
      <c r="F6" s="145">
        <v>1.05</v>
      </c>
      <c r="G6" s="139" t="s">
        <v>42</v>
      </c>
      <c r="H6" s="139">
        <v>1024</v>
      </c>
      <c r="I6" s="139" t="s">
        <v>97</v>
      </c>
      <c r="J6" s="139" t="s">
        <v>7</v>
      </c>
      <c r="K6" s="139">
        <v>298</v>
      </c>
      <c r="L6" s="139">
        <v>1</v>
      </c>
      <c r="M6" s="146" t="s">
        <v>55</v>
      </c>
      <c r="N6" s="139">
        <v>1</v>
      </c>
      <c r="O6" s="139">
        <v>5</v>
      </c>
      <c r="P6" s="48">
        <f>1000000*O6/N6</f>
        <v>5000000</v>
      </c>
      <c r="T6" s="139">
        <v>31.248999999999999</v>
      </c>
      <c r="U6" s="139" t="s">
        <v>21</v>
      </c>
      <c r="V6" s="139" t="s">
        <v>133</v>
      </c>
      <c r="W6" s="139">
        <v>768.41700000000003</v>
      </c>
      <c r="X6" s="147" t="s">
        <v>133</v>
      </c>
      <c r="Y6" s="139">
        <v>0.24929999999999999</v>
      </c>
      <c r="Z6" s="146" t="s">
        <v>139</v>
      </c>
      <c r="AA6" s="148"/>
    </row>
    <row r="7" spans="2:27" s="139" customFormat="1" hidden="1">
      <c r="B7" s="47"/>
      <c r="C7" s="139" t="s">
        <v>137</v>
      </c>
      <c r="D7" s="170">
        <v>1.25</v>
      </c>
      <c r="E7" s="145">
        <v>1.05</v>
      </c>
      <c r="F7" s="145">
        <v>1.05</v>
      </c>
      <c r="G7" s="139" t="s">
        <v>42</v>
      </c>
      <c r="H7" s="139">
        <v>1024</v>
      </c>
      <c r="I7" s="139" t="s">
        <v>97</v>
      </c>
      <c r="J7" s="139" t="s">
        <v>7</v>
      </c>
      <c r="K7" s="139">
        <v>298</v>
      </c>
      <c r="L7" s="139">
        <v>1</v>
      </c>
      <c r="M7" s="146" t="s">
        <v>55</v>
      </c>
      <c r="N7" s="139">
        <v>1</v>
      </c>
      <c r="O7" s="139">
        <v>5</v>
      </c>
      <c r="P7" s="48">
        <f>1000000*O7/N7</f>
        <v>5000000</v>
      </c>
      <c r="T7" s="139">
        <v>22.291</v>
      </c>
      <c r="U7" s="139" t="s">
        <v>21</v>
      </c>
      <c r="V7" s="139" t="s">
        <v>133</v>
      </c>
      <c r="W7" s="139">
        <v>775.88400000000001</v>
      </c>
      <c r="X7" s="147" t="s">
        <v>133</v>
      </c>
      <c r="Y7" s="139">
        <v>0.21210000000000001</v>
      </c>
      <c r="Z7" s="146" t="s">
        <v>140</v>
      </c>
      <c r="AA7" s="148"/>
    </row>
    <row r="8" spans="2:27" s="139" customFormat="1" hidden="1">
      <c r="B8" s="47"/>
      <c r="C8" s="139" t="s">
        <v>128</v>
      </c>
      <c r="D8" s="170">
        <v>1.1499999999999999</v>
      </c>
      <c r="E8" s="145">
        <v>1.05</v>
      </c>
      <c r="F8" s="145">
        <v>1.05</v>
      </c>
      <c r="G8" s="139" t="s">
        <v>42</v>
      </c>
      <c r="H8" s="139">
        <v>1024</v>
      </c>
      <c r="I8" s="139" t="s">
        <v>97</v>
      </c>
      <c r="J8" s="139" t="s">
        <v>7</v>
      </c>
      <c r="K8" s="139">
        <v>298</v>
      </c>
      <c r="L8" s="139">
        <v>1</v>
      </c>
      <c r="M8" s="146" t="s">
        <v>55</v>
      </c>
      <c r="N8" s="139">
        <v>1</v>
      </c>
      <c r="O8" s="139">
        <v>5</v>
      </c>
      <c r="P8" s="48">
        <f>1000000*O8/N8</f>
        <v>5000000</v>
      </c>
      <c r="T8" s="139">
        <v>26.669</v>
      </c>
      <c r="U8" s="139" t="s">
        <v>21</v>
      </c>
      <c r="V8" s="139" t="s">
        <v>133</v>
      </c>
      <c r="W8" s="139">
        <v>771.99900000000002</v>
      </c>
      <c r="X8" s="147" t="s">
        <v>133</v>
      </c>
      <c r="Y8" s="139">
        <v>0.2487</v>
      </c>
      <c r="Z8" s="139" t="s">
        <v>141</v>
      </c>
      <c r="AA8" s="148" t="s">
        <v>142</v>
      </c>
    </row>
    <row r="10" spans="2:27">
      <c r="E10" s="138"/>
      <c r="F10" s="138"/>
      <c r="J10" s="192" t="s">
        <v>293</v>
      </c>
      <c r="K10" s="192"/>
      <c r="N10" s="192" t="s">
        <v>78</v>
      </c>
      <c r="O10" s="192"/>
      <c r="Q10" s="192" t="s">
        <v>99</v>
      </c>
      <c r="R10" s="192"/>
      <c r="S10" s="192"/>
      <c r="T10" s="192"/>
      <c r="U10" s="192"/>
      <c r="V10" s="192"/>
      <c r="W10" s="192"/>
      <c r="X10" s="138"/>
      <c r="AA10" s="138"/>
    </row>
    <row r="11" spans="2:27" s="15" customFormat="1">
      <c r="B11" s="21" t="s">
        <v>77</v>
      </c>
      <c r="C11" s="15" t="s">
        <v>89</v>
      </c>
      <c r="D11" s="34" t="s">
        <v>61</v>
      </c>
      <c r="E11" s="15" t="s">
        <v>0</v>
      </c>
      <c r="F11" s="15" t="s">
        <v>1</v>
      </c>
      <c r="G11" s="15" t="s">
        <v>80</v>
      </c>
      <c r="H11" s="15" t="s">
        <v>81</v>
      </c>
      <c r="I11" s="15" t="s">
        <v>85</v>
      </c>
      <c r="J11" s="15" t="s">
        <v>292</v>
      </c>
      <c r="K11" s="15" t="s">
        <v>291</v>
      </c>
      <c r="L11" s="15" t="s">
        <v>290</v>
      </c>
      <c r="M11" s="15" t="s">
        <v>294</v>
      </c>
      <c r="N11" s="15" t="s">
        <v>93</v>
      </c>
      <c r="O11" s="15" t="s">
        <v>94</v>
      </c>
      <c r="P11" s="43" t="s">
        <v>299</v>
      </c>
      <c r="Q11" s="15" t="s">
        <v>100</v>
      </c>
      <c r="R11" s="25" t="s">
        <v>102</v>
      </c>
      <c r="S11" s="15" t="s">
        <v>101</v>
      </c>
      <c r="T11" s="15" t="s">
        <v>100</v>
      </c>
      <c r="U11" s="25" t="s">
        <v>102</v>
      </c>
      <c r="V11" s="15" t="s">
        <v>322</v>
      </c>
      <c r="W11" s="15" t="s">
        <v>334</v>
      </c>
    </row>
    <row r="13" spans="2:27">
      <c r="B13" s="131" t="s">
        <v>343</v>
      </c>
      <c r="C13" s="130" t="s">
        <v>42</v>
      </c>
      <c r="D13" s="171">
        <v>1024</v>
      </c>
      <c r="E13" s="130" t="s">
        <v>289</v>
      </c>
      <c r="F13" s="130" t="s">
        <v>7</v>
      </c>
      <c r="G13" s="130">
        <v>298</v>
      </c>
      <c r="H13" s="130">
        <v>1</v>
      </c>
      <c r="I13" s="130">
        <v>1</v>
      </c>
      <c r="J13" s="130">
        <v>2</v>
      </c>
      <c r="K13" s="130">
        <v>4</v>
      </c>
      <c r="L13" s="130">
        <v>5</v>
      </c>
      <c r="M13" s="130">
        <f>1000000*K13/I13</f>
        <v>4000000</v>
      </c>
      <c r="N13" s="130"/>
      <c r="O13" s="130"/>
      <c r="P13" s="42" t="s">
        <v>306</v>
      </c>
      <c r="Q13" s="126" t="s">
        <v>21</v>
      </c>
      <c r="R13" s="26" t="s">
        <v>320</v>
      </c>
      <c r="S13" s="130"/>
      <c r="T13" s="130" t="s">
        <v>24</v>
      </c>
      <c r="U13" s="26" t="s">
        <v>321</v>
      </c>
      <c r="V13" s="132"/>
    </row>
    <row r="14" spans="2:27">
      <c r="E14" s="155" t="s">
        <v>13</v>
      </c>
      <c r="F14" s="155" t="s">
        <v>98</v>
      </c>
      <c r="G14" s="155"/>
      <c r="H14" s="155"/>
      <c r="I14" s="155">
        <v>1</v>
      </c>
      <c r="J14" s="155"/>
      <c r="K14" s="155">
        <v>10</v>
      </c>
      <c r="L14" s="155"/>
      <c r="M14" s="155">
        <f>1000000*K14/I14</f>
        <v>10000000</v>
      </c>
      <c r="P14" s="42" t="s">
        <v>354</v>
      </c>
    </row>
    <row r="16" spans="2:27">
      <c r="B16" s="131" t="s">
        <v>353</v>
      </c>
      <c r="C16" s="135" t="s">
        <v>42</v>
      </c>
      <c r="D16" s="171">
        <v>1024</v>
      </c>
      <c r="E16" s="135" t="s">
        <v>297</v>
      </c>
      <c r="F16" s="135" t="s">
        <v>7</v>
      </c>
      <c r="G16" s="135"/>
      <c r="H16" s="135">
        <v>1</v>
      </c>
      <c r="I16" s="135">
        <v>1</v>
      </c>
      <c r="J16" s="135"/>
      <c r="K16" s="135">
        <v>100</v>
      </c>
      <c r="L16" s="135"/>
      <c r="M16" s="135">
        <f>1000000*K16/I16</f>
        <v>100000000</v>
      </c>
      <c r="N16" s="135" t="s">
        <v>91</v>
      </c>
      <c r="O16" s="135" t="s">
        <v>92</v>
      </c>
      <c r="P16" s="42" t="s">
        <v>352</v>
      </c>
    </row>
    <row r="17" spans="2:27" s="150" customFormat="1">
      <c r="B17" s="151"/>
      <c r="C17" s="149"/>
      <c r="D17" s="171"/>
      <c r="E17" s="149"/>
      <c r="F17" s="149"/>
      <c r="G17" s="149"/>
      <c r="H17" s="149"/>
      <c r="I17" s="149"/>
      <c r="J17" s="149"/>
      <c r="K17" s="149"/>
      <c r="L17" s="149"/>
      <c r="M17" s="149"/>
      <c r="N17" s="149"/>
      <c r="O17" s="149"/>
      <c r="P17" s="42"/>
      <c r="V17" s="141"/>
      <c r="X17" s="141"/>
      <c r="AA17" s="142"/>
    </row>
    <row r="18" spans="2:27" s="150" customFormat="1">
      <c r="B18" s="151" t="s">
        <v>357</v>
      </c>
      <c r="C18" s="149" t="s">
        <v>42</v>
      </c>
      <c r="D18" s="171">
        <v>512</v>
      </c>
      <c r="E18" s="149" t="s">
        <v>296</v>
      </c>
      <c r="F18" s="149" t="s">
        <v>7</v>
      </c>
      <c r="G18" s="149"/>
      <c r="H18" s="149">
        <v>1</v>
      </c>
      <c r="I18" s="149">
        <v>1</v>
      </c>
      <c r="J18" s="149"/>
      <c r="K18" s="149">
        <v>100</v>
      </c>
      <c r="L18" s="149"/>
      <c r="M18" s="149">
        <f>1000000*K18/I18</f>
        <v>100000000</v>
      </c>
      <c r="N18" s="149" t="s">
        <v>91</v>
      </c>
      <c r="O18" s="149" t="s">
        <v>92</v>
      </c>
      <c r="P18" s="42" t="s">
        <v>358</v>
      </c>
      <c r="V18" s="141"/>
      <c r="X18" s="141"/>
      <c r="AA18" s="142"/>
    </row>
    <row r="19" spans="2:27" s="150" customFormat="1">
      <c r="B19" s="151"/>
      <c r="C19" s="149"/>
      <c r="D19" s="171"/>
      <c r="E19" s="149"/>
      <c r="F19" s="149"/>
      <c r="G19" s="149"/>
      <c r="H19" s="149"/>
      <c r="I19" s="149"/>
      <c r="J19" s="149"/>
      <c r="K19" s="149"/>
      <c r="L19" s="149"/>
      <c r="M19" s="149"/>
      <c r="N19" s="149"/>
      <c r="O19" s="149"/>
      <c r="P19" s="42"/>
      <c r="V19" s="141"/>
      <c r="X19" s="141"/>
      <c r="AA19" s="142"/>
    </row>
    <row r="20" spans="2:27" s="150" customFormat="1">
      <c r="B20" s="151"/>
      <c r="C20" s="149"/>
      <c r="D20" s="171"/>
      <c r="E20" s="149"/>
      <c r="F20" s="149"/>
      <c r="G20" s="149"/>
      <c r="H20" s="149"/>
      <c r="I20" s="149"/>
      <c r="J20" s="149"/>
      <c r="K20" s="149"/>
      <c r="L20" s="149"/>
      <c r="M20" s="149"/>
      <c r="N20" s="149"/>
      <c r="O20" s="149"/>
      <c r="P20" s="42"/>
      <c r="V20" s="141"/>
      <c r="X20" s="141"/>
      <c r="AA20" s="142"/>
    </row>
    <row r="21" spans="2:27" s="15" customFormat="1">
      <c r="B21" s="21"/>
      <c r="D21" s="34"/>
      <c r="E21" s="19"/>
      <c r="F21" s="19"/>
      <c r="P21" s="43"/>
      <c r="V21" s="25"/>
      <c r="X21" s="25"/>
      <c r="AA21" s="168"/>
    </row>
    <row r="23" spans="2:27">
      <c r="B23" s="151" t="s">
        <v>355</v>
      </c>
      <c r="C23" s="149" t="s">
        <v>41</v>
      </c>
      <c r="D23" s="171">
        <v>1024</v>
      </c>
      <c r="E23" s="149" t="s">
        <v>289</v>
      </c>
      <c r="F23" s="149" t="s">
        <v>7</v>
      </c>
      <c r="G23" s="149">
        <v>298</v>
      </c>
      <c r="H23" s="149">
        <v>1</v>
      </c>
      <c r="I23" s="149">
        <v>1</v>
      </c>
      <c r="J23" s="149">
        <v>2</v>
      </c>
      <c r="K23" s="149">
        <v>4</v>
      </c>
      <c r="L23" s="149">
        <v>5</v>
      </c>
      <c r="M23" s="149">
        <f>1000000*K23/I23</f>
        <v>4000000</v>
      </c>
      <c r="N23" s="149"/>
      <c r="O23" s="149"/>
      <c r="P23" s="42" t="s">
        <v>306</v>
      </c>
    </row>
    <row r="26" spans="2:27">
      <c r="B26" s="151" t="s">
        <v>356</v>
      </c>
      <c r="C26" s="149" t="s">
        <v>41</v>
      </c>
      <c r="D26" s="171">
        <v>1024</v>
      </c>
      <c r="E26" s="149" t="s">
        <v>297</v>
      </c>
      <c r="F26" s="149" t="s">
        <v>7</v>
      </c>
      <c r="G26" s="149"/>
      <c r="H26" s="149">
        <v>1</v>
      </c>
      <c r="I26" s="149">
        <v>1</v>
      </c>
      <c r="J26" s="149"/>
      <c r="K26" s="149">
        <v>100</v>
      </c>
      <c r="L26" s="149"/>
      <c r="M26" s="149">
        <f>1000000*K26/I26</f>
        <v>100000000</v>
      </c>
      <c r="N26" s="149" t="s">
        <v>308</v>
      </c>
      <c r="O26" s="149" t="s">
        <v>92</v>
      </c>
      <c r="P26" s="42" t="s">
        <v>306</v>
      </c>
    </row>
    <row r="27" spans="2:27" s="150" customFormat="1">
      <c r="B27" s="151"/>
      <c r="C27" s="149"/>
      <c r="D27" s="171"/>
      <c r="E27" s="149"/>
      <c r="F27" s="149"/>
      <c r="G27" s="149"/>
      <c r="H27" s="149"/>
      <c r="I27" s="149"/>
      <c r="J27" s="149"/>
      <c r="K27" s="149"/>
      <c r="L27" s="149"/>
      <c r="M27" s="149"/>
      <c r="N27" s="149"/>
      <c r="O27" s="149"/>
      <c r="P27" s="42"/>
      <c r="V27" s="141"/>
      <c r="X27" s="141"/>
      <c r="AA27" s="142"/>
    </row>
    <row r="28" spans="2:27" s="150" customFormat="1">
      <c r="B28" s="151" t="s">
        <v>360</v>
      </c>
      <c r="C28" s="149" t="s">
        <v>41</v>
      </c>
      <c r="D28" s="171">
        <v>512</v>
      </c>
      <c r="E28" s="149" t="s">
        <v>296</v>
      </c>
      <c r="F28" s="149" t="s">
        <v>7</v>
      </c>
      <c r="G28" s="149"/>
      <c r="H28" s="149">
        <v>1</v>
      </c>
      <c r="I28" s="149">
        <v>1</v>
      </c>
      <c r="J28" s="149"/>
      <c r="K28" s="149">
        <v>100</v>
      </c>
      <c r="L28" s="149"/>
      <c r="M28" s="149">
        <f>1000000*K28/I28</f>
        <v>100000000</v>
      </c>
      <c r="N28" s="149" t="s">
        <v>308</v>
      </c>
      <c r="O28" s="149" t="s">
        <v>92</v>
      </c>
      <c r="P28" s="42" t="s">
        <v>436</v>
      </c>
      <c r="V28" s="141"/>
      <c r="X28" s="141"/>
      <c r="AA28" s="142"/>
    </row>
    <row r="29" spans="2:27" s="150" customFormat="1">
      <c r="B29" s="151"/>
      <c r="C29" s="149"/>
      <c r="D29" s="171"/>
      <c r="E29" s="149"/>
      <c r="F29" s="149"/>
      <c r="G29" s="149"/>
      <c r="H29" s="149"/>
      <c r="I29" s="149"/>
      <c r="J29" s="149"/>
      <c r="K29" s="149"/>
      <c r="L29" s="149"/>
      <c r="M29" s="149"/>
      <c r="N29" s="149"/>
      <c r="O29" s="149"/>
      <c r="P29" s="42"/>
      <c r="V29" s="141"/>
      <c r="X29" s="141"/>
      <c r="AA29" s="142"/>
    </row>
    <row r="30" spans="2:27" s="150" customFormat="1">
      <c r="B30" s="151"/>
      <c r="C30" s="149"/>
      <c r="D30" s="171"/>
      <c r="E30" s="149"/>
      <c r="F30" s="149"/>
      <c r="G30" s="149"/>
      <c r="H30" s="149"/>
      <c r="I30" s="149"/>
      <c r="J30" s="149"/>
      <c r="K30" s="149"/>
      <c r="L30" s="149"/>
      <c r="M30" s="149"/>
      <c r="N30" s="149"/>
      <c r="O30" s="149"/>
      <c r="P30" s="42"/>
      <c r="V30" s="141"/>
      <c r="X30" s="141"/>
      <c r="AA30" s="142"/>
    </row>
    <row r="31" spans="2:27" s="15" customFormat="1">
      <c r="B31" s="21"/>
      <c r="D31" s="34"/>
      <c r="E31" s="19"/>
      <c r="F31" s="19"/>
      <c r="P31" s="43"/>
      <c r="V31" s="25"/>
      <c r="X31" s="25"/>
      <c r="AA31" s="168"/>
    </row>
    <row r="33" spans="2:27">
      <c r="B33" s="151" t="s">
        <v>359</v>
      </c>
      <c r="C33" s="138" t="s">
        <v>33</v>
      </c>
      <c r="D33" s="169">
        <v>2048</v>
      </c>
      <c r="E33" s="149" t="s">
        <v>289</v>
      </c>
      <c r="F33" s="149" t="s">
        <v>7</v>
      </c>
      <c r="G33" s="149">
        <v>298</v>
      </c>
      <c r="H33" s="149">
        <v>1</v>
      </c>
      <c r="I33" s="149">
        <v>1</v>
      </c>
      <c r="J33" s="149">
        <v>2</v>
      </c>
      <c r="K33" s="149">
        <v>4</v>
      </c>
      <c r="L33" s="149">
        <v>5</v>
      </c>
      <c r="M33" s="149">
        <f>1000000*K33/I33</f>
        <v>4000000</v>
      </c>
      <c r="P33" s="42" t="s">
        <v>399</v>
      </c>
    </row>
    <row r="34" spans="2:27">
      <c r="B34" s="151"/>
      <c r="G34" s="150"/>
      <c r="H34" s="150"/>
      <c r="I34" s="150"/>
      <c r="J34" s="150"/>
      <c r="K34" s="150"/>
      <c r="L34" s="150"/>
      <c r="M34" s="150"/>
    </row>
    <row r="35" spans="2:27">
      <c r="B35" s="151"/>
      <c r="G35" s="150"/>
      <c r="H35" s="150"/>
      <c r="I35" s="150"/>
      <c r="J35" s="150"/>
      <c r="K35" s="150"/>
      <c r="L35" s="150"/>
      <c r="M35" s="150"/>
    </row>
    <row r="36" spans="2:27">
      <c r="B36" s="151" t="s">
        <v>361</v>
      </c>
      <c r="C36" s="138" t="s">
        <v>33</v>
      </c>
      <c r="D36" s="169">
        <v>2048</v>
      </c>
      <c r="E36" s="149" t="s">
        <v>297</v>
      </c>
      <c r="F36" s="149" t="s">
        <v>7</v>
      </c>
      <c r="G36" s="149"/>
      <c r="H36" s="149">
        <v>1</v>
      </c>
      <c r="I36" s="149">
        <v>1</v>
      </c>
      <c r="J36" s="149"/>
      <c r="K36" s="149">
        <v>100</v>
      </c>
      <c r="L36" s="149"/>
      <c r="M36" s="149">
        <f>1000000*K36/I36</f>
        <v>100000000</v>
      </c>
      <c r="N36" s="138" t="s">
        <v>316</v>
      </c>
      <c r="O36" s="149" t="s">
        <v>92</v>
      </c>
      <c r="P36" s="42" t="s">
        <v>372</v>
      </c>
    </row>
    <row r="37" spans="2:27">
      <c r="B37" s="151"/>
      <c r="E37" s="149"/>
      <c r="F37" s="149"/>
      <c r="G37" s="149"/>
      <c r="H37" s="149"/>
      <c r="I37" s="149"/>
      <c r="J37" s="149"/>
      <c r="K37" s="149"/>
      <c r="L37" s="149"/>
      <c r="M37" s="149"/>
      <c r="O37" s="149"/>
    </row>
    <row r="38" spans="2:27">
      <c r="B38" s="151" t="s">
        <v>362</v>
      </c>
      <c r="C38" s="138" t="s">
        <v>33</v>
      </c>
      <c r="D38" s="169">
        <v>1024</v>
      </c>
      <c r="E38" s="149" t="s">
        <v>296</v>
      </c>
      <c r="F38" s="149" t="s">
        <v>7</v>
      </c>
      <c r="G38" s="149"/>
      <c r="H38" s="149">
        <v>1</v>
      </c>
      <c r="I38" s="149">
        <v>1</v>
      </c>
      <c r="J38" s="149"/>
      <c r="K38" s="149">
        <v>100</v>
      </c>
      <c r="L38" s="149"/>
      <c r="M38" s="149">
        <f>1000000*K38/I38</f>
        <v>100000000</v>
      </c>
      <c r="N38" s="150" t="s">
        <v>316</v>
      </c>
      <c r="O38" s="149" t="s">
        <v>92</v>
      </c>
      <c r="P38" s="42" t="s">
        <v>437</v>
      </c>
    </row>
    <row r="41" spans="2:27" s="15" customFormat="1">
      <c r="B41" s="21"/>
      <c r="D41" s="34"/>
      <c r="E41" s="19"/>
      <c r="F41" s="19"/>
      <c r="P41" s="43"/>
      <c r="V41" s="25"/>
      <c r="X41" s="25"/>
      <c r="AA41" s="168"/>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1A34-652C-4F11-9525-958C101B7630}">
  <dimension ref="B2:AA35"/>
  <sheetViews>
    <sheetView workbookViewId="0">
      <selection activeCell="E48" sqref="E48"/>
    </sheetView>
  </sheetViews>
  <sheetFormatPr defaultColWidth="10.875" defaultRowHeight="15.75"/>
  <cols>
    <col min="1" max="1" width="3.875" style="150" customWidth="1"/>
    <col min="2" max="2" width="51.875" style="151" customWidth="1"/>
    <col min="3" max="3" width="10.75" style="150" customWidth="1"/>
    <col min="4" max="4" width="9.125" style="169" customWidth="1"/>
    <col min="5" max="5" width="21.375" style="140" customWidth="1"/>
    <col min="6" max="6" width="12" style="140" customWidth="1"/>
    <col min="7" max="12" width="9" style="150" customWidth="1"/>
    <col min="13" max="13" width="10.875" style="150"/>
    <col min="14" max="14" width="12.5" style="150" customWidth="1"/>
    <col min="15" max="15" width="10.875" style="150"/>
    <col min="16" max="16" width="31.875" style="42" customWidth="1"/>
    <col min="17" max="21" width="9" style="150" customWidth="1"/>
    <col min="22" max="22" width="9" style="141" customWidth="1"/>
    <col min="23" max="23" width="31.125" style="150" customWidth="1"/>
    <col min="24" max="24" width="9" style="141" customWidth="1"/>
    <col min="25" max="25" width="9" style="150" customWidth="1"/>
    <col min="26" max="26" width="47" style="150" customWidth="1"/>
    <col min="27" max="27" width="68" style="142" customWidth="1"/>
    <col min="28" max="16384" width="10.875" style="150"/>
  </cols>
  <sheetData>
    <row r="2" spans="2:27" s="188" customFormat="1">
      <c r="B2" s="189" t="s">
        <v>396</v>
      </c>
      <c r="D2" s="169"/>
      <c r="E2" s="140"/>
      <c r="F2" s="140"/>
      <c r="P2" s="42"/>
      <c r="V2" s="141"/>
      <c r="X2" s="141"/>
      <c r="AA2" s="142"/>
    </row>
    <row r="3" spans="2:27" s="188" customFormat="1">
      <c r="B3" s="189"/>
      <c r="D3" s="169"/>
      <c r="E3" s="140"/>
      <c r="F3" s="140"/>
      <c r="P3" s="42"/>
      <c r="V3" s="141"/>
      <c r="X3" s="141"/>
      <c r="AA3" s="142"/>
    </row>
    <row r="4" spans="2:27">
      <c r="E4" s="150"/>
      <c r="F4" s="150"/>
      <c r="J4" s="192" t="s">
        <v>293</v>
      </c>
      <c r="K4" s="192"/>
      <c r="N4" s="192" t="s">
        <v>78</v>
      </c>
      <c r="O4" s="192"/>
      <c r="Q4" s="192" t="s">
        <v>99</v>
      </c>
      <c r="R4" s="192"/>
      <c r="S4" s="192"/>
      <c r="T4" s="192"/>
      <c r="U4" s="192"/>
      <c r="V4" s="192"/>
      <c r="W4" s="192"/>
      <c r="X4" s="150"/>
      <c r="AA4" s="150"/>
    </row>
    <row r="5" spans="2:27" s="15" customFormat="1">
      <c r="B5" s="21" t="s">
        <v>77</v>
      </c>
      <c r="C5" s="15" t="s">
        <v>89</v>
      </c>
      <c r="D5" s="34" t="s">
        <v>61</v>
      </c>
      <c r="E5" s="15" t="s">
        <v>0</v>
      </c>
      <c r="F5" s="15" t="s">
        <v>1</v>
      </c>
      <c r="G5" s="15" t="s">
        <v>80</v>
      </c>
      <c r="H5" s="15" t="s">
        <v>81</v>
      </c>
      <c r="I5" s="15" t="s">
        <v>85</v>
      </c>
      <c r="J5" s="15" t="s">
        <v>292</v>
      </c>
      <c r="K5" s="15" t="s">
        <v>291</v>
      </c>
      <c r="L5" s="15" t="s">
        <v>290</v>
      </c>
      <c r="M5" s="15" t="s">
        <v>294</v>
      </c>
      <c r="N5" s="15" t="s">
        <v>93</v>
      </c>
      <c r="O5" s="15" t="s">
        <v>94</v>
      </c>
      <c r="P5" s="43" t="s">
        <v>299</v>
      </c>
      <c r="Q5" s="15" t="s">
        <v>100</v>
      </c>
      <c r="R5" s="25" t="s">
        <v>102</v>
      </c>
      <c r="S5" s="15" t="s">
        <v>101</v>
      </c>
      <c r="T5" s="15" t="s">
        <v>100</v>
      </c>
      <c r="U5" s="25" t="s">
        <v>102</v>
      </c>
      <c r="V5" s="15" t="s">
        <v>322</v>
      </c>
      <c r="W5" s="15" t="s">
        <v>334</v>
      </c>
    </row>
    <row r="7" spans="2:27">
      <c r="B7" s="151" t="s">
        <v>373</v>
      </c>
      <c r="C7" s="149" t="s">
        <v>42</v>
      </c>
      <c r="D7" s="171">
        <v>1024</v>
      </c>
      <c r="E7" s="149" t="s">
        <v>289</v>
      </c>
      <c r="F7" s="149" t="s">
        <v>7</v>
      </c>
      <c r="G7" s="149">
        <v>298</v>
      </c>
      <c r="H7" s="149">
        <v>1</v>
      </c>
      <c r="I7" s="149">
        <v>1</v>
      </c>
      <c r="J7" s="149">
        <v>2</v>
      </c>
      <c r="K7" s="149">
        <v>4</v>
      </c>
      <c r="L7" s="149">
        <v>5</v>
      </c>
      <c r="M7" s="149">
        <f>1000000*K7/I7</f>
        <v>4000000</v>
      </c>
      <c r="N7" s="149"/>
      <c r="O7" s="149"/>
      <c r="P7" s="42" t="s">
        <v>402</v>
      </c>
      <c r="Q7" s="126" t="s">
        <v>21</v>
      </c>
      <c r="R7" s="26" t="s">
        <v>320</v>
      </c>
      <c r="S7" s="149"/>
      <c r="T7" s="149" t="s">
        <v>24</v>
      </c>
      <c r="U7" s="26" t="s">
        <v>321</v>
      </c>
      <c r="V7" s="154"/>
    </row>
    <row r="8" spans="2:27">
      <c r="E8" s="157" t="s">
        <v>13</v>
      </c>
      <c r="F8" s="157" t="s">
        <v>98</v>
      </c>
      <c r="G8" s="157"/>
      <c r="H8" s="157"/>
      <c r="I8" s="157">
        <v>1</v>
      </c>
      <c r="J8" s="157"/>
      <c r="K8" s="157">
        <v>10</v>
      </c>
      <c r="L8" s="157"/>
      <c r="M8" s="157">
        <f>1000000*K8/I8</f>
        <v>10000000</v>
      </c>
    </row>
    <row r="10" spans="2:27">
      <c r="B10" s="151" t="s">
        <v>374</v>
      </c>
      <c r="C10" s="149" t="s">
        <v>42</v>
      </c>
      <c r="D10" s="171">
        <v>1024</v>
      </c>
      <c r="E10" s="149" t="s">
        <v>297</v>
      </c>
      <c r="F10" s="149" t="s">
        <v>7</v>
      </c>
      <c r="G10" s="149"/>
      <c r="H10" s="149">
        <v>1</v>
      </c>
      <c r="I10" s="149">
        <v>1</v>
      </c>
      <c r="J10" s="149"/>
      <c r="K10" s="149">
        <v>100</v>
      </c>
      <c r="L10" s="149"/>
      <c r="M10" s="149">
        <f>1000000*K10/I10</f>
        <v>100000000</v>
      </c>
      <c r="N10" s="149" t="s">
        <v>91</v>
      </c>
      <c r="O10" s="149" t="s">
        <v>92</v>
      </c>
    </row>
    <row r="11" spans="2:27">
      <c r="C11" s="149"/>
      <c r="D11" s="171"/>
      <c r="E11" s="149"/>
      <c r="F11" s="149"/>
      <c r="G11" s="149"/>
      <c r="H11" s="149"/>
      <c r="I11" s="149"/>
      <c r="J11" s="149"/>
      <c r="K11" s="149"/>
      <c r="L11" s="149"/>
      <c r="M11" s="149"/>
      <c r="N11" s="149"/>
      <c r="O11" s="149"/>
    </row>
    <row r="12" spans="2:27">
      <c r="B12" s="151" t="s">
        <v>375</v>
      </c>
      <c r="C12" s="149" t="s">
        <v>42</v>
      </c>
      <c r="D12" s="171">
        <v>512</v>
      </c>
      <c r="E12" s="149" t="s">
        <v>296</v>
      </c>
      <c r="F12" s="149" t="s">
        <v>7</v>
      </c>
      <c r="G12" s="149"/>
      <c r="H12" s="149">
        <v>1</v>
      </c>
      <c r="I12" s="149">
        <v>1</v>
      </c>
      <c r="J12" s="149"/>
      <c r="K12" s="149">
        <v>100</v>
      </c>
      <c r="L12" s="149"/>
      <c r="M12" s="149">
        <f>1000000*K12/I12</f>
        <v>100000000</v>
      </c>
      <c r="N12" s="149" t="s">
        <v>91</v>
      </c>
      <c r="O12" s="149" t="s">
        <v>92</v>
      </c>
    </row>
    <row r="13" spans="2:27">
      <c r="C13" s="149"/>
      <c r="D13" s="171"/>
      <c r="E13" s="149"/>
      <c r="F13" s="149"/>
      <c r="G13" s="149"/>
      <c r="H13" s="149"/>
      <c r="I13" s="149"/>
      <c r="J13" s="149"/>
      <c r="K13" s="149"/>
      <c r="L13" s="149"/>
      <c r="M13" s="149"/>
      <c r="N13" s="149"/>
      <c r="O13" s="149"/>
    </row>
    <row r="14" spans="2:27">
      <c r="C14" s="149"/>
      <c r="D14" s="171"/>
      <c r="E14" s="149"/>
      <c r="F14" s="149"/>
      <c r="G14" s="149"/>
      <c r="H14" s="149"/>
      <c r="I14" s="149"/>
      <c r="J14" s="149"/>
      <c r="K14" s="149"/>
      <c r="L14" s="149"/>
      <c r="M14" s="149"/>
      <c r="N14" s="149"/>
      <c r="O14" s="149"/>
    </row>
    <row r="15" spans="2:27" s="15" customFormat="1">
      <c r="B15" s="21"/>
      <c r="D15" s="34"/>
      <c r="E15" s="19"/>
      <c r="F15" s="19"/>
      <c r="P15" s="43"/>
      <c r="V15" s="25"/>
      <c r="X15" s="25"/>
      <c r="AA15" s="168"/>
    </row>
    <row r="17" spans="2:27">
      <c r="B17" s="151" t="s">
        <v>376</v>
      </c>
      <c r="C17" s="149" t="s">
        <v>41</v>
      </c>
      <c r="D17" s="171">
        <v>1024</v>
      </c>
      <c r="E17" s="149" t="s">
        <v>289</v>
      </c>
      <c r="F17" s="149" t="s">
        <v>7</v>
      </c>
      <c r="G17" s="149">
        <v>298</v>
      </c>
      <c r="H17" s="149">
        <v>1</v>
      </c>
      <c r="I17" s="149">
        <v>1</v>
      </c>
      <c r="J17" s="149">
        <v>2</v>
      </c>
      <c r="K17" s="149">
        <v>4</v>
      </c>
      <c r="L17" s="149">
        <v>5</v>
      </c>
      <c r="M17" s="149">
        <f>1000000*K17/I17</f>
        <v>4000000</v>
      </c>
      <c r="N17" s="149"/>
      <c r="O17" s="149"/>
    </row>
    <row r="20" spans="2:27">
      <c r="B20" s="151" t="s">
        <v>377</v>
      </c>
      <c r="C20" s="149" t="s">
        <v>41</v>
      </c>
      <c r="D20" s="171">
        <v>1024</v>
      </c>
      <c r="E20" s="149" t="s">
        <v>297</v>
      </c>
      <c r="F20" s="149" t="s">
        <v>7</v>
      </c>
      <c r="G20" s="149"/>
      <c r="H20" s="149">
        <v>1</v>
      </c>
      <c r="I20" s="149">
        <v>1</v>
      </c>
      <c r="J20" s="149"/>
      <c r="K20" s="149">
        <v>100</v>
      </c>
      <c r="L20" s="149"/>
      <c r="M20" s="149">
        <f>1000000*K20/I20</f>
        <v>100000000</v>
      </c>
      <c r="N20" s="149" t="s">
        <v>308</v>
      </c>
      <c r="O20" s="149" t="s">
        <v>92</v>
      </c>
    </row>
    <row r="21" spans="2:27">
      <c r="C21" s="149"/>
      <c r="D21" s="171"/>
      <c r="E21" s="149"/>
      <c r="F21" s="149"/>
      <c r="G21" s="149"/>
      <c r="H21" s="149"/>
      <c r="I21" s="149"/>
      <c r="J21" s="149"/>
      <c r="K21" s="149"/>
      <c r="L21" s="149"/>
      <c r="M21" s="149"/>
      <c r="N21" s="149"/>
      <c r="O21" s="149"/>
    </row>
    <row r="22" spans="2:27">
      <c r="B22" s="151" t="s">
        <v>378</v>
      </c>
      <c r="C22" s="149" t="s">
        <v>41</v>
      </c>
      <c r="D22" s="171">
        <v>512</v>
      </c>
      <c r="E22" s="149" t="s">
        <v>296</v>
      </c>
      <c r="F22" s="149" t="s">
        <v>7</v>
      </c>
      <c r="G22" s="149"/>
      <c r="H22" s="149">
        <v>1</v>
      </c>
      <c r="I22" s="149">
        <v>1</v>
      </c>
      <c r="J22" s="149"/>
      <c r="K22" s="149">
        <v>100</v>
      </c>
      <c r="L22" s="149"/>
      <c r="M22" s="149">
        <f>1000000*K22/I22</f>
        <v>100000000</v>
      </c>
      <c r="N22" s="149" t="s">
        <v>308</v>
      </c>
      <c r="O22" s="149" t="s">
        <v>92</v>
      </c>
    </row>
    <row r="23" spans="2:27">
      <c r="C23" s="149"/>
      <c r="D23" s="171"/>
      <c r="E23" s="149"/>
      <c r="F23" s="149"/>
      <c r="G23" s="149"/>
      <c r="H23" s="149"/>
      <c r="I23" s="149"/>
      <c r="J23" s="149"/>
      <c r="K23" s="149"/>
      <c r="L23" s="149"/>
      <c r="M23" s="149"/>
      <c r="N23" s="149"/>
      <c r="O23" s="149"/>
    </row>
    <row r="24" spans="2:27">
      <c r="C24" s="149"/>
      <c r="D24" s="171"/>
      <c r="E24" s="149"/>
      <c r="F24" s="149"/>
      <c r="G24" s="149"/>
      <c r="H24" s="149"/>
      <c r="I24" s="149"/>
      <c r="J24" s="149"/>
      <c r="K24" s="149"/>
      <c r="L24" s="149"/>
      <c r="M24" s="149"/>
      <c r="N24" s="149"/>
      <c r="O24" s="149"/>
    </row>
    <row r="25" spans="2:27" s="15" customFormat="1">
      <c r="B25" s="21"/>
      <c r="D25" s="34"/>
      <c r="E25" s="19"/>
      <c r="F25" s="19"/>
      <c r="P25" s="43"/>
      <c r="V25" s="25"/>
      <c r="X25" s="25"/>
      <c r="AA25" s="168"/>
    </row>
    <row r="27" spans="2:27">
      <c r="B27" s="151" t="s">
        <v>379</v>
      </c>
      <c r="C27" s="150" t="s">
        <v>33</v>
      </c>
      <c r="D27" s="169">
        <v>2048</v>
      </c>
      <c r="E27" s="149" t="s">
        <v>289</v>
      </c>
      <c r="F27" s="149" t="s">
        <v>7</v>
      </c>
      <c r="G27" s="149">
        <v>298</v>
      </c>
      <c r="H27" s="149">
        <v>1</v>
      </c>
      <c r="I27" s="149">
        <v>1</v>
      </c>
      <c r="J27" s="149">
        <v>2</v>
      </c>
      <c r="K27" s="149">
        <v>4</v>
      </c>
      <c r="L27" s="149">
        <v>5</v>
      </c>
      <c r="M27" s="149">
        <f>1000000*K27/I27</f>
        <v>4000000</v>
      </c>
    </row>
    <row r="30" spans="2:27">
      <c r="B30" s="151" t="s">
        <v>380</v>
      </c>
      <c r="C30" s="150" t="s">
        <v>33</v>
      </c>
      <c r="D30" s="169">
        <v>2048</v>
      </c>
      <c r="E30" s="149" t="s">
        <v>297</v>
      </c>
      <c r="F30" s="149" t="s">
        <v>7</v>
      </c>
      <c r="G30" s="149"/>
      <c r="H30" s="149">
        <v>1</v>
      </c>
      <c r="I30" s="149">
        <v>1</v>
      </c>
      <c r="J30" s="149"/>
      <c r="K30" s="149">
        <v>100</v>
      </c>
      <c r="L30" s="149"/>
      <c r="M30" s="149">
        <f>1000000*K30/I30</f>
        <v>100000000</v>
      </c>
      <c r="N30" s="150" t="s">
        <v>316</v>
      </c>
      <c r="O30" s="149" t="s">
        <v>92</v>
      </c>
    </row>
    <row r="31" spans="2:27">
      <c r="E31" s="149"/>
      <c r="F31" s="149"/>
      <c r="G31" s="149"/>
      <c r="H31" s="149"/>
      <c r="I31" s="149"/>
      <c r="J31" s="149"/>
      <c r="K31" s="149"/>
      <c r="L31" s="149"/>
      <c r="M31" s="149"/>
      <c r="O31" s="149"/>
    </row>
    <row r="32" spans="2:27">
      <c r="B32" s="151" t="s">
        <v>381</v>
      </c>
      <c r="C32" s="150" t="s">
        <v>33</v>
      </c>
      <c r="D32" s="169">
        <v>1024</v>
      </c>
      <c r="E32" s="149" t="s">
        <v>296</v>
      </c>
      <c r="F32" s="149" t="s">
        <v>7</v>
      </c>
      <c r="G32" s="149"/>
      <c r="H32" s="149">
        <v>1</v>
      </c>
      <c r="I32" s="149">
        <v>1</v>
      </c>
      <c r="J32" s="149"/>
      <c r="K32" s="149">
        <v>100</v>
      </c>
      <c r="L32" s="149"/>
      <c r="M32" s="149">
        <f>1000000*K32/I32</f>
        <v>100000000</v>
      </c>
      <c r="N32" s="150" t="s">
        <v>316</v>
      </c>
      <c r="O32" s="149" t="s">
        <v>92</v>
      </c>
    </row>
    <row r="35" spans="2:27" s="15" customFormat="1">
      <c r="B35" s="21"/>
      <c r="D35" s="34"/>
      <c r="E35" s="19"/>
      <c r="F35" s="19"/>
      <c r="P35" s="43"/>
      <c r="V35" s="25"/>
      <c r="X35" s="25"/>
      <c r="AA35" s="168"/>
    </row>
  </sheetData>
  <mergeCells count="3">
    <mergeCell ref="J4:K4"/>
    <mergeCell ref="N4:O4"/>
    <mergeCell ref="Q4:W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2"/>
  <sheetViews>
    <sheetView workbookViewId="0">
      <pane xSplit="2" ySplit="4" topLeftCell="C5" activePane="bottomRight" state="frozen"/>
      <selection pane="topRight" activeCell="C1" sqref="C1"/>
      <selection pane="bottomLeft" activeCell="A5" sqref="A5"/>
      <selection pane="bottomRight" activeCell="P24" sqref="P24"/>
    </sheetView>
  </sheetViews>
  <sheetFormatPr defaultColWidth="10.875" defaultRowHeight="15.75"/>
  <cols>
    <col min="1" max="1" width="3.875" style="14" customWidth="1"/>
    <col min="2" max="2" width="55.125" style="14" customWidth="1"/>
    <col min="3" max="5" width="11.875" style="14" customWidth="1"/>
    <col min="6" max="8" width="9.125" style="18" customWidth="1"/>
    <col min="9" max="9" width="11.125" style="14" customWidth="1"/>
    <col min="10" max="10" width="8.375" style="14" customWidth="1"/>
    <col min="11" max="11" width="18" style="14" customWidth="1"/>
    <col min="12" max="17" width="10.875" style="14"/>
    <col min="18" max="18" width="11.125" style="14" bestFit="1" customWidth="1"/>
    <col min="19" max="19" width="12.875" style="14" customWidth="1"/>
    <col min="20" max="20" width="10.5" style="14" customWidth="1"/>
    <col min="21" max="21" width="8.375" style="20" customWidth="1"/>
    <col min="22" max="22" width="10.875" style="42"/>
    <col min="23" max="23" width="9" style="14" customWidth="1"/>
    <col min="24" max="24" width="9" style="26" customWidth="1"/>
    <col min="25" max="26" width="9" style="14" customWidth="1"/>
    <col min="27" max="27" width="9" style="26" customWidth="1"/>
    <col min="28" max="28" width="9" style="32" customWidth="1"/>
    <col min="29" max="29" width="47" style="14" customWidth="1"/>
    <col min="30" max="16384" width="10.875" style="14"/>
  </cols>
  <sheetData>
    <row r="2" spans="2:29">
      <c r="W2"/>
      <c r="X2" s="24"/>
      <c r="Y2"/>
      <c r="Z2"/>
    </row>
    <row r="3" spans="2:29">
      <c r="C3" s="14" t="s">
        <v>143</v>
      </c>
      <c r="Q3" s="14" t="s">
        <v>83</v>
      </c>
      <c r="S3" s="190" t="s">
        <v>78</v>
      </c>
      <c r="T3" s="190"/>
      <c r="U3" s="193"/>
      <c r="W3" s="190" t="s">
        <v>99</v>
      </c>
      <c r="X3" s="190"/>
      <c r="Y3" s="190"/>
      <c r="Z3" s="190"/>
      <c r="AA3" s="190"/>
      <c r="AB3" s="190"/>
      <c r="AC3" s="190"/>
    </row>
    <row r="4" spans="2:29" s="15" customFormat="1">
      <c r="B4" s="15" t="s">
        <v>77</v>
      </c>
      <c r="C4" s="15" t="s">
        <v>162</v>
      </c>
      <c r="D4" s="15" t="s">
        <v>216</v>
      </c>
      <c r="E4" s="15" t="s">
        <v>215</v>
      </c>
      <c r="F4" s="19" t="s">
        <v>129</v>
      </c>
      <c r="G4" s="19" t="s">
        <v>130</v>
      </c>
      <c r="H4" s="19" t="s">
        <v>131</v>
      </c>
      <c r="I4" s="15" t="s">
        <v>89</v>
      </c>
      <c r="J4" s="15" t="s">
        <v>61</v>
      </c>
      <c r="K4" s="15" t="s">
        <v>0</v>
      </c>
      <c r="L4" s="15" t="s">
        <v>1</v>
      </c>
      <c r="M4" s="15" t="s">
        <v>80</v>
      </c>
      <c r="N4" s="15" t="s">
        <v>81</v>
      </c>
      <c r="O4" s="15" t="s">
        <v>87</v>
      </c>
      <c r="P4" s="15" t="s">
        <v>85</v>
      </c>
      <c r="Q4" s="15" t="s">
        <v>82</v>
      </c>
      <c r="R4" s="15" t="s">
        <v>84</v>
      </c>
      <c r="S4" s="15" t="s">
        <v>93</v>
      </c>
      <c r="T4" s="15" t="s">
        <v>94</v>
      </c>
      <c r="U4" s="21" t="s">
        <v>90</v>
      </c>
      <c r="V4" s="43" t="s">
        <v>138</v>
      </c>
      <c r="W4" s="15" t="s">
        <v>100</v>
      </c>
      <c r="X4" s="25" t="s">
        <v>102</v>
      </c>
      <c r="Y4" s="15" t="s">
        <v>101</v>
      </c>
      <c r="Z4" s="15" t="s">
        <v>100</v>
      </c>
      <c r="AA4" s="25" t="s">
        <v>102</v>
      </c>
      <c r="AB4" s="33" t="s">
        <v>101</v>
      </c>
      <c r="AC4" s="15" t="s">
        <v>5</v>
      </c>
    </row>
    <row r="5" spans="2:29" s="45" customFormat="1">
      <c r="B5" s="45" t="s">
        <v>147</v>
      </c>
      <c r="C5" s="45">
        <v>7</v>
      </c>
      <c r="F5" s="50">
        <v>1.1499999999999999</v>
      </c>
      <c r="G5" s="51">
        <v>1.1499999999999999</v>
      </c>
      <c r="H5" s="51">
        <v>1.05</v>
      </c>
      <c r="I5" s="45" t="s">
        <v>42</v>
      </c>
      <c r="J5" s="45">
        <v>1024</v>
      </c>
      <c r="K5" s="45" t="s">
        <v>97</v>
      </c>
      <c r="L5" s="45" t="s">
        <v>7</v>
      </c>
      <c r="M5" s="45">
        <v>298</v>
      </c>
      <c r="N5" s="45">
        <v>1</v>
      </c>
      <c r="O5" s="46" t="s">
        <v>55</v>
      </c>
      <c r="P5" s="45">
        <v>1</v>
      </c>
      <c r="Q5" s="45">
        <v>5</v>
      </c>
      <c r="R5" s="45">
        <f>1000000*Q5/P5</f>
        <v>5000000</v>
      </c>
      <c r="U5" s="47"/>
      <c r="V5" s="48">
        <v>13.738</v>
      </c>
      <c r="W5" s="45" t="s">
        <v>21</v>
      </c>
      <c r="X5" s="45" t="s">
        <v>133</v>
      </c>
      <c r="Y5" s="45">
        <v>786.67399999999998</v>
      </c>
      <c r="Z5" s="45" t="s">
        <v>24</v>
      </c>
      <c r="AA5" s="49" t="s">
        <v>133</v>
      </c>
      <c r="AB5" s="52">
        <v>0.32929999999999998</v>
      </c>
      <c r="AC5" s="46" t="s">
        <v>145</v>
      </c>
    </row>
    <row r="6" spans="2:29" s="45" customFormat="1">
      <c r="C6" s="45">
        <v>7</v>
      </c>
      <c r="F6" s="51">
        <v>1.05</v>
      </c>
      <c r="G6" s="51">
        <v>1.05</v>
      </c>
      <c r="H6" s="51">
        <v>1.05</v>
      </c>
      <c r="I6" s="45" t="s">
        <v>42</v>
      </c>
      <c r="J6" s="45">
        <v>1024</v>
      </c>
      <c r="K6" s="45" t="s">
        <v>97</v>
      </c>
      <c r="L6" s="45" t="s">
        <v>7</v>
      </c>
      <c r="M6" s="45">
        <v>298</v>
      </c>
      <c r="N6" s="45">
        <v>1</v>
      </c>
      <c r="O6" s="46" t="s">
        <v>55</v>
      </c>
      <c r="P6" s="45">
        <v>1</v>
      </c>
      <c r="Q6" s="45">
        <v>5</v>
      </c>
      <c r="R6" s="45">
        <f>1000000*Q6/P6</f>
        <v>5000000</v>
      </c>
      <c r="U6" s="47"/>
      <c r="V6" s="48">
        <v>15.555</v>
      </c>
      <c r="W6" s="45" t="s">
        <v>21</v>
      </c>
      <c r="X6" s="45" t="s">
        <v>133</v>
      </c>
      <c r="Y6" s="45">
        <v>786.36199999999997</v>
      </c>
      <c r="Z6" s="45" t="s">
        <v>24</v>
      </c>
      <c r="AA6" s="49" t="s">
        <v>133</v>
      </c>
      <c r="AB6" s="52">
        <v>0.33310000000000001</v>
      </c>
      <c r="AC6" s="46" t="s">
        <v>144</v>
      </c>
    </row>
    <row r="7" spans="2:29" s="45" customFormat="1">
      <c r="B7" s="45" t="s">
        <v>146</v>
      </c>
      <c r="C7" s="45">
        <v>4</v>
      </c>
      <c r="F7" s="50">
        <v>1.1499999999999999</v>
      </c>
      <c r="G7" s="51">
        <v>1.1499999999999999</v>
      </c>
      <c r="H7" s="51">
        <v>1.05</v>
      </c>
      <c r="I7" s="45" t="s">
        <v>42</v>
      </c>
      <c r="J7" s="45">
        <v>1024</v>
      </c>
      <c r="K7" s="45" t="s">
        <v>97</v>
      </c>
      <c r="L7" s="45" t="s">
        <v>7</v>
      </c>
      <c r="M7" s="45">
        <v>298</v>
      </c>
      <c r="N7" s="45">
        <v>1</v>
      </c>
      <c r="O7" s="46" t="s">
        <v>55</v>
      </c>
      <c r="P7" s="45">
        <v>1</v>
      </c>
      <c r="Q7" s="45">
        <v>5</v>
      </c>
      <c r="R7" s="45">
        <f>1000000*Q7/P7</f>
        <v>5000000</v>
      </c>
      <c r="U7" s="47"/>
      <c r="V7" s="48">
        <v>14.615</v>
      </c>
      <c r="W7" s="45" t="s">
        <v>21</v>
      </c>
      <c r="X7" s="45" t="s">
        <v>133</v>
      </c>
      <c r="Y7" s="45">
        <v>790.35900000000004</v>
      </c>
      <c r="Z7" s="45" t="s">
        <v>24</v>
      </c>
      <c r="AA7" s="49" t="s">
        <v>133</v>
      </c>
      <c r="AB7" s="52">
        <v>0.29289999999999999</v>
      </c>
      <c r="AC7" s="45" t="s">
        <v>148</v>
      </c>
    </row>
    <row r="8" spans="2:29" s="45" customFormat="1">
      <c r="C8" s="45">
        <v>4</v>
      </c>
      <c r="F8" s="51">
        <v>1.05</v>
      </c>
      <c r="G8" s="51">
        <v>1.05</v>
      </c>
      <c r="H8" s="51">
        <v>1.05</v>
      </c>
      <c r="I8" s="45" t="s">
        <v>42</v>
      </c>
      <c r="J8" s="45">
        <v>1024</v>
      </c>
      <c r="K8" s="45" t="s">
        <v>97</v>
      </c>
      <c r="L8" s="45" t="s">
        <v>7</v>
      </c>
      <c r="M8" s="45">
        <v>298</v>
      </c>
      <c r="N8" s="45">
        <v>1</v>
      </c>
      <c r="O8" s="46" t="s">
        <v>55</v>
      </c>
      <c r="P8" s="45">
        <v>1</v>
      </c>
      <c r="Q8" s="45">
        <v>5</v>
      </c>
      <c r="R8" s="45">
        <f>1000000*Q8/P8</f>
        <v>5000000</v>
      </c>
      <c r="U8" s="47"/>
      <c r="V8" s="48">
        <v>16.268999999999998</v>
      </c>
      <c r="W8" s="45" t="s">
        <v>21</v>
      </c>
      <c r="X8" s="45" t="s">
        <v>133</v>
      </c>
      <c r="Y8" s="45">
        <v>790.34900000000005</v>
      </c>
      <c r="Z8" s="45" t="s">
        <v>24</v>
      </c>
      <c r="AA8" s="49" t="s">
        <v>133</v>
      </c>
      <c r="AB8" s="52">
        <v>0.30399999999999999</v>
      </c>
      <c r="AC8" s="45" t="s">
        <v>149</v>
      </c>
    </row>
    <row r="9" spans="2:29" s="45" customFormat="1">
      <c r="F9" s="51"/>
      <c r="G9" s="51"/>
      <c r="H9" s="51"/>
      <c r="U9" s="47"/>
      <c r="V9" s="48"/>
      <c r="AB9" s="52"/>
    </row>
    <row r="10" spans="2:29" s="45" customFormat="1">
      <c r="B10" s="45" t="s">
        <v>161</v>
      </c>
      <c r="C10" s="45" t="s">
        <v>159</v>
      </c>
      <c r="F10" s="51">
        <v>1.05</v>
      </c>
      <c r="G10" s="51">
        <v>1.05</v>
      </c>
      <c r="H10" s="51">
        <v>1.05</v>
      </c>
      <c r="I10" s="45" t="s">
        <v>42</v>
      </c>
      <c r="J10" s="45">
        <v>1024</v>
      </c>
      <c r="K10" s="45" t="s">
        <v>97</v>
      </c>
      <c r="L10" s="45" t="s">
        <v>7</v>
      </c>
      <c r="M10" s="45">
        <v>298</v>
      </c>
      <c r="N10" s="45">
        <v>1</v>
      </c>
      <c r="O10" s="46" t="s">
        <v>55</v>
      </c>
      <c r="P10" s="45">
        <v>1</v>
      </c>
      <c r="Q10" s="45">
        <v>5</v>
      </c>
      <c r="R10" s="45">
        <f>1000000*Q10/P10</f>
        <v>5000000</v>
      </c>
      <c r="U10" s="47"/>
      <c r="V10" s="48">
        <v>40.869</v>
      </c>
      <c r="W10" s="45" t="s">
        <v>21</v>
      </c>
      <c r="X10" s="45" t="s">
        <v>133</v>
      </c>
      <c r="Y10" s="45">
        <v>787.04600000000005</v>
      </c>
      <c r="Z10" s="45" t="s">
        <v>24</v>
      </c>
      <c r="AA10" s="49" t="s">
        <v>133</v>
      </c>
      <c r="AB10" s="52">
        <v>0.31109999999999999</v>
      </c>
      <c r="AC10" s="45" t="s">
        <v>150</v>
      </c>
    </row>
    <row r="11" spans="2:29" s="45" customFormat="1">
      <c r="B11" s="45" t="s">
        <v>164</v>
      </c>
      <c r="C11" s="45" t="s">
        <v>159</v>
      </c>
      <c r="F11" s="50">
        <v>1.05</v>
      </c>
      <c r="G11" s="51">
        <v>1.05</v>
      </c>
      <c r="H11" s="51">
        <v>1</v>
      </c>
      <c r="I11" s="45" t="s">
        <v>42</v>
      </c>
      <c r="J11" s="45">
        <v>1024</v>
      </c>
      <c r="K11" s="45" t="s">
        <v>97</v>
      </c>
      <c r="L11" s="45" t="s">
        <v>7</v>
      </c>
      <c r="M11" s="45">
        <v>298</v>
      </c>
      <c r="N11" s="45">
        <v>1</v>
      </c>
      <c r="O11" s="46" t="s">
        <v>55</v>
      </c>
      <c r="P11" s="45">
        <v>1</v>
      </c>
      <c r="Q11" s="45">
        <v>5</v>
      </c>
      <c r="R11" s="45">
        <f>1000000*Q11/P11</f>
        <v>5000000</v>
      </c>
      <c r="U11" s="47"/>
      <c r="V11" s="48"/>
      <c r="W11" s="45" t="s">
        <v>21</v>
      </c>
      <c r="X11" s="45" t="s">
        <v>133</v>
      </c>
      <c r="Z11" s="45" t="s">
        <v>24</v>
      </c>
      <c r="AA11" s="49" t="s">
        <v>133</v>
      </c>
      <c r="AB11" s="52"/>
    </row>
    <row r="12" spans="2:29" s="45" customFormat="1">
      <c r="B12" s="45" t="s">
        <v>163</v>
      </c>
      <c r="C12" s="45" t="s">
        <v>159</v>
      </c>
      <c r="F12" s="51">
        <v>1</v>
      </c>
      <c r="G12" s="51">
        <v>1</v>
      </c>
      <c r="H12" s="51">
        <v>1</v>
      </c>
      <c r="I12" s="45" t="s">
        <v>42</v>
      </c>
      <c r="J12" s="45">
        <v>1024</v>
      </c>
      <c r="K12" s="45" t="s">
        <v>97</v>
      </c>
      <c r="L12" s="45" t="s">
        <v>7</v>
      </c>
      <c r="M12" s="45">
        <v>298</v>
      </c>
      <c r="N12" s="45">
        <v>1</v>
      </c>
      <c r="O12" s="46" t="s">
        <v>55</v>
      </c>
      <c r="P12" s="45">
        <v>1</v>
      </c>
      <c r="Q12" s="45">
        <v>5</v>
      </c>
      <c r="R12" s="45">
        <f>1000000*Q12/P12</f>
        <v>5000000</v>
      </c>
      <c r="U12" s="47"/>
      <c r="V12" s="48"/>
      <c r="W12" s="45" t="s">
        <v>21</v>
      </c>
      <c r="X12" s="45" t="s">
        <v>133</v>
      </c>
      <c r="Z12" s="45" t="s">
        <v>24</v>
      </c>
      <c r="AA12" s="49" t="s">
        <v>133</v>
      </c>
      <c r="AB12" s="52"/>
    </row>
    <row r="13" spans="2:29" s="45" customFormat="1">
      <c r="B13" s="46" t="s">
        <v>165</v>
      </c>
      <c r="C13" s="45" t="s">
        <v>159</v>
      </c>
      <c r="F13" s="50">
        <v>1.05</v>
      </c>
      <c r="G13" s="51">
        <v>1.05</v>
      </c>
      <c r="H13" s="51">
        <v>1.05</v>
      </c>
      <c r="I13" s="45" t="s">
        <v>42</v>
      </c>
      <c r="J13" s="45">
        <v>1024</v>
      </c>
      <c r="K13" s="45" t="s">
        <v>97</v>
      </c>
      <c r="L13" s="45" t="s">
        <v>7</v>
      </c>
      <c r="M13" s="45">
        <v>298</v>
      </c>
      <c r="N13" s="45">
        <v>1</v>
      </c>
      <c r="O13" s="46" t="s">
        <v>55</v>
      </c>
      <c r="P13" s="45">
        <v>1</v>
      </c>
      <c r="Q13" s="45">
        <v>5</v>
      </c>
      <c r="R13" s="45">
        <f>1000000*Q13/P13</f>
        <v>5000000</v>
      </c>
      <c r="U13" s="47"/>
      <c r="V13" s="48">
        <v>19.827999999999999</v>
      </c>
      <c r="W13" s="45" t="s">
        <v>21</v>
      </c>
      <c r="X13" s="45" t="s">
        <v>133</v>
      </c>
      <c r="Y13" s="45">
        <v>786.56299999999999</v>
      </c>
      <c r="Z13" s="45" t="s">
        <v>24</v>
      </c>
      <c r="AA13" s="49" t="s">
        <v>133</v>
      </c>
      <c r="AB13" s="52">
        <v>0.31119999999999998</v>
      </c>
      <c r="AC13" s="45" t="s">
        <v>151</v>
      </c>
    </row>
    <row r="14" spans="2:29" s="45" customFormat="1">
      <c r="F14" s="51"/>
      <c r="G14" s="51"/>
      <c r="H14" s="51"/>
      <c r="U14" s="47"/>
      <c r="V14" s="48"/>
      <c r="AB14" s="52"/>
    </row>
    <row r="15" spans="2:29" s="45" customFormat="1">
      <c r="B15" s="45" t="s">
        <v>160</v>
      </c>
      <c r="C15" s="45" t="s">
        <v>159</v>
      </c>
      <c r="F15" s="51">
        <v>1</v>
      </c>
      <c r="G15" s="51">
        <v>1</v>
      </c>
      <c r="H15" s="51">
        <v>1</v>
      </c>
      <c r="I15" s="45" t="s">
        <v>42</v>
      </c>
      <c r="J15" s="45">
        <v>1024</v>
      </c>
      <c r="K15" s="45" t="s">
        <v>158</v>
      </c>
      <c r="L15" s="45" t="s">
        <v>7</v>
      </c>
      <c r="N15" s="45">
        <v>1</v>
      </c>
      <c r="P15" s="45">
        <v>1</v>
      </c>
      <c r="Q15" s="45">
        <v>100</v>
      </c>
      <c r="R15" s="45">
        <f>1000000*Q15/P15</f>
        <v>100000000</v>
      </c>
      <c r="U15" s="47"/>
      <c r="V15" s="48"/>
      <c r="AB15" s="52"/>
    </row>
    <row r="17" spans="2:29" s="15" customFormat="1">
      <c r="B17" s="15" t="s">
        <v>166</v>
      </c>
      <c r="F17" s="19"/>
      <c r="G17" s="19"/>
      <c r="H17" s="19"/>
      <c r="U17" s="21"/>
      <c r="V17" s="43"/>
      <c r="X17" s="25"/>
      <c r="AA17" s="25"/>
      <c r="AB17" s="33"/>
    </row>
    <row r="18" spans="2:29" s="68" customFormat="1">
      <c r="F18" s="67"/>
      <c r="G18" s="67"/>
      <c r="H18" s="67"/>
      <c r="U18" s="69"/>
      <c r="V18" s="70"/>
      <c r="AB18" s="71"/>
    </row>
    <row r="19" spans="2:29" s="26" customFormat="1">
      <c r="B19" s="26" t="s">
        <v>209</v>
      </c>
      <c r="C19" s="26" t="s">
        <v>208</v>
      </c>
      <c r="D19" s="26" t="s">
        <v>217</v>
      </c>
      <c r="E19" s="26" t="s">
        <v>210</v>
      </c>
      <c r="F19" s="107">
        <v>1.05</v>
      </c>
      <c r="G19" s="107">
        <v>1.05</v>
      </c>
      <c r="H19" s="107">
        <v>1</v>
      </c>
      <c r="I19" s="26" t="s">
        <v>42</v>
      </c>
      <c r="J19" s="26">
        <v>1024</v>
      </c>
      <c r="M19" s="26">
        <v>298</v>
      </c>
      <c r="N19" s="26">
        <v>1</v>
      </c>
      <c r="U19" s="108"/>
      <c r="V19" s="109"/>
      <c r="AB19" s="110"/>
    </row>
    <row r="20" spans="2:29" s="26" customFormat="1">
      <c r="B20" s="26" t="s">
        <v>211</v>
      </c>
      <c r="C20" s="26" t="s">
        <v>159</v>
      </c>
      <c r="E20" s="26" t="s">
        <v>210</v>
      </c>
      <c r="F20" s="107">
        <v>1.05</v>
      </c>
      <c r="G20" s="107">
        <v>1.05</v>
      </c>
      <c r="H20" s="107">
        <v>1</v>
      </c>
      <c r="I20" s="26" t="s">
        <v>42</v>
      </c>
      <c r="J20" s="26">
        <v>1024</v>
      </c>
      <c r="M20" s="26">
        <v>298</v>
      </c>
      <c r="N20" s="26">
        <v>1</v>
      </c>
      <c r="U20" s="108"/>
      <c r="V20" s="109"/>
      <c r="AB20" s="110"/>
    </row>
    <row r="21" spans="2:29" s="26" customFormat="1">
      <c r="F21" s="107"/>
      <c r="G21" s="107"/>
      <c r="H21" s="107"/>
      <c r="U21" s="108"/>
      <c r="V21" s="109"/>
      <c r="AB21" s="110"/>
    </row>
    <row r="22" spans="2:29" s="26" customFormat="1">
      <c r="B22" s="26" t="s">
        <v>267</v>
      </c>
      <c r="C22" s="26" t="s">
        <v>208</v>
      </c>
      <c r="D22" s="26" t="s">
        <v>217</v>
      </c>
      <c r="E22" s="26" t="s">
        <v>212</v>
      </c>
      <c r="F22" s="107">
        <v>1.05</v>
      </c>
      <c r="G22" s="107">
        <v>1.05</v>
      </c>
      <c r="H22" s="107">
        <v>1</v>
      </c>
      <c r="I22" s="26" t="s">
        <v>42</v>
      </c>
      <c r="J22" s="26">
        <v>1024</v>
      </c>
      <c r="M22" s="26">
        <v>298</v>
      </c>
      <c r="N22" s="26">
        <v>1</v>
      </c>
      <c r="U22" s="108"/>
      <c r="V22" s="109"/>
      <c r="AB22" s="110"/>
      <c r="AC22" s="26" t="s">
        <v>213</v>
      </c>
    </row>
    <row r="23" spans="2:29" s="26" customFormat="1">
      <c r="C23" s="26" t="s">
        <v>159</v>
      </c>
      <c r="E23" s="26" t="s">
        <v>212</v>
      </c>
      <c r="F23" s="107">
        <v>1.05</v>
      </c>
      <c r="G23" s="107">
        <v>1.05</v>
      </c>
      <c r="H23" s="107">
        <v>1</v>
      </c>
      <c r="I23" s="26" t="s">
        <v>42</v>
      </c>
      <c r="J23" s="26">
        <v>1024</v>
      </c>
      <c r="M23" s="26">
        <v>298</v>
      </c>
      <c r="N23" s="26">
        <v>1</v>
      </c>
      <c r="U23" s="108"/>
      <c r="V23" s="109"/>
      <c r="AB23" s="110"/>
      <c r="AC23" s="26" t="s">
        <v>214</v>
      </c>
    </row>
    <row r="24" spans="2:29" s="26" customFormat="1">
      <c r="F24" s="107"/>
      <c r="G24" s="107"/>
      <c r="H24" s="107"/>
      <c r="U24" s="108"/>
      <c r="V24" s="109"/>
      <c r="AB24" s="110"/>
    </row>
    <row r="25" spans="2:29" s="26" customFormat="1">
      <c r="B25" s="26" t="s">
        <v>220</v>
      </c>
      <c r="C25" s="26" t="s">
        <v>208</v>
      </c>
      <c r="D25" s="26" t="s">
        <v>218</v>
      </c>
      <c r="E25" s="26" t="s">
        <v>212</v>
      </c>
      <c r="F25" s="107">
        <v>1.05</v>
      </c>
      <c r="G25" s="107">
        <v>1.05</v>
      </c>
      <c r="H25" s="107">
        <v>1</v>
      </c>
      <c r="I25" s="26" t="s">
        <v>42</v>
      </c>
      <c r="J25" s="26">
        <v>1024</v>
      </c>
      <c r="M25" s="26">
        <v>298</v>
      </c>
      <c r="N25" s="26">
        <v>1</v>
      </c>
      <c r="U25" s="108"/>
      <c r="V25" s="109"/>
      <c r="AB25" s="110"/>
      <c r="AC25" s="26" t="s">
        <v>222</v>
      </c>
    </row>
    <row r="26" spans="2:29" s="26" customFormat="1">
      <c r="B26" s="26" t="s">
        <v>221</v>
      </c>
      <c r="C26" s="26" t="s">
        <v>159</v>
      </c>
      <c r="E26" s="26" t="s">
        <v>212</v>
      </c>
      <c r="F26" s="107">
        <v>1.05</v>
      </c>
      <c r="G26" s="107">
        <v>1.05</v>
      </c>
      <c r="H26" s="107">
        <v>1</v>
      </c>
      <c r="I26" s="26" t="s">
        <v>42</v>
      </c>
      <c r="J26" s="26">
        <v>1024</v>
      </c>
      <c r="M26" s="26">
        <v>298</v>
      </c>
      <c r="N26" s="26">
        <v>1</v>
      </c>
      <c r="U26" s="108"/>
      <c r="V26" s="109"/>
      <c r="AB26" s="110"/>
      <c r="AC26" s="26" t="s">
        <v>223</v>
      </c>
    </row>
    <row r="27" spans="2:29" s="26" customFormat="1">
      <c r="F27" s="107"/>
      <c r="G27" s="107"/>
      <c r="H27" s="107"/>
      <c r="U27" s="108"/>
      <c r="V27" s="109"/>
      <c r="AB27" s="110"/>
    </row>
    <row r="28" spans="2:29" s="26" customFormat="1">
      <c r="B28" s="26" t="s">
        <v>224</v>
      </c>
      <c r="C28" s="26">
        <v>4</v>
      </c>
      <c r="F28" s="107"/>
      <c r="G28" s="107"/>
      <c r="H28" s="107"/>
      <c r="U28" s="108"/>
      <c r="V28" s="109"/>
      <c r="AB28" s="110"/>
      <c r="AC28" s="26" t="s">
        <v>225</v>
      </c>
    </row>
    <row r="29" spans="2:29" s="26" customFormat="1">
      <c r="F29" s="107"/>
      <c r="G29" s="107"/>
      <c r="H29" s="107"/>
      <c r="U29" s="108"/>
      <c r="V29" s="109"/>
      <c r="AB29" s="110"/>
    </row>
    <row r="30" spans="2:29" s="26" customFormat="1">
      <c r="B30" s="26" t="s">
        <v>229</v>
      </c>
      <c r="C30" s="26">
        <v>4</v>
      </c>
      <c r="D30" s="26" t="s">
        <v>218</v>
      </c>
      <c r="E30" s="26" t="s">
        <v>212</v>
      </c>
      <c r="F30" s="107">
        <v>0.8</v>
      </c>
      <c r="G30" s="107">
        <v>0.8</v>
      </c>
      <c r="H30" s="107">
        <v>0.8</v>
      </c>
      <c r="I30" s="26" t="s">
        <v>42</v>
      </c>
      <c r="J30" s="26">
        <v>1024</v>
      </c>
      <c r="M30" s="26">
        <v>298</v>
      </c>
      <c r="N30" s="26">
        <v>1</v>
      </c>
      <c r="U30" s="108"/>
      <c r="V30" s="109"/>
      <c r="AB30" s="110"/>
      <c r="AC30" s="26" t="s">
        <v>228</v>
      </c>
    </row>
    <row r="31" spans="2:29" s="26" customFormat="1">
      <c r="B31" s="26" t="s">
        <v>231</v>
      </c>
      <c r="F31" s="107"/>
      <c r="G31" s="107"/>
      <c r="H31" s="107"/>
      <c r="U31" s="108"/>
      <c r="V31" s="109"/>
      <c r="AB31" s="110"/>
    </row>
    <row r="32" spans="2:29" s="68" customFormat="1">
      <c r="F32" s="67"/>
      <c r="G32" s="67"/>
      <c r="H32" s="67"/>
      <c r="U32" s="69"/>
      <c r="V32" s="70"/>
      <c r="AB32" s="71"/>
    </row>
    <row r="33" spans="2:29" s="68" customFormat="1">
      <c r="B33" s="68" t="s">
        <v>278</v>
      </c>
      <c r="C33" s="68">
        <v>7</v>
      </c>
      <c r="D33" s="68" t="s">
        <v>276</v>
      </c>
      <c r="E33" s="68" t="s">
        <v>210</v>
      </c>
      <c r="F33" s="67">
        <v>1.05</v>
      </c>
      <c r="G33" s="67">
        <v>1.05</v>
      </c>
      <c r="H33" s="67">
        <v>1</v>
      </c>
      <c r="I33" s="68" t="s">
        <v>42</v>
      </c>
      <c r="J33" s="68">
        <v>1024</v>
      </c>
      <c r="M33" s="68">
        <v>298</v>
      </c>
      <c r="N33" s="68">
        <v>1</v>
      </c>
      <c r="U33" s="69"/>
      <c r="V33" s="70"/>
      <c r="W33" s="68" t="s">
        <v>21</v>
      </c>
      <c r="X33" s="111" t="s">
        <v>279</v>
      </c>
      <c r="Y33" s="68">
        <v>788.55600000000004</v>
      </c>
      <c r="AB33" s="71"/>
      <c r="AC33" s="68" t="s">
        <v>277</v>
      </c>
    </row>
    <row r="34" spans="2:29" s="68" customFormat="1">
      <c r="F34" s="67"/>
      <c r="G34" s="67"/>
      <c r="H34" s="67"/>
      <c r="U34" s="69"/>
      <c r="V34" s="70"/>
      <c r="AB34" s="71"/>
    </row>
    <row r="35" spans="2:29" s="68" customFormat="1">
      <c r="B35" s="68" t="s">
        <v>230</v>
      </c>
      <c r="F35" s="67"/>
      <c r="G35" s="67"/>
      <c r="H35" s="67"/>
      <c r="U35" s="69"/>
      <c r="V35" s="70"/>
      <c r="AB35" s="71"/>
    </row>
    <row r="36" spans="2:29" s="163" customFormat="1">
      <c r="F36" s="172"/>
      <c r="G36" s="172"/>
      <c r="H36" s="172"/>
      <c r="U36" s="167"/>
      <c r="V36" s="173"/>
      <c r="AB36" s="174"/>
    </row>
    <row r="37" spans="2:29" s="68" customFormat="1">
      <c r="F37" s="67"/>
      <c r="G37" s="67"/>
      <c r="H37" s="67"/>
      <c r="U37" s="69"/>
      <c r="V37" s="70"/>
      <c r="AB37" s="71"/>
    </row>
    <row r="38" spans="2:29" s="68" customFormat="1">
      <c r="F38" s="67"/>
      <c r="G38" s="67"/>
      <c r="H38" s="67"/>
      <c r="U38" s="69"/>
      <c r="V38" s="70"/>
      <c r="AB38" s="71"/>
    </row>
    <row r="39" spans="2:29" s="68" customFormat="1">
      <c r="F39" s="67"/>
      <c r="G39" s="67"/>
      <c r="H39" s="67"/>
      <c r="U39" s="69"/>
      <c r="V39" s="70"/>
      <c r="AB39" s="71"/>
    </row>
    <row r="40" spans="2:29" s="68" customFormat="1">
      <c r="F40" s="67"/>
      <c r="G40" s="67"/>
      <c r="H40" s="67"/>
      <c r="U40" s="69"/>
      <c r="V40" s="70"/>
      <c r="AB40" s="71"/>
    </row>
    <row r="41" spans="2:29" s="68" customFormat="1">
      <c r="F41" s="67"/>
      <c r="G41" s="67"/>
      <c r="H41" s="67"/>
      <c r="U41" s="69"/>
      <c r="V41" s="70"/>
      <c r="AB41" s="71"/>
    </row>
    <row r="42" spans="2:29" s="68" customFormat="1">
      <c r="F42" s="67"/>
      <c r="G42" s="67"/>
      <c r="H42" s="67"/>
      <c r="U42" s="69"/>
      <c r="V42" s="70"/>
      <c r="AB42" s="71"/>
    </row>
    <row r="43" spans="2:29" s="68" customFormat="1">
      <c r="F43" s="67"/>
      <c r="G43" s="67"/>
      <c r="H43" s="67"/>
      <c r="U43" s="69"/>
      <c r="V43" s="70"/>
      <c r="AB43" s="71"/>
    </row>
    <row r="44" spans="2:29" s="68" customFormat="1">
      <c r="F44" s="67"/>
      <c r="G44" s="67"/>
      <c r="H44" s="67"/>
      <c r="U44" s="69"/>
      <c r="V44" s="70"/>
      <c r="AB44" s="71"/>
    </row>
    <row r="45" spans="2:29" s="68" customFormat="1">
      <c r="F45" s="67"/>
      <c r="G45" s="67"/>
      <c r="H45" s="67"/>
      <c r="U45" s="69"/>
      <c r="V45" s="70"/>
      <c r="AB45" s="71"/>
    </row>
    <row r="46" spans="2:29" s="68" customFormat="1">
      <c r="F46" s="67"/>
      <c r="G46" s="67"/>
      <c r="H46" s="67"/>
      <c r="U46" s="69"/>
      <c r="V46" s="70"/>
      <c r="AB46" s="71"/>
    </row>
    <row r="47" spans="2:29" s="68" customFormat="1">
      <c r="F47" s="67"/>
      <c r="G47" s="67"/>
      <c r="H47" s="67"/>
      <c r="U47" s="69"/>
      <c r="V47" s="70"/>
      <c r="AB47" s="71"/>
    </row>
    <row r="48" spans="2:29" s="68" customFormat="1">
      <c r="F48" s="67"/>
      <c r="G48" s="67"/>
      <c r="H48" s="67"/>
      <c r="U48" s="69"/>
      <c r="V48" s="70"/>
      <c r="AB48" s="71"/>
    </row>
    <row r="49" spans="6:28" s="68" customFormat="1">
      <c r="F49" s="67"/>
      <c r="G49" s="67"/>
      <c r="H49" s="67"/>
      <c r="U49" s="69"/>
      <c r="V49" s="70"/>
      <c r="AB49" s="71"/>
    </row>
    <row r="50" spans="6:28" s="68" customFormat="1">
      <c r="F50" s="67"/>
      <c r="G50" s="67"/>
      <c r="H50" s="67"/>
      <c r="U50" s="69"/>
      <c r="V50" s="70"/>
      <c r="AB50" s="71"/>
    </row>
    <row r="51" spans="6:28" s="68" customFormat="1">
      <c r="F51" s="67"/>
      <c r="G51" s="67"/>
      <c r="H51" s="67"/>
      <c r="U51" s="69"/>
      <c r="V51" s="70"/>
      <c r="AB51" s="71"/>
    </row>
    <row r="52" spans="6:28" s="68" customFormat="1">
      <c r="F52" s="67"/>
      <c r="G52" s="67"/>
      <c r="H52" s="67"/>
      <c r="U52" s="69"/>
      <c r="V52" s="70"/>
      <c r="AB52" s="71"/>
    </row>
  </sheetData>
  <mergeCells count="2">
    <mergeCell ref="S3:U3"/>
    <mergeCell ref="W3:A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Sim matrix</vt:lpstr>
      <vt:lpstr>Outline</vt:lpstr>
      <vt:lpstr>TraPPE</vt:lpstr>
      <vt:lpstr>PYS-W</vt:lpstr>
      <vt:lpstr>CHARMM36</vt:lpstr>
      <vt:lpstr>L-OPLS</vt:lpstr>
      <vt:lpstr>Sun9-6</vt:lpstr>
      <vt:lpstr>Williams7</vt:lpstr>
      <vt:lpstr>FlexWilliams_old</vt:lpstr>
      <vt:lpstr>WilliamsOpt</vt:lpstr>
      <vt:lpstr>C16_cryst</vt:lpstr>
      <vt:lpstr>Williams2019</vt:lpstr>
      <vt:lpstr>GMX_dihedral</vt:lpstr>
      <vt:lpstr>Expr data</vt:lpstr>
      <vt:lpstr>Ref</vt:lpstr>
      <vt:lpstr>box_sizes</vt:lpstr>
      <vt:lpstr>cos-acc tests</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2019-07-10T16:11:00Z</dcterms:modified>
  <cp:category/>
  <cp:contentStatus/>
</cp:coreProperties>
</file>