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0" documentId="8_{E5AA701E-4E5C-4693-867F-0B9DF357AD2F}" xr6:coauthVersionLast="47" xr6:coauthVersionMax="47" xr10:uidLastSave="{00000000-0000-0000-0000-000000000000}"/>
  <bookViews>
    <workbookView xWindow="-105" yWindow="0" windowWidth="14610" windowHeight="15585" activeTab="1" xr2:uid="{4169B73F-CA98-4416-AEF1-3CC0FE1346E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2" l="1"/>
  <c r="T31" i="2"/>
  <c r="L29" i="2"/>
  <c r="K29" i="2"/>
  <c r="J29" i="2"/>
  <c r="I29" i="2"/>
  <c r="H29" i="2"/>
  <c r="G29" i="2"/>
  <c r="F29" i="2"/>
  <c r="E29" i="2"/>
  <c r="D29" i="2"/>
  <c r="Z16" i="2"/>
  <c r="Y16" i="2"/>
  <c r="X16" i="2"/>
  <c r="W16" i="2"/>
  <c r="V16" i="2"/>
  <c r="U16" i="2"/>
  <c r="M29" i="2"/>
  <c r="U25" i="2"/>
  <c r="V25" i="2" s="1"/>
  <c r="L27" i="2"/>
  <c r="K27" i="2"/>
  <c r="E27" i="2"/>
  <c r="D27" i="2"/>
  <c r="X13" i="2"/>
  <c r="X28" i="2" s="1"/>
  <c r="W13" i="2"/>
  <c r="V13" i="2"/>
  <c r="Z11" i="2"/>
  <c r="Z13" i="2" s="1"/>
  <c r="Z15" i="2" s="1"/>
  <c r="Z27" i="2" s="1"/>
  <c r="Y11" i="2"/>
  <c r="Y13" i="2" s="1"/>
  <c r="X11" i="2"/>
  <c r="W11" i="2"/>
  <c r="V11" i="2"/>
  <c r="U11" i="2"/>
  <c r="U13" i="2" s="1"/>
  <c r="U15" i="2" s="1"/>
  <c r="U27" i="2" s="1"/>
  <c r="T11" i="2"/>
  <c r="S11" i="2"/>
  <c r="S25" i="2"/>
  <c r="S22" i="2"/>
  <c r="S20" i="2"/>
  <c r="S17" i="2"/>
  <c r="S16" i="2"/>
  <c r="S14" i="2"/>
  <c r="T25" i="2"/>
  <c r="T22" i="2"/>
  <c r="T20" i="2"/>
  <c r="L19" i="2"/>
  <c r="L21" i="2" s="1"/>
  <c r="L23" i="2" s="1"/>
  <c r="L24" i="2" s="1"/>
  <c r="K19" i="2"/>
  <c r="K21" i="2" s="1"/>
  <c r="K23" i="2" s="1"/>
  <c r="K24" i="2" s="1"/>
  <c r="J19" i="2"/>
  <c r="J21" i="2" s="1"/>
  <c r="J23" i="2" s="1"/>
  <c r="J24" i="2" s="1"/>
  <c r="I19" i="2"/>
  <c r="I21" i="2" s="1"/>
  <c r="I23" i="2" s="1"/>
  <c r="I24" i="2" s="1"/>
  <c r="H19" i="2"/>
  <c r="H21" i="2" s="1"/>
  <c r="H23" i="2" s="1"/>
  <c r="H24" i="2" s="1"/>
  <c r="G19" i="2"/>
  <c r="G21" i="2" s="1"/>
  <c r="G23" i="2" s="1"/>
  <c r="G24" i="2" s="1"/>
  <c r="F19" i="2"/>
  <c r="F21" i="2" s="1"/>
  <c r="F23" i="2" s="1"/>
  <c r="F24" i="2" s="1"/>
  <c r="E19" i="2"/>
  <c r="E21" i="2" s="1"/>
  <c r="E23" i="2" s="1"/>
  <c r="E24" i="2" s="1"/>
  <c r="D19" i="2"/>
  <c r="D21" i="2" s="1"/>
  <c r="D23" i="2" s="1"/>
  <c r="D24" i="2" s="1"/>
  <c r="L13" i="2"/>
  <c r="K13" i="2"/>
  <c r="J13" i="2"/>
  <c r="J27" i="2" s="1"/>
  <c r="I13" i="2"/>
  <c r="I27" i="2" s="1"/>
  <c r="H13" i="2"/>
  <c r="H27" i="2" s="1"/>
  <c r="G13" i="2"/>
  <c r="G27" i="2" s="1"/>
  <c r="F13" i="2"/>
  <c r="F27" i="2" s="1"/>
  <c r="E13" i="2"/>
  <c r="D13" i="2"/>
  <c r="M13" i="2"/>
  <c r="T17" i="2"/>
  <c r="U17" i="2" s="1"/>
  <c r="V17" i="2" s="1"/>
  <c r="W17" i="2" s="1"/>
  <c r="X17" i="2" s="1"/>
  <c r="Y17" i="2" s="1"/>
  <c r="Z17" i="2" s="1"/>
  <c r="T16" i="2"/>
  <c r="T14" i="2"/>
  <c r="U14" i="2" s="1"/>
  <c r="R2" i="2"/>
  <c r="S2" i="2" s="1"/>
  <c r="T2" i="2" s="1"/>
  <c r="U2" i="2" s="1"/>
  <c r="V2" i="2" s="1"/>
  <c r="W2" i="2" s="1"/>
  <c r="X2" i="2" s="1"/>
  <c r="Y2" i="2" s="1"/>
  <c r="Z2" i="2" s="1"/>
  <c r="C7" i="1"/>
  <c r="C6" i="1"/>
  <c r="C5" i="1"/>
  <c r="C4" i="1"/>
  <c r="U18" i="2" l="1"/>
  <c r="U19" i="2" s="1"/>
  <c r="U21" i="2" s="1"/>
  <c r="Y28" i="2"/>
  <c r="Y15" i="2"/>
  <c r="Y27" i="2" s="1"/>
  <c r="W28" i="2"/>
  <c r="X15" i="2"/>
  <c r="X27" i="2" s="1"/>
  <c r="V28" i="2"/>
  <c r="V15" i="2"/>
  <c r="V27" i="2" s="1"/>
  <c r="W15" i="2"/>
  <c r="W27" i="2" s="1"/>
  <c r="W25" i="2"/>
  <c r="Z28" i="2"/>
  <c r="S18" i="2"/>
  <c r="T18" i="2"/>
  <c r="H28" i="2"/>
  <c r="S13" i="2"/>
  <c r="K28" i="2"/>
  <c r="T13" i="2"/>
  <c r="T15" i="2" s="1"/>
  <c r="T27" i="2" s="1"/>
  <c r="M15" i="2"/>
  <c r="J28" i="2"/>
  <c r="L28" i="2"/>
  <c r="M28" i="2"/>
  <c r="I28" i="2"/>
  <c r="M19" i="2" l="1"/>
  <c r="M21" i="2" s="1"/>
  <c r="M23" i="2" s="1"/>
  <c r="M24" i="2" s="1"/>
  <c r="M27" i="2"/>
  <c r="U22" i="2"/>
  <c r="U23" i="2" s="1"/>
  <c r="U31" i="2" s="1"/>
  <c r="X25" i="2"/>
  <c r="V18" i="2"/>
  <c r="V19" i="2" s="1"/>
  <c r="U28" i="2"/>
  <c r="T19" i="2"/>
  <c r="T21" i="2" s="1"/>
  <c r="T23" i="2" s="1"/>
  <c r="T24" i="2" s="1"/>
  <c r="S15" i="2"/>
  <c r="T28" i="2"/>
  <c r="V20" i="2" l="1"/>
  <c r="V21" i="2" s="1"/>
  <c r="U24" i="2"/>
  <c r="S19" i="2"/>
  <c r="S21" i="2" s="1"/>
  <c r="S23" i="2" s="1"/>
  <c r="S24" i="2" s="1"/>
  <c r="S27" i="2"/>
  <c r="Y25" i="2"/>
  <c r="W18" i="2"/>
  <c r="W19" i="2" s="1"/>
  <c r="V22" i="2" l="1"/>
  <c r="V23" i="2" s="1"/>
  <c r="Z25" i="2"/>
  <c r="X18" i="2"/>
  <c r="X19" i="2" s="1"/>
  <c r="V24" i="2" l="1"/>
  <c r="V31" i="2"/>
  <c r="Z18" i="2"/>
  <c r="Z19" i="2" s="1"/>
  <c r="Y18" i="2"/>
  <c r="Y19" i="2" s="1"/>
  <c r="W20" i="2" l="1"/>
  <c r="W21" i="2" s="1"/>
  <c r="W22" i="2" s="1"/>
  <c r="W23" i="2" s="1"/>
  <c r="W24" i="2" s="1"/>
  <c r="W31" i="2" l="1"/>
  <c r="X20" i="2" l="1"/>
  <c r="X21" i="2" s="1"/>
  <c r="X22" i="2" s="1"/>
  <c r="X23" i="2" s="1"/>
  <c r="X24" i="2" s="1"/>
  <c r="X31" i="2" l="1"/>
  <c r="Y20" i="2" l="1"/>
  <c r="Y21" i="2" s="1"/>
  <c r="Y22" i="2" s="1"/>
  <c r="Y23" i="2" s="1"/>
  <c r="Y24" i="2" l="1"/>
  <c r="Y31" i="2"/>
  <c r="Z20" i="2" l="1"/>
  <c r="Z21" i="2" s="1"/>
  <c r="Z22" i="2" l="1"/>
  <c r="Z23" i="2"/>
  <c r="AA23" i="2" l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Z24" i="2"/>
  <c r="Z31" i="2"/>
  <c r="P23" i="2" l="1"/>
  <c r="P24" i="2" s="1"/>
</calcChain>
</file>

<file path=xl/sharedStrings.xml><?xml version="1.0" encoding="utf-8"?>
<sst xmlns="http://schemas.openxmlformats.org/spreadsheetml/2006/main" count="55" uniqueCount="47">
  <si>
    <t>Price</t>
  </si>
  <si>
    <t>MC</t>
  </si>
  <si>
    <t xml:space="preserve">Shares </t>
  </si>
  <si>
    <t>Cash</t>
  </si>
  <si>
    <t>Debt</t>
  </si>
  <si>
    <t>EV</t>
  </si>
  <si>
    <t>Revenue</t>
  </si>
  <si>
    <t>COGS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</si>
  <si>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</si>
  <si>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</si>
  <si>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</si>
  <si>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</si>
  <si>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</si>
  <si>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</si>
  <si>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</si>
  <si>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</si>
  <si>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</si>
  <si>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</si>
  <si>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</si>
  <si>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</si>
  <si>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 xml:space="preserve"> </t>
  </si>
  <si>
    <t>Rev y/y</t>
  </si>
  <si>
    <t>Products</t>
  </si>
  <si>
    <t xml:space="preserve">Collaboration and other </t>
  </si>
  <si>
    <t>RD</t>
  </si>
  <si>
    <t>SGA</t>
  </si>
  <si>
    <t>OPEX</t>
  </si>
  <si>
    <t xml:space="preserve">Gross profit </t>
  </si>
  <si>
    <t xml:space="preserve">Operating Profit </t>
  </si>
  <si>
    <t>PRETAX</t>
  </si>
  <si>
    <t>TAX</t>
  </si>
  <si>
    <t>NI</t>
  </si>
  <si>
    <t>EPS</t>
  </si>
  <si>
    <t>Shares</t>
  </si>
  <si>
    <t>Interest Income</t>
  </si>
  <si>
    <t>Gross %</t>
  </si>
  <si>
    <t>Net Adds</t>
  </si>
  <si>
    <t>Patients</t>
  </si>
  <si>
    <t>Elevidys</t>
  </si>
  <si>
    <t>PMOs</t>
  </si>
  <si>
    <t>Exondys</t>
  </si>
  <si>
    <t>Amondys</t>
  </si>
  <si>
    <t>Vyondys</t>
  </si>
  <si>
    <t xml:space="preserve">ROIC </t>
  </si>
  <si>
    <t>NPV</t>
  </si>
  <si>
    <t>NC</t>
  </si>
  <si>
    <t>RD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</si>
</sst>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3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9" fontId="0" fillId="0" borderId="0" xfId="0" applyNumberFormat="1"/>
    <xf numFmtId="4" fontId="1" fillId="0" borderId="0" xfId="1" applyNumberFormat="1"/>
    <xf numFmtId="3" fontId="1" fillId="0" borderId="0" xfId="1" applyNumberFormat="1"/>
    <xf numFmtId="3" fontId="1" fillId="0" borderId="0" xfId="1" applyNumberFormat="1" applyAlignment="1">
      <alignment horizontal="right"/>
    </xf>
    <xf numFmtId="3" fontId="2" fillId="0" borderId="0" xfId="1" applyNumberFormat="1" applyFont="1"/>
    <xf numFmtId="3" fontId="0" fillId="0" borderId="0" xfId="0" applyNumberFormat="1"/>
    <xf numFmtId="3" fontId="1" fillId="0" borderId="0" xfId="1" applyNumberFormat="1" applyFill="1"/>
    <xf numFmtId="0" fontId="1" fillId="0" borderId="0" xfId="1"/>
    <xf numFmtId="3" fontId="1" fillId="0" borderId="0" xfId="1" applyNumberFormat="1"/>
    <xf numFmtId="3" fontId="1" fillId="0" borderId="0" xfId="1" applyNumberFormat="1" applyAlignment="1">
      <alignment horizontal="left"/>
    </xf>
    <xf numFmtId="3" fontId="1" fillId="0" borderId="0" xfId="1" applyNumberFormat="1"/>
    <xf numFmtId="8" fontId="0" fillId="0" borderId="0" xfId="0" applyNumberFormat="1"/>
  </cellXfs>
  <cellStyles count="2">
    <cellStyle name="Normal" xfId="0" builtinId="0"/>
    <cellStyle name="Normal 2" xfId="1" xr:uid="{28C4E66D-87FD-4720-A70E-2B8F69B397E8}"/>
  </cellStyles>
  <dxfs count="0"/>
  <tableStyles count="1" defaultTableStyle="TableStyleMedium2" defaultPivotStyle="PivotStyleLight16">
    <tableStyle name="Invisible" pivot="0" table="0" count="0" xr9:uid="{DA5123CF-2D1E-4DD9-A7C0-F3754D259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815D-2790-448D-A520-B4F5C888B6A6}">
  <dimension ref="B2:C7"/>
  <sheetViews>
    <sheetView workbookViewId="0">
      <selection activeCell="D10" sqref="D10"/>
    </sheetView>
  </sheetViews>
  <sheetFormatPr defaultRowHeight="14.25" x14ac:dyDescent="0.2"/>
  <sheetData>
    <row r="2" spans="2:3" x14ac:dyDescent="0.2">
      <c r="B2" t="s">
        <v>0</v>
      </c>
      <c r="C2">
        <v>55</v>
      </c>
    </row>
    <row r="3" spans="2:3" x14ac:dyDescent="0.2">
      <c r="B3" t="s">
        <v>2</v>
      </c>
      <c r="C3">
        <v>96.9</v>
      </c>
    </row>
    <row r="4" spans="2:3" x14ac:dyDescent="0.2">
      <c r="B4" t="s">
        <v>1</v>
      </c>
      <c r="C4">
        <f>+C2*C3</f>
        <v>5329.5</v>
      </c>
    </row>
    <row r="5" spans="2:3" x14ac:dyDescent="0.2">
      <c r="B5" t="s">
        <v>3</v>
      </c>
      <c r="C5">
        <f>2685.4+197.9+181.8</f>
        <v>3065.1000000000004</v>
      </c>
    </row>
    <row r="6" spans="2:3" x14ac:dyDescent="0.2">
      <c r="B6" t="s">
        <v>4</v>
      </c>
      <c r="C6">
        <f>91.6+1136</f>
        <v>1227.5999999999999</v>
      </c>
    </row>
    <row r="7" spans="2:3" x14ac:dyDescent="0.2">
      <c r="B7" t="s">
        <v>5</v>
      </c>
      <c r="C7">
        <f>+C4+C5-C6</f>
        <v>7167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8685-D02D-4563-B96D-38ACA7D3723F}">
  <dimension ref="A2:AN31"/>
  <sheetViews>
    <sheetView tabSelected="1" topLeftCell="A2" workbookViewId="0">
      <pane xSplit="1" ySplit="1" topLeftCell="N11" activePane="bottomRight" state="frozen"/>
      <selection activeCell="A2" sqref="A2"/>
      <selection pane="topRight" activeCell="B2" sqref="B2"/>
      <selection pane="bottomLeft" activeCell="A3" sqref="A3"/>
      <selection pane="bottomRight" activeCell="P21" sqref="P21"/>
    </sheetView>
  </sheetViews>
  <sheetFormatPr defaultRowHeight="14.25" x14ac:dyDescent="0.2"/>
  <cols>
    <col min="1" max="1" width="17.75" bestFit="1" customWidth="1"/>
    <col min="16" max="16" width="9.375" bestFit="1" customWidth="1"/>
  </cols>
  <sheetData>
    <row r="2" spans="1:3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Q2">
        <v>2021</v>
      </c>
      <c r="R2">
        <f>+Q2+1</f>
        <v>2022</v>
      </c>
      <c r="S2">
        <f t="shared" ref="S2:Z2" si="0">+R2+1</f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 t="s">
        <v>20</v>
      </c>
      <c r="AB2" t="s">
        <v>20</v>
      </c>
    </row>
    <row r="3" spans="1:31" x14ac:dyDescent="0.2">
      <c r="A3" s="8" t="s">
        <v>36</v>
      </c>
      <c r="S3" s="11"/>
      <c r="T3" s="11">
        <v>256.51781249999999</v>
      </c>
      <c r="U3" s="11">
        <v>558.375</v>
      </c>
      <c r="V3" s="11">
        <v>800</v>
      </c>
      <c r="W3" s="11">
        <v>800</v>
      </c>
      <c r="X3" s="11">
        <v>800</v>
      </c>
      <c r="Y3" s="11">
        <v>800</v>
      </c>
      <c r="Z3" s="11">
        <v>800</v>
      </c>
      <c r="AA3" s="11">
        <v>800</v>
      </c>
      <c r="AB3" s="11">
        <v>800</v>
      </c>
      <c r="AC3" s="11">
        <v>800</v>
      </c>
      <c r="AD3" s="11">
        <v>800</v>
      </c>
      <c r="AE3" s="11">
        <v>800</v>
      </c>
    </row>
    <row r="4" spans="1:31" x14ac:dyDescent="0.2">
      <c r="A4" s="8" t="s">
        <v>37</v>
      </c>
      <c r="S4" s="11"/>
      <c r="T4" s="11">
        <v>600</v>
      </c>
      <c r="U4" s="11">
        <v>1158.375</v>
      </c>
      <c r="V4" s="11">
        <v>1958.375</v>
      </c>
      <c r="W4" s="11">
        <v>2758.375</v>
      </c>
      <c r="X4" s="11">
        <v>3558.375</v>
      </c>
      <c r="Y4" s="11">
        <v>4358.375</v>
      </c>
      <c r="Z4" s="11">
        <v>5158.375</v>
      </c>
      <c r="AA4" s="11">
        <v>5958.375</v>
      </c>
      <c r="AB4" s="11">
        <v>6758.375</v>
      </c>
      <c r="AC4" s="11">
        <v>7558.375</v>
      </c>
      <c r="AD4" s="11">
        <v>8358.375</v>
      </c>
      <c r="AE4" s="11">
        <v>9158.375</v>
      </c>
    </row>
    <row r="5" spans="1:31" x14ac:dyDescent="0.2">
      <c r="A5" s="8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9" t="s">
        <v>38</v>
      </c>
      <c r="S6" s="11">
        <v>200.29999999999998</v>
      </c>
      <c r="T6" s="11">
        <v>820.85699999999997</v>
      </c>
      <c r="U6" s="11">
        <v>1786.8</v>
      </c>
      <c r="V6" s="11">
        <v>2560</v>
      </c>
      <c r="W6" s="11">
        <v>2560</v>
      </c>
      <c r="X6" s="11">
        <v>2560</v>
      </c>
      <c r="Y6" s="11">
        <v>2560</v>
      </c>
      <c r="Z6" s="11">
        <v>2560</v>
      </c>
      <c r="AA6" s="11">
        <v>2560</v>
      </c>
      <c r="AB6" s="11">
        <v>2560</v>
      </c>
      <c r="AC6" s="11">
        <v>2560</v>
      </c>
      <c r="AD6" s="11">
        <v>2560</v>
      </c>
      <c r="AE6" s="11">
        <v>2560</v>
      </c>
    </row>
    <row r="7" spans="1:31" x14ac:dyDescent="0.2">
      <c r="A7" s="9" t="s">
        <v>39</v>
      </c>
      <c r="S7" s="11">
        <v>944.57600000000002</v>
      </c>
      <c r="T7" s="11">
        <v>967.17499999999995</v>
      </c>
      <c r="U7" s="11">
        <v>1026</v>
      </c>
      <c r="V7" s="11">
        <v>923.4</v>
      </c>
      <c r="W7" s="11">
        <v>831.06</v>
      </c>
      <c r="X7" s="11">
        <v>747.95399999999995</v>
      </c>
      <c r="Y7" s="11">
        <v>673.15859999999998</v>
      </c>
      <c r="Z7" s="11">
        <v>605.84274000000005</v>
      </c>
      <c r="AA7" s="11">
        <v>545.25846600000011</v>
      </c>
      <c r="AB7" s="11">
        <v>490.73261940000009</v>
      </c>
      <c r="AC7" s="11">
        <v>441.65935746000008</v>
      </c>
      <c r="AD7" s="11">
        <v>397.49342171400008</v>
      </c>
      <c r="AE7" s="11">
        <v>357.7440795426001</v>
      </c>
    </row>
    <row r="8" spans="1:31" x14ac:dyDescent="0.2">
      <c r="A8" s="10" t="s">
        <v>40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2">
      <c r="A9" s="9" t="s">
        <v>41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x14ac:dyDescent="0.2">
      <c r="A10" s="9" t="s">
        <v>42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">
      <c r="A11" t="s">
        <v>22</v>
      </c>
      <c r="D11" s="4">
        <v>207.774</v>
      </c>
      <c r="E11" s="3">
        <v>235.93299999999999</v>
      </c>
      <c r="F11" s="3">
        <v>231.495</v>
      </c>
      <c r="G11" s="3">
        <v>238.988</v>
      </c>
      <c r="H11" s="4">
        <v>309.322</v>
      </c>
      <c r="I11" s="3">
        <v>365.07100000000003</v>
      </c>
      <c r="J11" s="3">
        <v>359.48399999999998</v>
      </c>
      <c r="K11" s="3">
        <v>360.548</v>
      </c>
      <c r="L11" s="3">
        <v>429.8</v>
      </c>
      <c r="M11" s="3">
        <v>638.20000000000005</v>
      </c>
      <c r="R11" t="s">
        <v>20</v>
      </c>
      <c r="S11" s="6">
        <f>+S6+S7</f>
        <v>1144.876</v>
      </c>
      <c r="T11" s="6">
        <f t="shared" ref="T11:Z11" si="1">+T6+T7</f>
        <v>1788.0319999999999</v>
      </c>
      <c r="U11" s="6">
        <f t="shared" si="1"/>
        <v>2812.8</v>
      </c>
      <c r="V11" s="6">
        <f t="shared" si="1"/>
        <v>3483.4</v>
      </c>
      <c r="W11" s="6">
        <f t="shared" si="1"/>
        <v>3391.06</v>
      </c>
      <c r="X11" s="6">
        <f t="shared" si="1"/>
        <v>3307.9539999999997</v>
      </c>
      <c r="Y11" s="6">
        <f t="shared" si="1"/>
        <v>3233.1585999999998</v>
      </c>
      <c r="Z11" s="6">
        <f t="shared" si="1"/>
        <v>3165.84274</v>
      </c>
      <c r="AA11" s="6"/>
      <c r="AB11" s="6"/>
      <c r="AC11" s="6"/>
      <c r="AD11" s="6"/>
      <c r="AE11" s="6"/>
    </row>
    <row r="12" spans="1:31" x14ac:dyDescent="0.2">
      <c r="A12" t="s">
        <v>23</v>
      </c>
      <c r="D12" s="4">
        <v>22.495000000000001</v>
      </c>
      <c r="E12" s="3">
        <v>22.494</v>
      </c>
      <c r="F12" s="3">
        <v>22.004999999999999</v>
      </c>
      <c r="G12" s="3">
        <v>22.25</v>
      </c>
      <c r="H12" s="4">
        <v>22.495000000000001</v>
      </c>
      <c r="I12" s="3">
        <v>31.71</v>
      </c>
      <c r="J12" s="3">
        <v>53.98</v>
      </c>
      <c r="K12" s="3">
        <v>2.383</v>
      </c>
      <c r="L12" s="3">
        <v>37.401000000000003</v>
      </c>
      <c r="M12" s="3">
        <v>20.254999999999999</v>
      </c>
      <c r="R12" t="s">
        <v>20</v>
      </c>
      <c r="S12" s="6" t="s">
        <v>20</v>
      </c>
      <c r="T12" s="6" t="s">
        <v>20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2">
      <c r="A13" t="s">
        <v>6</v>
      </c>
      <c r="D13" s="5">
        <f t="shared" ref="D13:L13" si="2">+D11+D12</f>
        <v>230.26900000000001</v>
      </c>
      <c r="E13" s="5">
        <f t="shared" si="2"/>
        <v>258.42700000000002</v>
      </c>
      <c r="F13" s="5">
        <f t="shared" si="2"/>
        <v>253.5</v>
      </c>
      <c r="G13" s="5">
        <f t="shared" si="2"/>
        <v>261.238</v>
      </c>
      <c r="H13" s="5">
        <f t="shared" si="2"/>
        <v>331.81700000000001</v>
      </c>
      <c r="I13" s="5">
        <f t="shared" si="2"/>
        <v>396.78100000000001</v>
      </c>
      <c r="J13" s="5">
        <f t="shared" si="2"/>
        <v>413.464</v>
      </c>
      <c r="K13" s="5">
        <f t="shared" si="2"/>
        <v>362.93099999999998</v>
      </c>
      <c r="L13" s="5">
        <f t="shared" si="2"/>
        <v>467.20100000000002</v>
      </c>
      <c r="M13" s="5">
        <f>+M11+M12</f>
        <v>658.45500000000004</v>
      </c>
      <c r="S13" s="6">
        <f>+SUM(F13:I13)</f>
        <v>1243.336</v>
      </c>
      <c r="T13" s="6">
        <f>+SUM(J13:M13)</f>
        <v>1902.0509999999999</v>
      </c>
      <c r="U13" s="6">
        <f>+U11+U12</f>
        <v>2812.8</v>
      </c>
      <c r="V13" s="6">
        <f t="shared" ref="V13:Z13" si="3">+V11+V12</f>
        <v>3483.4</v>
      </c>
      <c r="W13" s="6">
        <f t="shared" si="3"/>
        <v>3391.06</v>
      </c>
      <c r="X13" s="6">
        <f t="shared" si="3"/>
        <v>3307.9539999999997</v>
      </c>
      <c r="Y13" s="6">
        <f t="shared" si="3"/>
        <v>3233.1585999999998</v>
      </c>
      <c r="Z13" s="6">
        <f t="shared" si="3"/>
        <v>3165.84274</v>
      </c>
      <c r="AA13" s="6"/>
      <c r="AB13" s="6"/>
      <c r="AC13" s="6"/>
      <c r="AD13" s="6"/>
      <c r="AE13" s="6"/>
    </row>
    <row r="14" spans="1:31" x14ac:dyDescent="0.2">
      <c r="A14" t="s">
        <v>7</v>
      </c>
      <c r="D14" s="4">
        <v>39.951999999999998</v>
      </c>
      <c r="E14" s="3">
        <v>30.798999999999999</v>
      </c>
      <c r="F14" s="3">
        <v>35.017000000000003</v>
      </c>
      <c r="G14" s="3">
        <v>34.124000000000002</v>
      </c>
      <c r="H14" s="4">
        <v>37.026000000000003</v>
      </c>
      <c r="I14" s="3">
        <v>44.176000000000002</v>
      </c>
      <c r="J14" s="3">
        <v>50.558999999999997</v>
      </c>
      <c r="K14" s="3">
        <v>44.545000000000002</v>
      </c>
      <c r="L14" s="3">
        <v>91.691000000000003</v>
      </c>
      <c r="M14" s="3">
        <v>132.304</v>
      </c>
      <c r="S14" s="6">
        <f>+SUM(F14:I14)</f>
        <v>150.34300000000002</v>
      </c>
      <c r="T14" s="6">
        <f>+SUM(J14:M14)</f>
        <v>319.09900000000005</v>
      </c>
      <c r="U14" s="6">
        <f>+T14*1.1</f>
        <v>351.0089000000001</v>
      </c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x14ac:dyDescent="0.2">
      <c r="A15" t="s">
        <v>27</v>
      </c>
      <c r="D15" s="4">
        <v>190.31700000000001</v>
      </c>
      <c r="E15" s="3">
        <v>227.62800000000001</v>
      </c>
      <c r="F15" s="3">
        <v>218.483</v>
      </c>
      <c r="G15" s="3">
        <v>227.114</v>
      </c>
      <c r="H15" s="4">
        <v>294.791</v>
      </c>
      <c r="I15" s="3">
        <v>352.60500000000002</v>
      </c>
      <c r="J15" s="3">
        <v>362.90499999999997</v>
      </c>
      <c r="K15" s="3">
        <v>318.38599999999997</v>
      </c>
      <c r="L15" s="3">
        <v>375.51</v>
      </c>
      <c r="M15" s="3">
        <f>+M13-M14</f>
        <v>526.15100000000007</v>
      </c>
      <c r="O15" t="s">
        <v>20</v>
      </c>
      <c r="S15" s="6">
        <f>+S13-S14</f>
        <v>1092.9929999999999</v>
      </c>
      <c r="T15" s="6">
        <f>+T13-T14</f>
        <v>1582.9519999999998</v>
      </c>
      <c r="U15" s="6">
        <f>+U13*0.8</f>
        <v>2250.2400000000002</v>
      </c>
      <c r="V15" s="6">
        <f t="shared" ref="V15:Z15" si="4">+V13*0.8</f>
        <v>2786.7200000000003</v>
      </c>
      <c r="W15" s="6">
        <f t="shared" si="4"/>
        <v>2712.848</v>
      </c>
      <c r="X15" s="6">
        <f t="shared" si="4"/>
        <v>2646.3631999999998</v>
      </c>
      <c r="Y15" s="6">
        <f t="shared" si="4"/>
        <v>2586.5268799999999</v>
      </c>
      <c r="Z15" s="6">
        <f t="shared" si="4"/>
        <v>2532.6741920000004</v>
      </c>
      <c r="AA15" s="6"/>
      <c r="AB15" s="6"/>
      <c r="AC15" s="6"/>
      <c r="AD15" s="6"/>
      <c r="AE15" s="6"/>
    </row>
    <row r="16" spans="1:31" x14ac:dyDescent="0.2">
      <c r="A16" t="s">
        <v>24</v>
      </c>
      <c r="D16" s="4">
        <v>216.70699999999999</v>
      </c>
      <c r="E16" s="3">
        <v>213.804</v>
      </c>
      <c r="F16" s="3">
        <v>245.679</v>
      </c>
      <c r="G16" s="3">
        <v>241.89</v>
      </c>
      <c r="H16" s="4">
        <v>194.30099999999999</v>
      </c>
      <c r="I16" s="3">
        <v>195.517</v>
      </c>
      <c r="J16" s="3">
        <v>200.39599999999999</v>
      </c>
      <c r="K16" s="3">
        <v>179.69</v>
      </c>
      <c r="L16" s="3">
        <v>222.483</v>
      </c>
      <c r="M16" s="3">
        <v>199.953</v>
      </c>
      <c r="S16" s="6">
        <f t="shared" ref="S16:S17" si="5">+SUM(F16:I16)</f>
        <v>877.38699999999994</v>
      </c>
      <c r="T16" s="6">
        <f>+SUM(J16:M16)</f>
        <v>802.52199999999993</v>
      </c>
      <c r="U16" s="6">
        <f>+U13*0.3</f>
        <v>843.84</v>
      </c>
      <c r="V16" s="6">
        <f t="shared" ref="V16:Z16" si="6">+V13*0.3</f>
        <v>1045.02</v>
      </c>
      <c r="W16" s="6">
        <f t="shared" si="6"/>
        <v>1017.318</v>
      </c>
      <c r="X16" s="6">
        <f t="shared" si="6"/>
        <v>992.38619999999992</v>
      </c>
      <c r="Y16" s="6">
        <f t="shared" si="6"/>
        <v>969.9475799999999</v>
      </c>
      <c r="Z16" s="6">
        <f t="shared" si="6"/>
        <v>949.75282199999992</v>
      </c>
      <c r="AA16" s="6"/>
      <c r="AB16" s="6"/>
      <c r="AC16" s="6"/>
      <c r="AD16" s="6"/>
      <c r="AE16" s="6"/>
    </row>
    <row r="17" spans="1:40" x14ac:dyDescent="0.2">
      <c r="A17" t="s">
        <v>25</v>
      </c>
      <c r="D17" s="4">
        <v>104.78700000000001</v>
      </c>
      <c r="E17" s="3">
        <v>120.47799999999999</v>
      </c>
      <c r="F17" s="3">
        <v>110.714</v>
      </c>
      <c r="G17" s="3">
        <v>118.56399999999999</v>
      </c>
      <c r="H17" s="4">
        <v>120.893</v>
      </c>
      <c r="I17" s="3">
        <v>131.69999999999999</v>
      </c>
      <c r="J17" s="3">
        <v>127.003</v>
      </c>
      <c r="K17" s="3">
        <v>138.79599999999999</v>
      </c>
      <c r="L17" s="3">
        <v>128.80000000000001</v>
      </c>
      <c r="M17" s="3">
        <v>163.87299999999999</v>
      </c>
      <c r="S17" s="6">
        <f t="shared" si="5"/>
        <v>481.87099999999998</v>
      </c>
      <c r="T17" s="6">
        <f>+SUM(J17:M17)</f>
        <v>558.47199999999998</v>
      </c>
      <c r="U17" s="6">
        <f>+T17*1.1</f>
        <v>614.31920000000002</v>
      </c>
      <c r="V17" s="6">
        <f t="shared" ref="V17:Z17" si="7">+U17*1.1</f>
        <v>675.75112000000013</v>
      </c>
      <c r="W17" s="6">
        <f t="shared" si="7"/>
        <v>743.32623200000023</v>
      </c>
      <c r="X17" s="6">
        <f t="shared" si="7"/>
        <v>817.65885520000029</v>
      </c>
      <c r="Y17" s="6">
        <f t="shared" si="7"/>
        <v>899.42474072000039</v>
      </c>
      <c r="Z17" s="6">
        <f t="shared" si="7"/>
        <v>989.36721479200048</v>
      </c>
      <c r="AA17" s="6"/>
      <c r="AB17" s="6"/>
      <c r="AC17" s="6"/>
      <c r="AD17" s="6"/>
      <c r="AE17" s="6"/>
    </row>
    <row r="18" spans="1:40" x14ac:dyDescent="0.2">
      <c r="A18" t="s">
        <v>26</v>
      </c>
      <c r="D18" s="4">
        <v>321.49400000000003</v>
      </c>
      <c r="E18" s="3">
        <v>334.28199999999998</v>
      </c>
      <c r="F18" s="3">
        <v>356.39300000000003</v>
      </c>
      <c r="G18" s="3">
        <v>360.45399999999995</v>
      </c>
      <c r="H18" s="3">
        <v>315.19399999999996</v>
      </c>
      <c r="I18" s="3">
        <v>327.21699999999998</v>
      </c>
      <c r="J18" s="3">
        <v>327.399</v>
      </c>
      <c r="K18" s="3">
        <v>318.48599999999999</v>
      </c>
      <c r="L18" s="3">
        <v>351.28300000000002</v>
      </c>
      <c r="M18" s="3">
        <v>363.82600000000002</v>
      </c>
      <c r="S18" s="6">
        <f>+S16+S17</f>
        <v>1359.2579999999998</v>
      </c>
      <c r="T18" s="6">
        <f>+T16+T17</f>
        <v>1360.9939999999999</v>
      </c>
      <c r="U18" s="6">
        <f t="shared" ref="U18:Z18" si="8">+U16+U17</f>
        <v>1458.1592000000001</v>
      </c>
      <c r="V18" s="6">
        <f t="shared" si="8"/>
        <v>1720.7711200000001</v>
      </c>
      <c r="W18" s="6">
        <f t="shared" si="8"/>
        <v>1760.6442320000001</v>
      </c>
      <c r="X18" s="6">
        <f t="shared" si="8"/>
        <v>1810.0450552000002</v>
      </c>
      <c r="Y18" s="6">
        <f t="shared" si="8"/>
        <v>1869.3723207200003</v>
      </c>
      <c r="Z18" s="6">
        <f t="shared" si="8"/>
        <v>1939.1200367920005</v>
      </c>
      <c r="AA18" s="6"/>
      <c r="AB18" s="6"/>
      <c r="AC18" s="6"/>
      <c r="AD18" s="6"/>
      <c r="AE18" s="6"/>
    </row>
    <row r="19" spans="1:40" x14ac:dyDescent="0.2">
      <c r="A19" t="s">
        <v>28</v>
      </c>
      <c r="D19" s="3">
        <f t="shared" ref="D19:L19" si="9">+D15-D18</f>
        <v>-131.17700000000002</v>
      </c>
      <c r="E19" s="3">
        <f t="shared" si="9"/>
        <v>-106.65399999999997</v>
      </c>
      <c r="F19" s="3">
        <f t="shared" si="9"/>
        <v>-137.91000000000003</v>
      </c>
      <c r="G19" s="3">
        <f t="shared" si="9"/>
        <v>-133.33999999999995</v>
      </c>
      <c r="H19" s="3">
        <f t="shared" si="9"/>
        <v>-20.402999999999963</v>
      </c>
      <c r="I19" s="3">
        <f t="shared" si="9"/>
        <v>25.388000000000034</v>
      </c>
      <c r="J19" s="3">
        <f t="shared" si="9"/>
        <v>35.505999999999972</v>
      </c>
      <c r="K19" s="3">
        <f t="shared" si="9"/>
        <v>-0.10000000000002274</v>
      </c>
      <c r="L19" s="3">
        <f t="shared" si="9"/>
        <v>24.226999999999975</v>
      </c>
      <c r="M19" s="3">
        <f>+M15-M18</f>
        <v>162.32500000000005</v>
      </c>
      <c r="O19" t="s">
        <v>20</v>
      </c>
      <c r="S19" s="11">
        <f>+S15-S18</f>
        <v>-266.26499999999987</v>
      </c>
      <c r="T19" s="11">
        <f>+T15-T18</f>
        <v>221.95799999999986</v>
      </c>
      <c r="U19" s="11">
        <f t="shared" ref="U19:Z19" si="10">+U15-U18</f>
        <v>792.08080000000018</v>
      </c>
      <c r="V19" s="11">
        <f t="shared" si="10"/>
        <v>1065.9488800000001</v>
      </c>
      <c r="W19" s="11">
        <f t="shared" si="10"/>
        <v>952.20376799999985</v>
      </c>
      <c r="X19" s="11">
        <f t="shared" si="10"/>
        <v>836.31814479999957</v>
      </c>
      <c r="Y19" s="11">
        <f t="shared" si="10"/>
        <v>717.1545592799996</v>
      </c>
      <c r="Z19" s="11">
        <f t="shared" si="10"/>
        <v>593.55415520799988</v>
      </c>
      <c r="AA19" s="6"/>
      <c r="AB19" s="6"/>
      <c r="AC19" s="6"/>
      <c r="AD19" s="6"/>
      <c r="AE19" s="6"/>
    </row>
    <row r="20" spans="1:40" x14ac:dyDescent="0.2">
      <c r="A20" t="s">
        <v>34</v>
      </c>
      <c r="D20" s="4">
        <v>-6.3220000000000001</v>
      </c>
      <c r="E20" s="3">
        <v>5.5270000000000001</v>
      </c>
      <c r="F20" s="3">
        <v>12.707000000000001</v>
      </c>
      <c r="G20" s="3">
        <v>16.934000000000001</v>
      </c>
      <c r="H20" s="4">
        <v>-12.332000000000001</v>
      </c>
      <c r="I20" s="3">
        <v>15.746</v>
      </c>
      <c r="J20" s="3">
        <v>6.5430000000000001</v>
      </c>
      <c r="K20" s="3">
        <v>14.278</v>
      </c>
      <c r="L20" s="3">
        <v>11.81</v>
      </c>
      <c r="M20" s="3">
        <v>10.061999999999999</v>
      </c>
      <c r="S20" s="6">
        <f t="shared" ref="S20:S22" si="11">+SUM(F20:I20)</f>
        <v>33.055</v>
      </c>
      <c r="T20" s="6">
        <f>+SUM(J20:M20)</f>
        <v>42.692999999999998</v>
      </c>
      <c r="U20" s="6">
        <f>+T31*0.02</f>
        <v>4.3533599999999977</v>
      </c>
      <c r="V20" s="6">
        <f t="shared" ref="V20:Z20" si="12">+U31*0.02</f>
        <v>23.467779840000002</v>
      </c>
      <c r="W20" s="6">
        <f t="shared" si="12"/>
        <v>49.613779676160014</v>
      </c>
      <c r="X20" s="6">
        <f t="shared" si="12"/>
        <v>73.657400820387849</v>
      </c>
      <c r="Y20" s="6">
        <f t="shared" si="12"/>
        <v>95.496813915277144</v>
      </c>
      <c r="Z20" s="6">
        <f t="shared" si="12"/>
        <v>115.0004468719638</v>
      </c>
      <c r="AA20" s="6"/>
      <c r="AB20" s="6"/>
      <c r="AC20" s="6"/>
      <c r="AD20" s="6"/>
      <c r="AE20" s="6"/>
    </row>
    <row r="21" spans="1:40" x14ac:dyDescent="0.2">
      <c r="A21" t="s">
        <v>29</v>
      </c>
      <c r="B21" s="1"/>
      <c r="C21" s="1"/>
      <c r="D21" s="3">
        <f t="shared" ref="D21:L21" si="13">+D19+D20</f>
        <v>-137.49900000000002</v>
      </c>
      <c r="E21" s="3">
        <f t="shared" si="13"/>
        <v>-101.12699999999997</v>
      </c>
      <c r="F21" s="3">
        <f t="shared" si="13"/>
        <v>-125.20300000000003</v>
      </c>
      <c r="G21" s="3">
        <f t="shared" si="13"/>
        <v>-116.40599999999995</v>
      </c>
      <c r="H21" s="3">
        <f t="shared" si="13"/>
        <v>-32.734999999999964</v>
      </c>
      <c r="I21" s="3">
        <f t="shared" si="13"/>
        <v>41.134000000000036</v>
      </c>
      <c r="J21" s="3">
        <f t="shared" si="13"/>
        <v>42.048999999999971</v>
      </c>
      <c r="K21" s="3">
        <f t="shared" si="13"/>
        <v>14.177999999999978</v>
      </c>
      <c r="L21" s="3">
        <f t="shared" si="13"/>
        <v>36.036999999999978</v>
      </c>
      <c r="M21" s="3">
        <f>+M19+M20</f>
        <v>172.38700000000006</v>
      </c>
      <c r="S21" s="11">
        <f>+S19+S20</f>
        <v>-233.20999999999987</v>
      </c>
      <c r="T21" s="11">
        <f>+T19+T20</f>
        <v>264.65099999999984</v>
      </c>
      <c r="U21" s="11">
        <f t="shared" ref="U21:Z21" si="14">+U19+U20</f>
        <v>796.43416000000013</v>
      </c>
      <c r="V21" s="11">
        <f t="shared" si="14"/>
        <v>1089.4166598400002</v>
      </c>
      <c r="W21" s="11">
        <f t="shared" si="14"/>
        <v>1001.8175476761598</v>
      </c>
      <c r="X21" s="11">
        <f t="shared" si="14"/>
        <v>909.97554562038738</v>
      </c>
      <c r="Y21" s="11">
        <f t="shared" si="14"/>
        <v>812.65137319527673</v>
      </c>
      <c r="Z21" s="11">
        <f t="shared" si="14"/>
        <v>708.55460207996373</v>
      </c>
      <c r="AA21" s="6"/>
      <c r="AB21" s="6"/>
      <c r="AC21" s="6"/>
      <c r="AD21" s="6"/>
      <c r="AE21" s="6"/>
    </row>
    <row r="22" spans="1:40" x14ac:dyDescent="0.2">
      <c r="A22" t="s">
        <v>30</v>
      </c>
      <c r="D22" s="4">
        <v>0</v>
      </c>
      <c r="E22" s="3">
        <v>7.9379999999999997</v>
      </c>
      <c r="F22" s="3">
        <v>4.0449999999999999</v>
      </c>
      <c r="G22" s="3">
        <v>9.3550000000000004</v>
      </c>
      <c r="H22" s="4">
        <v>7.7629999999999999</v>
      </c>
      <c r="I22" s="3">
        <v>-5.2839999999999998</v>
      </c>
      <c r="J22" s="3">
        <v>5.3289999999999997</v>
      </c>
      <c r="K22" s="3">
        <v>7.117</v>
      </c>
      <c r="L22" s="3">
        <v>0.39500000000000002</v>
      </c>
      <c r="M22" s="3">
        <v>12.694000000000001</v>
      </c>
      <c r="O22" t="s">
        <v>43</v>
      </c>
      <c r="P22" s="7">
        <v>2</v>
      </c>
      <c r="S22" s="6">
        <f t="shared" si="11"/>
        <v>15.879000000000001</v>
      </c>
      <c r="T22" s="6">
        <f>+SUM(J22:M22)</f>
        <v>25.535</v>
      </c>
      <c r="U22" s="6">
        <f>+U21*0.2</f>
        <v>159.28683200000003</v>
      </c>
      <c r="V22" s="6">
        <f t="shared" ref="V22:Z22" si="15">+V21*0.2</f>
        <v>217.88333196800005</v>
      </c>
      <c r="W22" s="6">
        <f t="shared" si="15"/>
        <v>200.36350953523197</v>
      </c>
      <c r="X22" s="6">
        <f t="shared" si="15"/>
        <v>181.99510912407749</v>
      </c>
      <c r="Y22" s="6">
        <f t="shared" si="15"/>
        <v>162.53027463905536</v>
      </c>
      <c r="Z22" s="6">
        <f t="shared" si="15"/>
        <v>141.71092041599275</v>
      </c>
      <c r="AA22" s="6"/>
      <c r="AB22" s="6"/>
      <c r="AC22" s="6"/>
      <c r="AD22" s="6"/>
      <c r="AE22" s="6"/>
    </row>
    <row r="23" spans="1:40" x14ac:dyDescent="0.2">
      <c r="A23" t="s">
        <v>31</v>
      </c>
      <c r="D23" s="3">
        <f t="shared" ref="D23:L23" si="16">+D21+D22</f>
        <v>-137.49900000000002</v>
      </c>
      <c r="E23" s="3">
        <f t="shared" si="16"/>
        <v>-93.188999999999965</v>
      </c>
      <c r="F23" s="3">
        <f t="shared" si="16"/>
        <v>-121.15800000000003</v>
      </c>
      <c r="G23" s="3">
        <f t="shared" si="16"/>
        <v>-107.05099999999995</v>
      </c>
      <c r="H23" s="3">
        <f t="shared" si="16"/>
        <v>-24.971999999999966</v>
      </c>
      <c r="I23" s="3">
        <f t="shared" si="16"/>
        <v>35.850000000000037</v>
      </c>
      <c r="J23" s="3">
        <f t="shared" si="16"/>
        <v>47.377999999999972</v>
      </c>
      <c r="K23" s="3">
        <f t="shared" si="16"/>
        <v>21.294999999999977</v>
      </c>
      <c r="L23" s="3">
        <f t="shared" si="16"/>
        <v>36.431999999999981</v>
      </c>
      <c r="M23" s="3">
        <f>+M21+M22</f>
        <v>185.08100000000005</v>
      </c>
      <c r="O23" t="s">
        <v>44</v>
      </c>
      <c r="P23" s="12">
        <f>+NPV(0.095,U23:AN23)</f>
        <v>8267.693422061624</v>
      </c>
      <c r="S23" s="11">
        <f>+S21+S22</f>
        <v>-217.33099999999988</v>
      </c>
      <c r="T23" s="11">
        <f>+T21+T22</f>
        <v>290.18599999999986</v>
      </c>
      <c r="U23" s="11">
        <f t="shared" ref="U23:Z23" si="17">+U21+U22</f>
        <v>955.72099200000014</v>
      </c>
      <c r="V23" s="11">
        <f t="shared" si="17"/>
        <v>1307.2999918080002</v>
      </c>
      <c r="W23" s="11">
        <f t="shared" si="17"/>
        <v>1202.1810572113918</v>
      </c>
      <c r="X23" s="11">
        <f t="shared" si="17"/>
        <v>1091.9706547444648</v>
      </c>
      <c r="Y23" s="11">
        <f t="shared" si="17"/>
        <v>975.18164783433213</v>
      </c>
      <c r="Z23" s="11">
        <f t="shared" si="17"/>
        <v>850.26552249595647</v>
      </c>
      <c r="AA23" s="6">
        <f>+Z23*0.99</f>
        <v>841.76286727099694</v>
      </c>
      <c r="AB23" s="6">
        <f t="shared" ref="AB23:AN23" si="18">+AA23*0.99</f>
        <v>833.34523859828698</v>
      </c>
      <c r="AC23" s="6">
        <f t="shared" si="18"/>
        <v>825.01178621230406</v>
      </c>
      <c r="AD23" s="6">
        <f t="shared" si="18"/>
        <v>816.76166835018103</v>
      </c>
      <c r="AE23" s="6">
        <f t="shared" si="18"/>
        <v>808.59405166667921</v>
      </c>
      <c r="AF23" s="6">
        <f t="shared" si="18"/>
        <v>800.50811115001238</v>
      </c>
      <c r="AG23" s="6">
        <f t="shared" si="18"/>
        <v>792.50303003851229</v>
      </c>
      <c r="AH23" s="6">
        <f t="shared" si="18"/>
        <v>784.57799973812712</v>
      </c>
      <c r="AI23" s="6">
        <f t="shared" si="18"/>
        <v>776.73221974074579</v>
      </c>
      <c r="AJ23" s="6">
        <f t="shared" si="18"/>
        <v>768.96489754333834</v>
      </c>
      <c r="AK23" s="6">
        <f t="shared" si="18"/>
        <v>761.2752485679049</v>
      </c>
      <c r="AL23" s="6">
        <f t="shared" si="18"/>
        <v>753.66249608222586</v>
      </c>
      <c r="AM23" s="6">
        <f t="shared" si="18"/>
        <v>746.12587112140363</v>
      </c>
      <c r="AN23" s="6">
        <f t="shared" si="18"/>
        <v>738.66461241018965</v>
      </c>
    </row>
    <row r="24" spans="1:40" x14ac:dyDescent="0.2">
      <c r="A24" t="s">
        <v>32</v>
      </c>
      <c r="D24" s="2">
        <f t="shared" ref="D24:L24" si="19">+D23/D25</f>
        <v>-1.5691217419089791</v>
      </c>
      <c r="E24" s="2">
        <f t="shared" si="19"/>
        <v>-1.0609189644572961</v>
      </c>
      <c r="F24" s="2">
        <f t="shared" si="19"/>
        <v>-1.3738915474111539</v>
      </c>
      <c r="G24" s="2">
        <f t="shared" si="19"/>
        <v>-1.2063035957765678</v>
      </c>
      <c r="H24" s="2">
        <f t="shared" si="19"/>
        <v>-0.28093464883168862</v>
      </c>
      <c r="I24" s="2">
        <f t="shared" si="19"/>
        <v>0.33950792658673823</v>
      </c>
      <c r="J24" s="2">
        <f t="shared" si="19"/>
        <v>0.47801521480315567</v>
      </c>
      <c r="K24" s="2">
        <f t="shared" si="19"/>
        <v>0.2147885903332524</v>
      </c>
      <c r="L24" s="2">
        <f t="shared" si="19"/>
        <v>0.36269512583625341</v>
      </c>
      <c r="M24" s="2">
        <f>+M23/M25</f>
        <v>1.7062245330678323</v>
      </c>
      <c r="P24">
        <f>+P23/main!C3</f>
        <v>85.321913540367632</v>
      </c>
      <c r="S24" s="11">
        <f>+S23/S25</f>
        <v>-2.3405921187252958</v>
      </c>
      <c r="T24" s="11">
        <f>+T23/T25</f>
        <v>2.8506901124809652</v>
      </c>
      <c r="U24" s="11">
        <f t="shared" ref="U24:Z24" si="20">+U23/U25</f>
        <v>9.3886830590893471</v>
      </c>
      <c r="V24" s="11">
        <f t="shared" si="20"/>
        <v>12.842477447890369</v>
      </c>
      <c r="W24" s="11">
        <f t="shared" si="20"/>
        <v>11.809824227235049</v>
      </c>
      <c r="X24" s="11">
        <f t="shared" si="20"/>
        <v>10.727154130796844</v>
      </c>
      <c r="Y24" s="11">
        <f t="shared" si="20"/>
        <v>9.5798580267629259</v>
      </c>
      <c r="Z24" s="11">
        <f t="shared" si="20"/>
        <v>8.3527238321720763</v>
      </c>
      <c r="AA24" s="6"/>
      <c r="AB24" s="6"/>
      <c r="AC24" s="6"/>
      <c r="AD24" s="6"/>
      <c r="AE24" s="6"/>
    </row>
    <row r="25" spans="1:40" x14ac:dyDescent="0.2">
      <c r="A25" t="s">
        <v>33</v>
      </c>
      <c r="D25" s="4">
        <v>87.628</v>
      </c>
      <c r="E25" s="3">
        <v>87.837999999999994</v>
      </c>
      <c r="F25" s="3">
        <v>88.186000000000007</v>
      </c>
      <c r="G25" s="3">
        <v>88.742999999999995</v>
      </c>
      <c r="H25" s="4">
        <v>88.888999999999996</v>
      </c>
      <c r="I25" s="3">
        <v>105.59399999999999</v>
      </c>
      <c r="J25" s="3">
        <v>99.114000000000004</v>
      </c>
      <c r="K25" s="3">
        <v>99.144000000000005</v>
      </c>
      <c r="L25" s="3">
        <v>100.44799999999999</v>
      </c>
      <c r="M25" s="3">
        <v>108.474</v>
      </c>
      <c r="S25" s="6">
        <f>+AVERAGE(F25:I25)</f>
        <v>92.852999999999994</v>
      </c>
      <c r="T25" s="6">
        <f>+AVERAGE(J25:M25)</f>
        <v>101.795</v>
      </c>
      <c r="U25" s="6">
        <f>+T25</f>
        <v>101.795</v>
      </c>
      <c r="V25" s="6">
        <f t="shared" ref="V25:Z25" si="21">+U25</f>
        <v>101.795</v>
      </c>
      <c r="W25" s="6">
        <f t="shared" si="21"/>
        <v>101.795</v>
      </c>
      <c r="X25" s="6">
        <f t="shared" si="21"/>
        <v>101.795</v>
      </c>
      <c r="Y25" s="6">
        <f t="shared" si="21"/>
        <v>101.795</v>
      </c>
      <c r="Z25" s="6">
        <f t="shared" si="21"/>
        <v>101.795</v>
      </c>
      <c r="AA25" s="6"/>
      <c r="AB25" s="6"/>
      <c r="AC25" s="6"/>
      <c r="AD25" s="6"/>
      <c r="AE25" s="6"/>
    </row>
    <row r="26" spans="1:40" x14ac:dyDescent="0.2"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40" x14ac:dyDescent="0.2">
      <c r="A27" t="s">
        <v>35</v>
      </c>
      <c r="D27" s="1">
        <f t="shared" ref="D27:M27" si="22">+D15/D13</f>
        <v>0.82649857340762323</v>
      </c>
      <c r="E27" s="1">
        <f t="shared" si="22"/>
        <v>0.88082127641461605</v>
      </c>
      <c r="F27" s="1">
        <f t="shared" si="22"/>
        <v>0.8618658777120316</v>
      </c>
      <c r="G27" s="1">
        <f t="shared" si="22"/>
        <v>0.86937581821940146</v>
      </c>
      <c r="H27" s="1">
        <f t="shared" si="22"/>
        <v>0.88841439709237313</v>
      </c>
      <c r="I27" s="1">
        <f t="shared" si="22"/>
        <v>0.88866402373097508</v>
      </c>
      <c r="J27" s="1">
        <f t="shared" si="22"/>
        <v>0.87771849544337588</v>
      </c>
      <c r="K27" s="1">
        <f t="shared" si="22"/>
        <v>0.87726317123640574</v>
      </c>
      <c r="L27" s="1">
        <f t="shared" si="22"/>
        <v>0.80374399883561887</v>
      </c>
      <c r="M27" s="1">
        <f>+M15/M13</f>
        <v>0.79906903281165764</v>
      </c>
      <c r="S27" s="1">
        <f t="shared" ref="S27:Z27" si="23">+S15/S13</f>
        <v>0.87908095639473149</v>
      </c>
      <c r="T27" s="1">
        <f t="shared" si="23"/>
        <v>0.83223425659984918</v>
      </c>
      <c r="U27" s="1">
        <f t="shared" si="23"/>
        <v>0.8</v>
      </c>
      <c r="V27" s="1">
        <f t="shared" si="23"/>
        <v>0.8</v>
      </c>
      <c r="W27" s="1">
        <f t="shared" si="23"/>
        <v>0.8</v>
      </c>
      <c r="X27" s="1">
        <f t="shared" si="23"/>
        <v>0.8</v>
      </c>
      <c r="Y27" s="1">
        <f t="shared" si="23"/>
        <v>0.8</v>
      </c>
      <c r="Z27" s="1">
        <f t="shared" si="23"/>
        <v>0.80000000000000016</v>
      </c>
      <c r="AA27" s="6"/>
      <c r="AB27" s="6"/>
      <c r="AC27" s="6"/>
      <c r="AD27" s="6"/>
      <c r="AE27" s="6"/>
    </row>
    <row r="28" spans="1:40" x14ac:dyDescent="0.2">
      <c r="A28" t="s">
        <v>21</v>
      </c>
      <c r="D28" s="1"/>
      <c r="E28" s="1"/>
      <c r="F28" s="1"/>
      <c r="G28" s="1"/>
      <c r="H28" s="1">
        <f t="shared" ref="H28:K28" si="24">+H13/D13-1</f>
        <v>0.44099726841216147</v>
      </c>
      <c r="I28" s="1">
        <f t="shared" si="24"/>
        <v>0.5353697562561186</v>
      </c>
      <c r="J28" s="1">
        <f t="shared" si="24"/>
        <v>0.63102169625246551</v>
      </c>
      <c r="K28" s="1">
        <f t="shared" si="24"/>
        <v>0.38927338289222857</v>
      </c>
      <c r="L28" s="1">
        <f>+L13/H13-1</f>
        <v>0.40800802852174556</v>
      </c>
      <c r="M28" s="1">
        <f>+M13/I13-1</f>
        <v>0.65949226399449579</v>
      </c>
      <c r="S28" s="1" t="s">
        <v>20</v>
      </c>
      <c r="T28" s="1">
        <f>+T13/S13-1</f>
        <v>0.52979645083871119</v>
      </c>
      <c r="U28" s="1">
        <f t="shared" ref="U28:Z28" si="25">+U13/T13-1</f>
        <v>0.47882470028406199</v>
      </c>
      <c r="V28" s="1">
        <f t="shared" si="25"/>
        <v>0.23841012514220705</v>
      </c>
      <c r="W28" s="1">
        <f t="shared" si="25"/>
        <v>-2.6508583567778632E-2</v>
      </c>
      <c r="X28" s="1">
        <f t="shared" si="25"/>
        <v>-2.4507381172848675E-2</v>
      </c>
      <c r="Y28" s="1">
        <f t="shared" si="25"/>
        <v>-2.2610773910399007E-2</v>
      </c>
      <c r="Z28" s="1">
        <f t="shared" si="25"/>
        <v>-2.0820463307924197E-2</v>
      </c>
      <c r="AA28" s="6"/>
      <c r="AB28" s="6"/>
      <c r="AC28" s="6"/>
      <c r="AD28" s="6"/>
      <c r="AE28" s="6"/>
    </row>
    <row r="29" spans="1:40" x14ac:dyDescent="0.2">
      <c r="A29" t="s">
        <v>46</v>
      </c>
      <c r="D29" s="1">
        <f t="shared" ref="D29:M29" si="26">+D16/D13</f>
        <v>0.94110366571270987</v>
      </c>
      <c r="E29" s="1">
        <f t="shared" si="26"/>
        <v>0.82732841382672861</v>
      </c>
      <c r="F29" s="1">
        <f t="shared" si="26"/>
        <v>0.96914792899408286</v>
      </c>
      <c r="G29" s="1">
        <f t="shared" si="26"/>
        <v>0.9259372679319241</v>
      </c>
      <c r="H29" s="1">
        <f t="shared" si="26"/>
        <v>0.58556674311442747</v>
      </c>
      <c r="I29" s="1">
        <f t="shared" si="26"/>
        <v>0.49275796976165692</v>
      </c>
      <c r="J29" s="1">
        <f t="shared" si="26"/>
        <v>0.48467581216260663</v>
      </c>
      <c r="K29" s="1">
        <f t="shared" si="26"/>
        <v>0.49510788552093926</v>
      </c>
      <c r="L29" s="1">
        <f t="shared" si="26"/>
        <v>0.47620403209753404</v>
      </c>
      <c r="M29" s="1">
        <f>+M16/M13</f>
        <v>0.3036699546666059</v>
      </c>
      <c r="S29" s="1"/>
      <c r="T29" s="1"/>
      <c r="U29" s="1"/>
      <c r="V29" s="1"/>
      <c r="W29" s="1"/>
      <c r="X29" s="1"/>
      <c r="Y29" s="1"/>
      <c r="Z29" s="1"/>
      <c r="AA29" s="6"/>
      <c r="AB29" s="6"/>
      <c r="AC29" s="6"/>
      <c r="AD29" s="6"/>
      <c r="AE29" s="6"/>
    </row>
    <row r="31" spans="1:40" x14ac:dyDescent="0.2">
      <c r="A31" t="s">
        <v>45</v>
      </c>
      <c r="T31">
        <f>1103.01+251.782-1137.124</f>
        <v>217.66799999999989</v>
      </c>
      <c r="U31" s="6">
        <f>+T31+U23</f>
        <v>1173.3889920000001</v>
      </c>
      <c r="V31" s="6">
        <f t="shared" ref="V31:Z31" si="27">+U31+V23</f>
        <v>2480.6889838080006</v>
      </c>
      <c r="W31" s="6">
        <f t="shared" si="27"/>
        <v>3682.8700410193924</v>
      </c>
      <c r="X31" s="6">
        <f t="shared" si="27"/>
        <v>4774.8406957638572</v>
      </c>
      <c r="Y31" s="6">
        <f t="shared" si="27"/>
        <v>5750.0223435981898</v>
      </c>
      <c r="Z31" s="6">
        <f t="shared" si="27"/>
        <v>6600.287866094146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2025-04-17T20:31:35Z</dcterms:created>
  <dcterms:modified xsi:type="dcterms:W3CDTF">2025-04-17T22:00:10Z</dcterms:modified>
</cp:coreProperties>
</file>