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242" documentId="14_{9D4B891F-B0B1-4E01-A8B4-5EB67C77C311}" xr6:coauthVersionLast="47" xr6:coauthVersionMax="47" xr10:uidLastSave="{C7AFFF89-2515-4352-8AE8-901B6145B65B}"/>
  <bookViews>
    <workbookView xWindow="-120" yWindow="-120" windowWidth="29040" windowHeight="15720" activeTab="1" xr2:uid="{7BE11683-4F0E-45D9-8C65-74CCE666DCF9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R10" i="2"/>
  <c r="R9" i="2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R8" i="2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S7" i="2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R7" i="2"/>
  <c r="R6" i="2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R5" i="2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S4" i="2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R4" i="2"/>
  <c r="L5" i="1"/>
  <c r="K30" i="2"/>
  <c r="K28" i="2" s="1"/>
  <c r="Q28" i="2"/>
  <c r="R13" i="2" s="1"/>
  <c r="Q52" i="2"/>
  <c r="Q51" i="2"/>
  <c r="Q49" i="2"/>
  <c r="Q48" i="2"/>
  <c r="Q46" i="2"/>
  <c r="Q32" i="2"/>
  <c r="Q37" i="2"/>
  <c r="Q30" i="2"/>
  <c r="K46" i="2"/>
  <c r="K37" i="2"/>
  <c r="K32" i="2"/>
  <c r="N8" i="2"/>
  <c r="Q39" i="2" l="1"/>
  <c r="K39" i="2"/>
  <c r="K48" i="2" s="1"/>
  <c r="K49" i="2" s="1"/>
  <c r="Q18" i="2"/>
  <c r="J24" i="2"/>
  <c r="H24" i="2"/>
  <c r="G24" i="2"/>
  <c r="F24" i="2"/>
  <c r="J23" i="2"/>
  <c r="H23" i="2"/>
  <c r="G23" i="2"/>
  <c r="F23" i="2"/>
  <c r="J22" i="2"/>
  <c r="H22" i="2"/>
  <c r="G22" i="2"/>
  <c r="F22" i="2"/>
  <c r="K24" i="2"/>
  <c r="K23" i="2"/>
  <c r="K22" i="2"/>
  <c r="P18" i="2"/>
  <c r="P15" i="2"/>
  <c r="P13" i="2"/>
  <c r="P10" i="2"/>
  <c r="P9" i="2"/>
  <c r="P8" i="2"/>
  <c r="P7" i="2"/>
  <c r="P6" i="2"/>
  <c r="P5" i="2"/>
  <c r="P4" i="2"/>
  <c r="P3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J20" i="2"/>
  <c r="H20" i="2"/>
  <c r="G20" i="2"/>
  <c r="F20" i="2"/>
  <c r="K20" i="2"/>
  <c r="E11" i="2"/>
  <c r="E12" i="2" s="1"/>
  <c r="E14" i="2" s="1"/>
  <c r="E16" i="2" s="1"/>
  <c r="E17" i="2" s="1"/>
  <c r="F11" i="2"/>
  <c r="F12" i="2" s="1"/>
  <c r="F14" i="2" s="1"/>
  <c r="F16" i="2" s="1"/>
  <c r="F17" i="2" s="1"/>
  <c r="B11" i="2"/>
  <c r="B12" i="2" s="1"/>
  <c r="B14" i="2" s="1"/>
  <c r="B16" i="2" s="1"/>
  <c r="B17" i="2" s="1"/>
  <c r="C11" i="2"/>
  <c r="C12" i="2" s="1"/>
  <c r="C14" i="2" s="1"/>
  <c r="C16" i="2" s="1"/>
  <c r="C17" i="2" s="1"/>
  <c r="H11" i="2"/>
  <c r="H12" i="2" s="1"/>
  <c r="H14" i="2" s="1"/>
  <c r="H16" i="2" s="1"/>
  <c r="H17" i="2" s="1"/>
  <c r="I3" i="2"/>
  <c r="I20" i="2" s="1"/>
  <c r="I4" i="2"/>
  <c r="Q4" i="2" s="1"/>
  <c r="I5" i="2"/>
  <c r="Q5" i="2" s="1"/>
  <c r="I6" i="2"/>
  <c r="Q6" i="2" s="1"/>
  <c r="I7" i="2"/>
  <c r="Q7" i="2" s="1"/>
  <c r="I8" i="2"/>
  <c r="I9" i="2"/>
  <c r="I10" i="2"/>
  <c r="Q10" i="2" s="1"/>
  <c r="I13" i="2"/>
  <c r="Q13" i="2" s="1"/>
  <c r="I15" i="2"/>
  <c r="Q15" i="2" s="1"/>
  <c r="D11" i="2"/>
  <c r="D12" i="2" s="1"/>
  <c r="D14" i="2" s="1"/>
  <c r="D16" i="2" s="1"/>
  <c r="D17" i="2" s="1"/>
  <c r="J11" i="2"/>
  <c r="J12" i="2" s="1"/>
  <c r="J14" i="2" s="1"/>
  <c r="J16" i="2" s="1"/>
  <c r="J17" i="2" s="1"/>
  <c r="G11" i="2"/>
  <c r="G12" i="2" s="1"/>
  <c r="G14" i="2" s="1"/>
  <c r="G16" i="2" s="1"/>
  <c r="G17" i="2" s="1"/>
  <c r="I24" i="2" l="1"/>
  <c r="I23" i="2"/>
  <c r="H25" i="2"/>
  <c r="F26" i="2"/>
  <c r="P11" i="2"/>
  <c r="P12" i="2" s="1"/>
  <c r="P23" i="2"/>
  <c r="Q9" i="2"/>
  <c r="P24" i="2"/>
  <c r="I22" i="2"/>
  <c r="J25" i="2"/>
  <c r="Q8" i="2"/>
  <c r="P22" i="2"/>
  <c r="R18" i="2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G26" i="2"/>
  <c r="H26" i="2"/>
  <c r="Q3" i="2"/>
  <c r="Q22" i="2" s="1"/>
  <c r="F25" i="2"/>
  <c r="G25" i="2"/>
  <c r="J26" i="2"/>
  <c r="I11" i="2"/>
  <c r="I12" i="2" s="1"/>
  <c r="Q11" i="2" l="1"/>
  <c r="Q24" i="2"/>
  <c r="P25" i="2"/>
  <c r="P14" i="2"/>
  <c r="R3" i="2"/>
  <c r="Q12" i="2"/>
  <c r="I14" i="2"/>
  <c r="I25" i="2"/>
  <c r="Q23" i="2"/>
  <c r="K11" i="2"/>
  <c r="K12" i="2" s="1"/>
  <c r="L4" i="1"/>
  <c r="L7" i="1" s="1"/>
  <c r="P16" i="2" l="1"/>
  <c r="P17" i="2" s="1"/>
  <c r="P26" i="2"/>
  <c r="R24" i="2"/>
  <c r="S3" i="2"/>
  <c r="R22" i="2"/>
  <c r="S11" i="2"/>
  <c r="Q25" i="2"/>
  <c r="Q14" i="2"/>
  <c r="K14" i="2"/>
  <c r="K25" i="2"/>
  <c r="R23" i="2"/>
  <c r="R11" i="2"/>
  <c r="R12" i="2" s="1"/>
  <c r="I16" i="2"/>
  <c r="I17" i="2" s="1"/>
  <c r="I26" i="2"/>
  <c r="R25" i="2" l="1"/>
  <c r="R14" i="2"/>
  <c r="Q26" i="2"/>
  <c r="Q16" i="2"/>
  <c r="S23" i="2"/>
  <c r="T3" i="2"/>
  <c r="S12" i="2"/>
  <c r="S24" i="2"/>
  <c r="S22" i="2"/>
  <c r="K16" i="2"/>
  <c r="K26" i="2"/>
  <c r="K17" i="2" l="1"/>
  <c r="K52" i="2"/>
  <c r="K51" i="2"/>
  <c r="S25" i="2"/>
  <c r="U11" i="2"/>
  <c r="T23" i="2"/>
  <c r="Q17" i="2"/>
  <c r="R15" i="2"/>
  <c r="R26" i="2" s="1"/>
  <c r="U3" i="2"/>
  <c r="T24" i="2"/>
  <c r="T22" i="2"/>
  <c r="T11" i="2"/>
  <c r="T12" i="2" s="1"/>
  <c r="R16" i="2" l="1"/>
  <c r="R17" i="2" s="1"/>
  <c r="U23" i="2"/>
  <c r="V11" i="2"/>
  <c r="T25" i="2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U12" i="2"/>
  <c r="U24" i="2"/>
  <c r="U22" i="2"/>
  <c r="R28" i="2" l="1"/>
  <c r="S13" i="2"/>
  <c r="S14" i="2" s="1"/>
  <c r="S15" i="2" s="1"/>
  <c r="S26" i="2" s="1"/>
  <c r="W11" i="2"/>
  <c r="V23" i="2"/>
  <c r="U25" i="2"/>
  <c r="V12" i="2"/>
  <c r="V24" i="2"/>
  <c r="V22" i="2"/>
  <c r="S16" i="2" l="1"/>
  <c r="S28" i="2" s="1"/>
  <c r="V25" i="2"/>
  <c r="W12" i="2"/>
  <c r="W24" i="2"/>
  <c r="W22" i="2"/>
  <c r="W23" i="2"/>
  <c r="S17" i="2" l="1"/>
  <c r="T13" i="2"/>
  <c r="T14" i="2" s="1"/>
  <c r="X23" i="2"/>
  <c r="X11" i="2"/>
  <c r="X12" i="2" s="1"/>
  <c r="W25" i="2"/>
  <c r="Y11" i="2"/>
  <c r="X24" i="2"/>
  <c r="X22" i="2"/>
  <c r="T15" i="2" l="1"/>
  <c r="T26" i="2" s="1"/>
  <c r="X25" i="2"/>
  <c r="Y23" i="2"/>
  <c r="Y12" i="2"/>
  <c r="Y24" i="2"/>
  <c r="Y22" i="2"/>
  <c r="Z11" i="2"/>
  <c r="T16" i="2" l="1"/>
  <c r="T17" i="2" s="1"/>
  <c r="AA11" i="2"/>
  <c r="Z23" i="2"/>
  <c r="Y25" i="2"/>
  <c r="Z12" i="2"/>
  <c r="Z24" i="2"/>
  <c r="Z22" i="2"/>
  <c r="T28" i="2" l="1"/>
  <c r="U13" i="2" s="1"/>
  <c r="U14" i="2" s="1"/>
  <c r="Z25" i="2"/>
  <c r="AA12" i="2"/>
  <c r="AA24" i="2"/>
  <c r="AA22" i="2"/>
  <c r="AB11" i="2"/>
  <c r="AA23" i="2"/>
  <c r="U15" i="2" l="1"/>
  <c r="U26" i="2" s="1"/>
  <c r="AB23" i="2"/>
  <c r="AA25" i="2"/>
  <c r="AC11" i="2"/>
  <c r="AB12" i="2"/>
  <c r="AB24" i="2"/>
  <c r="AB22" i="2"/>
  <c r="U16" i="2" l="1"/>
  <c r="U17" i="2" s="1"/>
  <c r="AC12" i="2"/>
  <c r="AC24" i="2"/>
  <c r="AC22" i="2"/>
  <c r="AB25" i="2"/>
  <c r="AD11" i="2"/>
  <c r="AC23" i="2"/>
  <c r="U28" i="2" l="1"/>
  <c r="V13" i="2" s="1"/>
  <c r="V14" i="2" s="1"/>
  <c r="AC25" i="2"/>
  <c r="AD12" i="2"/>
  <c r="AD24" i="2"/>
  <c r="AD22" i="2"/>
  <c r="AE11" i="2"/>
  <c r="AD23" i="2"/>
  <c r="V15" i="2" l="1"/>
  <c r="V26" i="2" s="1"/>
  <c r="AD25" i="2"/>
  <c r="AE12" i="2"/>
  <c r="AE24" i="2"/>
  <c r="AE22" i="2"/>
  <c r="AE23" i="2"/>
  <c r="V16" i="2" l="1"/>
  <c r="V17" i="2" s="1"/>
  <c r="AF22" i="2"/>
  <c r="AF24" i="2"/>
  <c r="AE25" i="2"/>
  <c r="AF23" i="2"/>
  <c r="AF11" i="2"/>
  <c r="AF12" i="2" s="1"/>
  <c r="V28" i="2" l="1"/>
  <c r="W13" i="2" s="1"/>
  <c r="W14" i="2" s="1"/>
  <c r="AF25" i="2"/>
  <c r="AG23" i="2"/>
  <c r="AG11" i="2"/>
  <c r="AG12" i="2" s="1"/>
  <c r="AG24" i="2"/>
  <c r="AG22" i="2"/>
  <c r="AH11" i="2"/>
  <c r="W15" i="2" l="1"/>
  <c r="W26" i="2" s="1"/>
  <c r="AG25" i="2"/>
  <c r="AI11" i="2"/>
  <c r="AH23" i="2"/>
  <c r="AI23" i="2"/>
  <c r="AH12" i="2"/>
  <c r="AH22" i="2"/>
  <c r="AH24" i="2"/>
  <c r="AI12" i="2" l="1"/>
  <c r="AI25" i="2" s="1"/>
  <c r="W16" i="2"/>
  <c r="W17" i="2" s="1"/>
  <c r="W28" i="2"/>
  <c r="AJ11" i="2"/>
  <c r="AH25" i="2"/>
  <c r="AJ23" i="2"/>
  <c r="AI24" i="2"/>
  <c r="AI22" i="2"/>
  <c r="AJ12" i="2" l="1"/>
  <c r="X13" i="2"/>
  <c r="X14" i="2" s="1"/>
  <c r="AJ25" i="2"/>
  <c r="AK11" i="2"/>
  <c r="AK23" i="2"/>
  <c r="AJ24" i="2"/>
  <c r="AJ22" i="2"/>
  <c r="X15" i="2" l="1"/>
  <c r="X26" i="2" s="1"/>
  <c r="AK12" i="2"/>
  <c r="AK25" i="2" s="1"/>
  <c r="AL11" i="2"/>
  <c r="AK22" i="2"/>
  <c r="AK24" i="2"/>
  <c r="X16" i="2" l="1"/>
  <c r="X17" i="2" s="1"/>
  <c r="AL22" i="2"/>
  <c r="AL24" i="2"/>
  <c r="AL12" i="2"/>
  <c r="AM11" i="2"/>
  <c r="AL23" i="2"/>
  <c r="X28" i="2" l="1"/>
  <c r="Y13" i="2" s="1"/>
  <c r="Y14" i="2" s="1"/>
  <c r="AN11" i="2"/>
  <c r="AM24" i="2"/>
  <c r="AM22" i="2"/>
  <c r="AM12" i="2"/>
  <c r="AM23" i="2"/>
  <c r="AL25" i="2"/>
  <c r="Y15" i="2" l="1"/>
  <c r="Y26" i="2" s="1"/>
  <c r="AO23" i="2"/>
  <c r="AN24" i="2"/>
  <c r="AN22" i="2"/>
  <c r="AN12" i="2"/>
  <c r="AO11" i="2"/>
  <c r="AM25" i="2"/>
  <c r="AN23" i="2"/>
  <c r="Y16" i="2" l="1"/>
  <c r="Y17" i="2" s="1"/>
  <c r="AO12" i="2"/>
  <c r="AO25" i="2" s="1"/>
  <c r="AP11" i="2"/>
  <c r="AO22" i="2"/>
  <c r="AO24" i="2"/>
  <c r="AN25" i="2"/>
  <c r="Y28" i="2" l="1"/>
  <c r="Z13" i="2" s="1"/>
  <c r="Z14" i="2" s="1"/>
  <c r="AP12" i="2"/>
  <c r="AP25" i="2" s="1"/>
  <c r="AP22" i="2"/>
  <c r="AP24" i="2"/>
  <c r="AP23" i="2"/>
  <c r="AQ11" i="2"/>
  <c r="Z15" i="2" l="1"/>
  <c r="Z26" i="2" s="1"/>
  <c r="AQ12" i="2"/>
  <c r="AR23" i="2"/>
  <c r="AQ22" i="2"/>
  <c r="AQ24" i="2"/>
  <c r="AQ23" i="2"/>
  <c r="AR11" i="2"/>
  <c r="Z16" i="2" l="1"/>
  <c r="Z17" i="2" s="1"/>
  <c r="AR12" i="2"/>
  <c r="AR25" i="2" s="1"/>
  <c r="AR24" i="2"/>
  <c r="AR22" i="2"/>
  <c r="AQ25" i="2"/>
  <c r="Z28" i="2" l="1"/>
  <c r="AA13" i="2" s="1"/>
  <c r="AA14" i="2" s="1"/>
  <c r="AA15" i="2" l="1"/>
  <c r="AA26" i="2" s="1"/>
  <c r="AA16" i="2" l="1"/>
  <c r="AA17" i="2" s="1"/>
  <c r="AA28" i="2" l="1"/>
  <c r="AB13" i="2" s="1"/>
  <c r="AB14" i="2" s="1"/>
  <c r="AB15" i="2" l="1"/>
  <c r="AB26" i="2" s="1"/>
  <c r="AB16" i="2" l="1"/>
  <c r="AB28" i="2" s="1"/>
  <c r="AB17" i="2" l="1"/>
  <c r="AC13" i="2"/>
  <c r="AC14" i="2" s="1"/>
  <c r="AC15" i="2" l="1"/>
  <c r="AC26" i="2" s="1"/>
  <c r="AC16" i="2" l="1"/>
  <c r="AC28" i="2" s="1"/>
  <c r="AC17" i="2" l="1"/>
  <c r="AD13" i="2"/>
  <c r="AD14" i="2" s="1"/>
  <c r="AD15" i="2" l="1"/>
  <c r="AD26" i="2" s="1"/>
  <c r="AD16" i="2" l="1"/>
  <c r="AD28" i="2" s="1"/>
  <c r="AD17" i="2" l="1"/>
  <c r="AE13" i="2"/>
  <c r="AE14" i="2" s="1"/>
  <c r="AE15" i="2" l="1"/>
  <c r="AE26" i="2" s="1"/>
  <c r="AE16" i="2" l="1"/>
  <c r="AE17" i="2" s="1"/>
  <c r="AE28" i="2" l="1"/>
  <c r="AF13" i="2" s="1"/>
  <c r="AF14" i="2" s="1"/>
  <c r="AF15" i="2" l="1"/>
  <c r="AF26" i="2" s="1"/>
  <c r="AF16" i="2" l="1"/>
  <c r="AF17" i="2" s="1"/>
  <c r="AF28" i="2" l="1"/>
  <c r="AG13" i="2" s="1"/>
  <c r="AG14" i="2" s="1"/>
  <c r="AG15" i="2" l="1"/>
  <c r="AG26" i="2" s="1"/>
  <c r="AG16" i="2" l="1"/>
  <c r="AG17" i="2"/>
  <c r="AG28" i="2"/>
  <c r="AH13" i="2" l="1"/>
  <c r="AH14" i="2" s="1"/>
  <c r="AH15" i="2" l="1"/>
  <c r="AH26" i="2" s="1"/>
  <c r="AH16" i="2" l="1"/>
  <c r="AH17" i="2" l="1"/>
  <c r="AH28" i="2"/>
  <c r="AI13" i="2" l="1"/>
  <c r="AI14" i="2" s="1"/>
  <c r="AI15" i="2" l="1"/>
  <c r="AI26" i="2" s="1"/>
  <c r="AI16" i="2" l="1"/>
  <c r="AI17" i="2" s="1"/>
  <c r="AI28" i="2" l="1"/>
  <c r="AJ13" i="2"/>
  <c r="AJ14" i="2" s="1"/>
  <c r="AJ15" i="2" l="1"/>
  <c r="AJ26" i="2" s="1"/>
  <c r="AJ16" i="2"/>
  <c r="AJ17" i="2" l="1"/>
  <c r="AJ28" i="2"/>
  <c r="AK13" i="2" l="1"/>
  <c r="AK14" i="2" s="1"/>
  <c r="AK15" i="2" l="1"/>
  <c r="AK26" i="2" s="1"/>
  <c r="AK16" i="2" l="1"/>
  <c r="AK17" i="2" s="1"/>
  <c r="AK28" i="2"/>
  <c r="AL13" i="2" l="1"/>
  <c r="AL14" i="2" s="1"/>
  <c r="AL15" i="2" l="1"/>
  <c r="AL26" i="2" s="1"/>
  <c r="AL16" i="2" l="1"/>
  <c r="AL17" i="2" s="1"/>
  <c r="AL28" i="2" l="1"/>
  <c r="AM13" i="2"/>
  <c r="AM14" i="2" s="1"/>
  <c r="AM15" i="2" l="1"/>
  <c r="AM26" i="2" s="1"/>
  <c r="AM16" i="2"/>
  <c r="AM17" i="2" l="1"/>
  <c r="AM28" i="2"/>
  <c r="AN13" i="2" l="1"/>
  <c r="AN14" i="2" s="1"/>
  <c r="AN15" i="2" l="1"/>
  <c r="AN26" i="2" s="1"/>
  <c r="AN16" i="2" l="1"/>
  <c r="AN17" i="2" l="1"/>
  <c r="AN28" i="2"/>
  <c r="AO13" i="2" l="1"/>
  <c r="AO14" i="2" s="1"/>
  <c r="AO15" i="2" l="1"/>
  <c r="AO26" i="2" s="1"/>
  <c r="AO16" i="2" l="1"/>
  <c r="AO17" i="2" l="1"/>
  <c r="AO28" i="2"/>
  <c r="AP13" i="2" l="1"/>
  <c r="AP14" i="2" s="1"/>
  <c r="AP15" i="2" l="1"/>
  <c r="AP26" i="2" s="1"/>
  <c r="AP16" i="2" l="1"/>
  <c r="AP17" i="2" l="1"/>
  <c r="AP28" i="2"/>
  <c r="AQ13" i="2" l="1"/>
  <c r="AQ14" i="2" s="1"/>
  <c r="AQ15" i="2" l="1"/>
  <c r="AQ26" i="2" s="1"/>
  <c r="AQ16" i="2" l="1"/>
  <c r="AQ17" i="2" s="1"/>
  <c r="AQ28" i="2" l="1"/>
  <c r="AR13" i="2"/>
  <c r="AR14" i="2" s="1"/>
  <c r="AR15" i="2" l="1"/>
  <c r="AR26" i="2" s="1"/>
  <c r="AR16" i="2" l="1"/>
  <c r="AR17" i="2" s="1"/>
  <c r="AR28" i="2" l="1"/>
  <c r="N7" i="2"/>
  <c r="N9" i="2" s="1"/>
  <c r="N10" i="2" s="1"/>
  <c r="N12" i="2" s="1"/>
</calcChain>
</file>

<file path=xl/sharedStrings.xml><?xml version="1.0" encoding="utf-8"?>
<sst xmlns="http://schemas.openxmlformats.org/spreadsheetml/2006/main" count="87" uniqueCount="70">
  <si>
    <t>PYPL</t>
  </si>
  <si>
    <t xml:space="preserve">Price </t>
  </si>
  <si>
    <t>Shares</t>
  </si>
  <si>
    <t>Q224</t>
  </si>
  <si>
    <t>MC</t>
  </si>
  <si>
    <t>Cash</t>
  </si>
  <si>
    <t>Debt</t>
  </si>
  <si>
    <t>EV</t>
  </si>
  <si>
    <t xml:space="preserve"> 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</si>
  <si>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</si>
  <si>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</si>
  <si>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</si>
  <si>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</si>
  <si>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</si>
  <si>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</si>
  <si>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</si>
  <si>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</si>
  <si>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</si>
  <si>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revenue</t>
  </si>
  <si>
    <t>Tramsations expenses</t>
  </si>
  <si>
    <t>Transactions Credit Loss</t>
  </si>
  <si>
    <t>CUstomer Supp Oper</t>
  </si>
  <si>
    <t>SM</t>
  </si>
  <si>
    <t>Development</t>
  </si>
  <si>
    <t>GA</t>
  </si>
  <si>
    <t>Restructure</t>
  </si>
  <si>
    <t>OPEX</t>
  </si>
  <si>
    <t>Operating income</t>
  </si>
  <si>
    <t>Interest Income</t>
  </si>
  <si>
    <t>Pretax</t>
  </si>
  <si>
    <t>TAX</t>
  </si>
  <si>
    <t>Net income</t>
  </si>
  <si>
    <t>EPS</t>
  </si>
  <si>
    <t>revenue y/y</t>
  </si>
  <si>
    <t>SM %</t>
  </si>
  <si>
    <t>D %</t>
  </si>
  <si>
    <t>GA %</t>
  </si>
  <si>
    <t>Operating margin</t>
  </si>
  <si>
    <t>Taxe Rate</t>
  </si>
  <si>
    <t>ROIC</t>
  </si>
  <si>
    <t>MR</t>
  </si>
  <si>
    <t>DR</t>
  </si>
  <si>
    <t>NPV</t>
  </si>
  <si>
    <t>NC</t>
  </si>
  <si>
    <t>True value</t>
  </si>
  <si>
    <t>Per share</t>
  </si>
  <si>
    <t>Current</t>
  </si>
  <si>
    <t>Ratio</t>
  </si>
  <si>
    <t>A/R</t>
  </si>
  <si>
    <t>Loans receiveble</t>
  </si>
  <si>
    <t>Funds receiveble</t>
  </si>
  <si>
    <t>OCA</t>
  </si>
  <si>
    <t>Investments</t>
  </si>
  <si>
    <t>PPE</t>
  </si>
  <si>
    <t>Intangibles</t>
  </si>
  <si>
    <t>Other</t>
  </si>
  <si>
    <t>A/P</t>
  </si>
  <si>
    <t>Funds Payable</t>
  </si>
  <si>
    <t>AE</t>
  </si>
  <si>
    <t>OLL</t>
  </si>
  <si>
    <t>Liabilities</t>
  </si>
  <si>
    <t>Assets</t>
  </si>
  <si>
    <t>S/E</t>
  </si>
  <si>
    <t>L+S/E</t>
  </si>
  <si>
    <t>ROA</t>
  </si>
  <si>
    <t>ROE</t>
  </si>
  <si>
    <t>CFFO</t>
  </si>
  <si>
    <t>CFFI</t>
  </si>
  <si>
    <t>CFFF</t>
  </si>
  <si>
    <t>CFC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</si>
</sst>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00000000"/>
  </numFmts>
  <fonts count="3" x14ac:knownFonts="1"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9" fontId="2" fillId="0" borderId="0" xfId="0" applyNumberFormat="1" applyFont="1"/>
    <xf numFmtId="3" fontId="2" fillId="0" borderId="0" xfId="0" applyNumberFormat="1" applyFont="1"/>
    <xf numFmtId="3" fontId="0" fillId="2" borderId="0" xfId="0" applyNumberForma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662940</xdr:colOff>
      <xdr:row>1</xdr:row>
      <xdr:rowOff>22860</xdr:rowOff>
    </xdr:from>
    <xdr:to>
      <xdr:col>10</xdr:col>
      <xdr:colOff>662940</xdr:colOff>
      <xdr:row>35</xdr:row>
      <xdr:rowOff>7620</xdr:rowOff>
    </xdr:to>
    <xdr:cxnSp macro="">
      <xdr:nvCxnSpPr>
        <xdr:cNvPr id="3" name="Conexão reta 2">
          <a:extLst>
            <a:ext uri="{FF2B5EF4-FFF2-40B4-BE49-F238E27FC236}">
              <a16:creationId xmlns:a16="http://schemas.microsoft.com/office/drawing/2014/main" id="{16495318-1CAB-0D9A-5ABA-7640E1A38BF2}"/>
            </a:ext>
          </a:extLst>
        </xdr:cNvPr>
        <xdr:cNvCxnSpPr/>
      </xdr:nvCxnSpPr>
      <xdr:spPr>
        <a:xfrm>
          <a:off x="16817340" y="198120"/>
          <a:ext cx="0" cy="576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1</xdr:row>
      <xdr:rowOff>7620</xdr:rowOff>
    </xdr:from>
    <xdr:to>
      <xdr:col>17</xdr:col>
      <xdr:colOff>7620</xdr:colOff>
      <xdr:row>33</xdr:row>
      <xdr:rowOff>167640</xdr:rowOff>
    </xdr:to>
    <xdr:cxnSp macro="">
      <xdr:nvCxnSpPr>
        <xdr:cNvPr id="2" name="Conexão reta 1">
          <a:extLst>
            <a:ext uri="{FF2B5EF4-FFF2-40B4-BE49-F238E27FC236}">
              <a16:creationId xmlns:a16="http://schemas.microsoft.com/office/drawing/2014/main" id="{504A19F5-CAA3-4BDA-8BA0-27AEE63371F4}"/>
            </a:ext>
          </a:extLst>
        </xdr:cNvPr>
        <xdr:cNvCxnSpPr/>
      </xdr:nvCxnSpPr>
      <xdr:spPr>
        <a:xfrm>
          <a:off x="20185380" y="182880"/>
          <a:ext cx="0" cy="576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5B8EF-A529-4D20-86F5-4E98CB206E60}">
  <dimension ref="B2:M8"/>
  <sheetViews>
    <sheetView topLeftCell="E1" workbookViewId="0">
      <selection activeCell="L8" sqref="L8"/>
    </sheetView>
  </sheetViews>
  <sheetFormatPr defaultRowHeight="14.25" x14ac:dyDescent="0.2"/>
  <sheetData>
    <row r="2" spans="2:13" ht="15" x14ac:dyDescent="0.25">
      <c r="B2" s="1" t="s">
        <v>0</v>
      </c>
      <c r="K2" t="s">
        <v>1</v>
      </c>
      <c r="L2" s="2">
        <v>76.7</v>
      </c>
    </row>
    <row r="3" spans="2:13" x14ac:dyDescent="0.2">
      <c r="K3" t="s">
        <v>2</v>
      </c>
      <c r="L3" s="2">
        <v>1022.333393</v>
      </c>
      <c r="M3" t="s">
        <v>3</v>
      </c>
    </row>
    <row r="4" spans="2:13" x14ac:dyDescent="0.2">
      <c r="K4" t="s">
        <v>4</v>
      </c>
      <c r="L4" s="2">
        <f>+L2*L3</f>
        <v>78412.971243100008</v>
      </c>
    </row>
    <row r="5" spans="2:13" x14ac:dyDescent="0.2">
      <c r="K5" t="s">
        <v>5</v>
      </c>
      <c r="L5" s="2">
        <f>7701+5915</f>
        <v>13616</v>
      </c>
      <c r="M5" t="s">
        <v>3</v>
      </c>
    </row>
    <row r="6" spans="2:13" x14ac:dyDescent="0.2">
      <c r="K6" t="s">
        <v>6</v>
      </c>
      <c r="L6" s="2">
        <v>9727</v>
      </c>
      <c r="M6" t="s">
        <v>3</v>
      </c>
    </row>
    <row r="7" spans="2:13" x14ac:dyDescent="0.2">
      <c r="K7" t="s">
        <v>7</v>
      </c>
      <c r="L7" s="2">
        <f>+L4-L5+L6</f>
        <v>74523.971243100008</v>
      </c>
    </row>
    <row r="8" spans="2:13" x14ac:dyDescent="0.2">
      <c r="M8" t="s">
        <v>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F2D4-5B5F-4C5D-9E40-2FF7AF63C1DD}">
  <dimension ref="A2:AR57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C39" sqref="C39"/>
    </sheetView>
  </sheetViews>
  <sheetFormatPr defaultRowHeight="14.25" x14ac:dyDescent="0.2"/>
  <cols>
    <col min="1" max="1" width="21.25" bestFit="1" customWidth="1"/>
    <col min="2" max="10" width="21.25" customWidth="1"/>
    <col min="12" max="12" width="12" customWidth="1"/>
    <col min="13" max="13" width="17.125" bestFit="1" customWidth="1"/>
    <col min="14" max="14" width="17.125" customWidth="1"/>
  </cols>
  <sheetData>
    <row r="2" spans="1:44" x14ac:dyDescent="0.2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K2" t="s">
        <v>3</v>
      </c>
      <c r="P2">
        <v>2022</v>
      </c>
      <c r="Q2">
        <f>+P2+1</f>
        <v>2023</v>
      </c>
      <c r="R2">
        <f t="shared" ref="R2:AF2" si="0">+Q2+1</f>
        <v>2024</v>
      </c>
      <c r="S2">
        <f t="shared" si="0"/>
        <v>2025</v>
      </c>
      <c r="T2">
        <f t="shared" si="0"/>
        <v>2026</v>
      </c>
      <c r="U2">
        <f t="shared" si="0"/>
        <v>2027</v>
      </c>
      <c r="V2">
        <f t="shared" si="0"/>
        <v>2028</v>
      </c>
      <c r="W2">
        <f t="shared" si="0"/>
        <v>2029</v>
      </c>
      <c r="X2">
        <f t="shared" si="0"/>
        <v>2030</v>
      </c>
      <c r="Y2">
        <f t="shared" si="0"/>
        <v>2031</v>
      </c>
      <c r="Z2">
        <f t="shared" si="0"/>
        <v>2032</v>
      </c>
      <c r="AA2">
        <f t="shared" si="0"/>
        <v>2033</v>
      </c>
      <c r="AB2">
        <f t="shared" si="0"/>
        <v>2034</v>
      </c>
      <c r="AC2">
        <f t="shared" si="0"/>
        <v>2035</v>
      </c>
      <c r="AD2">
        <f t="shared" si="0"/>
        <v>2036</v>
      </c>
      <c r="AE2">
        <f t="shared" si="0"/>
        <v>2037</v>
      </c>
      <c r="AF2">
        <f t="shared" si="0"/>
        <v>2038</v>
      </c>
      <c r="AG2">
        <f t="shared" ref="AG2" si="1">+AF2+1</f>
        <v>2039</v>
      </c>
      <c r="AH2">
        <f t="shared" ref="AH2" si="2">+AG2+1</f>
        <v>2040</v>
      </c>
      <c r="AI2">
        <f t="shared" ref="AI2" si="3">+AH2+1</f>
        <v>2041</v>
      </c>
      <c r="AJ2">
        <f t="shared" ref="AJ2" si="4">+AI2+1</f>
        <v>2042</v>
      </c>
      <c r="AK2">
        <f t="shared" ref="AK2" si="5">+AJ2+1</f>
        <v>2043</v>
      </c>
      <c r="AL2">
        <f t="shared" ref="AL2" si="6">+AK2+1</f>
        <v>2044</v>
      </c>
      <c r="AM2">
        <f t="shared" ref="AM2" si="7">+AL2+1</f>
        <v>2045</v>
      </c>
      <c r="AN2">
        <f t="shared" ref="AN2" si="8">+AM2+1</f>
        <v>2046</v>
      </c>
      <c r="AO2">
        <f t="shared" ref="AO2" si="9">+AN2+1</f>
        <v>2047</v>
      </c>
      <c r="AP2">
        <f t="shared" ref="AP2" si="10">+AO2+1</f>
        <v>2048</v>
      </c>
      <c r="AQ2">
        <f t="shared" ref="AQ2" si="11">+AP2+1</f>
        <v>2049</v>
      </c>
      <c r="AR2">
        <f t="shared" ref="AR2" si="12">+AQ2+1</f>
        <v>2050</v>
      </c>
    </row>
    <row r="3" spans="1:44" s="3" customFormat="1" ht="15" x14ac:dyDescent="0.25">
      <c r="A3" s="3" t="s">
        <v>18</v>
      </c>
      <c r="B3" s="8">
        <v>6483</v>
      </c>
      <c r="C3" s="8">
        <v>6806</v>
      </c>
      <c r="D3" s="8">
        <v>6846</v>
      </c>
      <c r="E3" s="8">
        <v>7383</v>
      </c>
      <c r="F3" s="8">
        <v>7040</v>
      </c>
      <c r="G3" s="8">
        <v>7287</v>
      </c>
      <c r="H3" s="8">
        <v>7418</v>
      </c>
      <c r="I3" s="8">
        <f>29771-F3-G3-H3</f>
        <v>8026</v>
      </c>
      <c r="J3" s="8">
        <v>7699</v>
      </c>
      <c r="K3" s="8">
        <v>7885</v>
      </c>
      <c r="P3" s="8">
        <f>SUM(B3:E3)</f>
        <v>27518</v>
      </c>
      <c r="Q3" s="8">
        <f>SUM(F3:I3)</f>
        <v>29771</v>
      </c>
      <c r="R3" s="8">
        <f t="shared" ref="R3:AR3" si="13">+Q3*(1-$N$5)</f>
        <v>30664.13</v>
      </c>
      <c r="S3" s="8">
        <f t="shared" si="13"/>
        <v>31584.053900000003</v>
      </c>
      <c r="T3" s="8">
        <f t="shared" si="13"/>
        <v>32531.575517000005</v>
      </c>
      <c r="U3" s="8">
        <f t="shared" si="13"/>
        <v>33507.522782510008</v>
      </c>
      <c r="V3" s="8">
        <f t="shared" si="13"/>
        <v>34512.748465985307</v>
      </c>
      <c r="W3" s="8">
        <f>+V3</f>
        <v>34512.748465985307</v>
      </c>
      <c r="X3" s="8">
        <f t="shared" si="13"/>
        <v>35548.130919964868</v>
      </c>
      <c r="Y3" s="8">
        <f t="shared" si="13"/>
        <v>36614.574847563817</v>
      </c>
      <c r="Z3" s="8">
        <f t="shared" si="13"/>
        <v>37713.012092990735</v>
      </c>
      <c r="AA3" s="8">
        <f t="shared" si="13"/>
        <v>38844.402455780459</v>
      </c>
      <c r="AB3" s="8">
        <f t="shared" si="13"/>
        <v>40009.734529453875</v>
      </c>
      <c r="AC3" s="8">
        <f t="shared" si="13"/>
        <v>41210.026565337495</v>
      </c>
      <c r="AD3" s="8">
        <f t="shared" si="13"/>
        <v>42446.327362297619</v>
      </c>
      <c r="AE3" s="8">
        <f t="shared" si="13"/>
        <v>43719.717183166547</v>
      </c>
      <c r="AF3" s="8">
        <f t="shared" si="13"/>
        <v>45031.308698661545</v>
      </c>
      <c r="AG3" s="8">
        <f t="shared" si="13"/>
        <v>46382.247959621396</v>
      </c>
      <c r="AH3" s="8">
        <f t="shared" si="13"/>
        <v>47773.715398410037</v>
      </c>
      <c r="AI3" s="8">
        <f t="shared" si="13"/>
        <v>49206.926860362342</v>
      </c>
      <c r="AJ3" s="8">
        <f t="shared" si="13"/>
        <v>50683.134666173217</v>
      </c>
      <c r="AK3" s="8">
        <f t="shared" si="13"/>
        <v>52203.628706158415</v>
      </c>
      <c r="AL3" s="8">
        <f t="shared" si="13"/>
        <v>53769.737567343167</v>
      </c>
      <c r="AM3" s="8">
        <f t="shared" si="13"/>
        <v>55382.829694363463</v>
      </c>
      <c r="AN3" s="8">
        <f t="shared" si="13"/>
        <v>57044.31458519437</v>
      </c>
      <c r="AO3" s="8">
        <f t="shared" si="13"/>
        <v>58755.644022750203</v>
      </c>
      <c r="AP3" s="8">
        <f t="shared" si="13"/>
        <v>60518.31334343271</v>
      </c>
      <c r="AQ3" s="8">
        <f t="shared" si="13"/>
        <v>62333.862743735692</v>
      </c>
      <c r="AR3" s="8">
        <f t="shared" si="13"/>
        <v>64203.878626047765</v>
      </c>
    </row>
    <row r="4" spans="1:44" x14ac:dyDescent="0.2">
      <c r="A4" t="s">
        <v>19</v>
      </c>
      <c r="B4" s="2">
        <v>2817</v>
      </c>
      <c r="C4" s="2">
        <v>3044</v>
      </c>
      <c r="D4" s="2">
        <v>2988</v>
      </c>
      <c r="E4" s="2">
        <v>3324</v>
      </c>
      <c r="F4" s="2">
        <v>3283</v>
      </c>
      <c r="G4" s="2">
        <v>3541</v>
      </c>
      <c r="H4" s="2">
        <v>3603</v>
      </c>
      <c r="I4" s="2">
        <f>14385-F4-G4-H4</f>
        <v>3958</v>
      </c>
      <c r="J4" s="2">
        <v>3917</v>
      </c>
      <c r="K4" s="2">
        <v>3942</v>
      </c>
      <c r="M4" t="s">
        <v>39</v>
      </c>
      <c r="N4" s="4">
        <v>0.01</v>
      </c>
      <c r="P4" s="2">
        <f t="shared" ref="P4:P10" si="14">SUM(B4:E4)</f>
        <v>12173</v>
      </c>
      <c r="Q4" s="2">
        <f>SUM(F4:I4)</f>
        <v>14385</v>
      </c>
      <c r="R4" s="2">
        <f>+Q4*1.02</f>
        <v>14672.7</v>
      </c>
      <c r="S4" s="2">
        <f t="shared" ref="S4:AR4" si="15">+R4*1.02</f>
        <v>14966.154</v>
      </c>
      <c r="T4" s="2">
        <f t="shared" si="15"/>
        <v>15265.477080000001</v>
      </c>
      <c r="U4" s="2">
        <f t="shared" si="15"/>
        <v>15570.7866216</v>
      </c>
      <c r="V4" s="2">
        <f t="shared" si="15"/>
        <v>15882.202354032001</v>
      </c>
      <c r="W4" s="2">
        <f t="shared" si="15"/>
        <v>16199.846401112642</v>
      </c>
      <c r="X4" s="2">
        <f t="shared" si="15"/>
        <v>16523.843329134896</v>
      </c>
      <c r="Y4" s="2">
        <f t="shared" si="15"/>
        <v>16854.320195717595</v>
      </c>
      <c r="Z4" s="2">
        <f t="shared" si="15"/>
        <v>17191.406599631948</v>
      </c>
      <c r="AA4" s="2">
        <f t="shared" si="15"/>
        <v>17535.234731624587</v>
      </c>
      <c r="AB4" s="2">
        <f t="shared" si="15"/>
        <v>17885.939426257079</v>
      </c>
      <c r="AC4" s="2">
        <f t="shared" si="15"/>
        <v>18243.658214782219</v>
      </c>
      <c r="AD4" s="2">
        <f t="shared" si="15"/>
        <v>18608.531379077864</v>
      </c>
      <c r="AE4" s="2">
        <f t="shared" si="15"/>
        <v>18980.70200665942</v>
      </c>
      <c r="AF4" s="2">
        <f t="shared" si="15"/>
        <v>19360.31604679261</v>
      </c>
      <c r="AG4" s="2">
        <f t="shared" si="15"/>
        <v>19747.522367728463</v>
      </c>
      <c r="AH4" s="2">
        <f t="shared" si="15"/>
        <v>20142.472815083034</v>
      </c>
      <c r="AI4" s="2">
        <f t="shared" si="15"/>
        <v>20545.322271384695</v>
      </c>
      <c r="AJ4" s="2">
        <f t="shared" si="15"/>
        <v>20956.228716812391</v>
      </c>
      <c r="AK4" s="2">
        <f t="shared" si="15"/>
        <v>21375.35329114864</v>
      </c>
      <c r="AL4" s="2">
        <f t="shared" si="15"/>
        <v>21802.860356971614</v>
      </c>
      <c r="AM4" s="2">
        <f t="shared" si="15"/>
        <v>22238.917564111049</v>
      </c>
      <c r="AN4" s="2">
        <f t="shared" si="15"/>
        <v>22683.695915393269</v>
      </c>
      <c r="AO4" s="2">
        <f t="shared" si="15"/>
        <v>23137.369833701134</v>
      </c>
      <c r="AP4" s="2">
        <f t="shared" si="15"/>
        <v>23600.117230375155</v>
      </c>
      <c r="AQ4" s="2">
        <f t="shared" si="15"/>
        <v>24072.119574982658</v>
      </c>
      <c r="AR4" s="2">
        <f t="shared" si="15"/>
        <v>24553.561966482313</v>
      </c>
    </row>
    <row r="5" spans="1:44" x14ac:dyDescent="0.2">
      <c r="A5" t="s">
        <v>20</v>
      </c>
      <c r="B5" s="2">
        <v>369</v>
      </c>
      <c r="C5" s="2">
        <v>448</v>
      </c>
      <c r="D5" s="2">
        <v>367</v>
      </c>
      <c r="E5" s="2">
        <v>388</v>
      </c>
      <c r="F5" s="2">
        <v>442</v>
      </c>
      <c r="G5" s="2">
        <v>398</v>
      </c>
      <c r="H5" s="2">
        <v>446</v>
      </c>
      <c r="I5" s="2">
        <f>1682-F5-G5-H5</f>
        <v>396</v>
      </c>
      <c r="J5" s="2">
        <v>321</v>
      </c>
      <c r="K5" s="2">
        <v>335</v>
      </c>
      <c r="M5" t="s">
        <v>40</v>
      </c>
      <c r="N5" s="4">
        <v>-0.03</v>
      </c>
      <c r="P5" s="2">
        <f t="shared" si="14"/>
        <v>1572</v>
      </c>
      <c r="Q5" s="2">
        <f t="shared" ref="Q5:Q10" si="16">SUM(F5:I5)</f>
        <v>1682</v>
      </c>
      <c r="R5" s="2">
        <f t="shared" ref="R5:AR5" si="17">+Q5*1.02</f>
        <v>1715.64</v>
      </c>
      <c r="S5" s="2">
        <f t="shared" si="17"/>
        <v>1749.9528</v>
      </c>
      <c r="T5" s="2">
        <f t="shared" si="17"/>
        <v>1784.9518560000001</v>
      </c>
      <c r="U5" s="2">
        <f t="shared" si="17"/>
        <v>1820.6508931200001</v>
      </c>
      <c r="V5" s="2">
        <f t="shared" si="17"/>
        <v>1857.0639109824001</v>
      </c>
      <c r="W5" s="2">
        <f t="shared" si="17"/>
        <v>1894.2051892020481</v>
      </c>
      <c r="X5" s="2">
        <f t="shared" si="17"/>
        <v>1932.089292986089</v>
      </c>
      <c r="Y5" s="2">
        <f t="shared" si="17"/>
        <v>1970.7310788458108</v>
      </c>
      <c r="Z5" s="2">
        <f t="shared" si="17"/>
        <v>2010.145700422727</v>
      </c>
      <c r="AA5" s="2">
        <f t="shared" si="17"/>
        <v>2050.3486144311814</v>
      </c>
      <c r="AB5" s="2">
        <f t="shared" si="17"/>
        <v>2091.3555867198052</v>
      </c>
      <c r="AC5" s="2">
        <f t="shared" si="17"/>
        <v>2133.1826984542013</v>
      </c>
      <c r="AD5" s="2">
        <f t="shared" si="17"/>
        <v>2175.8463524232852</v>
      </c>
      <c r="AE5" s="2">
        <f t="shared" si="17"/>
        <v>2219.363279471751</v>
      </c>
      <c r="AF5" s="2">
        <f t="shared" si="17"/>
        <v>2263.7505450611861</v>
      </c>
      <c r="AG5" s="2">
        <f t="shared" si="17"/>
        <v>2309.0255559624097</v>
      </c>
      <c r="AH5" s="2">
        <f t="shared" si="17"/>
        <v>2355.2060670816581</v>
      </c>
      <c r="AI5" s="2">
        <f t="shared" si="17"/>
        <v>2402.3101884232915</v>
      </c>
      <c r="AJ5" s="2">
        <f t="shared" si="17"/>
        <v>2450.3563921917575</v>
      </c>
      <c r="AK5" s="2">
        <f t="shared" si="17"/>
        <v>2499.363520035593</v>
      </c>
      <c r="AL5" s="2">
        <f t="shared" si="17"/>
        <v>2549.350790436305</v>
      </c>
      <c r="AM5" s="2">
        <f t="shared" si="17"/>
        <v>2600.3378062450311</v>
      </c>
      <c r="AN5" s="2">
        <f t="shared" si="17"/>
        <v>2652.3445623699317</v>
      </c>
      <c r="AO5" s="2">
        <f t="shared" si="17"/>
        <v>2705.3914536173306</v>
      </c>
      <c r="AP5" s="2">
        <f t="shared" si="17"/>
        <v>2759.4992826896773</v>
      </c>
      <c r="AQ5" s="2">
        <f t="shared" si="17"/>
        <v>2814.6892683434708</v>
      </c>
      <c r="AR5" s="2">
        <f t="shared" si="17"/>
        <v>2870.9830537103403</v>
      </c>
    </row>
    <row r="6" spans="1:44" x14ac:dyDescent="0.2">
      <c r="A6" t="s">
        <v>21</v>
      </c>
      <c r="B6" s="2">
        <v>534</v>
      </c>
      <c r="C6" s="2">
        <v>536</v>
      </c>
      <c r="D6" s="2">
        <v>509</v>
      </c>
      <c r="E6" s="2">
        <v>541</v>
      </c>
      <c r="F6" s="2">
        <v>488</v>
      </c>
      <c r="G6" s="2">
        <v>492</v>
      </c>
      <c r="H6" s="2">
        <v>474</v>
      </c>
      <c r="I6" s="2">
        <f>1919-F6-G6-H6</f>
        <v>465</v>
      </c>
      <c r="J6" s="2">
        <v>454</v>
      </c>
      <c r="K6" s="2">
        <v>436</v>
      </c>
      <c r="M6" t="s">
        <v>41</v>
      </c>
      <c r="N6" s="4">
        <v>0.08</v>
      </c>
      <c r="P6" s="2">
        <f t="shared" si="14"/>
        <v>2120</v>
      </c>
      <c r="Q6" s="2">
        <f t="shared" si="16"/>
        <v>1919</v>
      </c>
      <c r="R6" s="2">
        <f t="shared" ref="R6:AR6" si="18">+Q6*1.02</f>
        <v>1957.38</v>
      </c>
      <c r="S6" s="2">
        <f t="shared" si="18"/>
        <v>1996.5276000000001</v>
      </c>
      <c r="T6" s="2">
        <f t="shared" si="18"/>
        <v>2036.4581520000002</v>
      </c>
      <c r="U6" s="2">
        <f t="shared" si="18"/>
        <v>2077.1873150400002</v>
      </c>
      <c r="V6" s="2">
        <f t="shared" si="18"/>
        <v>2118.7310613408004</v>
      </c>
      <c r="W6" s="2">
        <f t="shared" si="18"/>
        <v>2161.1056825676164</v>
      </c>
      <c r="X6" s="2">
        <f t="shared" si="18"/>
        <v>2204.3277962189686</v>
      </c>
      <c r="Y6" s="2">
        <f t="shared" si="18"/>
        <v>2248.414352143348</v>
      </c>
      <c r="Z6" s="2">
        <f t="shared" si="18"/>
        <v>2293.3826391862149</v>
      </c>
      <c r="AA6" s="2">
        <f t="shared" si="18"/>
        <v>2339.2502919699391</v>
      </c>
      <c r="AB6" s="2">
        <f t="shared" si="18"/>
        <v>2386.0352978093379</v>
      </c>
      <c r="AC6" s="2">
        <f t="shared" si="18"/>
        <v>2433.7560037655248</v>
      </c>
      <c r="AD6" s="2">
        <f t="shared" si="18"/>
        <v>2482.4311238408354</v>
      </c>
      <c r="AE6" s="2">
        <f t="shared" si="18"/>
        <v>2532.0797463176523</v>
      </c>
      <c r="AF6" s="2">
        <f t="shared" si="18"/>
        <v>2582.7213412440055</v>
      </c>
      <c r="AG6" s="2">
        <f t="shared" si="18"/>
        <v>2634.3757680688859</v>
      </c>
      <c r="AH6" s="2">
        <f t="shared" si="18"/>
        <v>2687.0632834302637</v>
      </c>
      <c r="AI6" s="2">
        <f t="shared" si="18"/>
        <v>2740.8045490988688</v>
      </c>
      <c r="AJ6" s="2">
        <f t="shared" si="18"/>
        <v>2795.6206400808464</v>
      </c>
      <c r="AK6" s="2">
        <f t="shared" si="18"/>
        <v>2851.5330528824634</v>
      </c>
      <c r="AL6" s="2">
        <f t="shared" si="18"/>
        <v>2908.5637139401128</v>
      </c>
      <c r="AM6" s="2">
        <f t="shared" si="18"/>
        <v>2966.7349882189151</v>
      </c>
      <c r="AN6" s="2">
        <f t="shared" si="18"/>
        <v>3026.0696879832935</v>
      </c>
      <c r="AO6" s="2">
        <f t="shared" si="18"/>
        <v>3086.5910817429594</v>
      </c>
      <c r="AP6" s="2">
        <f t="shared" si="18"/>
        <v>3148.3229033778189</v>
      </c>
      <c r="AQ6" s="2">
        <f t="shared" si="18"/>
        <v>3211.2893614453751</v>
      </c>
      <c r="AR6" s="2">
        <f t="shared" si="18"/>
        <v>3275.5151486742825</v>
      </c>
    </row>
    <row r="7" spans="1:44" x14ac:dyDescent="0.2">
      <c r="A7" t="s">
        <v>22</v>
      </c>
      <c r="B7" s="2">
        <v>594</v>
      </c>
      <c r="C7" s="2">
        <v>595</v>
      </c>
      <c r="D7" s="2">
        <v>544</v>
      </c>
      <c r="E7" s="2">
        <v>524</v>
      </c>
      <c r="F7" s="2">
        <v>436</v>
      </c>
      <c r="G7" s="2">
        <v>465</v>
      </c>
      <c r="H7" s="2">
        <v>442</v>
      </c>
      <c r="I7" s="2">
        <f>1809-F7-G7-H7</f>
        <v>466</v>
      </c>
      <c r="J7" s="2">
        <v>421</v>
      </c>
      <c r="K7" s="2">
        <v>446</v>
      </c>
      <c r="M7" t="s">
        <v>42</v>
      </c>
      <c r="N7" s="5">
        <f>NPV(N6,Q16:AR16)</f>
        <v>86387.445998947456</v>
      </c>
      <c r="O7" t="s">
        <v>8</v>
      </c>
      <c r="P7" s="2">
        <f t="shared" si="14"/>
        <v>2257</v>
      </c>
      <c r="Q7" s="2">
        <f t="shared" si="16"/>
        <v>1809</v>
      </c>
      <c r="R7" s="2">
        <f>+Q7*1.01</f>
        <v>1827.09</v>
      </c>
      <c r="S7" s="2">
        <f t="shared" ref="S7:AR7" si="19">+R7*1.01</f>
        <v>1845.3608999999999</v>
      </c>
      <c r="T7" s="2">
        <f t="shared" si="19"/>
        <v>1863.8145089999998</v>
      </c>
      <c r="U7" s="2">
        <f t="shared" si="19"/>
        <v>1882.4526540899999</v>
      </c>
      <c r="V7" s="2">
        <f t="shared" si="19"/>
        <v>1901.2771806308999</v>
      </c>
      <c r="W7" s="2">
        <f t="shared" si="19"/>
        <v>1920.289952437209</v>
      </c>
      <c r="X7" s="2">
        <f t="shared" si="19"/>
        <v>1939.492851961581</v>
      </c>
      <c r="Y7" s="2">
        <f t="shared" si="19"/>
        <v>1958.8877804811968</v>
      </c>
      <c r="Z7" s="2">
        <f t="shared" si="19"/>
        <v>1978.4766582860088</v>
      </c>
      <c r="AA7" s="2">
        <f t="shared" si="19"/>
        <v>1998.261424868869</v>
      </c>
      <c r="AB7" s="2">
        <f t="shared" si="19"/>
        <v>2018.2440391175576</v>
      </c>
      <c r="AC7" s="2">
        <f t="shared" si="19"/>
        <v>2038.4264795087331</v>
      </c>
      <c r="AD7" s="2">
        <f t="shared" si="19"/>
        <v>2058.8107443038207</v>
      </c>
      <c r="AE7" s="2">
        <f t="shared" si="19"/>
        <v>2079.3988517468588</v>
      </c>
      <c r="AF7" s="2">
        <f t="shared" si="19"/>
        <v>2100.1928402643275</v>
      </c>
      <c r="AG7" s="2">
        <f t="shared" si="19"/>
        <v>2121.194768666971</v>
      </c>
      <c r="AH7" s="2">
        <f t="shared" si="19"/>
        <v>2142.4067163536406</v>
      </c>
      <c r="AI7" s="2">
        <f t="shared" si="19"/>
        <v>2163.8307835171772</v>
      </c>
      <c r="AJ7" s="2">
        <f t="shared" si="19"/>
        <v>2185.4690913523491</v>
      </c>
      <c r="AK7" s="2">
        <f t="shared" si="19"/>
        <v>2207.3237822658725</v>
      </c>
      <c r="AL7" s="2">
        <f t="shared" si="19"/>
        <v>2229.3970200885315</v>
      </c>
      <c r="AM7" s="2">
        <f t="shared" si="19"/>
        <v>2251.6909902894167</v>
      </c>
      <c r="AN7" s="2">
        <f t="shared" si="19"/>
        <v>2274.2079001923107</v>
      </c>
      <c r="AO7" s="2">
        <f t="shared" si="19"/>
        <v>2296.9499791942339</v>
      </c>
      <c r="AP7" s="2">
        <f t="shared" si="19"/>
        <v>2319.9194789861763</v>
      </c>
      <c r="AQ7" s="2">
        <f t="shared" si="19"/>
        <v>2343.1186737760381</v>
      </c>
      <c r="AR7" s="2">
        <f t="shared" si="19"/>
        <v>2366.5498605137986</v>
      </c>
    </row>
    <row r="8" spans="1:44" x14ac:dyDescent="0.2">
      <c r="A8" t="s">
        <v>23</v>
      </c>
      <c r="B8" s="2">
        <v>815</v>
      </c>
      <c r="C8" s="2">
        <v>815</v>
      </c>
      <c r="D8" s="2">
        <v>801</v>
      </c>
      <c r="E8" s="2">
        <v>822</v>
      </c>
      <c r="F8" s="2">
        <v>721</v>
      </c>
      <c r="G8" s="2">
        <v>743</v>
      </c>
      <c r="H8" s="2">
        <v>739</v>
      </c>
      <c r="I8" s="2">
        <f>2973-F8-G8-H8</f>
        <v>770</v>
      </c>
      <c r="J8" s="2">
        <v>742</v>
      </c>
      <c r="K8" s="2">
        <v>718</v>
      </c>
      <c r="M8" t="s">
        <v>43</v>
      </c>
      <c r="N8" s="2">
        <f>+main!L5-main!L6</f>
        <v>3889</v>
      </c>
      <c r="P8" s="2">
        <f t="shared" si="14"/>
        <v>3253</v>
      </c>
      <c r="Q8" s="2">
        <f t="shared" si="16"/>
        <v>2973</v>
      </c>
      <c r="R8" s="2">
        <f t="shared" ref="R8:AR8" si="20">+Q8*1.01</f>
        <v>3002.73</v>
      </c>
      <c r="S8" s="2">
        <f t="shared" si="20"/>
        <v>3032.7573000000002</v>
      </c>
      <c r="T8" s="2">
        <f t="shared" si="20"/>
        <v>3063.0848730000002</v>
      </c>
      <c r="U8" s="2">
        <f t="shared" si="20"/>
        <v>3093.7157217300005</v>
      </c>
      <c r="V8" s="2">
        <f t="shared" si="20"/>
        <v>3124.6528789473005</v>
      </c>
      <c r="W8" s="2">
        <f t="shared" si="20"/>
        <v>3155.8994077367734</v>
      </c>
      <c r="X8" s="2">
        <f t="shared" si="20"/>
        <v>3187.4584018141413</v>
      </c>
      <c r="Y8" s="2">
        <f t="shared" si="20"/>
        <v>3219.3329858322827</v>
      </c>
      <c r="Z8" s="2">
        <f t="shared" si="20"/>
        <v>3251.5263156906058</v>
      </c>
      <c r="AA8" s="2">
        <f t="shared" si="20"/>
        <v>3284.041578847512</v>
      </c>
      <c r="AB8" s="2">
        <f t="shared" si="20"/>
        <v>3316.8819946359872</v>
      </c>
      <c r="AC8" s="2">
        <f t="shared" si="20"/>
        <v>3350.0508145823469</v>
      </c>
      <c r="AD8" s="2">
        <f t="shared" si="20"/>
        <v>3383.5513227281704</v>
      </c>
      <c r="AE8" s="2">
        <f t="shared" si="20"/>
        <v>3417.3868359554522</v>
      </c>
      <c r="AF8" s="2">
        <f t="shared" si="20"/>
        <v>3451.5607043150067</v>
      </c>
      <c r="AG8" s="2">
        <f t="shared" si="20"/>
        <v>3486.0763113581565</v>
      </c>
      <c r="AH8" s="2">
        <f t="shared" si="20"/>
        <v>3520.937074471738</v>
      </c>
      <c r="AI8" s="2">
        <f t="shared" si="20"/>
        <v>3556.1464452164555</v>
      </c>
      <c r="AJ8" s="2">
        <f t="shared" si="20"/>
        <v>3591.7079096686202</v>
      </c>
      <c r="AK8" s="2">
        <f t="shared" si="20"/>
        <v>3627.6249887653066</v>
      </c>
      <c r="AL8" s="2">
        <f t="shared" si="20"/>
        <v>3663.9012386529598</v>
      </c>
      <c r="AM8" s="2">
        <f t="shared" si="20"/>
        <v>3700.5402510394892</v>
      </c>
      <c r="AN8" s="2">
        <f t="shared" si="20"/>
        <v>3737.5456535498843</v>
      </c>
      <c r="AO8" s="2">
        <f t="shared" si="20"/>
        <v>3774.9211100853831</v>
      </c>
      <c r="AP8" s="2">
        <f t="shared" si="20"/>
        <v>3812.6703211862368</v>
      </c>
      <c r="AQ8" s="2">
        <f t="shared" si="20"/>
        <v>3850.7970243980994</v>
      </c>
      <c r="AR8" s="2">
        <f t="shared" si="20"/>
        <v>3889.3049946420806</v>
      </c>
    </row>
    <row r="9" spans="1:44" x14ac:dyDescent="0.2">
      <c r="A9" t="s">
        <v>24</v>
      </c>
      <c r="B9" s="2">
        <v>607</v>
      </c>
      <c r="C9" s="2">
        <v>514</v>
      </c>
      <c r="D9" s="2">
        <v>463</v>
      </c>
      <c r="E9" s="2">
        <v>515</v>
      </c>
      <c r="F9" s="2">
        <v>507</v>
      </c>
      <c r="G9" s="2">
        <v>491</v>
      </c>
      <c r="H9" s="2">
        <v>507</v>
      </c>
      <c r="I9" s="2">
        <f>2059-F9-G9-H9</f>
        <v>554</v>
      </c>
      <c r="J9" s="2">
        <v>464</v>
      </c>
      <c r="K9" s="2">
        <v>570</v>
      </c>
      <c r="M9" t="s">
        <v>44</v>
      </c>
      <c r="N9" s="6">
        <f>+N7+N8</f>
        <v>90276.445998947456</v>
      </c>
      <c r="P9" s="2">
        <f t="shared" si="14"/>
        <v>2099</v>
      </c>
      <c r="Q9" s="2">
        <f t="shared" si="16"/>
        <v>2059</v>
      </c>
      <c r="R9" s="2">
        <f t="shared" ref="R9:AR10" si="21">+Q9*1.01</f>
        <v>2079.59</v>
      </c>
      <c r="S9" s="2">
        <f t="shared" si="21"/>
        <v>2100.3859000000002</v>
      </c>
      <c r="T9" s="2">
        <f t="shared" si="21"/>
        <v>2121.3897590000001</v>
      </c>
      <c r="U9" s="2">
        <f t="shared" si="21"/>
        <v>2142.6036565900004</v>
      </c>
      <c r="V9" s="2">
        <f t="shared" si="21"/>
        <v>2164.0296931559005</v>
      </c>
      <c r="W9" s="2">
        <f t="shared" si="21"/>
        <v>2185.6699900874596</v>
      </c>
      <c r="X9" s="2">
        <f t="shared" si="21"/>
        <v>2207.5266899883341</v>
      </c>
      <c r="Y9" s="2">
        <f t="shared" si="21"/>
        <v>2229.6019568882175</v>
      </c>
      <c r="Z9" s="2">
        <f t="shared" si="21"/>
        <v>2251.8979764570995</v>
      </c>
      <c r="AA9" s="2">
        <f t="shared" si="21"/>
        <v>2274.4169562216707</v>
      </c>
      <c r="AB9" s="2">
        <f t="shared" si="21"/>
        <v>2297.1611257838877</v>
      </c>
      <c r="AC9" s="2">
        <f t="shared" si="21"/>
        <v>2320.1327370417266</v>
      </c>
      <c r="AD9" s="2">
        <f t="shared" si="21"/>
        <v>2343.334064412144</v>
      </c>
      <c r="AE9" s="2">
        <f t="shared" si="21"/>
        <v>2366.7674050562655</v>
      </c>
      <c r="AF9" s="2">
        <f t="shared" si="21"/>
        <v>2390.4350791068282</v>
      </c>
      <c r="AG9" s="2">
        <f t="shared" si="21"/>
        <v>2414.3394298978965</v>
      </c>
      <c r="AH9" s="2">
        <f t="shared" si="21"/>
        <v>2438.4828241968753</v>
      </c>
      <c r="AI9" s="2">
        <f t="shared" si="21"/>
        <v>2462.8676524388443</v>
      </c>
      <c r="AJ9" s="2">
        <f t="shared" si="21"/>
        <v>2487.4963289632328</v>
      </c>
      <c r="AK9" s="2">
        <f t="shared" si="21"/>
        <v>2512.3712922528653</v>
      </c>
      <c r="AL9" s="2">
        <f t="shared" si="21"/>
        <v>2537.495005175394</v>
      </c>
      <c r="AM9" s="2">
        <f t="shared" si="21"/>
        <v>2562.8699552271478</v>
      </c>
      <c r="AN9" s="2">
        <f t="shared" si="21"/>
        <v>2588.4986547794192</v>
      </c>
      <c r="AO9" s="2">
        <f t="shared" si="21"/>
        <v>2614.3836413272134</v>
      </c>
      <c r="AP9" s="2">
        <f t="shared" si="21"/>
        <v>2640.5274777404857</v>
      </c>
      <c r="AQ9" s="2">
        <f t="shared" si="21"/>
        <v>2666.9327525178905</v>
      </c>
      <c r="AR9" s="2">
        <f t="shared" si="21"/>
        <v>2693.6020800430697</v>
      </c>
    </row>
    <row r="10" spans="1:44" x14ac:dyDescent="0.2">
      <c r="A10" t="s">
        <v>25</v>
      </c>
      <c r="B10" s="2">
        <v>36</v>
      </c>
      <c r="C10" s="2">
        <v>90</v>
      </c>
      <c r="D10" s="2">
        <v>56</v>
      </c>
      <c r="E10" s="2">
        <v>25</v>
      </c>
      <c r="F10" s="2">
        <v>164</v>
      </c>
      <c r="G10" s="2">
        <v>24</v>
      </c>
      <c r="H10" s="2">
        <v>39</v>
      </c>
      <c r="I10" s="2">
        <f>-84-F10-G10-H10</f>
        <v>-311</v>
      </c>
      <c r="J10" s="2">
        <v>212</v>
      </c>
      <c r="K10" s="2">
        <v>113</v>
      </c>
      <c r="M10" t="s">
        <v>45</v>
      </c>
      <c r="N10" s="10">
        <f>+N9/main!L3</f>
        <v>88.304311115217047</v>
      </c>
      <c r="P10" s="2">
        <f t="shared" si="14"/>
        <v>207</v>
      </c>
      <c r="Q10" s="2">
        <f t="shared" si="16"/>
        <v>-84</v>
      </c>
      <c r="R10" s="2">
        <f t="shared" si="21"/>
        <v>-84.84</v>
      </c>
      <c r="S10" s="2">
        <f t="shared" si="21"/>
        <v>-85.688400000000001</v>
      </c>
      <c r="T10" s="2">
        <f t="shared" si="21"/>
        <v>-86.545283999999995</v>
      </c>
      <c r="U10" s="2">
        <f t="shared" si="21"/>
        <v>-87.410736839999998</v>
      </c>
      <c r="V10" s="2">
        <f t="shared" si="21"/>
        <v>-88.284844208400003</v>
      </c>
      <c r="W10" s="2">
        <f t="shared" si="21"/>
        <v>-89.167692650484</v>
      </c>
      <c r="X10" s="2">
        <f t="shared" si="21"/>
        <v>-90.059369576988843</v>
      </c>
      <c r="Y10" s="2">
        <f t="shared" si="21"/>
        <v>-90.959963272758728</v>
      </c>
      <c r="Z10" s="2">
        <f t="shared" si="21"/>
        <v>-91.869562905486319</v>
      </c>
      <c r="AA10" s="2">
        <f t="shared" si="21"/>
        <v>-92.788258534541185</v>
      </c>
      <c r="AB10" s="2">
        <f t="shared" si="21"/>
        <v>-93.716141119886601</v>
      </c>
      <c r="AC10" s="2">
        <f t="shared" si="21"/>
        <v>-94.653302531085473</v>
      </c>
      <c r="AD10" s="2">
        <f t="shared" si="21"/>
        <v>-95.599835556396329</v>
      </c>
      <c r="AE10" s="2">
        <f t="shared" si="21"/>
        <v>-96.555833911960292</v>
      </c>
      <c r="AF10" s="2">
        <f t="shared" si="21"/>
        <v>-97.521392251079902</v>
      </c>
      <c r="AG10" s="2">
        <f t="shared" si="21"/>
        <v>-98.496606173590706</v>
      </c>
      <c r="AH10" s="2">
        <f t="shared" si="21"/>
        <v>-99.48157223532661</v>
      </c>
      <c r="AI10" s="2">
        <f t="shared" si="21"/>
        <v>-100.47638795767988</v>
      </c>
      <c r="AJ10" s="2">
        <f t="shared" si="21"/>
        <v>-101.48115183725668</v>
      </c>
      <c r="AK10" s="2">
        <f t="shared" si="21"/>
        <v>-102.49596335562924</v>
      </c>
      <c r="AL10" s="2">
        <f t="shared" si="21"/>
        <v>-103.52092298918554</v>
      </c>
      <c r="AM10" s="2">
        <f t="shared" si="21"/>
        <v>-104.5561322190774</v>
      </c>
      <c r="AN10" s="2">
        <f t="shared" si="21"/>
        <v>-105.60169354126818</v>
      </c>
      <c r="AO10" s="2">
        <f t="shared" si="21"/>
        <v>-106.65771047668086</v>
      </c>
      <c r="AP10" s="2">
        <f t="shared" si="21"/>
        <v>-107.72428758144767</v>
      </c>
      <c r="AQ10" s="2">
        <f t="shared" si="21"/>
        <v>-108.80153045726215</v>
      </c>
      <c r="AR10" s="2">
        <f t="shared" si="21"/>
        <v>-109.88954576183477</v>
      </c>
    </row>
    <row r="11" spans="1:44" x14ac:dyDescent="0.2">
      <c r="A11" t="s">
        <v>26</v>
      </c>
      <c r="B11" s="2">
        <f t="shared" ref="B11:K11" si="22">SUM(B4:B10)</f>
        <v>5772</v>
      </c>
      <c r="C11" s="2">
        <f t="shared" si="22"/>
        <v>6042</v>
      </c>
      <c r="D11" s="2">
        <f t="shared" si="22"/>
        <v>5728</v>
      </c>
      <c r="E11" s="2">
        <f t="shared" si="22"/>
        <v>6139</v>
      </c>
      <c r="F11" s="2">
        <f t="shared" si="22"/>
        <v>6041</v>
      </c>
      <c r="G11" s="2">
        <f t="shared" si="22"/>
        <v>6154</v>
      </c>
      <c r="H11" s="2">
        <f t="shared" si="22"/>
        <v>6250</v>
      </c>
      <c r="I11" s="2">
        <f t="shared" si="22"/>
        <v>6298</v>
      </c>
      <c r="J11" s="2">
        <f t="shared" si="22"/>
        <v>6531</v>
      </c>
      <c r="K11" s="2">
        <f t="shared" si="22"/>
        <v>6560</v>
      </c>
      <c r="M11" t="s">
        <v>46</v>
      </c>
      <c r="N11" s="2">
        <v>76</v>
      </c>
      <c r="P11" s="2">
        <f>SUM(P4:P10)</f>
        <v>23681</v>
      </c>
      <c r="Q11" s="2">
        <f>SUM(Q4:Q10)</f>
        <v>24743</v>
      </c>
      <c r="R11" s="2">
        <f t="shared" ref="R11:AF11" si="23">SUM(R4:R10)</f>
        <v>25170.29</v>
      </c>
      <c r="S11" s="2">
        <f t="shared" si="23"/>
        <v>25605.450100000005</v>
      </c>
      <c r="T11" s="2">
        <f t="shared" si="23"/>
        <v>26048.630945000001</v>
      </c>
      <c r="U11" s="2">
        <f t="shared" si="23"/>
        <v>26499.986125330001</v>
      </c>
      <c r="V11" s="2">
        <f t="shared" si="23"/>
        <v>26959.672234880905</v>
      </c>
      <c r="W11" s="2">
        <f t="shared" si="23"/>
        <v>27427.848930493263</v>
      </c>
      <c r="X11" s="2">
        <f t="shared" si="23"/>
        <v>27904.678992527024</v>
      </c>
      <c r="Y11" s="2">
        <f t="shared" si="23"/>
        <v>28390.328386635691</v>
      </c>
      <c r="Z11" s="2">
        <f t="shared" si="23"/>
        <v>28884.966326769121</v>
      </c>
      <c r="AA11" s="2">
        <f t="shared" si="23"/>
        <v>29388.765339429221</v>
      </c>
      <c r="AB11" s="2">
        <f t="shared" si="23"/>
        <v>29901.901329203771</v>
      </c>
      <c r="AC11" s="2">
        <f t="shared" si="23"/>
        <v>30424.553645603668</v>
      </c>
      <c r="AD11" s="2">
        <f t="shared" si="23"/>
        <v>30956.905151229726</v>
      </c>
      <c r="AE11" s="2">
        <f t="shared" si="23"/>
        <v>31499.142291295444</v>
      </c>
      <c r="AF11" s="2">
        <f t="shared" si="23"/>
        <v>32051.455164532883</v>
      </c>
      <c r="AG11" s="2">
        <f t="shared" ref="AG11" si="24">SUM(AG4:AG10)</f>
        <v>32614.037595509191</v>
      </c>
      <c r="AH11" s="2">
        <f t="shared" ref="AH11" si="25">SUM(AH4:AH10)</f>
        <v>33187.087208381883</v>
      </c>
      <c r="AI11" s="2">
        <f t="shared" ref="AI11" si="26">SUM(AI4:AI10)</f>
        <v>33770.805502121657</v>
      </c>
      <c r="AJ11" s="2">
        <f t="shared" ref="AJ11" si="27">SUM(AJ4:AJ10)</f>
        <v>34365.397927231941</v>
      </c>
      <c r="AK11" s="2">
        <f t="shared" ref="AK11" si="28">SUM(AK4:AK10)</f>
        <v>34971.073963995113</v>
      </c>
      <c r="AL11" s="2">
        <f t="shared" ref="AL11" si="29">SUM(AL4:AL10)</f>
        <v>35588.047202275731</v>
      </c>
      <c r="AM11" s="2">
        <f t="shared" ref="AM11" si="30">SUM(AM4:AM10)</f>
        <v>36216.535422911977</v>
      </c>
      <c r="AN11" s="2">
        <f t="shared" ref="AN11" si="31">SUM(AN4:AN10)</f>
        <v>36856.760680726838</v>
      </c>
      <c r="AO11" s="2">
        <f t="shared" ref="AO11" si="32">SUM(AO4:AO10)</f>
        <v>37508.94938919157</v>
      </c>
      <c r="AP11" s="2">
        <f t="shared" ref="AP11" si="33">SUM(AP4:AP10)</f>
        <v>38173.332406774098</v>
      </c>
      <c r="AQ11" s="2">
        <f t="shared" ref="AQ11" si="34">SUM(AQ4:AQ10)</f>
        <v>38850.145125006267</v>
      </c>
      <c r="AR11" s="2">
        <f t="shared" ref="AR11" si="35">SUM(AR4:AR10)</f>
        <v>39539.627558304055</v>
      </c>
    </row>
    <row r="12" spans="1:44" ht="15" x14ac:dyDescent="0.25">
      <c r="A12" s="3" t="s">
        <v>27</v>
      </c>
      <c r="B12" s="8">
        <f t="shared" ref="B12:K12" si="36">+B3-B11</f>
        <v>711</v>
      </c>
      <c r="C12" s="8">
        <f t="shared" si="36"/>
        <v>764</v>
      </c>
      <c r="D12" s="8">
        <f t="shared" si="36"/>
        <v>1118</v>
      </c>
      <c r="E12" s="8">
        <f t="shared" si="36"/>
        <v>1244</v>
      </c>
      <c r="F12" s="8">
        <f t="shared" si="36"/>
        <v>999</v>
      </c>
      <c r="G12" s="8">
        <f t="shared" si="36"/>
        <v>1133</v>
      </c>
      <c r="H12" s="8">
        <f t="shared" si="36"/>
        <v>1168</v>
      </c>
      <c r="I12" s="8">
        <f t="shared" si="36"/>
        <v>1728</v>
      </c>
      <c r="J12" s="8">
        <f t="shared" si="36"/>
        <v>1168</v>
      </c>
      <c r="K12" s="8">
        <f t="shared" si="36"/>
        <v>1325</v>
      </c>
      <c r="M12" t="s">
        <v>47</v>
      </c>
      <c r="N12" s="4">
        <f>+N10/N11-1</f>
        <v>0.16189883046338216</v>
      </c>
      <c r="P12" s="8">
        <f>+P3-P11</f>
        <v>3837</v>
      </c>
      <c r="Q12" s="8">
        <f>+Q3-Q11</f>
        <v>5028</v>
      </c>
      <c r="R12" s="8">
        <f t="shared" ref="R12:AF12" si="37">+R3-R11</f>
        <v>5493.84</v>
      </c>
      <c r="S12" s="8">
        <f t="shared" si="37"/>
        <v>5978.6037999999971</v>
      </c>
      <c r="T12" s="8">
        <f t="shared" si="37"/>
        <v>6482.944572000004</v>
      </c>
      <c r="U12" s="8">
        <f t="shared" si="37"/>
        <v>7007.5366571800078</v>
      </c>
      <c r="V12" s="8">
        <f t="shared" si="37"/>
        <v>7553.0762311044018</v>
      </c>
      <c r="W12" s="8">
        <f t="shared" si="37"/>
        <v>7084.8995354920444</v>
      </c>
      <c r="X12" s="8">
        <f t="shared" si="37"/>
        <v>7643.4519274378436</v>
      </c>
      <c r="Y12" s="8">
        <f t="shared" si="37"/>
        <v>8224.2464609281269</v>
      </c>
      <c r="Z12" s="8">
        <f t="shared" si="37"/>
        <v>8828.045766221614</v>
      </c>
      <c r="AA12" s="8">
        <f t="shared" si="37"/>
        <v>9455.6371163512376</v>
      </c>
      <c r="AB12" s="8">
        <f t="shared" si="37"/>
        <v>10107.833200250105</v>
      </c>
      <c r="AC12" s="8">
        <f t="shared" si="37"/>
        <v>10785.472919733827</v>
      </c>
      <c r="AD12" s="8">
        <f t="shared" si="37"/>
        <v>11489.422211067893</v>
      </c>
      <c r="AE12" s="8">
        <f t="shared" si="37"/>
        <v>12220.574891871103</v>
      </c>
      <c r="AF12" s="8">
        <f t="shared" si="37"/>
        <v>12979.853534128662</v>
      </c>
      <c r="AG12" s="8">
        <f t="shared" ref="AG12" si="38">+AG3-AG11</f>
        <v>13768.210364112205</v>
      </c>
      <c r="AH12" s="8">
        <f t="shared" ref="AH12" si="39">+AH3-AH11</f>
        <v>14586.628190028154</v>
      </c>
      <c r="AI12" s="8">
        <f t="shared" ref="AI12" si="40">+AI3-AI11</f>
        <v>15436.121358240685</v>
      </c>
      <c r="AJ12" s="8">
        <f t="shared" ref="AJ12" si="41">+AJ3-AJ11</f>
        <v>16317.736738941276</v>
      </c>
      <c r="AK12" s="8">
        <f t="shared" ref="AK12" si="42">+AK3-AK11</f>
        <v>17232.554742163302</v>
      </c>
      <c r="AL12" s="8">
        <f t="shared" ref="AL12" si="43">+AL3-AL11</f>
        <v>18181.690365067436</v>
      </c>
      <c r="AM12" s="8">
        <f t="shared" ref="AM12" si="44">+AM3-AM11</f>
        <v>19166.294271451487</v>
      </c>
      <c r="AN12" s="8">
        <f t="shared" ref="AN12" si="45">+AN3-AN11</f>
        <v>20187.553904467532</v>
      </c>
      <c r="AO12" s="8">
        <f t="shared" ref="AO12" si="46">+AO3-AO11</f>
        <v>21246.694633558633</v>
      </c>
      <c r="AP12" s="8">
        <f t="shared" ref="AP12" si="47">+AP3-AP11</f>
        <v>22344.980936658612</v>
      </c>
      <c r="AQ12" s="8">
        <f t="shared" ref="AQ12" si="48">+AQ3-AQ11</f>
        <v>23483.717618729424</v>
      </c>
      <c r="AR12" s="8">
        <f t="shared" ref="AR12" si="49">+AR3-AR11</f>
        <v>24664.251067743709</v>
      </c>
    </row>
    <row r="13" spans="1:44" x14ac:dyDescent="0.2">
      <c r="A13" t="s">
        <v>28</v>
      </c>
      <c r="B13" s="2">
        <v>-82</v>
      </c>
      <c r="C13" s="2">
        <v>-715</v>
      </c>
      <c r="D13" s="2">
        <v>460</v>
      </c>
      <c r="E13" s="2">
        <v>-134</v>
      </c>
      <c r="F13" s="2">
        <v>75</v>
      </c>
      <c r="G13" s="2">
        <v>170</v>
      </c>
      <c r="H13" s="2">
        <v>73</v>
      </c>
      <c r="I13" s="2">
        <f>383-F13-G13-H13</f>
        <v>65</v>
      </c>
      <c r="J13" s="2">
        <v>41</v>
      </c>
      <c r="K13" s="2">
        <v>74</v>
      </c>
      <c r="P13" s="9">
        <f t="shared" ref="P13:P15" si="50">SUM(B13:E13)</f>
        <v>-471</v>
      </c>
      <c r="Q13" s="9">
        <f t="shared" ref="Q13:Q15" si="51">SUM(F13:I13)</f>
        <v>383</v>
      </c>
      <c r="R13" s="9">
        <f>+Q28*$N$4</f>
        <v>43.84</v>
      </c>
      <c r="S13" s="9">
        <f t="shared" ref="S13:AR13" si="52">+R28*$N$4</f>
        <v>85.372600000000006</v>
      </c>
      <c r="T13" s="9">
        <f t="shared" si="52"/>
        <v>130.85242299999999</v>
      </c>
      <c r="U13" s="9">
        <f t="shared" si="52"/>
        <v>180.45590046250001</v>
      </c>
      <c r="V13" s="9">
        <f t="shared" si="52"/>
        <v>234.36584464481879</v>
      </c>
      <c r="W13" s="9">
        <f t="shared" si="52"/>
        <v>292.77166021293795</v>
      </c>
      <c r="X13" s="9">
        <f t="shared" si="52"/>
        <v>348.1041941807253</v>
      </c>
      <c r="Y13" s="9">
        <f t="shared" si="52"/>
        <v>408.04086509286458</v>
      </c>
      <c r="Z13" s="9">
        <f t="shared" si="52"/>
        <v>472.78302003802202</v>
      </c>
      <c r="AA13" s="9">
        <f t="shared" si="52"/>
        <v>542.53923593496927</v>
      </c>
      <c r="AB13" s="9">
        <f t="shared" si="52"/>
        <v>617.52555857711582</v>
      </c>
      <c r="AC13" s="9">
        <f t="shared" si="52"/>
        <v>697.96574926831988</v>
      </c>
      <c r="AD13" s="9">
        <f t="shared" si="52"/>
        <v>784.09153928583601</v>
      </c>
      <c r="AE13" s="9">
        <f t="shared" si="52"/>
        <v>876.14289241348899</v>
      </c>
      <c r="AF13" s="9">
        <f t="shared" si="52"/>
        <v>974.3682757956235</v>
      </c>
      <c r="AG13" s="9">
        <f t="shared" si="52"/>
        <v>1079.0249393700556</v>
      </c>
      <c r="AH13" s="9">
        <f t="shared" si="52"/>
        <v>1190.3792041461727</v>
      </c>
      <c r="AI13" s="9">
        <f t="shared" si="52"/>
        <v>1308.7067596024801</v>
      </c>
      <c r="AJ13" s="9">
        <f t="shared" si="52"/>
        <v>1434.2929704863036</v>
      </c>
      <c r="AK13" s="9">
        <f t="shared" si="52"/>
        <v>1567.4331933070105</v>
      </c>
      <c r="AL13" s="9">
        <f t="shared" si="52"/>
        <v>1708.4331028230379</v>
      </c>
      <c r="AM13" s="9">
        <f t="shared" si="52"/>
        <v>1857.6090288322164</v>
      </c>
      <c r="AN13" s="9">
        <f t="shared" si="52"/>
        <v>2015.2883035843442</v>
      </c>
      <c r="AO13" s="9">
        <f t="shared" si="52"/>
        <v>2181.8096201447329</v>
      </c>
      <c r="AP13" s="9">
        <f t="shared" si="52"/>
        <v>2357.5234020475082</v>
      </c>
      <c r="AQ13" s="9">
        <f t="shared" si="52"/>
        <v>2542.7921845878041</v>
      </c>
      <c r="AR13" s="9">
        <f t="shared" si="52"/>
        <v>2737.9910081126832</v>
      </c>
    </row>
    <row r="14" spans="1:44" x14ac:dyDescent="0.2">
      <c r="A14" t="s">
        <v>29</v>
      </c>
      <c r="B14" s="2">
        <f t="shared" ref="B14:K14" si="53">+B12+B13</f>
        <v>629</v>
      </c>
      <c r="C14" s="2">
        <f t="shared" si="53"/>
        <v>49</v>
      </c>
      <c r="D14" s="2">
        <f t="shared" si="53"/>
        <v>1578</v>
      </c>
      <c r="E14" s="2">
        <f t="shared" si="53"/>
        <v>1110</v>
      </c>
      <c r="F14" s="2">
        <f t="shared" si="53"/>
        <v>1074</v>
      </c>
      <c r="G14" s="2">
        <f t="shared" si="53"/>
        <v>1303</v>
      </c>
      <c r="H14" s="2">
        <f t="shared" si="53"/>
        <v>1241</v>
      </c>
      <c r="I14" s="2">
        <f t="shared" si="53"/>
        <v>1793</v>
      </c>
      <c r="J14" s="2">
        <f t="shared" si="53"/>
        <v>1209</v>
      </c>
      <c r="K14" s="2">
        <f t="shared" si="53"/>
        <v>1399</v>
      </c>
      <c r="N14" t="s">
        <v>8</v>
      </c>
      <c r="O14" t="s">
        <v>8</v>
      </c>
      <c r="P14" s="2">
        <f>+P12+P13</f>
        <v>3366</v>
      </c>
      <c r="Q14" s="2">
        <f>+Q12+Q13</f>
        <v>5411</v>
      </c>
      <c r="R14" s="2">
        <f>+R12+R13</f>
        <v>5537.68</v>
      </c>
      <c r="S14" s="2">
        <f t="shared" ref="S14:AF14" si="54">+S12+S13</f>
        <v>6063.9763999999968</v>
      </c>
      <c r="T14" s="2">
        <f t="shared" si="54"/>
        <v>6613.7969950000042</v>
      </c>
      <c r="U14" s="2">
        <f t="shared" si="54"/>
        <v>7187.9925576425076</v>
      </c>
      <c r="V14" s="2">
        <f t="shared" si="54"/>
        <v>7787.4420757492207</v>
      </c>
      <c r="W14" s="2">
        <f t="shared" si="54"/>
        <v>7377.671195704982</v>
      </c>
      <c r="X14" s="2">
        <f t="shared" si="54"/>
        <v>7991.5561216185688</v>
      </c>
      <c r="Y14" s="2">
        <f t="shared" si="54"/>
        <v>8632.2873260209908</v>
      </c>
      <c r="Z14" s="2">
        <f t="shared" si="54"/>
        <v>9300.8287862596353</v>
      </c>
      <c r="AA14" s="2">
        <f t="shared" si="54"/>
        <v>9998.1763522862075</v>
      </c>
      <c r="AB14" s="2">
        <f t="shared" si="54"/>
        <v>10725.35875882722</v>
      </c>
      <c r="AC14" s="2">
        <f t="shared" si="54"/>
        <v>11483.438669002147</v>
      </c>
      <c r="AD14" s="2">
        <f t="shared" si="54"/>
        <v>12273.51375035373</v>
      </c>
      <c r="AE14" s="2">
        <f t="shared" si="54"/>
        <v>13096.717784284592</v>
      </c>
      <c r="AF14" s="2">
        <f t="shared" si="54"/>
        <v>13954.221809924285</v>
      </c>
      <c r="AG14" s="2">
        <f t="shared" ref="AG14" si="55">+AG12+AG13</f>
        <v>14847.235303482261</v>
      </c>
      <c r="AH14" s="2">
        <f t="shared" ref="AH14" si="56">+AH12+AH13</f>
        <v>15777.007394174327</v>
      </c>
      <c r="AI14" s="2">
        <f t="shared" ref="AI14" si="57">+AI12+AI13</f>
        <v>16744.828117843164</v>
      </c>
      <c r="AJ14" s="2">
        <f t="shared" ref="AJ14" si="58">+AJ12+AJ13</f>
        <v>17752.029709427581</v>
      </c>
      <c r="AK14" s="2">
        <f t="shared" ref="AK14" si="59">+AK12+AK13</f>
        <v>18799.987935470312</v>
      </c>
      <c r="AL14" s="2">
        <f t="shared" ref="AL14" si="60">+AL12+AL13</f>
        <v>19890.123467890473</v>
      </c>
      <c r="AM14" s="2">
        <f t="shared" ref="AM14" si="61">+AM12+AM13</f>
        <v>21023.903300283702</v>
      </c>
      <c r="AN14" s="2">
        <f t="shared" ref="AN14" si="62">+AN12+AN13</f>
        <v>22202.842208051876</v>
      </c>
      <c r="AO14" s="2">
        <f t="shared" ref="AO14" si="63">+AO12+AO13</f>
        <v>23428.504253703366</v>
      </c>
      <c r="AP14" s="2">
        <f t="shared" ref="AP14" si="64">+AP12+AP13</f>
        <v>24702.50433870612</v>
      </c>
      <c r="AQ14" s="2">
        <f t="shared" ref="AQ14" si="65">+AQ12+AQ13</f>
        <v>26026.509803317229</v>
      </c>
      <c r="AR14" s="2">
        <f t="shared" ref="AR14" si="66">+AR12+AR13</f>
        <v>27402.242075856393</v>
      </c>
    </row>
    <row r="15" spans="1:44" x14ac:dyDescent="0.2">
      <c r="A15" t="s">
        <v>30</v>
      </c>
      <c r="B15" s="2">
        <v>120</v>
      </c>
      <c r="C15" s="2">
        <v>390</v>
      </c>
      <c r="D15" s="2">
        <v>248</v>
      </c>
      <c r="E15" s="2">
        <v>189</v>
      </c>
      <c r="F15" s="2">
        <v>279</v>
      </c>
      <c r="G15" s="2">
        <v>274</v>
      </c>
      <c r="H15" s="2">
        <v>221</v>
      </c>
      <c r="I15" s="2">
        <f>1165-F15-G15-H15</f>
        <v>391</v>
      </c>
      <c r="J15" s="2">
        <v>321</v>
      </c>
      <c r="K15" s="2">
        <v>271</v>
      </c>
      <c r="P15" s="2">
        <f t="shared" si="50"/>
        <v>947</v>
      </c>
      <c r="Q15" s="2">
        <f t="shared" si="51"/>
        <v>1165</v>
      </c>
      <c r="R15" s="2">
        <f>+R14*0.25</f>
        <v>1384.42</v>
      </c>
      <c r="S15" s="2">
        <f t="shared" ref="S15:AF15" si="67">+S14*0.25</f>
        <v>1515.9940999999992</v>
      </c>
      <c r="T15" s="2">
        <f t="shared" si="67"/>
        <v>1653.4492487500011</v>
      </c>
      <c r="U15" s="2">
        <f t="shared" si="67"/>
        <v>1796.9981394106269</v>
      </c>
      <c r="V15" s="2">
        <f t="shared" si="67"/>
        <v>1946.8605189373052</v>
      </c>
      <c r="W15" s="2">
        <f t="shared" si="67"/>
        <v>1844.4177989262455</v>
      </c>
      <c r="X15" s="2">
        <f t="shared" si="67"/>
        <v>1997.8890304046422</v>
      </c>
      <c r="Y15" s="2">
        <f t="shared" si="67"/>
        <v>2158.0718315052477</v>
      </c>
      <c r="Z15" s="2">
        <f t="shared" si="67"/>
        <v>2325.2071965649088</v>
      </c>
      <c r="AA15" s="2">
        <f t="shared" si="67"/>
        <v>2499.5440880715519</v>
      </c>
      <c r="AB15" s="2">
        <f t="shared" si="67"/>
        <v>2681.3396897068051</v>
      </c>
      <c r="AC15" s="2">
        <f t="shared" si="67"/>
        <v>2870.8596672505369</v>
      </c>
      <c r="AD15" s="2">
        <f t="shared" si="67"/>
        <v>3068.3784375884325</v>
      </c>
      <c r="AE15" s="2">
        <f t="shared" si="67"/>
        <v>3274.179446071148</v>
      </c>
      <c r="AF15" s="2">
        <f t="shared" si="67"/>
        <v>3488.5554524810714</v>
      </c>
      <c r="AG15" s="2">
        <f t="shared" ref="AG15" si="68">+AG14*0.25</f>
        <v>3711.8088258705652</v>
      </c>
      <c r="AH15" s="2">
        <f t="shared" ref="AH15" si="69">+AH14*0.25</f>
        <v>3944.2518485435817</v>
      </c>
      <c r="AI15" s="2">
        <f t="shared" ref="AI15" si="70">+AI14*0.25</f>
        <v>4186.2070294607911</v>
      </c>
      <c r="AJ15" s="2">
        <f t="shared" ref="AJ15" si="71">+AJ14*0.25</f>
        <v>4438.0074273568953</v>
      </c>
      <c r="AK15" s="2">
        <f t="shared" ref="AK15" si="72">+AK14*0.25</f>
        <v>4699.9969838675779</v>
      </c>
      <c r="AL15" s="2">
        <f t="shared" ref="AL15" si="73">+AL14*0.25</f>
        <v>4972.5308669726182</v>
      </c>
      <c r="AM15" s="2">
        <f t="shared" ref="AM15" si="74">+AM14*0.25</f>
        <v>5255.9758250709256</v>
      </c>
      <c r="AN15" s="2">
        <f t="shared" ref="AN15" si="75">+AN14*0.25</f>
        <v>5550.7105520129689</v>
      </c>
      <c r="AO15" s="2">
        <f t="shared" ref="AO15" si="76">+AO14*0.25</f>
        <v>5857.1260634258415</v>
      </c>
      <c r="AP15" s="2">
        <f t="shared" ref="AP15" si="77">+AP14*0.25</f>
        <v>6175.6260846765299</v>
      </c>
      <c r="AQ15" s="2">
        <f t="shared" ref="AQ15" si="78">+AQ14*0.25</f>
        <v>6506.6274508293072</v>
      </c>
      <c r="AR15" s="2">
        <f t="shared" ref="AR15" si="79">+AR14*0.25</f>
        <v>6850.5605189640983</v>
      </c>
    </row>
    <row r="16" spans="1:44" ht="15" x14ac:dyDescent="0.25">
      <c r="A16" s="3" t="s">
        <v>31</v>
      </c>
      <c r="B16" s="8">
        <f t="shared" ref="B16:K16" si="80">+B14-B15</f>
        <v>509</v>
      </c>
      <c r="C16" s="8">
        <f t="shared" si="80"/>
        <v>-341</v>
      </c>
      <c r="D16" s="8">
        <f t="shared" si="80"/>
        <v>1330</v>
      </c>
      <c r="E16" s="8">
        <f t="shared" si="80"/>
        <v>921</v>
      </c>
      <c r="F16" s="8">
        <f t="shared" si="80"/>
        <v>795</v>
      </c>
      <c r="G16" s="8">
        <f t="shared" si="80"/>
        <v>1029</v>
      </c>
      <c r="H16" s="8">
        <f t="shared" si="80"/>
        <v>1020</v>
      </c>
      <c r="I16" s="8">
        <f t="shared" si="80"/>
        <v>1402</v>
      </c>
      <c r="J16" s="8">
        <f t="shared" si="80"/>
        <v>888</v>
      </c>
      <c r="K16" s="8">
        <f t="shared" si="80"/>
        <v>1128</v>
      </c>
      <c r="P16" s="8">
        <f>+P14-P15</f>
        <v>2419</v>
      </c>
      <c r="Q16" s="8">
        <f>+Q14-Q15</f>
        <v>4246</v>
      </c>
      <c r="R16" s="8">
        <f t="shared" ref="R16:AF16" si="81">+R14-R15</f>
        <v>4153.26</v>
      </c>
      <c r="S16" s="8">
        <f t="shared" si="81"/>
        <v>4547.9822999999978</v>
      </c>
      <c r="T16" s="8">
        <f t="shared" si="81"/>
        <v>4960.3477462500032</v>
      </c>
      <c r="U16" s="8">
        <f t="shared" si="81"/>
        <v>5390.9944182318804</v>
      </c>
      <c r="V16" s="8">
        <f t="shared" si="81"/>
        <v>5840.581556811916</v>
      </c>
      <c r="W16" s="8">
        <f t="shared" si="81"/>
        <v>5533.2533967787367</v>
      </c>
      <c r="X16" s="8">
        <f t="shared" si="81"/>
        <v>5993.6670912139271</v>
      </c>
      <c r="Y16" s="8">
        <f t="shared" si="81"/>
        <v>6474.2154945157436</v>
      </c>
      <c r="Z16" s="8">
        <f t="shared" si="81"/>
        <v>6975.6215896947269</v>
      </c>
      <c r="AA16" s="8">
        <f t="shared" si="81"/>
        <v>7498.6322642146552</v>
      </c>
      <c r="AB16" s="8">
        <f t="shared" si="81"/>
        <v>8044.0190691204152</v>
      </c>
      <c r="AC16" s="8">
        <f t="shared" si="81"/>
        <v>8612.5790017516101</v>
      </c>
      <c r="AD16" s="8">
        <f t="shared" si="81"/>
        <v>9205.1353127652983</v>
      </c>
      <c r="AE16" s="8">
        <f t="shared" si="81"/>
        <v>9822.5383382134441</v>
      </c>
      <c r="AF16" s="8">
        <f t="shared" si="81"/>
        <v>10465.666357443213</v>
      </c>
      <c r="AG16" s="8">
        <f t="shared" ref="AG16" si="82">+AG14-AG15</f>
        <v>11135.426477611696</v>
      </c>
      <c r="AH16" s="8">
        <f t="shared" ref="AH16" si="83">+AH14-AH15</f>
        <v>11832.755545630745</v>
      </c>
      <c r="AI16" s="8">
        <f t="shared" ref="AI16" si="84">+AI14-AI15</f>
        <v>12558.621088382373</v>
      </c>
      <c r="AJ16" s="8">
        <f t="shared" ref="AJ16" si="85">+AJ14-AJ15</f>
        <v>13314.022282070686</v>
      </c>
      <c r="AK16" s="8">
        <f t="shared" ref="AK16" si="86">+AK14-AK15</f>
        <v>14099.990951602733</v>
      </c>
      <c r="AL16" s="8">
        <f t="shared" ref="AL16" si="87">+AL14-AL15</f>
        <v>14917.592600917855</v>
      </c>
      <c r="AM16" s="8">
        <f t="shared" ref="AM16" si="88">+AM14-AM15</f>
        <v>15767.927475212777</v>
      </c>
      <c r="AN16" s="8">
        <f t="shared" ref="AN16" si="89">+AN14-AN15</f>
        <v>16652.131656038906</v>
      </c>
      <c r="AO16" s="8">
        <f t="shared" ref="AO16" si="90">+AO14-AO15</f>
        <v>17571.378190277523</v>
      </c>
      <c r="AP16" s="8">
        <f t="shared" ref="AP16" si="91">+AP14-AP15</f>
        <v>18526.878254029591</v>
      </c>
      <c r="AQ16" s="8">
        <f t="shared" ref="AQ16" si="92">+AQ14-AQ15</f>
        <v>19519.882352487923</v>
      </c>
      <c r="AR16" s="8">
        <f t="shared" ref="AR16" si="93">+AR14-AR15</f>
        <v>20551.681556892294</v>
      </c>
    </row>
    <row r="17" spans="1:44" x14ac:dyDescent="0.2">
      <c r="A17" t="s">
        <v>32</v>
      </c>
      <c r="B17" s="2">
        <f t="shared" ref="B17:K17" si="94">+B16/B18</f>
        <v>0.43766122098022359</v>
      </c>
      <c r="C17" s="2">
        <f t="shared" si="94"/>
        <v>-0.29447322970639034</v>
      </c>
      <c r="D17" s="2">
        <f t="shared" si="94"/>
        <v>1.1525129982668978</v>
      </c>
      <c r="E17" s="2">
        <f t="shared" si="94"/>
        <v>0.80860403863037755</v>
      </c>
      <c r="F17" s="2">
        <f t="shared" si="94"/>
        <v>0.70416297608503098</v>
      </c>
      <c r="G17" s="2">
        <f t="shared" si="94"/>
        <v>0.9261926192619262</v>
      </c>
      <c r="H17" s="2">
        <f t="shared" si="94"/>
        <v>0.93235831809872027</v>
      </c>
      <c r="I17" s="2">
        <f t="shared" si="94"/>
        <v>1.3017641597028784</v>
      </c>
      <c r="J17" s="2">
        <f t="shared" si="94"/>
        <v>0.83458646616541354</v>
      </c>
      <c r="K17" s="2">
        <f t="shared" si="94"/>
        <v>1.0825335892514396</v>
      </c>
      <c r="P17" s="2">
        <f>+P16/P18</f>
        <v>2.0970957954052882</v>
      </c>
      <c r="Q17" s="2">
        <f>+Q16/Q18</f>
        <v>3.8503740648379052</v>
      </c>
      <c r="R17" s="2">
        <f t="shared" ref="R17:AF17" si="95">+R16/R18</f>
        <v>3.7662752210383137</v>
      </c>
      <c r="S17" s="2">
        <f t="shared" si="95"/>
        <v>4.1242188165948743</v>
      </c>
      <c r="T17" s="2">
        <f t="shared" si="95"/>
        <v>4.4981616379505809</v>
      </c>
      <c r="U17" s="2">
        <f t="shared" si="95"/>
        <v>4.8886823107974431</v>
      </c>
      <c r="V17" s="2">
        <f t="shared" si="95"/>
        <v>5.2963786504755532</v>
      </c>
      <c r="W17" s="2">
        <f t="shared" si="95"/>
        <v>5.0176861453445811</v>
      </c>
      <c r="X17" s="2">
        <f t="shared" si="95"/>
        <v>5.4352002640797341</v>
      </c>
      <c r="Y17" s="2">
        <f t="shared" si="95"/>
        <v>5.8709730170172234</v>
      </c>
      <c r="Z17" s="2">
        <f t="shared" si="95"/>
        <v>6.3256600223937669</v>
      </c>
      <c r="AA17" s="2">
        <f t="shared" si="95"/>
        <v>6.7999385755743873</v>
      </c>
      <c r="AB17" s="2">
        <f t="shared" si="95"/>
        <v>7.2945083374476676</v>
      </c>
      <c r="AC17" s="2">
        <f t="shared" si="95"/>
        <v>7.8100920442091226</v>
      </c>
      <c r="AD17" s="2">
        <f t="shared" si="95"/>
        <v>8.3474362391886636</v>
      </c>
      <c r="AE17" s="2">
        <f t="shared" si="95"/>
        <v>8.9073120273982713</v>
      </c>
      <c r="AF17" s="2">
        <f t="shared" si="95"/>
        <v>9.4905158534964524</v>
      </c>
      <c r="AG17" s="2">
        <f t="shared" ref="AG17" si="96">+AG16/AG18</f>
        <v>10.097870303887278</v>
      </c>
      <c r="AH17" s="2">
        <f t="shared" ref="AH17" si="97">+AH16/AH18</f>
        <v>10.730224933693716</v>
      </c>
      <c r="AI17" s="2">
        <f t="shared" ref="AI17" si="98">+AI16/AI18</f>
        <v>11.388457119367375</v>
      </c>
      <c r="AJ17" s="2">
        <f t="shared" ref="AJ17" si="99">+AJ16/AJ18</f>
        <v>12.073472937719959</v>
      </c>
      <c r="AK17" s="2">
        <f t="shared" ref="AK17" si="100">+AK16/AK18</f>
        <v>12.786208072185657</v>
      </c>
      <c r="AL17" s="2">
        <f t="shared" ref="AL17" si="101">+AL16/AL18</f>
        <v>13.527628747148361</v>
      </c>
      <c r="AM17" s="2">
        <f t="shared" ref="AM17" si="102">+AM16/AM18</f>
        <v>14.298732691192724</v>
      </c>
      <c r="AN17" s="2">
        <f t="shared" ref="AN17" si="103">+AN16/AN18</f>
        <v>15.100550130164503</v>
      </c>
      <c r="AO17" s="2">
        <f t="shared" ref="AO17" si="104">+AO16/AO18</f>
        <v>15.934144810952185</v>
      </c>
      <c r="AP17" s="2">
        <f t="shared" ref="AP17" si="105">+AP16/AP18</f>
        <v>16.800615056930031</v>
      </c>
      <c r="AQ17" s="2">
        <f t="shared" ref="AQ17" si="106">+AQ16/AQ18</f>
        <v>17.70109485603076</v>
      </c>
      <c r="AR17" s="2">
        <f t="shared" ref="AR17" si="107">+AR16/AR18</f>
        <v>18.636754982445972</v>
      </c>
    </row>
    <row r="18" spans="1:44" x14ac:dyDescent="0.2">
      <c r="A18" t="s">
        <v>2</v>
      </c>
      <c r="B18" s="2">
        <v>1163</v>
      </c>
      <c r="C18" s="2">
        <v>1158</v>
      </c>
      <c r="D18" s="2">
        <v>1154</v>
      </c>
      <c r="E18" s="2">
        <v>1139</v>
      </c>
      <c r="F18" s="2">
        <v>1129</v>
      </c>
      <c r="G18" s="2">
        <v>1111</v>
      </c>
      <c r="H18" s="2">
        <v>1094</v>
      </c>
      <c r="I18" s="2">
        <v>1077</v>
      </c>
      <c r="J18" s="2">
        <v>1064</v>
      </c>
      <c r="K18" s="2">
        <v>1042</v>
      </c>
      <c r="M18" t="s">
        <v>8</v>
      </c>
      <c r="P18" s="2">
        <f>AVERAGE(B18:E18)</f>
        <v>1153.5</v>
      </c>
      <c r="Q18" s="2">
        <f>AVERAGE(F18:I18)</f>
        <v>1102.75</v>
      </c>
      <c r="R18" s="2">
        <f>+Q18</f>
        <v>1102.75</v>
      </c>
      <c r="S18" s="2">
        <f t="shared" ref="S18:AF18" si="108">+R18</f>
        <v>1102.75</v>
      </c>
      <c r="T18" s="2">
        <f t="shared" si="108"/>
        <v>1102.75</v>
      </c>
      <c r="U18" s="2">
        <f t="shared" si="108"/>
        <v>1102.75</v>
      </c>
      <c r="V18" s="2">
        <f t="shared" si="108"/>
        <v>1102.75</v>
      </c>
      <c r="W18" s="2">
        <f t="shared" si="108"/>
        <v>1102.75</v>
      </c>
      <c r="X18" s="2">
        <f t="shared" si="108"/>
        <v>1102.75</v>
      </c>
      <c r="Y18" s="2">
        <f t="shared" si="108"/>
        <v>1102.75</v>
      </c>
      <c r="Z18" s="2">
        <f t="shared" si="108"/>
        <v>1102.75</v>
      </c>
      <c r="AA18" s="2">
        <f t="shared" si="108"/>
        <v>1102.75</v>
      </c>
      <c r="AB18" s="2">
        <f t="shared" si="108"/>
        <v>1102.75</v>
      </c>
      <c r="AC18" s="2">
        <f t="shared" si="108"/>
        <v>1102.75</v>
      </c>
      <c r="AD18" s="2">
        <f t="shared" si="108"/>
        <v>1102.75</v>
      </c>
      <c r="AE18" s="2">
        <f t="shared" si="108"/>
        <v>1102.75</v>
      </c>
      <c r="AF18" s="2">
        <f t="shared" si="108"/>
        <v>1102.75</v>
      </c>
      <c r="AG18" s="2">
        <f t="shared" ref="AG18:AR18" si="109">+AF18</f>
        <v>1102.75</v>
      </c>
      <c r="AH18" s="2">
        <f t="shared" si="109"/>
        <v>1102.75</v>
      </c>
      <c r="AI18" s="2">
        <f t="shared" si="109"/>
        <v>1102.75</v>
      </c>
      <c r="AJ18" s="2">
        <f t="shared" si="109"/>
        <v>1102.75</v>
      </c>
      <c r="AK18" s="2">
        <f t="shared" si="109"/>
        <v>1102.75</v>
      </c>
      <c r="AL18" s="2">
        <f t="shared" si="109"/>
        <v>1102.75</v>
      </c>
      <c r="AM18" s="2">
        <f t="shared" si="109"/>
        <v>1102.75</v>
      </c>
      <c r="AN18" s="2">
        <f t="shared" si="109"/>
        <v>1102.75</v>
      </c>
      <c r="AO18" s="2">
        <f t="shared" si="109"/>
        <v>1102.75</v>
      </c>
      <c r="AP18" s="2">
        <f t="shared" si="109"/>
        <v>1102.75</v>
      </c>
      <c r="AQ18" s="2">
        <f t="shared" si="109"/>
        <v>1102.75</v>
      </c>
      <c r="AR18" s="2">
        <f t="shared" si="109"/>
        <v>1102.75</v>
      </c>
    </row>
    <row r="20" spans="1:44" x14ac:dyDescent="0.2">
      <c r="A20" t="s">
        <v>33</v>
      </c>
      <c r="B20" s="4" t="s">
        <v>8</v>
      </c>
      <c r="C20" s="4" t="s">
        <v>8</v>
      </c>
      <c r="D20" s="4" t="s">
        <v>8</v>
      </c>
      <c r="E20" s="4" t="s">
        <v>8</v>
      </c>
      <c r="F20" s="4">
        <f t="shared" ref="F20:J20" si="110">+F3/B3-1</f>
        <v>8.5917013728212144E-2</v>
      </c>
      <c r="G20" s="4">
        <f t="shared" si="110"/>
        <v>7.0672935645019086E-2</v>
      </c>
      <c r="H20" s="4">
        <f t="shared" si="110"/>
        <v>8.3552439380660148E-2</v>
      </c>
      <c r="I20" s="4">
        <f t="shared" si="110"/>
        <v>8.7091968034674228E-2</v>
      </c>
      <c r="J20" s="4">
        <f t="shared" si="110"/>
        <v>9.3607954545454453E-2</v>
      </c>
      <c r="K20" s="4">
        <f>+K3/G3-1</f>
        <v>8.2063949499108002E-2</v>
      </c>
    </row>
    <row r="22" spans="1:44" x14ac:dyDescent="0.2">
      <c r="A22" t="s">
        <v>34</v>
      </c>
      <c r="F22" s="4">
        <f t="shared" ref="F22:J22" si="111">+F7/F3</f>
        <v>6.1931818181818185E-2</v>
      </c>
      <c r="G22" s="4">
        <f t="shared" si="111"/>
        <v>6.3812268423219437E-2</v>
      </c>
      <c r="H22" s="4">
        <f t="shared" si="111"/>
        <v>5.9584793744944728E-2</v>
      </c>
      <c r="I22" s="4">
        <f t="shared" si="111"/>
        <v>5.8061300772489409E-2</v>
      </c>
      <c r="J22" s="4">
        <f t="shared" si="111"/>
        <v>5.4682426289128457E-2</v>
      </c>
      <c r="K22" s="4">
        <f>+K7/K3</f>
        <v>5.6563094483195943E-2</v>
      </c>
      <c r="P22" s="4">
        <f>+P7/P3</f>
        <v>8.2019042081546631E-2</v>
      </c>
      <c r="Q22" s="4">
        <f>+Q7/Q3</f>
        <v>6.0763830573376774E-2</v>
      </c>
      <c r="R22" s="4">
        <f t="shared" ref="R22:AF22" si="112">+R7/R3</f>
        <v>5.9583950368068482E-2</v>
      </c>
      <c r="S22" s="4">
        <f t="shared" si="112"/>
        <v>5.8426980458008898E-2</v>
      </c>
      <c r="T22" s="4">
        <f t="shared" si="112"/>
        <v>5.72924759830961E-2</v>
      </c>
      <c r="U22" s="4">
        <f t="shared" si="112"/>
        <v>5.6180000721288405E-2</v>
      </c>
      <c r="V22" s="4">
        <f t="shared" si="112"/>
        <v>5.5089126920875038E-2</v>
      </c>
      <c r="W22" s="4">
        <f t="shared" si="112"/>
        <v>5.5640018190083788E-2</v>
      </c>
      <c r="X22" s="4">
        <f t="shared" si="112"/>
        <v>5.4559629487363717E-2</v>
      </c>
      <c r="Y22" s="4">
        <f t="shared" si="112"/>
        <v>5.3500219206055674E-2</v>
      </c>
      <c r="Z22" s="4">
        <f t="shared" si="112"/>
        <v>5.2461379998171097E-2</v>
      </c>
      <c r="AA22" s="4">
        <f t="shared" si="112"/>
        <v>5.1442712425391071E-2</v>
      </c>
      <c r="AB22" s="4">
        <f t="shared" si="112"/>
        <v>5.0443824805480562E-2</v>
      </c>
      <c r="AC22" s="4">
        <f t="shared" si="112"/>
        <v>4.9464333061684816E-2</v>
      </c>
      <c r="AD22" s="4">
        <f t="shared" si="112"/>
        <v>4.850386057505017E-2</v>
      </c>
      <c r="AE22" s="4">
        <f t="shared" si="112"/>
        <v>4.75620380396123E-2</v>
      </c>
      <c r="AF22" s="4">
        <f t="shared" si="112"/>
        <v>4.6638503320396527E-2</v>
      </c>
      <c r="AG22" s="4">
        <f t="shared" ref="AG22:AR22" si="113">+AG7/AG3</f>
        <v>4.5732901314175234E-2</v>
      </c>
      <c r="AH22" s="4">
        <f t="shared" si="113"/>
        <v>4.4844883812929115E-2</v>
      </c>
      <c r="AI22" s="4">
        <f t="shared" si="113"/>
        <v>4.3974109369959616E-2</v>
      </c>
      <c r="AJ22" s="4">
        <f t="shared" si="113"/>
        <v>4.3120243168601177E-2</v>
      </c>
      <c r="AK22" s="4">
        <f t="shared" si="113"/>
        <v>4.2282956893482701E-2</v>
      </c>
      <c r="AL22" s="4">
        <f t="shared" si="113"/>
        <v>4.1461928604288871E-2</v>
      </c>
      <c r="AM22" s="4">
        <f t="shared" si="113"/>
        <v>4.0656842611972582E-2</v>
      </c>
      <c r="AN22" s="4">
        <f t="shared" si="113"/>
        <v>3.9867389357371164E-2</v>
      </c>
      <c r="AO22" s="4">
        <f t="shared" si="113"/>
        <v>3.9093265292179491E-2</v>
      </c>
      <c r="AP22" s="4">
        <f t="shared" si="113"/>
        <v>3.8334172762234262E-2</v>
      </c>
      <c r="AQ22" s="4">
        <f t="shared" si="113"/>
        <v>3.758981989306466E-2</v>
      </c>
      <c r="AR22" s="4">
        <f t="shared" si="113"/>
        <v>3.6859920477665349E-2</v>
      </c>
    </row>
    <row r="23" spans="1:44" x14ac:dyDescent="0.2">
      <c r="A23" t="s">
        <v>35</v>
      </c>
      <c r="F23" s="4">
        <f t="shared" ref="F23:J23" si="114">+F8/F3</f>
        <v>0.10241477272727273</v>
      </c>
      <c r="G23" s="4">
        <f t="shared" si="114"/>
        <v>0.10196239879236997</v>
      </c>
      <c r="H23" s="4">
        <f t="shared" si="114"/>
        <v>9.9622539768131568E-2</v>
      </c>
      <c r="I23" s="4">
        <f t="shared" si="114"/>
        <v>9.5938200847246455E-2</v>
      </c>
      <c r="J23" s="4">
        <f t="shared" si="114"/>
        <v>9.6376152747110019E-2</v>
      </c>
      <c r="K23" s="4">
        <f>+K8/K3</f>
        <v>9.105897273303741E-2</v>
      </c>
      <c r="P23" s="4">
        <f>+P8/P3</f>
        <v>0.1182135329602442</v>
      </c>
      <c r="Q23" s="4">
        <f>+Q8/Q3</f>
        <v>9.9862282086594339E-2</v>
      </c>
      <c r="R23" s="4">
        <f t="shared" ref="R23:AF23" si="115">+R8/R3</f>
        <v>9.7923208648019691E-2</v>
      </c>
      <c r="S23" s="4">
        <f t="shared" si="115"/>
        <v>9.602178712087367E-2</v>
      </c>
      <c r="T23" s="4">
        <f t="shared" si="115"/>
        <v>9.4157286400080004E-2</v>
      </c>
      <c r="U23" s="4">
        <f t="shared" si="115"/>
        <v>9.2328989576777473E-2</v>
      </c>
      <c r="V23" s="4">
        <f t="shared" si="115"/>
        <v>9.0536193662665299E-2</v>
      </c>
      <c r="W23" s="4">
        <f t="shared" si="115"/>
        <v>9.1441555599291943E-2</v>
      </c>
      <c r="X23" s="4">
        <f t="shared" si="115"/>
        <v>8.9665991412897939E-2</v>
      </c>
      <c r="Y23" s="4">
        <f t="shared" si="115"/>
        <v>8.7924904200996995E-2</v>
      </c>
      <c r="Z23" s="4">
        <f t="shared" si="115"/>
        <v>8.6217624507773746E-2</v>
      </c>
      <c r="AA23" s="4">
        <f t="shared" si="115"/>
        <v>8.4543495876554839E-2</v>
      </c>
      <c r="AB23" s="4">
        <f t="shared" si="115"/>
        <v>8.2901874597398437E-2</v>
      </c>
      <c r="AC23" s="4">
        <f t="shared" si="115"/>
        <v>8.1292129459584861E-2</v>
      </c>
      <c r="AD23" s="4">
        <f t="shared" si="115"/>
        <v>7.9713641508913316E-2</v>
      </c>
      <c r="AE23" s="4">
        <f t="shared" si="115"/>
        <v>7.816580380971111E-2</v>
      </c>
      <c r="AF23" s="4">
        <f t="shared" si="115"/>
        <v>7.6648021211464287E-2</v>
      </c>
      <c r="AG23" s="4">
        <f t="shared" ref="AG23:AR23" si="116">+AG8/AG3</f>
        <v>7.5159710119979545E-2</v>
      </c>
      <c r="AH23" s="4">
        <f t="shared" si="116"/>
        <v>7.3700298272989642E-2</v>
      </c>
      <c r="AI23" s="4">
        <f t="shared" si="116"/>
        <v>7.2269224520116054E-2</v>
      </c>
      <c r="AJ23" s="4">
        <f t="shared" si="116"/>
        <v>7.0865938607104093E-2</v>
      </c>
      <c r="AK23" s="4">
        <f t="shared" si="116"/>
        <v>6.9489900964247703E-2</v>
      </c>
      <c r="AL23" s="4">
        <f t="shared" si="116"/>
        <v>6.8140582498922506E-2</v>
      </c>
      <c r="AM23" s="4">
        <f t="shared" si="116"/>
        <v>6.6817464392147308E-2</v>
      </c>
      <c r="AN23" s="4">
        <f t="shared" si="116"/>
        <v>6.5520037899095898E-2</v>
      </c>
      <c r="AO23" s="4">
        <f t="shared" si="116"/>
        <v>6.4247804153482385E-2</v>
      </c>
      <c r="AP23" s="4">
        <f t="shared" si="116"/>
        <v>6.3000273975744869E-2</v>
      </c>
      <c r="AQ23" s="4">
        <f t="shared" si="116"/>
        <v>6.1776967684953707E-2</v>
      </c>
      <c r="AR23" s="4">
        <f t="shared" si="116"/>
        <v>6.0577414914372081E-2</v>
      </c>
    </row>
    <row r="24" spans="1:44" x14ac:dyDescent="0.2">
      <c r="A24" t="s">
        <v>36</v>
      </c>
      <c r="F24" s="4">
        <f t="shared" ref="F24:J24" si="117">+F9/F3</f>
        <v>7.2017045454545459E-2</v>
      </c>
      <c r="G24" s="4">
        <f t="shared" si="117"/>
        <v>6.7380266227528476E-2</v>
      </c>
      <c r="H24" s="4">
        <f t="shared" si="117"/>
        <v>6.8347263413318954E-2</v>
      </c>
      <c r="I24" s="4">
        <f t="shared" si="117"/>
        <v>6.902566658360329E-2</v>
      </c>
      <c r="J24" s="4">
        <f t="shared" si="117"/>
        <v>6.0267567216521628E-2</v>
      </c>
      <c r="K24" s="4">
        <f>+K9/K3</f>
        <v>7.2289156626506021E-2</v>
      </c>
      <c r="P24" s="4">
        <f>+P9/P3</f>
        <v>7.6277345737335564E-2</v>
      </c>
      <c r="Q24" s="4">
        <f>+Q9/Q3</f>
        <v>6.9161264317624538E-2</v>
      </c>
      <c r="R24" s="4">
        <f t="shared" ref="R24:AF24" si="118">+R9/R3</f>
        <v>6.7818327146408522E-2</v>
      </c>
      <c r="S24" s="4">
        <f t="shared" si="118"/>
        <v>6.6501466425119032E-2</v>
      </c>
      <c r="T24" s="4">
        <f t="shared" si="118"/>
        <v>6.5210175814922541E-2</v>
      </c>
      <c r="U24" s="4">
        <f t="shared" si="118"/>
        <v>6.3943958808807544E-2</v>
      </c>
      <c r="V24" s="4">
        <f t="shared" si="118"/>
        <v>6.2702328540675367E-2</v>
      </c>
      <c r="W24" s="4">
        <f t="shared" si="118"/>
        <v>6.3329351826082125E-2</v>
      </c>
      <c r="X24" s="4">
        <f t="shared" si="118"/>
        <v>6.2099655674119354E-2</v>
      </c>
      <c r="Y24" s="4">
        <f t="shared" si="118"/>
        <v>6.0893837117340338E-2</v>
      </c>
      <c r="Z24" s="4">
        <f t="shared" si="118"/>
        <v>5.9711432513120125E-2</v>
      </c>
      <c r="AA24" s="4">
        <f t="shared" si="118"/>
        <v>5.8551987221603236E-2</v>
      </c>
      <c r="AB24" s="4">
        <f t="shared" si="118"/>
        <v>5.7415055430892495E-2</v>
      </c>
      <c r="AC24" s="4">
        <f t="shared" si="118"/>
        <v>5.6300199985632439E-2</v>
      </c>
      <c r="AD24" s="4">
        <f t="shared" si="118"/>
        <v>5.5206992218921135E-2</v>
      </c>
      <c r="AE24" s="4">
        <f t="shared" si="118"/>
        <v>5.4135011787485775E-2</v>
      </c>
      <c r="AF24" s="4">
        <f t="shared" si="118"/>
        <v>5.3083846510058867E-2</v>
      </c>
      <c r="AG24" s="4">
        <f t="shared" ref="AG24:AR24" si="119">+AG9/AG3</f>
        <v>5.2053092208892669E-2</v>
      </c>
      <c r="AH24" s="4">
        <f t="shared" si="119"/>
        <v>5.1042352554351064E-2</v>
      </c>
      <c r="AI24" s="4">
        <f t="shared" si="119"/>
        <v>5.0051238912519003E-2</v>
      </c>
      <c r="AJ24" s="4">
        <f t="shared" si="119"/>
        <v>4.9079370195771063E-2</v>
      </c>
      <c r="AK24" s="4">
        <f t="shared" si="119"/>
        <v>4.8126372716241525E-2</v>
      </c>
      <c r="AL24" s="4">
        <f t="shared" si="119"/>
        <v>4.7191880042139749E-2</v>
      </c>
      <c r="AM24" s="4">
        <f t="shared" si="119"/>
        <v>4.6275532856855477E-2</v>
      </c>
      <c r="AN24" s="4">
        <f t="shared" si="119"/>
        <v>4.537697882080003E-2</v>
      </c>
      <c r="AO24" s="4">
        <f t="shared" si="119"/>
        <v>4.4495872435930124E-2</v>
      </c>
      <c r="AP24" s="4">
        <f t="shared" si="119"/>
        <v>4.3631874912902359E-2</v>
      </c>
      <c r="AQ24" s="4">
        <f t="shared" si="119"/>
        <v>4.2784654040807168E-2</v>
      </c>
      <c r="AR24" s="4">
        <f t="shared" si="119"/>
        <v>4.1953884059432275E-2</v>
      </c>
    </row>
    <row r="25" spans="1:44" x14ac:dyDescent="0.2">
      <c r="A25" t="s">
        <v>37</v>
      </c>
      <c r="F25" s="4">
        <f t="shared" ref="F25:J25" si="120">+F12/F3</f>
        <v>0.14190340909090909</v>
      </c>
      <c r="G25" s="4">
        <f t="shared" si="120"/>
        <v>0.15548236585700562</v>
      </c>
      <c r="H25" s="4">
        <f t="shared" si="120"/>
        <v>0.15745483957940146</v>
      </c>
      <c r="I25" s="4">
        <f t="shared" si="120"/>
        <v>0.21530027410914529</v>
      </c>
      <c r="J25" s="4">
        <f t="shared" si="120"/>
        <v>0.15170801402779582</v>
      </c>
      <c r="K25" s="4">
        <f>+K12/K3</f>
        <v>0.16804058338617628</v>
      </c>
      <c r="P25" s="4">
        <f>+P12/P3</f>
        <v>0.13943600552365723</v>
      </c>
      <c r="Q25" s="4">
        <f>+Q12/Q3</f>
        <v>0.16888918746431092</v>
      </c>
      <c r="R25" s="4">
        <f t="shared" ref="R25:AF25" si="121">+R12/R3</f>
        <v>0.17916177631649749</v>
      </c>
      <c r="S25" s="4">
        <f t="shared" si="121"/>
        <v>0.18929184388201656</v>
      </c>
      <c r="T25" s="4">
        <f t="shared" si="121"/>
        <v>0.19928160468625983</v>
      </c>
      <c r="U25" s="4">
        <f t="shared" si="121"/>
        <v>0.20913323562187494</v>
      </c>
      <c r="V25" s="4">
        <f t="shared" si="121"/>
        <v>0.21884887662738536</v>
      </c>
      <c r="W25" s="4">
        <f t="shared" si="121"/>
        <v>0.2052835502937328</v>
      </c>
      <c r="X25" s="4">
        <f t="shared" si="121"/>
        <v>0.21501698484926693</v>
      </c>
      <c r="Y25" s="4">
        <f t="shared" si="121"/>
        <v>0.22461674060583375</v>
      </c>
      <c r="Z25" s="4">
        <f t="shared" si="121"/>
        <v>0.23408487618156537</v>
      </c>
      <c r="AA25" s="4">
        <f t="shared" si="121"/>
        <v>0.2434234154358613</v>
      </c>
      <c r="AB25" s="4">
        <f t="shared" si="121"/>
        <v>0.25263434809368818</v>
      </c>
      <c r="AC25" s="4">
        <f t="shared" si="121"/>
        <v>0.26171963035825085</v>
      </c>
      <c r="AD25" s="4">
        <f t="shared" si="121"/>
        <v>0.27068118551225279</v>
      </c>
      <c r="AE25" s="4">
        <f t="shared" si="121"/>
        <v>0.2795209045079643</v>
      </c>
      <c r="AF25" s="4">
        <f t="shared" si="121"/>
        <v>0.28824064654630965</v>
      </c>
      <c r="AG25" s="4">
        <f t="shared" ref="AG25:AR25" si="122">+AG12/AG3</f>
        <v>0.29684223964518236</v>
      </c>
      <c r="AH25" s="4">
        <f t="shared" si="122"/>
        <v>0.30532748119719433</v>
      </c>
      <c r="AI25" s="4">
        <f t="shared" si="122"/>
        <v>0.31369813851705797</v>
      </c>
      <c r="AJ25" s="4">
        <f t="shared" si="122"/>
        <v>0.32195594937879818</v>
      </c>
      <c r="AK25" s="4">
        <f t="shared" si="122"/>
        <v>0.33010262254298794</v>
      </c>
      <c r="AL25" s="4">
        <f t="shared" si="122"/>
        <v>0.33813983827419702</v>
      </c>
      <c r="AM25" s="4">
        <f t="shared" si="122"/>
        <v>0.34606924884883805</v>
      </c>
      <c r="AN25" s="4">
        <f t="shared" si="122"/>
        <v>0.35389247905359411</v>
      </c>
      <c r="AO25" s="4">
        <f t="shared" si="122"/>
        <v>0.36161112667460349</v>
      </c>
      <c r="AP25" s="4">
        <f t="shared" si="122"/>
        <v>0.36922676297758111</v>
      </c>
      <c r="AQ25" s="4">
        <f t="shared" si="122"/>
        <v>0.37674093317904395</v>
      </c>
      <c r="AR25" s="4">
        <f t="shared" si="122"/>
        <v>0.38415515690881213</v>
      </c>
    </row>
    <row r="26" spans="1:44" x14ac:dyDescent="0.2">
      <c r="A26" t="s">
        <v>38</v>
      </c>
      <c r="F26" s="4">
        <f t="shared" ref="F26:J26" si="123">+F15/F14</f>
        <v>0.25977653631284914</v>
      </c>
      <c r="G26" s="4">
        <f t="shared" si="123"/>
        <v>0.21028396009209516</v>
      </c>
      <c r="H26" s="4">
        <f t="shared" si="123"/>
        <v>0.17808219178082191</v>
      </c>
      <c r="I26" s="4">
        <f t="shared" si="123"/>
        <v>0.2180702732849972</v>
      </c>
      <c r="J26" s="4">
        <f t="shared" si="123"/>
        <v>0.26550868486352358</v>
      </c>
      <c r="K26" s="4">
        <f>+K15/K14</f>
        <v>0.1937097927090779</v>
      </c>
      <c r="P26" s="4">
        <f>+P15/P14</f>
        <v>0.28134284016636957</v>
      </c>
      <c r="Q26" s="4">
        <f>+Q15/Q14</f>
        <v>0.21530216226205878</v>
      </c>
      <c r="R26" s="4">
        <f t="shared" ref="R26:AF26" si="124">+R15/R14</f>
        <v>0.25</v>
      </c>
      <c r="S26" s="4">
        <f t="shared" si="124"/>
        <v>0.25</v>
      </c>
      <c r="T26" s="4">
        <f t="shared" si="124"/>
        <v>0.25</v>
      </c>
      <c r="U26" s="4">
        <f t="shared" si="124"/>
        <v>0.25</v>
      </c>
      <c r="V26" s="4">
        <f t="shared" si="124"/>
        <v>0.25</v>
      </c>
      <c r="W26" s="4">
        <f t="shared" si="124"/>
        <v>0.25</v>
      </c>
      <c r="X26" s="4">
        <f t="shared" si="124"/>
        <v>0.25</v>
      </c>
      <c r="Y26" s="4">
        <f t="shared" si="124"/>
        <v>0.25</v>
      </c>
      <c r="Z26" s="4">
        <f t="shared" si="124"/>
        <v>0.25</v>
      </c>
      <c r="AA26" s="4">
        <f t="shared" si="124"/>
        <v>0.25</v>
      </c>
      <c r="AB26" s="4">
        <f t="shared" si="124"/>
        <v>0.25</v>
      </c>
      <c r="AC26" s="4">
        <f t="shared" si="124"/>
        <v>0.25</v>
      </c>
      <c r="AD26" s="4">
        <f t="shared" si="124"/>
        <v>0.25</v>
      </c>
      <c r="AE26" s="4">
        <f t="shared" si="124"/>
        <v>0.25</v>
      </c>
      <c r="AF26" s="4">
        <f t="shared" si="124"/>
        <v>0.25</v>
      </c>
      <c r="AG26" s="4">
        <f t="shared" ref="AG26:AR26" si="125">+AG15/AG14</f>
        <v>0.25</v>
      </c>
      <c r="AH26" s="4">
        <f t="shared" si="125"/>
        <v>0.25</v>
      </c>
      <c r="AI26" s="4">
        <f t="shared" si="125"/>
        <v>0.25</v>
      </c>
      <c r="AJ26" s="4">
        <f t="shared" si="125"/>
        <v>0.25</v>
      </c>
      <c r="AK26" s="4">
        <f t="shared" si="125"/>
        <v>0.25</v>
      </c>
      <c r="AL26" s="4">
        <f t="shared" si="125"/>
        <v>0.25</v>
      </c>
      <c r="AM26" s="4">
        <f t="shared" si="125"/>
        <v>0.25</v>
      </c>
      <c r="AN26" s="4">
        <f t="shared" si="125"/>
        <v>0.25</v>
      </c>
      <c r="AO26" s="4">
        <f t="shared" si="125"/>
        <v>0.25</v>
      </c>
      <c r="AP26" s="4">
        <f t="shared" si="125"/>
        <v>0.25</v>
      </c>
      <c r="AQ26" s="4">
        <f t="shared" si="125"/>
        <v>0.25</v>
      </c>
      <c r="AR26" s="4">
        <f t="shared" si="125"/>
        <v>0.25</v>
      </c>
    </row>
    <row r="27" spans="1:44" x14ac:dyDescent="0.2">
      <c r="A27" t="s">
        <v>8</v>
      </c>
      <c r="K27" t="s">
        <v>8</v>
      </c>
    </row>
    <row r="28" spans="1:44" s="3" customFormat="1" ht="15" x14ac:dyDescent="0.25">
      <c r="A28" s="3" t="s">
        <v>43</v>
      </c>
      <c r="K28" s="3">
        <f>+K30-K41</f>
        <v>3889</v>
      </c>
      <c r="N28" s="7"/>
      <c r="Q28" s="3">
        <f>+Q30-Q41</f>
        <v>4384</v>
      </c>
      <c r="R28" s="3">
        <f>+Q28+R16</f>
        <v>8537.26</v>
      </c>
      <c r="S28" s="3">
        <f t="shared" ref="S28:AR28" si="126">+R28+S16</f>
        <v>13085.242299999998</v>
      </c>
      <c r="T28" s="3">
        <f t="shared" si="126"/>
        <v>18045.590046249999</v>
      </c>
      <c r="U28" s="3">
        <f t="shared" si="126"/>
        <v>23436.584464481879</v>
      </c>
      <c r="V28" s="3">
        <f t="shared" si="126"/>
        <v>29277.166021293793</v>
      </c>
      <c r="W28" s="3">
        <f t="shared" si="126"/>
        <v>34810.419418072532</v>
      </c>
      <c r="X28" s="3">
        <f t="shared" si="126"/>
        <v>40804.086509286455</v>
      </c>
      <c r="Y28" s="3">
        <f t="shared" si="126"/>
        <v>47278.3020038022</v>
      </c>
      <c r="Z28" s="3">
        <f t="shared" si="126"/>
        <v>54253.923593496926</v>
      </c>
      <c r="AA28" s="3">
        <f t="shared" si="126"/>
        <v>61752.555857711581</v>
      </c>
      <c r="AB28" s="3">
        <f t="shared" si="126"/>
        <v>69796.574926831992</v>
      </c>
      <c r="AC28" s="3">
        <f t="shared" si="126"/>
        <v>78409.153928583604</v>
      </c>
      <c r="AD28" s="3">
        <f t="shared" si="126"/>
        <v>87614.289241348903</v>
      </c>
      <c r="AE28" s="3">
        <f t="shared" si="126"/>
        <v>97436.827579562349</v>
      </c>
      <c r="AF28" s="3">
        <f t="shared" si="126"/>
        <v>107902.49393700557</v>
      </c>
      <c r="AG28" s="3">
        <f t="shared" si="126"/>
        <v>119037.92041461726</v>
      </c>
      <c r="AH28" s="3">
        <f t="shared" si="126"/>
        <v>130870.675960248</v>
      </c>
      <c r="AI28" s="3">
        <f t="shared" si="126"/>
        <v>143429.29704863037</v>
      </c>
      <c r="AJ28" s="3">
        <f t="shared" si="126"/>
        <v>156743.31933070105</v>
      </c>
      <c r="AK28" s="3">
        <f t="shared" si="126"/>
        <v>170843.31028230378</v>
      </c>
      <c r="AL28" s="3">
        <f t="shared" si="126"/>
        <v>185760.90288322163</v>
      </c>
      <c r="AM28" s="3">
        <f t="shared" si="126"/>
        <v>201528.83035843441</v>
      </c>
      <c r="AN28" s="3">
        <f t="shared" si="126"/>
        <v>218180.96201447331</v>
      </c>
      <c r="AO28" s="3">
        <f t="shared" si="126"/>
        <v>235752.34020475083</v>
      </c>
      <c r="AP28" s="3">
        <f t="shared" si="126"/>
        <v>254279.21845878041</v>
      </c>
      <c r="AQ28" s="3">
        <f t="shared" si="126"/>
        <v>273799.10081126832</v>
      </c>
      <c r="AR28" s="3">
        <f t="shared" si="126"/>
        <v>294350.78236816061</v>
      </c>
    </row>
    <row r="29" spans="1:44" x14ac:dyDescent="0.2">
      <c r="N29" s="4"/>
    </row>
    <row r="30" spans="1:44" x14ac:dyDescent="0.2">
      <c r="A30" t="s">
        <v>5</v>
      </c>
      <c r="K30">
        <f>7701+5915</f>
        <v>13616</v>
      </c>
      <c r="N30" s="4"/>
      <c r="Q30">
        <f>9081+4979</f>
        <v>14060</v>
      </c>
    </row>
    <row r="31" spans="1:44" x14ac:dyDescent="0.2">
      <c r="A31" t="s">
        <v>48</v>
      </c>
      <c r="K31">
        <v>987</v>
      </c>
      <c r="N31" s="5"/>
      <c r="Q31">
        <v>1069</v>
      </c>
    </row>
    <row r="32" spans="1:44" x14ac:dyDescent="0.2">
      <c r="A32" t="s">
        <v>49</v>
      </c>
      <c r="K32">
        <f>369+5319</f>
        <v>5688</v>
      </c>
      <c r="N32" s="2"/>
      <c r="Q32">
        <f>563+5433</f>
        <v>5996</v>
      </c>
    </row>
    <row r="33" spans="1:17" x14ac:dyDescent="0.2">
      <c r="A33" t="s">
        <v>50</v>
      </c>
      <c r="K33">
        <v>38727</v>
      </c>
      <c r="N33" s="6"/>
      <c r="Q33">
        <v>38935</v>
      </c>
    </row>
    <row r="34" spans="1:17" x14ac:dyDescent="0.2">
      <c r="A34" t="s">
        <v>51</v>
      </c>
      <c r="K34">
        <v>3954</v>
      </c>
      <c r="Q34">
        <v>2509</v>
      </c>
    </row>
    <row r="35" spans="1:17" x14ac:dyDescent="0.2">
      <c r="A35" t="s">
        <v>52</v>
      </c>
      <c r="K35">
        <v>4653</v>
      </c>
      <c r="Q35">
        <v>3273</v>
      </c>
    </row>
    <row r="36" spans="1:17" x14ac:dyDescent="0.2">
      <c r="A36" t="s">
        <v>53</v>
      </c>
      <c r="K36">
        <v>1459</v>
      </c>
      <c r="N36" s="2"/>
      <c r="Q36">
        <v>1488</v>
      </c>
    </row>
    <row r="37" spans="1:17" x14ac:dyDescent="0.2">
      <c r="A37" t="s">
        <v>54</v>
      </c>
      <c r="K37">
        <f>10816+403</f>
        <v>11219</v>
      </c>
      <c r="N37" s="4"/>
      <c r="Q37">
        <f>11026+537</f>
        <v>11563</v>
      </c>
    </row>
    <row r="38" spans="1:17" x14ac:dyDescent="0.2">
      <c r="A38" t="s">
        <v>55</v>
      </c>
      <c r="K38">
        <v>3713</v>
      </c>
      <c r="Q38">
        <v>3273</v>
      </c>
    </row>
    <row r="39" spans="1:17" x14ac:dyDescent="0.2">
      <c r="A39" t="s">
        <v>61</v>
      </c>
      <c r="K39">
        <f>SUM(K30:K38)</f>
        <v>84016</v>
      </c>
      <c r="Q39">
        <f>SUM(Q30:Q38)</f>
        <v>82166</v>
      </c>
    </row>
    <row r="41" spans="1:17" x14ac:dyDescent="0.2">
      <c r="A41" t="s">
        <v>6</v>
      </c>
      <c r="K41">
        <v>9727</v>
      </c>
      <c r="Q41">
        <v>9676</v>
      </c>
    </row>
    <row r="42" spans="1:17" x14ac:dyDescent="0.2">
      <c r="A42" t="s">
        <v>56</v>
      </c>
      <c r="K42">
        <v>133</v>
      </c>
      <c r="Q42">
        <v>139</v>
      </c>
    </row>
    <row r="43" spans="1:17" x14ac:dyDescent="0.2">
      <c r="A43" t="s">
        <v>57</v>
      </c>
      <c r="K43">
        <v>41727</v>
      </c>
      <c r="Q43">
        <v>41935</v>
      </c>
    </row>
    <row r="44" spans="1:17" x14ac:dyDescent="0.2">
      <c r="A44" t="s">
        <v>58</v>
      </c>
      <c r="K44">
        <v>8853</v>
      </c>
      <c r="Q44">
        <v>6392</v>
      </c>
    </row>
    <row r="45" spans="1:17" x14ac:dyDescent="0.2">
      <c r="A45" t="s">
        <v>59</v>
      </c>
      <c r="K45">
        <v>2954</v>
      </c>
      <c r="Q45">
        <v>2973</v>
      </c>
    </row>
    <row r="46" spans="1:17" x14ac:dyDescent="0.2">
      <c r="A46" t="s">
        <v>60</v>
      </c>
      <c r="K46">
        <f>SUM(K41:K45)</f>
        <v>63394</v>
      </c>
      <c r="Q46">
        <f>SUM(Q41:Q45)</f>
        <v>61115</v>
      </c>
    </row>
    <row r="48" spans="1:17" x14ac:dyDescent="0.2">
      <c r="A48" t="s">
        <v>62</v>
      </c>
      <c r="K48">
        <f>+K39-K46</f>
        <v>20622</v>
      </c>
      <c r="Q48">
        <f>+Q39-Q46</f>
        <v>21051</v>
      </c>
    </row>
    <row r="49" spans="1:17" x14ac:dyDescent="0.2">
      <c r="A49" t="s">
        <v>63</v>
      </c>
      <c r="K49">
        <f>+K46+K48</f>
        <v>84016</v>
      </c>
      <c r="Q49">
        <f>+Q46+Q48</f>
        <v>82166</v>
      </c>
    </row>
    <row r="51" spans="1:17" x14ac:dyDescent="0.2">
      <c r="A51" t="s">
        <v>64</v>
      </c>
      <c r="K51" s="4">
        <f>+K16/K39</f>
        <v>1.34260140925538E-2</v>
      </c>
      <c r="Q51" s="4">
        <f>+Q16/Q39</f>
        <v>5.1675875666334005E-2</v>
      </c>
    </row>
    <row r="52" spans="1:17" x14ac:dyDescent="0.2">
      <c r="A52" t="s">
        <v>65</v>
      </c>
      <c r="K52" s="4">
        <f>+K16/K48</f>
        <v>5.4698865289496655E-2</v>
      </c>
      <c r="Q52" s="4">
        <f>+Q16/Q48</f>
        <v>0.20170063179896441</v>
      </c>
    </row>
    <row r="54" spans="1:17" x14ac:dyDescent="0.2">
      <c r="A54" t="s">
        <v>66</v>
      </c>
    </row>
    <row r="55" spans="1:17" x14ac:dyDescent="0.2">
      <c r="A55" t="s">
        <v>67</v>
      </c>
    </row>
    <row r="56" spans="1:17" x14ac:dyDescent="0.2">
      <c r="A56" t="s">
        <v>68</v>
      </c>
    </row>
    <row r="57" spans="1:17" x14ac:dyDescent="0.2">
      <c r="A57" t="s">
        <v>69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CBFEB144F63F4E9EB43CF067A3FDD2" ma:contentTypeVersion="9" ma:contentTypeDescription="Criar um novo documento." ma:contentTypeScope="" ma:versionID="f59182e7d3e0cf5298e8ad942a121699">
  <xsd:schema xmlns:xsd="http://www.w3.org/2001/XMLSchema" xmlns:xs="http://www.w3.org/2001/XMLSchema" xmlns:p="http://schemas.microsoft.com/office/2006/metadata/properties" xmlns:ns3="de0fd296-9832-4e10-a7ad-2bcee574d3b0" xmlns:ns4="02570eab-4ecf-4bb5-b806-a666b23f79b6" targetNamespace="http://schemas.microsoft.com/office/2006/metadata/properties" ma:root="true" ma:fieldsID="f61c57c9eb7d1a1f1952f23e1a76f510" ns3:_="" ns4:_="">
    <xsd:import namespace="de0fd296-9832-4e10-a7ad-2bcee574d3b0"/>
    <xsd:import namespace="02570eab-4ecf-4bb5-b806-a666b23f7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fd296-9832-4e10-a7ad-2bcee574d3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570eab-4ecf-4bb5-b806-a666b23f7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e0fd296-9832-4e10-a7ad-2bcee574d3b0" xsi:nil="true"/>
  </documentManagement>
</p:properties>
</file>

<file path=customXml/itemProps1.xml><?xml version="1.0" encoding="utf-8"?>
<ds:datastoreItem xmlns:ds="http://schemas.openxmlformats.org/officeDocument/2006/customXml" ds:itemID="{49B53EB0-24E9-4FE6-84FD-65CBC44A7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0fd296-9832-4e10-a7ad-2bcee574d3b0"/>
    <ds:schemaRef ds:uri="02570eab-4ecf-4bb5-b806-a666b23f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1F3D9-0675-4369-93B7-3D3C2C799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3C5C91-6D09-4CFD-925C-8827B1AAD26E}">
  <ds:schemaRefs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02570eab-4ecf-4bb5-b806-a666b23f79b6"/>
    <ds:schemaRef ds:uri="de0fd296-9832-4e10-a7ad-2bcee574d3b0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2024-09-18T11:54:03Z</dcterms:created>
  <dcterms:modified xsi:type="dcterms:W3CDTF">2025-04-01T12:55:09Z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0x01010078CBFEB144F63F4E9EB43CF067A3FDD2</vt:lpwstr>
  </property>
</Properties>
</file>