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1321" documentId="8_{A583AC97-2852-4776-9D92-15B3FBF2B217}" xr6:coauthVersionLast="47" xr6:coauthVersionMax="47" xr10:uidLastSave="{824CEEC4-FEAF-41D6-B1B1-097D8EE74331}"/>
  <bookViews>
    <workbookView xWindow="30465" yWindow="2895" windowWidth="21600" windowHeight="11295" xr2:uid="{44B9DB23-4C81-4BEE-9B4B-6BA606541E5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/>
  <c r="J21" i="2"/>
  <c r="I21" i="2"/>
  <c r="H21" i="2"/>
  <c r="G21" i="2"/>
  <c r="F21" i="2"/>
  <c r="E21" i="2"/>
  <c r="D21" i="2"/>
  <c r="Y21" i="2"/>
  <c r="X21" i="2"/>
  <c r="W21" i="2"/>
  <c r="V21" i="2"/>
  <c r="U21" i="2"/>
  <c r="T21" i="2"/>
  <c r="S21" i="2"/>
  <c r="R21" i="2"/>
  <c r="Q21" i="2"/>
  <c r="P21" i="2"/>
  <c r="Z21" i="2"/>
  <c r="T5" i="2"/>
  <c r="U5" i="2" s="1"/>
  <c r="V5" i="2" s="1"/>
  <c r="W5" i="2" s="1"/>
  <c r="X5" i="2" s="1"/>
  <c r="Y5" i="2" s="1"/>
  <c r="Z5" i="2" s="1"/>
  <c r="S48" i="2"/>
  <c r="S49" i="2" s="1"/>
  <c r="S38" i="2"/>
  <c r="S26" i="2"/>
  <c r="L5" i="1"/>
  <c r="E14" i="2"/>
  <c r="P14" i="2" s="1"/>
  <c r="E9" i="2"/>
  <c r="P9" i="2" s="1"/>
  <c r="E8" i="2"/>
  <c r="P8" i="2" s="1"/>
  <c r="E5" i="2"/>
  <c r="P5" i="2" s="1"/>
  <c r="E4" i="2"/>
  <c r="P4" i="2" s="1"/>
  <c r="G14" i="2"/>
  <c r="Q14" i="2" s="1"/>
  <c r="G12" i="2"/>
  <c r="G8" i="2"/>
  <c r="G10" i="2" s="1"/>
  <c r="G5" i="2"/>
  <c r="Q5" i="2" s="1"/>
  <c r="G4" i="2"/>
  <c r="Q4" i="2" s="1"/>
  <c r="G3" i="2"/>
  <c r="I14" i="2"/>
  <c r="R14" i="2" s="1"/>
  <c r="I12" i="2"/>
  <c r="I9" i="2"/>
  <c r="R9" i="2" s="1"/>
  <c r="I8" i="2"/>
  <c r="R8" i="2" s="1"/>
  <c r="I5" i="2"/>
  <c r="I4" i="2"/>
  <c r="R4" i="2" s="1"/>
  <c r="K14" i="2"/>
  <c r="S14" i="2" s="1"/>
  <c r="K12" i="2"/>
  <c r="K9" i="2"/>
  <c r="S9" i="2" s="1"/>
  <c r="K8" i="2"/>
  <c r="K5" i="2"/>
  <c r="S5" i="2" s="1"/>
  <c r="K4" i="2"/>
  <c r="D12" i="2"/>
  <c r="E12" i="2" s="1"/>
  <c r="F12" i="2"/>
  <c r="D10" i="2"/>
  <c r="D6" i="2"/>
  <c r="D3" i="2"/>
  <c r="F6" i="2"/>
  <c r="F7" i="2" s="1"/>
  <c r="H12" i="2"/>
  <c r="J6" i="2"/>
  <c r="H6" i="2"/>
  <c r="H3" i="2"/>
  <c r="I3" i="2" s="1"/>
  <c r="J12" i="2"/>
  <c r="J3" i="2"/>
  <c r="K3" i="2" s="1"/>
  <c r="Q9" i="2"/>
  <c r="H10" i="2"/>
  <c r="F10" i="2"/>
  <c r="J10" i="2"/>
  <c r="L6" i="1"/>
  <c r="S59" i="2"/>
  <c r="R58" i="2"/>
  <c r="R59" i="2" s="1"/>
  <c r="R2" i="2"/>
  <c r="S2" i="2" s="1"/>
  <c r="T2" i="2" s="1"/>
  <c r="U2" i="2" s="1"/>
  <c r="V2" i="2" s="1"/>
  <c r="W2" i="2" s="1"/>
  <c r="X2" i="2" s="1"/>
  <c r="Y2" i="2" s="1"/>
  <c r="Z2" i="2" s="1"/>
  <c r="L4" i="1"/>
  <c r="S25" i="2" l="1"/>
  <c r="S39" i="2"/>
  <c r="S50" i="2" s="1"/>
  <c r="L7" i="1"/>
  <c r="D7" i="2"/>
  <c r="D11" i="2" s="1"/>
  <c r="Q6" i="2"/>
  <c r="P6" i="2"/>
  <c r="I6" i="2"/>
  <c r="I7" i="2" s="1"/>
  <c r="P10" i="2"/>
  <c r="R5" i="2"/>
  <c r="R6" i="2" s="1"/>
  <c r="K6" i="2"/>
  <c r="K7" i="2" s="1"/>
  <c r="S4" i="2"/>
  <c r="P12" i="2"/>
  <c r="G6" i="2"/>
  <c r="G7" i="2" s="1"/>
  <c r="F11" i="2"/>
  <c r="E6" i="2"/>
  <c r="E10" i="2"/>
  <c r="Q8" i="2"/>
  <c r="Q10" i="2" s="1"/>
  <c r="E3" i="2"/>
  <c r="K10" i="2"/>
  <c r="I10" i="2"/>
  <c r="Q12" i="2"/>
  <c r="S8" i="2"/>
  <c r="S10" i="2" s="1"/>
  <c r="T10" i="2" s="1"/>
  <c r="U10" i="2" s="1"/>
  <c r="V10" i="2" s="1"/>
  <c r="W10" i="2" s="1"/>
  <c r="X10" i="2" s="1"/>
  <c r="Y10" i="2" s="1"/>
  <c r="Z10" i="2" s="1"/>
  <c r="H7" i="2"/>
  <c r="H11" i="2" s="1"/>
  <c r="R10" i="2"/>
  <c r="S12" i="2"/>
  <c r="R12" i="2"/>
  <c r="R3" i="2"/>
  <c r="Q3" i="2"/>
  <c r="H19" i="2"/>
  <c r="J19" i="2"/>
  <c r="I19" i="2"/>
  <c r="J7" i="2"/>
  <c r="S3" i="2"/>
  <c r="T3" i="2" s="1"/>
  <c r="K19" i="2"/>
  <c r="G19" i="2"/>
  <c r="F20" i="2"/>
  <c r="H13" i="2" l="1"/>
  <c r="H22" i="2"/>
  <c r="S6" i="2"/>
  <c r="T4" i="2"/>
  <c r="D13" i="2"/>
  <c r="D22" i="2"/>
  <c r="F13" i="2"/>
  <c r="F23" i="2" s="1"/>
  <c r="F22" i="2"/>
  <c r="U3" i="2"/>
  <c r="T19" i="2"/>
  <c r="S51" i="2"/>
  <c r="E7" i="2"/>
  <c r="E11" i="2" s="1"/>
  <c r="E19" i="2"/>
  <c r="P3" i="2"/>
  <c r="P7" i="2" s="1"/>
  <c r="P11" i="2" s="1"/>
  <c r="Q7" i="2"/>
  <c r="F19" i="2"/>
  <c r="G11" i="2"/>
  <c r="G20" i="2"/>
  <c r="I20" i="2"/>
  <c r="I11" i="2"/>
  <c r="K20" i="2"/>
  <c r="K11" i="2"/>
  <c r="H23" i="2"/>
  <c r="H15" i="2"/>
  <c r="D20" i="2"/>
  <c r="D15" i="2"/>
  <c r="H20" i="2"/>
  <c r="R19" i="2"/>
  <c r="R7" i="2"/>
  <c r="R11" i="2" s="1"/>
  <c r="J11" i="2"/>
  <c r="J20" i="2"/>
  <c r="S7" i="2"/>
  <c r="S11" i="2" s="1"/>
  <c r="S19" i="2"/>
  <c r="J13" i="2" l="1"/>
  <c r="J23" i="2" s="1"/>
  <c r="J22" i="2"/>
  <c r="R13" i="2"/>
  <c r="R15" i="2" s="1"/>
  <c r="R16" i="2" s="1"/>
  <c r="R22" i="2"/>
  <c r="I13" i="2"/>
  <c r="I15" i="2" s="1"/>
  <c r="I22" i="2"/>
  <c r="K13" i="2"/>
  <c r="K15" i="2" s="1"/>
  <c r="K22" i="2"/>
  <c r="F15" i="2"/>
  <c r="P13" i="2"/>
  <c r="P15" i="2" s="1"/>
  <c r="P22" i="2"/>
  <c r="U4" i="2"/>
  <c r="T6" i="2"/>
  <c r="T7" i="2" s="1"/>
  <c r="V3" i="2"/>
  <c r="U19" i="2"/>
  <c r="G13" i="2"/>
  <c r="G15" i="2" s="1"/>
  <c r="G22" i="2"/>
  <c r="S13" i="2"/>
  <c r="S15" i="2" s="1"/>
  <c r="S22" i="2"/>
  <c r="E13" i="2"/>
  <c r="E22" i="2"/>
  <c r="I23" i="2"/>
  <c r="E20" i="2"/>
  <c r="Q19" i="2"/>
  <c r="E15" i="2"/>
  <c r="E23" i="2"/>
  <c r="P20" i="2"/>
  <c r="P23" i="2"/>
  <c r="Q20" i="2"/>
  <c r="Q11" i="2"/>
  <c r="G23" i="2"/>
  <c r="J15" i="2"/>
  <c r="R20" i="2"/>
  <c r="D23" i="2"/>
  <c r="R23" i="2"/>
  <c r="S20" i="2"/>
  <c r="T20" i="2" l="1"/>
  <c r="T11" i="2"/>
  <c r="V4" i="2"/>
  <c r="U6" i="2"/>
  <c r="U7" i="2" s="1"/>
  <c r="K23" i="2"/>
  <c r="Q13" i="2"/>
  <c r="Q22" i="2"/>
  <c r="W3" i="2"/>
  <c r="V19" i="2"/>
  <c r="S52" i="2"/>
  <c r="S53" i="2"/>
  <c r="S16" i="2"/>
  <c r="L9" i="1"/>
  <c r="Q15" i="2"/>
  <c r="Q23" i="2"/>
  <c r="S23" i="2"/>
  <c r="X3" i="2" l="1"/>
  <c r="W19" i="2"/>
  <c r="U20" i="2"/>
  <c r="U11" i="2"/>
  <c r="W4" i="2"/>
  <c r="V6" i="2"/>
  <c r="V7" i="2" s="1"/>
  <c r="T13" i="2"/>
  <c r="T22" i="2"/>
  <c r="T14" i="2" l="1"/>
  <c r="V20" i="2"/>
  <c r="V11" i="2"/>
  <c r="X4" i="2"/>
  <c r="W6" i="2"/>
  <c r="W7" i="2" s="1"/>
  <c r="U22" i="2"/>
  <c r="U13" i="2"/>
  <c r="Y3" i="2"/>
  <c r="X19" i="2"/>
  <c r="U14" i="2" l="1"/>
  <c r="U23" i="2" s="1"/>
  <c r="Y4" i="2"/>
  <c r="X6" i="2"/>
  <c r="X7" i="2" s="1"/>
  <c r="V13" i="2"/>
  <c r="V22" i="2"/>
  <c r="U15" i="2"/>
  <c r="T23" i="2"/>
  <c r="T15" i="2"/>
  <c r="Z3" i="2"/>
  <c r="Z19" i="2" s="1"/>
  <c r="Y19" i="2"/>
  <c r="W20" i="2"/>
  <c r="W11" i="2"/>
  <c r="V15" i="2" l="1"/>
  <c r="X20" i="2"/>
  <c r="X11" i="2"/>
  <c r="Z4" i="2"/>
  <c r="Z6" i="2" s="1"/>
  <c r="Z7" i="2" s="1"/>
  <c r="Y6" i="2"/>
  <c r="Y7" i="2" s="1"/>
  <c r="W13" i="2"/>
  <c r="W22" i="2"/>
  <c r="V14" i="2"/>
  <c r="V23" i="2" s="1"/>
  <c r="Y20" i="2" l="1"/>
  <c r="Y11" i="2"/>
  <c r="W14" i="2"/>
  <c r="W23" i="2" s="1"/>
  <c r="Z20" i="2"/>
  <c r="Z11" i="2"/>
  <c r="X22" i="2"/>
  <c r="X13" i="2"/>
  <c r="X14" i="2" l="1"/>
  <c r="Z22" i="2"/>
  <c r="Z13" i="2"/>
  <c r="W15" i="2"/>
  <c r="Y13" i="2"/>
  <c r="Y22" i="2"/>
  <c r="Y15" i="2" l="1"/>
  <c r="Z14" i="2"/>
  <c r="Z23" i="2" s="1"/>
  <c r="Z15" i="2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X23" i="2"/>
  <c r="X15" i="2"/>
  <c r="Y14" i="2"/>
  <c r="Y23" i="2" s="1"/>
  <c r="AC19" i="2" l="1"/>
  <c r="AC20" i="2" s="1"/>
</calcChain>
</file>

<file path=xl/sharedStrings.xml><?xml version="1.0" encoding="utf-8"?>
<sst xmlns="http://schemas.openxmlformats.org/spreadsheetml/2006/main" count="141" uniqueCount="108">
  <si>
    <t>Price</t>
  </si>
  <si>
    <t>Shares</t>
  </si>
  <si>
    <t>Cash</t>
  </si>
  <si>
    <t>Debt</t>
  </si>
  <si>
    <t>Peers</t>
  </si>
  <si>
    <t>1&amp;1 AG</t>
  </si>
  <si>
    <t>1U1</t>
  </si>
  <si>
    <t>4iG Nyilvánisan</t>
  </si>
  <si>
    <t>Abalance Corp.</t>
  </si>
  <si>
    <t>ACCESS CO.</t>
  </si>
  <si>
    <t>ABEJA Inc.</t>
  </si>
  <si>
    <t>Accrete Inc.</t>
  </si>
  <si>
    <t>ACMOS inc.</t>
  </si>
  <si>
    <t>Ad-Sol Nissin Corp.</t>
  </si>
  <si>
    <t>Advanced Media Inc.</t>
  </si>
  <si>
    <t>Aeria</t>
  </si>
  <si>
    <t>GE</t>
  </si>
  <si>
    <t>4IG</t>
  </si>
  <si>
    <t>HU</t>
  </si>
  <si>
    <t>JP</t>
  </si>
  <si>
    <t>Airtel Africa PLC</t>
  </si>
  <si>
    <t>Astrocast SA</t>
  </si>
  <si>
    <t xml:space="preserve">Bahnof AB </t>
  </si>
  <si>
    <t>SW</t>
  </si>
  <si>
    <t>BAHN</t>
  </si>
  <si>
    <t>ASTRO</t>
  </si>
  <si>
    <t>AAF</t>
  </si>
  <si>
    <t>UK</t>
  </si>
  <si>
    <t>SE</t>
  </si>
  <si>
    <t>BIT: UD</t>
  </si>
  <si>
    <t>Subsidiaries</t>
  </si>
  <si>
    <t>Domitilla S.r.l</t>
  </si>
  <si>
    <t>Verisoft S.r.l</t>
  </si>
  <si>
    <t>Unisabina S.r.l</t>
  </si>
  <si>
    <t>Other</t>
  </si>
  <si>
    <t>Revenue</t>
  </si>
  <si>
    <t>Services</t>
  </si>
  <si>
    <t>COGS</t>
  </si>
  <si>
    <t>OPEX</t>
  </si>
  <si>
    <t>Gross Profit</t>
  </si>
  <si>
    <t>Operating Profit</t>
  </si>
  <si>
    <t>Interest Income</t>
  </si>
  <si>
    <t>Tax</t>
  </si>
  <si>
    <t>Pretax</t>
  </si>
  <si>
    <t>NI</t>
  </si>
  <si>
    <t>EPS</t>
  </si>
  <si>
    <t xml:space="preserve"> </t>
  </si>
  <si>
    <t>CFFO</t>
  </si>
  <si>
    <t>CFFI</t>
  </si>
  <si>
    <t>CFFF</t>
  </si>
  <si>
    <t>CapeX</t>
  </si>
  <si>
    <t>FCF</t>
  </si>
  <si>
    <t>Revenue Growth</t>
  </si>
  <si>
    <t>Gross Margin</t>
  </si>
  <si>
    <t>NC</t>
  </si>
  <si>
    <t>Assets</t>
  </si>
  <si>
    <t>Liabilities</t>
  </si>
  <si>
    <t>S/E</t>
  </si>
  <si>
    <t>L+S/E</t>
  </si>
  <si>
    <t>ROA</t>
  </si>
  <si>
    <t>ROE</t>
  </si>
  <si>
    <t>Intangibles</t>
  </si>
  <si>
    <t>RUA</t>
  </si>
  <si>
    <t>PPE</t>
  </si>
  <si>
    <t>Participations</t>
  </si>
  <si>
    <t>Derivatives</t>
  </si>
  <si>
    <t>ONCA</t>
  </si>
  <si>
    <t>Inventory</t>
  </si>
  <si>
    <t xml:space="preserve">Contractual </t>
  </si>
  <si>
    <t>Tax Receivables</t>
  </si>
  <si>
    <t>Tax Credits</t>
  </si>
  <si>
    <t>OCA</t>
  </si>
  <si>
    <t>H24</t>
  </si>
  <si>
    <t>Tessellis SpA</t>
  </si>
  <si>
    <t>Intred SpA</t>
  </si>
  <si>
    <t>Convergenze SpA SB</t>
  </si>
  <si>
    <t>ITD</t>
  </si>
  <si>
    <t>TSL</t>
  </si>
  <si>
    <t>CVG</t>
  </si>
  <si>
    <t>IT</t>
  </si>
  <si>
    <t>1H22</t>
  </si>
  <si>
    <t>2H22</t>
  </si>
  <si>
    <t>1H23</t>
  </si>
  <si>
    <t>2H23</t>
  </si>
  <si>
    <t>1H24</t>
  </si>
  <si>
    <t>2H24</t>
  </si>
  <si>
    <t>Price EUR</t>
  </si>
  <si>
    <t>MC EUR</t>
  </si>
  <si>
    <t>Cash EUR</t>
  </si>
  <si>
    <t>Debt EUR</t>
  </si>
  <si>
    <t>EV EUR</t>
  </si>
  <si>
    <t>1H21</t>
  </si>
  <si>
    <t>2H21</t>
  </si>
  <si>
    <t>SGA</t>
  </si>
  <si>
    <t>Tax Rate</t>
  </si>
  <si>
    <t>Materials</t>
  </si>
  <si>
    <t>x</t>
  </si>
  <si>
    <t>EBITDA Margin</t>
  </si>
  <si>
    <t>NPV</t>
  </si>
  <si>
    <t>EV/E</t>
  </si>
  <si>
    <t>DT</t>
  </si>
  <si>
    <t>Employee benefits</t>
  </si>
  <si>
    <t>ONCL</t>
  </si>
  <si>
    <t>Trade Payables</t>
  </si>
  <si>
    <t>Tax Debts</t>
  </si>
  <si>
    <t>Operating Margin</t>
  </si>
  <si>
    <t>Share</t>
  </si>
  <si>
    <t>FCF/ S/E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</si>
</sst>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4" fontId="2" fillId="0" borderId="0" xfId="0" applyNumberFormat="1" applyFont="1"/>
    <xf numFmtId="9" fontId="2" fillId="0" borderId="0" xfId="0" applyNumberFormat="1" applyFont="1"/>
    <xf numFmtId="8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489-FC0C-4C97-BB31-C866996F90F9}">
  <dimension ref="B2:S19"/>
  <sheetViews>
    <sheetView tabSelected="1" workbookViewId="0">
      <selection activeCell="A14" sqref="A14"/>
    </sheetView>
  </sheetViews>
  <sheetFormatPr defaultRowHeight="15" x14ac:dyDescent="0.25"/>
  <cols>
    <col min="2" max="2" width="12" bestFit="1" customWidth="1"/>
    <col min="12" max="12" width="10.5703125" bestFit="1" customWidth="1"/>
    <col min="16" max="16" width="19.42578125" bestFit="1" customWidth="1"/>
  </cols>
  <sheetData>
    <row r="2" spans="2:19" x14ac:dyDescent="0.25">
      <c r="B2" t="s">
        <v>29</v>
      </c>
      <c r="K2" t="s">
        <v>86</v>
      </c>
      <c r="L2" s="2">
        <v>3.12</v>
      </c>
      <c r="P2" s="1" t="s">
        <v>4</v>
      </c>
      <c r="S2" t="s">
        <v>0</v>
      </c>
    </row>
    <row r="3" spans="2:19" x14ac:dyDescent="0.25">
      <c r="K3" t="s">
        <v>1</v>
      </c>
      <c r="L3" s="2">
        <v>30.885999999999999</v>
      </c>
      <c r="M3" t="s">
        <v>72</v>
      </c>
      <c r="P3" t="s">
        <v>73</v>
      </c>
      <c r="Q3" s="3" t="s">
        <v>77</v>
      </c>
      <c r="R3" t="s">
        <v>79</v>
      </c>
      <c r="S3">
        <v>0.12</v>
      </c>
    </row>
    <row r="4" spans="2:19" x14ac:dyDescent="0.25">
      <c r="B4" t="s">
        <v>30</v>
      </c>
      <c r="C4" t="s">
        <v>31</v>
      </c>
      <c r="K4" t="s">
        <v>87</v>
      </c>
      <c r="L4" s="2">
        <f>+L3*L2</f>
        <v>96.364320000000006</v>
      </c>
      <c r="P4" t="s">
        <v>74</v>
      </c>
      <c r="Q4" s="3" t="s">
        <v>76</v>
      </c>
      <c r="R4" t="s">
        <v>79</v>
      </c>
      <c r="S4">
        <v>9.92</v>
      </c>
    </row>
    <row r="5" spans="2:19" x14ac:dyDescent="0.25">
      <c r="C5" t="s">
        <v>32</v>
      </c>
      <c r="K5" t="s">
        <v>88</v>
      </c>
      <c r="L5" s="2">
        <f>4.85+1.487+6.659</f>
        <v>12.995999999999999</v>
      </c>
      <c r="M5" t="s">
        <v>72</v>
      </c>
      <c r="P5" t="s">
        <v>75</v>
      </c>
      <c r="Q5" s="3" t="s">
        <v>78</v>
      </c>
      <c r="R5" t="s">
        <v>79</v>
      </c>
      <c r="S5">
        <v>1.84</v>
      </c>
    </row>
    <row r="6" spans="2:19" x14ac:dyDescent="0.25">
      <c r="C6" t="s">
        <v>33</v>
      </c>
      <c r="K6" t="s">
        <v>89</v>
      </c>
      <c r="L6" s="2">
        <f>11.270466+5.345176+37.59262</f>
        <v>54.208261999999998</v>
      </c>
      <c r="M6" t="s">
        <v>72</v>
      </c>
      <c r="P6" t="s">
        <v>5</v>
      </c>
      <c r="Q6" s="3" t="s">
        <v>6</v>
      </c>
      <c r="R6" t="s">
        <v>16</v>
      </c>
      <c r="S6">
        <v>20.8</v>
      </c>
    </row>
    <row r="7" spans="2:19" x14ac:dyDescent="0.25">
      <c r="K7" t="s">
        <v>90</v>
      </c>
      <c r="L7" s="2">
        <f>+L4-L5+L6</f>
        <v>137.576582</v>
      </c>
      <c r="P7" t="s">
        <v>7</v>
      </c>
      <c r="Q7" s="3" t="s">
        <v>17</v>
      </c>
      <c r="R7" t="s">
        <v>18</v>
      </c>
      <c r="S7">
        <v>1936</v>
      </c>
    </row>
    <row r="8" spans="2:19" x14ac:dyDescent="0.25">
      <c r="P8" t="s">
        <v>8</v>
      </c>
      <c r="Q8" s="3">
        <v>3856</v>
      </c>
      <c r="R8" t="s">
        <v>19</v>
      </c>
      <c r="S8">
        <v>1220</v>
      </c>
    </row>
    <row r="9" spans="2:19" x14ac:dyDescent="0.25">
      <c r="D9" t="s">
        <v>46</v>
      </c>
      <c r="K9" t="s">
        <v>99</v>
      </c>
      <c r="L9" s="12">
        <f>+L7/model!S15</f>
        <v>7.5285423005362793</v>
      </c>
      <c r="P9" t="s">
        <v>10</v>
      </c>
      <c r="Q9" s="3">
        <v>5574</v>
      </c>
      <c r="R9" t="s">
        <v>19</v>
      </c>
      <c r="S9">
        <v>3320</v>
      </c>
    </row>
    <row r="10" spans="2:19" x14ac:dyDescent="0.25">
      <c r="B10" t="s">
        <v>46</v>
      </c>
      <c r="D10" t="s">
        <v>46</v>
      </c>
      <c r="P10" t="s">
        <v>9</v>
      </c>
      <c r="Q10" s="3">
        <v>4813</v>
      </c>
      <c r="R10" t="s">
        <v>19</v>
      </c>
      <c r="S10">
        <v>869</v>
      </c>
    </row>
    <row r="11" spans="2:19" x14ac:dyDescent="0.25">
      <c r="P11" t="s">
        <v>11</v>
      </c>
      <c r="Q11" s="3">
        <v>4395</v>
      </c>
      <c r="R11" t="s">
        <v>19</v>
      </c>
      <c r="S11">
        <v>1378</v>
      </c>
    </row>
    <row r="12" spans="2:19" x14ac:dyDescent="0.25">
      <c r="P12" t="s">
        <v>12</v>
      </c>
      <c r="Q12" s="3">
        <v>6888</v>
      </c>
      <c r="R12" t="s">
        <v>19</v>
      </c>
      <c r="S12">
        <v>559</v>
      </c>
    </row>
    <row r="13" spans="2:19" x14ac:dyDescent="0.25">
      <c r="P13" t="s">
        <v>13</v>
      </c>
      <c r="Q13" s="3">
        <v>3837</v>
      </c>
      <c r="R13" t="s">
        <v>19</v>
      </c>
      <c r="S13">
        <v>1406</v>
      </c>
    </row>
    <row r="14" spans="2:19" x14ac:dyDescent="0.25">
      <c r="P14" t="s">
        <v>14</v>
      </c>
      <c r="Q14" s="3">
        <v>3773</v>
      </c>
      <c r="R14" t="s">
        <v>19</v>
      </c>
      <c r="S14">
        <v>1017</v>
      </c>
    </row>
    <row r="15" spans="2:19" x14ac:dyDescent="0.25">
      <c r="P15" t="s">
        <v>15</v>
      </c>
      <c r="Q15" s="3">
        <v>3758</v>
      </c>
      <c r="R15" t="s">
        <v>19</v>
      </c>
      <c r="S15">
        <v>354</v>
      </c>
    </row>
    <row r="16" spans="2:19" x14ac:dyDescent="0.25">
      <c r="Q16" s="3"/>
    </row>
    <row r="17" spans="16:19" x14ac:dyDescent="0.25">
      <c r="P17" t="s">
        <v>20</v>
      </c>
      <c r="Q17" s="3" t="s">
        <v>26</v>
      </c>
      <c r="R17" t="s">
        <v>27</v>
      </c>
      <c r="S17">
        <v>2.1800000000000002</v>
      </c>
    </row>
    <row r="18" spans="16:19" x14ac:dyDescent="0.25">
      <c r="P18" t="s">
        <v>21</v>
      </c>
      <c r="Q18" s="3" t="s">
        <v>25</v>
      </c>
      <c r="R18" t="s">
        <v>23</v>
      </c>
      <c r="S18">
        <v>0.24</v>
      </c>
    </row>
    <row r="19" spans="16:19" x14ac:dyDescent="0.25">
      <c r="P19" t="s">
        <v>22</v>
      </c>
      <c r="Q19" s="3" t="s">
        <v>24</v>
      </c>
      <c r="R19" t="s">
        <v>28</v>
      </c>
      <c r="S19">
        <v>5.64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64D8-243B-4C1F-9FE8-155042003B29}">
  <dimension ref="A1:AU60"/>
  <sheetViews>
    <sheetView topLeftCell="B1" workbookViewId="0">
      <pane xSplit="2" ySplit="2" topLeftCell="E42" activePane="bottomRight" state="frozen"/>
      <selection activeCell="B1" sqref="B1"/>
      <selection pane="topRight" activeCell="D1" sqref="D1"/>
      <selection pane="bottomLeft" activeCell="B3" sqref="B3"/>
      <selection pane="bottomRight" activeCell="L50" sqref="L50"/>
    </sheetView>
  </sheetViews>
  <sheetFormatPr defaultRowHeight="14.25" x14ac:dyDescent="0.2"/>
  <cols>
    <col min="1" max="2" width="9.140625" style="4"/>
    <col min="3" max="3" width="30.5703125" style="4" bestFit="1" customWidth="1"/>
    <col min="4" max="4" width="9" style="4" customWidth="1"/>
    <col min="5" max="5" width="10.140625" style="4" customWidth="1"/>
    <col min="6" max="6" width="10" style="4" customWidth="1"/>
    <col min="7" max="8" width="9.5703125" style="4" customWidth="1"/>
    <col min="9" max="9" width="9.85546875" style="4" customWidth="1"/>
    <col min="10" max="10" width="10.140625" style="4" customWidth="1"/>
    <col min="11" max="15" width="10.7109375" style="4" customWidth="1"/>
    <col min="16" max="16" width="8.85546875" style="4" customWidth="1"/>
    <col min="17" max="18" width="9.140625" style="4"/>
    <col min="19" max="20" width="9.85546875" style="4" bestFit="1" customWidth="1"/>
    <col min="21" max="28" width="9.140625" style="4"/>
    <col min="29" max="29" width="9.42578125" style="4" bestFit="1" customWidth="1"/>
    <col min="30" max="16384" width="9.140625" style="4"/>
  </cols>
  <sheetData>
    <row r="1" spans="1:47" x14ac:dyDescent="0.2">
      <c r="D1" s="4" t="s">
        <v>96</v>
      </c>
      <c r="E1" s="4" t="s">
        <v>96</v>
      </c>
      <c r="F1" s="4" t="s">
        <v>96</v>
      </c>
      <c r="G1" s="4" t="s">
        <v>96</v>
      </c>
      <c r="H1" s="4" t="s">
        <v>96</v>
      </c>
      <c r="I1" s="4" t="s">
        <v>96</v>
      </c>
      <c r="J1" s="4" t="s">
        <v>96</v>
      </c>
      <c r="K1" s="4" t="s">
        <v>96</v>
      </c>
    </row>
    <row r="2" spans="1:47" x14ac:dyDescent="0.2">
      <c r="D2" s="4" t="s">
        <v>91</v>
      </c>
      <c r="E2" s="4" t="s">
        <v>92</v>
      </c>
      <c r="F2" s="4" t="s">
        <v>80</v>
      </c>
      <c r="G2" s="4" t="s">
        <v>81</v>
      </c>
      <c r="H2" s="4" t="s">
        <v>82</v>
      </c>
      <c r="I2" s="4" t="s">
        <v>83</v>
      </c>
      <c r="J2" s="4" t="s">
        <v>84</v>
      </c>
      <c r="K2" s="4" t="s">
        <v>85</v>
      </c>
      <c r="P2" s="4">
        <v>2021</v>
      </c>
      <c r="Q2" s="4">
        <v>2022</v>
      </c>
      <c r="R2" s="4">
        <f>+Q2+1</f>
        <v>2023</v>
      </c>
      <c r="S2" s="4">
        <f t="shared" ref="S2:Z2" si="0">+R2+1</f>
        <v>2024</v>
      </c>
      <c r="T2" s="4">
        <f t="shared" si="0"/>
        <v>2025</v>
      </c>
      <c r="U2" s="4">
        <f t="shared" si="0"/>
        <v>2026</v>
      </c>
      <c r="V2" s="4">
        <f t="shared" si="0"/>
        <v>2027</v>
      </c>
      <c r="W2" s="4">
        <f t="shared" si="0"/>
        <v>2028</v>
      </c>
      <c r="X2" s="4">
        <f t="shared" si="0"/>
        <v>2029</v>
      </c>
      <c r="Y2" s="4">
        <f t="shared" si="0"/>
        <v>2030</v>
      </c>
      <c r="Z2" s="4">
        <f t="shared" si="0"/>
        <v>2031</v>
      </c>
    </row>
    <row r="3" spans="1:47" s="6" customFormat="1" ht="15" x14ac:dyDescent="0.25">
      <c r="A3" s="5"/>
      <c r="B3" s="5"/>
      <c r="C3" s="5" t="s">
        <v>35</v>
      </c>
      <c r="D3" s="6">
        <f>13.67+0.534</f>
        <v>14.204000000000001</v>
      </c>
      <c r="E3" s="6">
        <f>36.797-0.704-D3</f>
        <v>21.888999999999996</v>
      </c>
      <c r="F3" s="6">
        <v>21.591000000000001</v>
      </c>
      <c r="G3" s="6">
        <f>51.155-F3</f>
        <v>29.564</v>
      </c>
      <c r="H3" s="6">
        <f>40.818+0.903</f>
        <v>41.720999999999997</v>
      </c>
      <c r="I3" s="6">
        <f>93.02-H3</f>
        <v>51.298999999999999</v>
      </c>
      <c r="J3" s="6">
        <f>48.219+1.018</f>
        <v>49.237000000000002</v>
      </c>
      <c r="K3" s="6">
        <f>104.328-2.203-J3</f>
        <v>52.887999999999998</v>
      </c>
      <c r="P3" s="6">
        <f>+SUM(D3:E3)</f>
        <v>36.092999999999996</v>
      </c>
      <c r="Q3" s="6">
        <f>+SUM(F3:G3)</f>
        <v>51.155000000000001</v>
      </c>
      <c r="R3" s="6">
        <f>+SUM(H3:I3)</f>
        <v>93.02</v>
      </c>
      <c r="S3" s="6">
        <f>+SUM(J3:K3)</f>
        <v>102.125</v>
      </c>
      <c r="T3" s="6">
        <f>+S3*1.08</f>
        <v>110.295</v>
      </c>
      <c r="U3" s="6">
        <f t="shared" ref="U3:Z3" si="1">+T3*1.08</f>
        <v>119.11860000000001</v>
      </c>
      <c r="V3" s="6">
        <f t="shared" si="1"/>
        <v>128.64808800000003</v>
      </c>
      <c r="W3" s="6">
        <f t="shared" si="1"/>
        <v>138.93993504000005</v>
      </c>
      <c r="X3" s="6">
        <f t="shared" si="1"/>
        <v>150.05512984320006</v>
      </c>
      <c r="Y3" s="6">
        <f t="shared" si="1"/>
        <v>162.05954023065607</v>
      </c>
      <c r="Z3" s="6">
        <f t="shared" si="1"/>
        <v>175.02430344910857</v>
      </c>
    </row>
    <row r="4" spans="1:47" s="7" customFormat="1" ht="15" x14ac:dyDescent="0.25">
      <c r="A4" s="5"/>
      <c r="B4" s="5"/>
      <c r="C4" s="4" t="s">
        <v>95</v>
      </c>
      <c r="D4" s="7">
        <v>3.7559999999999998</v>
      </c>
      <c r="E4" s="7">
        <f>7.612-D4</f>
        <v>3.8560000000000003</v>
      </c>
      <c r="F4" s="7">
        <v>5.2389999999999999</v>
      </c>
      <c r="G4" s="7">
        <f>7.912-F4</f>
        <v>2.673</v>
      </c>
      <c r="H4" s="7">
        <v>4.8019999999999996</v>
      </c>
      <c r="I4" s="7">
        <f>8.846-H4</f>
        <v>4.0440000000000005</v>
      </c>
      <c r="J4" s="7">
        <v>2.5470000000000002</v>
      </c>
      <c r="K4" s="7">
        <f>5.293-J4</f>
        <v>2.746</v>
      </c>
      <c r="P4" s="7">
        <f>+SUM(D4:E4)</f>
        <v>7.6120000000000001</v>
      </c>
      <c r="Q4" s="7">
        <f>+SUM(F4:G4)</f>
        <v>7.9119999999999999</v>
      </c>
      <c r="R4" s="7">
        <f>+SUM(H4:I4)</f>
        <v>8.8460000000000001</v>
      </c>
      <c r="S4" s="7">
        <f>+SUM(J4:K4)</f>
        <v>5.2930000000000001</v>
      </c>
      <c r="T4" s="7">
        <f>+S4*1.08</f>
        <v>5.7164400000000004</v>
      </c>
      <c r="U4" s="7">
        <f t="shared" ref="U4:Z4" si="2">+T4*1.08</f>
        <v>6.1737552000000004</v>
      </c>
      <c r="V4" s="7">
        <f t="shared" si="2"/>
        <v>6.6676556160000011</v>
      </c>
      <c r="W4" s="7">
        <f t="shared" si="2"/>
        <v>7.2010680652800021</v>
      </c>
      <c r="X4" s="7">
        <f t="shared" si="2"/>
        <v>7.7771535105024023</v>
      </c>
      <c r="Y4" s="7">
        <f t="shared" si="2"/>
        <v>8.3993257913425943</v>
      </c>
      <c r="Z4" s="7">
        <f t="shared" si="2"/>
        <v>9.0712718546500017</v>
      </c>
    </row>
    <row r="5" spans="1:47" s="7" customFormat="1" ht="15" x14ac:dyDescent="0.25">
      <c r="A5" s="5"/>
      <c r="B5" s="5"/>
      <c r="C5" s="4" t="s">
        <v>36</v>
      </c>
      <c r="D5" s="7">
        <v>4.2869999999999999</v>
      </c>
      <c r="E5" s="7">
        <f>11.037-D5</f>
        <v>6.7500000000000009</v>
      </c>
      <c r="F5" s="7">
        <v>8.4</v>
      </c>
      <c r="G5" s="7">
        <f>22.206-F5</f>
        <v>13.805999999999999</v>
      </c>
      <c r="H5" s="7">
        <v>22.622</v>
      </c>
      <c r="I5" s="7">
        <f>51.229-H5</f>
        <v>28.606999999999999</v>
      </c>
      <c r="J5" s="7">
        <v>27.271999999999998</v>
      </c>
      <c r="K5" s="7">
        <f>55.952-J5</f>
        <v>28.68</v>
      </c>
      <c r="P5" s="7">
        <f>+SUM(D5:E5)</f>
        <v>11.037000000000001</v>
      </c>
      <c r="Q5" s="7">
        <f>+SUM(F5:G5)</f>
        <v>22.206</v>
      </c>
      <c r="R5" s="7">
        <f>+SUM(H5:I5)</f>
        <v>51.228999999999999</v>
      </c>
      <c r="S5" s="7">
        <f>+SUM(J5:K5)</f>
        <v>55.951999999999998</v>
      </c>
      <c r="T5" s="7">
        <f>+S5*1.07</f>
        <v>59.868639999999999</v>
      </c>
      <c r="U5" s="7">
        <f t="shared" ref="U5:Z5" si="3">+T5*1.07</f>
        <v>64.059444800000009</v>
      </c>
      <c r="V5" s="7">
        <f t="shared" si="3"/>
        <v>68.54360593600002</v>
      </c>
      <c r="W5" s="7">
        <f t="shared" si="3"/>
        <v>73.341658351520024</v>
      </c>
      <c r="X5" s="7">
        <f t="shared" si="3"/>
        <v>78.475574436126436</v>
      </c>
      <c r="Y5" s="7">
        <f t="shared" si="3"/>
        <v>83.968864646655291</v>
      </c>
      <c r="Z5" s="7">
        <f t="shared" si="3"/>
        <v>89.846685171921166</v>
      </c>
    </row>
    <row r="6" spans="1:47" s="7" customFormat="1" x14ac:dyDescent="0.2">
      <c r="A6" s="4"/>
      <c r="B6" s="4"/>
      <c r="C6" s="4" t="s">
        <v>37</v>
      </c>
      <c r="D6" s="7">
        <f t="shared" ref="D6:K6" si="4">+D4+D5</f>
        <v>8.0429999999999993</v>
      </c>
      <c r="E6" s="7">
        <f t="shared" si="4"/>
        <v>10.606000000000002</v>
      </c>
      <c r="F6" s="7">
        <f t="shared" si="4"/>
        <v>13.638999999999999</v>
      </c>
      <c r="G6" s="7">
        <f t="shared" si="4"/>
        <v>16.478999999999999</v>
      </c>
      <c r="H6" s="7">
        <f t="shared" si="4"/>
        <v>27.423999999999999</v>
      </c>
      <c r="I6" s="7">
        <f t="shared" si="4"/>
        <v>32.650999999999996</v>
      </c>
      <c r="J6" s="7">
        <f t="shared" si="4"/>
        <v>29.818999999999999</v>
      </c>
      <c r="K6" s="7">
        <f t="shared" si="4"/>
        <v>31.425999999999998</v>
      </c>
      <c r="P6" s="7">
        <f>+P4+P5</f>
        <v>18.649000000000001</v>
      </c>
      <c r="Q6" s="7">
        <f>+Q4+Q5</f>
        <v>30.117999999999999</v>
      </c>
      <c r="R6" s="7">
        <f>+R4+R5</f>
        <v>60.075000000000003</v>
      </c>
      <c r="S6" s="7">
        <f>+S4+S5</f>
        <v>61.244999999999997</v>
      </c>
      <c r="T6" s="7">
        <f>+T4+T5</f>
        <v>65.585080000000005</v>
      </c>
      <c r="U6" s="7">
        <f t="shared" ref="U6:Z6" si="5">+U4+U5</f>
        <v>70.233200000000011</v>
      </c>
      <c r="V6" s="7">
        <f t="shared" si="5"/>
        <v>75.211261552000025</v>
      </c>
      <c r="W6" s="7">
        <f t="shared" si="5"/>
        <v>80.542726416800022</v>
      </c>
      <c r="X6" s="7">
        <f t="shared" si="5"/>
        <v>86.252727946628838</v>
      </c>
      <c r="Y6" s="7">
        <f t="shared" si="5"/>
        <v>92.368190437997882</v>
      </c>
      <c r="Z6" s="7">
        <f t="shared" si="5"/>
        <v>98.917957026571173</v>
      </c>
    </row>
    <row r="7" spans="1:47" s="7" customFormat="1" x14ac:dyDescent="0.2">
      <c r="A7" s="4"/>
      <c r="B7" s="4"/>
      <c r="C7" s="4" t="s">
        <v>39</v>
      </c>
      <c r="D7" s="7">
        <f t="shared" ref="D7:K7" si="6">+D3-D6</f>
        <v>6.1610000000000014</v>
      </c>
      <c r="E7" s="7">
        <f t="shared" si="6"/>
        <v>11.282999999999994</v>
      </c>
      <c r="F7" s="7">
        <f t="shared" si="6"/>
        <v>7.9520000000000017</v>
      </c>
      <c r="G7" s="7">
        <f t="shared" si="6"/>
        <v>13.085000000000001</v>
      </c>
      <c r="H7" s="7">
        <f t="shared" si="6"/>
        <v>14.296999999999997</v>
      </c>
      <c r="I7" s="7">
        <f t="shared" si="6"/>
        <v>18.648000000000003</v>
      </c>
      <c r="J7" s="7">
        <f t="shared" si="6"/>
        <v>19.418000000000003</v>
      </c>
      <c r="K7" s="7">
        <f t="shared" si="6"/>
        <v>21.462</v>
      </c>
      <c r="P7" s="7">
        <f>+P3-P6</f>
        <v>17.443999999999996</v>
      </c>
      <c r="Q7" s="7">
        <f>+Q3-Q6</f>
        <v>21.037000000000003</v>
      </c>
      <c r="R7" s="7">
        <f>+R3-R6</f>
        <v>32.944999999999993</v>
      </c>
      <c r="S7" s="7">
        <f>+S3-S6</f>
        <v>40.880000000000003</v>
      </c>
      <c r="T7" s="7">
        <f>+T3-T6</f>
        <v>44.709919999999997</v>
      </c>
      <c r="U7" s="7">
        <f t="shared" ref="U7:Z7" si="7">+U3-U6</f>
        <v>48.885400000000004</v>
      </c>
      <c r="V7" s="7">
        <f t="shared" si="7"/>
        <v>53.436826448000005</v>
      </c>
      <c r="W7" s="7">
        <f t="shared" si="7"/>
        <v>58.397208623200029</v>
      </c>
      <c r="X7" s="7">
        <f t="shared" si="7"/>
        <v>63.802401896571226</v>
      </c>
      <c r="Y7" s="7">
        <f t="shared" si="7"/>
        <v>69.691349792658187</v>
      </c>
      <c r="Z7" s="7">
        <f t="shared" si="7"/>
        <v>76.106346422537399</v>
      </c>
    </row>
    <row r="8" spans="1:47" s="7" customFormat="1" x14ac:dyDescent="0.2">
      <c r="A8" s="4"/>
      <c r="B8" s="4"/>
      <c r="C8" s="4" t="s">
        <v>93</v>
      </c>
      <c r="D8" s="7">
        <v>1.6930000000000001</v>
      </c>
      <c r="E8" s="7">
        <f>3.371-D8</f>
        <v>1.6779999999999999</v>
      </c>
      <c r="F8" s="7">
        <v>1.83</v>
      </c>
      <c r="G8" s="7">
        <f>4.031-F8</f>
        <v>2.2009999999999996</v>
      </c>
      <c r="H8" s="7">
        <v>4.74</v>
      </c>
      <c r="I8" s="7">
        <f>9.742-H8</f>
        <v>5.0020000000000007</v>
      </c>
      <c r="J8" s="7">
        <v>6.2050000000000001</v>
      </c>
      <c r="K8" s="7">
        <f>12.234-J8</f>
        <v>6.0289999999999999</v>
      </c>
      <c r="P8" s="7">
        <f>+SUM(D8:E8)</f>
        <v>3.371</v>
      </c>
      <c r="Q8" s="7">
        <f>+SUM(F8:G8)</f>
        <v>4.0309999999999997</v>
      </c>
      <c r="R8" s="7">
        <f>+SUM(H8:I8)</f>
        <v>9.7420000000000009</v>
      </c>
      <c r="S8" s="7">
        <f>+SUM(J8:K8)</f>
        <v>12.234</v>
      </c>
    </row>
    <row r="9" spans="1:47" s="7" customFormat="1" x14ac:dyDescent="0.2">
      <c r="A9" s="4"/>
      <c r="B9" s="4"/>
      <c r="C9" s="4" t="s">
        <v>34</v>
      </c>
      <c r="D9" s="7">
        <v>7.0999999999999994E-2</v>
      </c>
      <c r="E9" s="7">
        <f>0.681-D9</f>
        <v>0.6100000000000001</v>
      </c>
      <c r="F9" s="7">
        <v>0.26400000000000001</v>
      </c>
      <c r="G9" s="7">
        <v>0.85899999999999999</v>
      </c>
      <c r="H9" s="7">
        <v>0.83</v>
      </c>
      <c r="I9" s="7">
        <f>0.035-H9</f>
        <v>-0.79499999999999993</v>
      </c>
      <c r="J9" s="7">
        <v>1.054</v>
      </c>
      <c r="K9" s="7">
        <f>0.041-J9</f>
        <v>-1.0130000000000001</v>
      </c>
      <c r="P9" s="7">
        <f>+SUM(D9:E9)</f>
        <v>0.68100000000000005</v>
      </c>
      <c r="Q9" s="7">
        <f>+SUM(F9:G9)</f>
        <v>1.123</v>
      </c>
      <c r="R9" s="7">
        <f>+SUM(H9:I9)</f>
        <v>3.5000000000000031E-2</v>
      </c>
      <c r="S9" s="7">
        <f>+SUM(J9:K9)</f>
        <v>4.0999999999999925E-2</v>
      </c>
    </row>
    <row r="10" spans="1:47" s="7" customFormat="1" x14ac:dyDescent="0.2">
      <c r="A10" s="4"/>
      <c r="B10" s="4"/>
      <c r="C10" s="4" t="s">
        <v>38</v>
      </c>
      <c r="D10" s="7">
        <f>+D8+D9</f>
        <v>1.764</v>
      </c>
      <c r="E10" s="7">
        <f>+E8+E9</f>
        <v>2.2880000000000003</v>
      </c>
      <c r="F10" s="7">
        <f t="shared" ref="F10:I10" si="8">+F9+F8</f>
        <v>2.0940000000000003</v>
      </c>
      <c r="G10" s="7">
        <f>+G8+G9</f>
        <v>3.0599999999999996</v>
      </c>
      <c r="H10" s="7">
        <f t="shared" si="8"/>
        <v>5.57</v>
      </c>
      <c r="I10" s="7">
        <f t="shared" si="8"/>
        <v>4.2070000000000007</v>
      </c>
      <c r="J10" s="7">
        <f>+J9+J8</f>
        <v>7.2590000000000003</v>
      </c>
      <c r="K10" s="7">
        <f>+K9+K8</f>
        <v>5.016</v>
      </c>
      <c r="P10" s="7">
        <f>+P8+P9</f>
        <v>4.0519999999999996</v>
      </c>
      <c r="Q10" s="7">
        <f>+Q8+Q9</f>
        <v>5.1539999999999999</v>
      </c>
      <c r="R10" s="7">
        <f>+R8+R9</f>
        <v>9.777000000000001</v>
      </c>
      <c r="S10" s="7">
        <f>+S8+S9</f>
        <v>12.275</v>
      </c>
      <c r="T10" s="7">
        <f>+S10*1.06</f>
        <v>13.011500000000002</v>
      </c>
      <c r="U10" s="7">
        <f t="shared" ref="U10:Z10" si="9">+T10*1.06</f>
        <v>13.792190000000003</v>
      </c>
      <c r="V10" s="7">
        <f t="shared" si="9"/>
        <v>14.619721400000005</v>
      </c>
      <c r="W10" s="7">
        <f t="shared" si="9"/>
        <v>15.496904684000006</v>
      </c>
      <c r="X10" s="7">
        <f t="shared" si="9"/>
        <v>16.426718965040006</v>
      </c>
      <c r="Y10" s="7">
        <f t="shared" si="9"/>
        <v>17.412322102942408</v>
      </c>
      <c r="Z10" s="7">
        <f t="shared" si="9"/>
        <v>18.457061429118955</v>
      </c>
    </row>
    <row r="11" spans="1:47" s="7" customFormat="1" x14ac:dyDescent="0.2">
      <c r="A11" s="4"/>
      <c r="B11" s="4"/>
      <c r="C11" s="4" t="s">
        <v>40</v>
      </c>
      <c r="D11" s="7">
        <f t="shared" ref="D11:K11" si="10">+D7-D10</f>
        <v>4.3970000000000011</v>
      </c>
      <c r="E11" s="7">
        <f t="shared" si="10"/>
        <v>8.9949999999999939</v>
      </c>
      <c r="F11" s="7">
        <f t="shared" si="10"/>
        <v>5.8580000000000014</v>
      </c>
      <c r="G11" s="7">
        <f t="shared" si="10"/>
        <v>10.025000000000002</v>
      </c>
      <c r="H11" s="7">
        <f t="shared" si="10"/>
        <v>8.7269999999999968</v>
      </c>
      <c r="I11" s="7">
        <f t="shared" si="10"/>
        <v>14.441000000000003</v>
      </c>
      <c r="J11" s="7">
        <f t="shared" si="10"/>
        <v>12.159000000000002</v>
      </c>
      <c r="K11" s="7">
        <f t="shared" si="10"/>
        <v>16.445999999999998</v>
      </c>
      <c r="P11" s="7">
        <f>+P7-P10</f>
        <v>13.391999999999996</v>
      </c>
      <c r="Q11" s="7">
        <f>+Q7-Q10</f>
        <v>15.883000000000003</v>
      </c>
      <c r="R11" s="7">
        <f>+R7-R10</f>
        <v>23.167999999999992</v>
      </c>
      <c r="S11" s="7">
        <f>+S7-S10</f>
        <v>28.605000000000004</v>
      </c>
      <c r="T11" s="7">
        <f>+T7-T10</f>
        <v>31.698419999999995</v>
      </c>
      <c r="U11" s="7">
        <f t="shared" ref="U11:Z11" si="11">+U7-U10</f>
        <v>35.093209999999999</v>
      </c>
      <c r="V11" s="7">
        <f t="shared" si="11"/>
        <v>38.817105048000002</v>
      </c>
      <c r="W11" s="7">
        <f t="shared" si="11"/>
        <v>42.900303939200022</v>
      </c>
      <c r="X11" s="7">
        <f t="shared" si="11"/>
        <v>47.375682931531216</v>
      </c>
      <c r="Y11" s="7">
        <f t="shared" si="11"/>
        <v>52.279027689715775</v>
      </c>
      <c r="Z11" s="7">
        <f t="shared" si="11"/>
        <v>57.649284993418448</v>
      </c>
    </row>
    <row r="12" spans="1:47" s="7" customFormat="1" x14ac:dyDescent="0.2">
      <c r="A12" s="4"/>
      <c r="B12" s="4"/>
      <c r="C12" s="4" t="s">
        <v>41</v>
      </c>
      <c r="D12" s="7">
        <f>0.003-0.064</f>
        <v>-6.0999999999999999E-2</v>
      </c>
      <c r="E12" s="7">
        <f>0.012-0.295-D12</f>
        <v>-0.22199999999999998</v>
      </c>
      <c r="F12" s="7">
        <f>0.164-0.081</f>
        <v>8.3000000000000004E-2</v>
      </c>
      <c r="G12" s="7">
        <f>-0.361-0.03+0.261</f>
        <v>-0.13</v>
      </c>
      <c r="H12" s="7">
        <f>0.068+1.545-0.178</f>
        <v>1.4350000000000001</v>
      </c>
      <c r="I12" s="7">
        <f>0.101719+3.164+0.119</f>
        <v>3.3847190000000005</v>
      </c>
      <c r="J12" s="7">
        <f>0.023+1.597+0.26</f>
        <v>1.88</v>
      </c>
      <c r="K12" s="7">
        <f>0.111+3.293+0.541</f>
        <v>3.9450000000000003</v>
      </c>
      <c r="P12" s="7">
        <f>+SUM(D12:E12)</f>
        <v>-0.28299999999999997</v>
      </c>
      <c r="Q12" s="7">
        <f>+SUM(G12:H12)</f>
        <v>1.3050000000000002</v>
      </c>
      <c r="R12" s="7">
        <f>+SUM(H12:I12)</f>
        <v>4.819719000000001</v>
      </c>
      <c r="S12" s="7">
        <f>+SUM(J12:K12)</f>
        <v>5.8250000000000002</v>
      </c>
      <c r="T12" s="7">
        <v>0</v>
      </c>
    </row>
    <row r="13" spans="1:47" s="7" customFormat="1" x14ac:dyDescent="0.2">
      <c r="A13" s="4"/>
      <c r="B13" s="4"/>
      <c r="C13" s="4" t="s">
        <v>43</v>
      </c>
      <c r="D13" s="7">
        <f t="shared" ref="D13:K13" si="12">+D11-D12</f>
        <v>4.4580000000000011</v>
      </c>
      <c r="E13" s="7">
        <f t="shared" si="12"/>
        <v>9.2169999999999934</v>
      </c>
      <c r="F13" s="7">
        <f t="shared" si="12"/>
        <v>5.7750000000000012</v>
      </c>
      <c r="G13" s="7">
        <f t="shared" si="12"/>
        <v>10.155000000000003</v>
      </c>
      <c r="H13" s="7">
        <f t="shared" si="12"/>
        <v>7.2919999999999963</v>
      </c>
      <c r="I13" s="7">
        <f t="shared" si="12"/>
        <v>11.056281000000002</v>
      </c>
      <c r="J13" s="7">
        <f t="shared" si="12"/>
        <v>10.279000000000003</v>
      </c>
      <c r="K13" s="7">
        <f t="shared" si="12"/>
        <v>12.500999999999998</v>
      </c>
      <c r="P13" s="7">
        <f>+P11-P12</f>
        <v>13.674999999999995</v>
      </c>
      <c r="Q13" s="7">
        <f>+Q11-Q12</f>
        <v>14.578000000000003</v>
      </c>
      <c r="R13" s="7">
        <f>+R11-R12</f>
        <v>18.348280999999993</v>
      </c>
      <c r="S13" s="7">
        <f>+S11-S12</f>
        <v>22.780000000000005</v>
      </c>
      <c r="T13" s="7">
        <f>+T11+T12</f>
        <v>31.698419999999995</v>
      </c>
      <c r="U13" s="7">
        <f t="shared" ref="U13:Z13" si="13">+U11+U12</f>
        <v>35.093209999999999</v>
      </c>
      <c r="V13" s="7">
        <f t="shared" si="13"/>
        <v>38.817105048000002</v>
      </c>
      <c r="W13" s="7">
        <f t="shared" si="13"/>
        <v>42.900303939200022</v>
      </c>
      <c r="X13" s="7">
        <f t="shared" si="13"/>
        <v>47.375682931531216</v>
      </c>
      <c r="Y13" s="7">
        <f t="shared" si="13"/>
        <v>52.279027689715775</v>
      </c>
      <c r="Z13" s="7">
        <f t="shared" si="13"/>
        <v>57.649284993418448</v>
      </c>
    </row>
    <row r="14" spans="1:47" s="7" customFormat="1" x14ac:dyDescent="0.2">
      <c r="A14" s="4"/>
      <c r="B14" s="4"/>
      <c r="C14" s="4" t="s">
        <v>42</v>
      </c>
      <c r="D14" s="7">
        <v>-1.5169999999999999</v>
      </c>
      <c r="E14" s="7">
        <f>0.977-D14</f>
        <v>2.4939999999999998</v>
      </c>
      <c r="F14" s="7">
        <v>1.024</v>
      </c>
      <c r="G14" s="7">
        <f>3.149-F14</f>
        <v>2.125</v>
      </c>
      <c r="H14" s="7">
        <v>1.1279999999999999</v>
      </c>
      <c r="I14" s="7">
        <f>2.526-H14</f>
        <v>1.3979999999999999</v>
      </c>
      <c r="J14" s="7">
        <v>1.5609999999999999</v>
      </c>
      <c r="K14" s="7">
        <f>4.506-J14</f>
        <v>2.9450000000000003</v>
      </c>
      <c r="P14" s="7">
        <f>+SUM(D14:E14)</f>
        <v>0.97699999999999987</v>
      </c>
      <c r="Q14" s="7">
        <f>+SUM(G14:H14)</f>
        <v>3.2530000000000001</v>
      </c>
      <c r="R14" s="7">
        <f>+SUM(H14:I14)</f>
        <v>2.5259999999999998</v>
      </c>
      <c r="S14" s="7">
        <f>+SUM(J14:K14)</f>
        <v>4.5060000000000002</v>
      </c>
      <c r="T14" s="7">
        <f>+T13*0.3</f>
        <v>9.5095259999999975</v>
      </c>
      <c r="U14" s="7">
        <f t="shared" ref="U14:Z14" si="14">+U13*0.3</f>
        <v>10.527963</v>
      </c>
      <c r="V14" s="7">
        <f t="shared" si="14"/>
        <v>11.645131514400001</v>
      </c>
      <c r="W14" s="7">
        <f t="shared" si="14"/>
        <v>12.870091181760007</v>
      </c>
      <c r="X14" s="7">
        <f t="shared" si="14"/>
        <v>14.212704879459364</v>
      </c>
      <c r="Y14" s="7">
        <f t="shared" si="14"/>
        <v>15.683708306914731</v>
      </c>
      <c r="Z14" s="7">
        <f t="shared" si="14"/>
        <v>17.294785498025533</v>
      </c>
    </row>
    <row r="15" spans="1:47" s="7" customFormat="1" x14ac:dyDescent="0.2">
      <c r="A15" s="4"/>
      <c r="B15" s="4"/>
      <c r="C15" s="4" t="s">
        <v>44</v>
      </c>
      <c r="D15" s="8">
        <f>+D13+D14</f>
        <v>2.9410000000000012</v>
      </c>
      <c r="E15" s="8">
        <f t="shared" ref="E15:K15" si="15">+E13-E14</f>
        <v>6.7229999999999936</v>
      </c>
      <c r="F15" s="8">
        <f t="shared" si="15"/>
        <v>4.7510000000000012</v>
      </c>
      <c r="G15" s="8">
        <f t="shared" si="15"/>
        <v>8.0300000000000029</v>
      </c>
      <c r="H15" s="8">
        <f t="shared" si="15"/>
        <v>6.1639999999999961</v>
      </c>
      <c r="I15" s="8">
        <f t="shared" si="15"/>
        <v>9.6582810000000023</v>
      </c>
      <c r="J15" s="8">
        <f t="shared" si="15"/>
        <v>8.7180000000000035</v>
      </c>
      <c r="K15" s="8">
        <f t="shared" si="15"/>
        <v>9.5559999999999974</v>
      </c>
      <c r="L15" s="8"/>
      <c r="M15" s="8"/>
      <c r="N15" s="8"/>
      <c r="O15" s="8"/>
      <c r="P15" s="7">
        <f>+P13-P14</f>
        <v>12.697999999999995</v>
      </c>
      <c r="Q15" s="7">
        <f>+Q13-Q14</f>
        <v>11.325000000000003</v>
      </c>
      <c r="R15" s="7">
        <f>+R13-R14</f>
        <v>15.822280999999993</v>
      </c>
      <c r="S15" s="7">
        <f>+S13-S14</f>
        <v>18.274000000000004</v>
      </c>
      <c r="T15" s="7">
        <f>+T13-T14</f>
        <v>22.188893999999998</v>
      </c>
      <c r="U15" s="7">
        <f t="shared" ref="U15:Z15" si="16">+U13-U14</f>
        <v>24.565246999999999</v>
      </c>
      <c r="V15" s="7">
        <f t="shared" si="16"/>
        <v>27.171973533600003</v>
      </c>
      <c r="W15" s="7">
        <f t="shared" si="16"/>
        <v>30.030212757440015</v>
      </c>
      <c r="X15" s="7">
        <f t="shared" si="16"/>
        <v>33.16297805207185</v>
      </c>
      <c r="Y15" s="7">
        <f t="shared" si="16"/>
        <v>36.595319382801044</v>
      </c>
      <c r="Z15" s="7">
        <f t="shared" si="16"/>
        <v>40.354499495392915</v>
      </c>
      <c r="AA15" s="7">
        <f>+Z15*0.99</f>
        <v>39.950954500438982</v>
      </c>
      <c r="AB15" s="7">
        <f t="shared" ref="AB15:AU15" si="17">+AA15*0.99</f>
        <v>39.55144495543459</v>
      </c>
      <c r="AC15" s="7">
        <f t="shared" si="17"/>
        <v>39.155930505880242</v>
      </c>
      <c r="AD15" s="7">
        <f t="shared" si="17"/>
        <v>38.764371200821437</v>
      </c>
      <c r="AE15" s="7">
        <f t="shared" si="17"/>
        <v>38.376727488813223</v>
      </c>
      <c r="AF15" s="7">
        <f t="shared" si="17"/>
        <v>37.992960213925087</v>
      </c>
      <c r="AG15" s="7">
        <f t="shared" si="17"/>
        <v>37.613030611785838</v>
      </c>
      <c r="AH15" s="7">
        <f t="shared" si="17"/>
        <v>37.23690030566798</v>
      </c>
      <c r="AI15" s="7">
        <f t="shared" si="17"/>
        <v>36.864531302611297</v>
      </c>
      <c r="AJ15" s="7">
        <f t="shared" si="17"/>
        <v>36.495885989585183</v>
      </c>
      <c r="AK15" s="7">
        <f t="shared" si="17"/>
        <v>36.130927129689333</v>
      </c>
      <c r="AL15" s="7">
        <f t="shared" si="17"/>
        <v>35.769617858392436</v>
      </c>
      <c r="AM15" s="7">
        <f t="shared" si="17"/>
        <v>35.411921679808515</v>
      </c>
      <c r="AN15" s="7">
        <f t="shared" si="17"/>
        <v>35.057802463010432</v>
      </c>
      <c r="AO15" s="7">
        <f t="shared" si="17"/>
        <v>34.707224438380329</v>
      </c>
      <c r="AP15" s="7">
        <f t="shared" si="17"/>
        <v>34.360152193996527</v>
      </c>
      <c r="AQ15" s="7">
        <f t="shared" si="17"/>
        <v>34.01655067205656</v>
      </c>
      <c r="AR15" s="7">
        <f t="shared" si="17"/>
        <v>33.676385165335994</v>
      </c>
      <c r="AS15" s="7">
        <f t="shared" si="17"/>
        <v>33.339621313682635</v>
      </c>
      <c r="AT15" s="7">
        <f t="shared" si="17"/>
        <v>33.006225100545805</v>
      </c>
      <c r="AU15" s="7">
        <f t="shared" si="17"/>
        <v>32.676162849540347</v>
      </c>
    </row>
    <row r="16" spans="1:47" s="7" customFormat="1" x14ac:dyDescent="0.2">
      <c r="A16" s="4"/>
      <c r="B16" s="4"/>
      <c r="C16" s="4" t="s">
        <v>45</v>
      </c>
      <c r="H16" s="7">
        <v>8.9999999999999993E-3</v>
      </c>
      <c r="J16" s="7">
        <v>1.2E-2</v>
      </c>
      <c r="Q16" s="7" t="s">
        <v>46</v>
      </c>
      <c r="R16" s="9">
        <f>+R15/R17</f>
        <v>0.56239002630269397</v>
      </c>
      <c r="S16" s="9">
        <f t="shared" ref="S16" si="18">+S15/S17</f>
        <v>0.59165965162209433</v>
      </c>
    </row>
    <row r="17" spans="1:30" s="7" customFormat="1" x14ac:dyDescent="0.2">
      <c r="A17" s="4"/>
      <c r="B17" s="4"/>
      <c r="C17" s="4" t="s">
        <v>1</v>
      </c>
      <c r="D17" s="9"/>
      <c r="Q17" s="9" t="s">
        <v>46</v>
      </c>
      <c r="R17" s="9">
        <v>28.134</v>
      </c>
      <c r="S17" s="9">
        <v>30.885999999999999</v>
      </c>
    </row>
    <row r="18" spans="1:30" x14ac:dyDescent="0.2">
      <c r="D18" s="10"/>
      <c r="Q18" s="10"/>
      <c r="AC18" s="4" t="s">
        <v>46</v>
      </c>
    </row>
    <row r="19" spans="1:30" x14ac:dyDescent="0.2">
      <c r="C19" s="4" t="s">
        <v>52</v>
      </c>
      <c r="D19" s="10" t="s">
        <v>46</v>
      </c>
      <c r="E19" s="10">
        <f t="shared" ref="E19:K19" si="19">+E3/D3-1</f>
        <v>0.5410447761194026</v>
      </c>
      <c r="F19" s="10">
        <f t="shared" si="19"/>
        <v>-1.361414409063888E-2</v>
      </c>
      <c r="G19" s="10">
        <f t="shared" si="19"/>
        <v>0.36927423463480147</v>
      </c>
      <c r="H19" s="10">
        <f t="shared" si="19"/>
        <v>0.41120957921796775</v>
      </c>
      <c r="I19" s="10">
        <f t="shared" si="19"/>
        <v>0.22957263728098565</v>
      </c>
      <c r="J19" s="10">
        <f t="shared" si="19"/>
        <v>-4.019571531608801E-2</v>
      </c>
      <c r="K19" s="10">
        <f t="shared" si="19"/>
        <v>7.4151552694112111E-2</v>
      </c>
      <c r="L19" s="10"/>
      <c r="M19" s="10"/>
      <c r="N19" s="10"/>
      <c r="O19" s="10"/>
      <c r="P19" s="10" t="s">
        <v>46</v>
      </c>
      <c r="Q19" s="10">
        <f t="shared" ref="Q19" si="20">+Q3/P3</f>
        <v>1.4173108358961573</v>
      </c>
      <c r="R19" s="10">
        <f>+R3/Q3</f>
        <v>1.8183950737953278</v>
      </c>
      <c r="S19" s="10">
        <f>+S3/R3-1</f>
        <v>9.7882175876155664E-2</v>
      </c>
      <c r="T19" s="10">
        <f t="shared" ref="T19:Z19" si="21">+T3/S3-1</f>
        <v>8.0000000000000071E-2</v>
      </c>
      <c r="U19" s="10">
        <f t="shared" si="21"/>
        <v>8.0000000000000071E-2</v>
      </c>
      <c r="V19" s="10">
        <f t="shared" si="21"/>
        <v>8.0000000000000071E-2</v>
      </c>
      <c r="W19" s="10">
        <f t="shared" si="21"/>
        <v>8.0000000000000071E-2</v>
      </c>
      <c r="X19" s="10">
        <f t="shared" si="21"/>
        <v>8.0000000000000071E-2</v>
      </c>
      <c r="Y19" s="10">
        <f t="shared" si="21"/>
        <v>8.0000000000000071E-2</v>
      </c>
      <c r="Z19" s="10">
        <f t="shared" si="21"/>
        <v>8.0000000000000071E-2</v>
      </c>
      <c r="AB19" s="4" t="s">
        <v>98</v>
      </c>
      <c r="AC19" s="11">
        <f>+NPV(0.08,T15:AU15)-S25</f>
        <v>411.96631058234306</v>
      </c>
      <c r="AD19" s="10" t="s">
        <v>46</v>
      </c>
    </row>
    <row r="20" spans="1:30" x14ac:dyDescent="0.2">
      <c r="C20" s="4" t="s">
        <v>53</v>
      </c>
      <c r="D20" s="10">
        <f t="shared" ref="D20:K20" si="22">+D7/D3</f>
        <v>0.43375105604055203</v>
      </c>
      <c r="E20" s="10">
        <f t="shared" si="22"/>
        <v>0.51546438850564191</v>
      </c>
      <c r="F20" s="10">
        <f t="shared" si="22"/>
        <v>0.36830160715112786</v>
      </c>
      <c r="G20" s="10">
        <f t="shared" si="22"/>
        <v>0.44259910702205385</v>
      </c>
      <c r="H20" s="10">
        <f t="shared" si="22"/>
        <v>0.34268114378849973</v>
      </c>
      <c r="I20" s="10">
        <f t="shared" si="22"/>
        <v>0.36351585800892811</v>
      </c>
      <c r="J20" s="10">
        <f t="shared" si="22"/>
        <v>0.3943782115076061</v>
      </c>
      <c r="K20" s="10">
        <f t="shared" si="22"/>
        <v>0.40580093783088794</v>
      </c>
      <c r="L20" s="10"/>
      <c r="M20" s="10"/>
      <c r="N20" s="10"/>
      <c r="O20" s="10"/>
      <c r="P20" s="10">
        <f t="shared" ref="P20:Q20" si="23">+P7/P3</f>
        <v>0.48330701244008528</v>
      </c>
      <c r="Q20" s="10">
        <f t="shared" si="23"/>
        <v>0.41124034796207609</v>
      </c>
      <c r="R20" s="10">
        <f>+R7/R3</f>
        <v>0.35417114599010957</v>
      </c>
      <c r="S20" s="10">
        <f>+S7/S3</f>
        <v>0.40029375764993885</v>
      </c>
      <c r="T20" s="10">
        <f t="shared" ref="T20:Z20" si="24">+T7/T3</f>
        <v>0.40536669839974609</v>
      </c>
      <c r="U20" s="10">
        <f t="shared" si="24"/>
        <v>0.41039266747594411</v>
      </c>
      <c r="V20" s="10">
        <f t="shared" si="24"/>
        <v>0.41537209980143658</v>
      </c>
      <c r="W20" s="10">
        <f t="shared" si="24"/>
        <v>0.42030542627206346</v>
      </c>
      <c r="X20" s="10">
        <f t="shared" si="24"/>
        <v>0.4251930737938881</v>
      </c>
      <c r="Y20" s="10">
        <f t="shared" si="24"/>
        <v>0.43003546532014036</v>
      </c>
      <c r="Z20" s="10">
        <f t="shared" si="24"/>
        <v>0.43483301988781614</v>
      </c>
      <c r="AB20" s="4" t="s">
        <v>106</v>
      </c>
      <c r="AC20" s="4">
        <f>+AC19/main!L3</f>
        <v>13.338286297427413</v>
      </c>
    </row>
    <row r="21" spans="1:30" x14ac:dyDescent="0.2">
      <c r="C21" s="4" t="s">
        <v>97</v>
      </c>
      <c r="D21" s="10">
        <f t="shared" ref="D21:K21" si="25">+D11/D3</f>
        <v>0.30956068713038587</v>
      </c>
      <c r="E21" s="10">
        <f t="shared" si="25"/>
        <v>0.41093700031979513</v>
      </c>
      <c r="F21" s="10">
        <f t="shared" si="25"/>
        <v>0.2713167523505165</v>
      </c>
      <c r="G21" s="10">
        <f t="shared" si="25"/>
        <v>0.33909484508185639</v>
      </c>
      <c r="H21" s="10">
        <f t="shared" si="25"/>
        <v>0.20917523549291717</v>
      </c>
      <c r="I21" s="10">
        <f t="shared" si="25"/>
        <v>0.28150646211427127</v>
      </c>
      <c r="J21" s="10">
        <f t="shared" si="25"/>
        <v>0.24694843308893721</v>
      </c>
      <c r="K21" s="10">
        <f t="shared" si="25"/>
        <v>0.31095900771441531</v>
      </c>
      <c r="L21" s="10"/>
      <c r="M21" s="10"/>
      <c r="N21" s="10"/>
      <c r="O21" s="10"/>
      <c r="P21" s="10">
        <f t="shared" ref="P21:Y21" si="26">+P11/P3</f>
        <v>0.37104147618651806</v>
      </c>
      <c r="Q21" s="10">
        <f t="shared" si="26"/>
        <v>0.31048773335939794</v>
      </c>
      <c r="R21" s="10">
        <f t="shared" si="26"/>
        <v>0.24906471726510421</v>
      </c>
      <c r="S21" s="10">
        <f t="shared" si="26"/>
        <v>0.28009791921664629</v>
      </c>
      <c r="T21" s="10">
        <f t="shared" si="26"/>
        <v>0.28739670882632934</v>
      </c>
      <c r="U21" s="10">
        <f t="shared" si="26"/>
        <v>0.29460730733907209</v>
      </c>
      <c r="V21" s="10">
        <f t="shared" si="26"/>
        <v>0.30173091300043259</v>
      </c>
      <c r="W21" s="10">
        <f t="shared" si="26"/>
        <v>0.3087687058933003</v>
      </c>
      <c r="X21" s="10">
        <f t="shared" si="26"/>
        <v>0.31572184823695387</v>
      </c>
      <c r="Y21" s="10">
        <f t="shared" si="26"/>
        <v>0.32259148468092708</v>
      </c>
      <c r="Z21" s="10">
        <f>+Z11/Z3</f>
        <v>0.32937874259377359</v>
      </c>
    </row>
    <row r="22" spans="1:30" x14ac:dyDescent="0.2">
      <c r="C22" s="4" t="s">
        <v>105</v>
      </c>
      <c r="D22" s="10">
        <f t="shared" ref="D22:J22" si="27">+D11/D3</f>
        <v>0.30956068713038587</v>
      </c>
      <c r="E22" s="10">
        <f t="shared" si="27"/>
        <v>0.41093700031979513</v>
      </c>
      <c r="F22" s="10">
        <f t="shared" si="27"/>
        <v>0.2713167523505165</v>
      </c>
      <c r="G22" s="10">
        <f t="shared" si="27"/>
        <v>0.33909484508185639</v>
      </c>
      <c r="H22" s="10">
        <f t="shared" si="27"/>
        <v>0.20917523549291717</v>
      </c>
      <c r="I22" s="10">
        <f t="shared" si="27"/>
        <v>0.28150646211427127</v>
      </c>
      <c r="J22" s="10">
        <f t="shared" si="27"/>
        <v>0.24694843308893721</v>
      </c>
      <c r="K22" s="10">
        <f>+K11/K3</f>
        <v>0.31095900771441531</v>
      </c>
      <c r="L22" s="10"/>
      <c r="M22" s="10"/>
      <c r="N22" s="10"/>
      <c r="O22" s="10"/>
      <c r="P22" s="10">
        <f t="shared" ref="P22:S22" si="28">+P11/P3</f>
        <v>0.37104147618651806</v>
      </c>
      <c r="Q22" s="10">
        <f t="shared" si="28"/>
        <v>0.31048773335939794</v>
      </c>
      <c r="R22" s="10">
        <f t="shared" si="28"/>
        <v>0.24906471726510421</v>
      </c>
      <c r="S22" s="10">
        <f t="shared" si="28"/>
        <v>0.28009791921664629</v>
      </c>
      <c r="T22" s="10">
        <f t="shared" ref="T22:Z22" si="29">+T11/T3</f>
        <v>0.28739670882632934</v>
      </c>
      <c r="U22" s="10">
        <f t="shared" si="29"/>
        <v>0.29460730733907209</v>
      </c>
      <c r="V22" s="10">
        <f t="shared" si="29"/>
        <v>0.30173091300043259</v>
      </c>
      <c r="W22" s="10">
        <f t="shared" si="29"/>
        <v>0.3087687058933003</v>
      </c>
      <c r="X22" s="10">
        <f t="shared" si="29"/>
        <v>0.31572184823695387</v>
      </c>
      <c r="Y22" s="10">
        <f t="shared" si="29"/>
        <v>0.32259148468092708</v>
      </c>
      <c r="Z22" s="10">
        <f t="shared" si="29"/>
        <v>0.32937874259377359</v>
      </c>
    </row>
    <row r="23" spans="1:30" x14ac:dyDescent="0.2">
      <c r="C23" s="4" t="s">
        <v>94</v>
      </c>
      <c r="D23" s="10">
        <f t="shared" ref="D23:J23" si="30">+ABS(D14/D13)</f>
        <v>0.34028712427097341</v>
      </c>
      <c r="E23" s="10">
        <f t="shared" si="30"/>
        <v>0.27058695888033002</v>
      </c>
      <c r="F23" s="10">
        <f t="shared" si="30"/>
        <v>0.17731601731601729</v>
      </c>
      <c r="G23" s="10">
        <f t="shared" si="30"/>
        <v>0.20925652387986207</v>
      </c>
      <c r="H23" s="10">
        <f t="shared" si="30"/>
        <v>0.15469007131102586</v>
      </c>
      <c r="I23" s="10">
        <f t="shared" si="30"/>
        <v>0.12644396429504637</v>
      </c>
      <c r="J23" s="10">
        <f t="shared" si="30"/>
        <v>0.15186302169471733</v>
      </c>
      <c r="K23" s="10">
        <f>+ABS(K14/K13)</f>
        <v>0.23558115350771944</v>
      </c>
      <c r="L23" s="10"/>
      <c r="M23" s="10"/>
      <c r="N23" s="10"/>
      <c r="O23" s="10"/>
      <c r="P23" s="10">
        <f t="shared" ref="P23:Q23" si="31">+ABS(P14/P13)</f>
        <v>7.1444241316270585E-2</v>
      </c>
      <c r="Q23" s="10">
        <f t="shared" si="31"/>
        <v>0.22314446426121548</v>
      </c>
      <c r="R23" s="10">
        <f t="shared" ref="R23:S23" si="32">+ABS(R14/R13)</f>
        <v>0.13766957242479558</v>
      </c>
      <c r="S23" s="10">
        <f t="shared" si="32"/>
        <v>0.19780509218612816</v>
      </c>
      <c r="T23" s="10">
        <f t="shared" ref="T23:Z23" si="33">+ABS(T14/T13)</f>
        <v>0.3</v>
      </c>
      <c r="U23" s="10">
        <f t="shared" si="33"/>
        <v>0.3</v>
      </c>
      <c r="V23" s="10">
        <f t="shared" si="33"/>
        <v>0.3</v>
      </c>
      <c r="W23" s="10">
        <f t="shared" si="33"/>
        <v>0.3</v>
      </c>
      <c r="X23" s="10">
        <f t="shared" si="33"/>
        <v>0.3</v>
      </c>
      <c r="Y23" s="10">
        <f t="shared" si="33"/>
        <v>0.3</v>
      </c>
      <c r="Z23" s="10">
        <f t="shared" si="33"/>
        <v>0.3</v>
      </c>
      <c r="AC23" s="4" t="s">
        <v>46</v>
      </c>
    </row>
    <row r="25" spans="1:30" x14ac:dyDescent="0.2">
      <c r="C25" s="4" t="s">
        <v>54</v>
      </c>
      <c r="S25" s="4">
        <f>+S38-S48</f>
        <v>-40.192</v>
      </c>
    </row>
    <row r="26" spans="1:30" x14ac:dyDescent="0.2">
      <c r="C26" s="4" t="s">
        <v>61</v>
      </c>
      <c r="S26" s="4">
        <f>14.568+37.525</f>
        <v>52.092999999999996</v>
      </c>
    </row>
    <row r="27" spans="1:30" x14ac:dyDescent="0.2">
      <c r="C27" s="4" t="s">
        <v>62</v>
      </c>
      <c r="S27" s="4">
        <v>13.833</v>
      </c>
    </row>
    <row r="28" spans="1:30" x14ac:dyDescent="0.2">
      <c r="C28" s="4" t="s">
        <v>63</v>
      </c>
      <c r="S28" s="4">
        <v>51.706000000000003</v>
      </c>
    </row>
    <row r="29" spans="1:30" x14ac:dyDescent="0.2">
      <c r="C29" s="4" t="s">
        <v>64</v>
      </c>
      <c r="S29" s="4">
        <v>18.503</v>
      </c>
    </row>
    <row r="30" spans="1:30" x14ac:dyDescent="0.2">
      <c r="C30" s="4" t="s">
        <v>65</v>
      </c>
      <c r="S30" s="4">
        <v>5.6000000000000001E-2</v>
      </c>
    </row>
    <row r="31" spans="1:30" x14ac:dyDescent="0.2">
      <c r="C31" s="4" t="s">
        <v>66</v>
      </c>
      <c r="S31" s="4">
        <v>1.2E-2</v>
      </c>
    </row>
    <row r="32" spans="1:30" x14ac:dyDescent="0.2">
      <c r="C32" s="4" t="s">
        <v>100</v>
      </c>
      <c r="S32" s="4">
        <v>0.44600000000000001</v>
      </c>
    </row>
    <row r="33" spans="3:20" x14ac:dyDescent="0.2">
      <c r="C33" s="4" t="s">
        <v>67</v>
      </c>
      <c r="S33" s="4">
        <v>2.544</v>
      </c>
    </row>
    <row r="34" spans="3:20" x14ac:dyDescent="0.2">
      <c r="C34" s="4" t="s">
        <v>68</v>
      </c>
      <c r="S34" s="4">
        <v>0.6</v>
      </c>
    </row>
    <row r="35" spans="3:20" x14ac:dyDescent="0.2">
      <c r="C35" s="4" t="s">
        <v>69</v>
      </c>
      <c r="S35" s="4">
        <v>30.094000000000001</v>
      </c>
    </row>
    <row r="36" spans="3:20" x14ac:dyDescent="0.2">
      <c r="C36" s="4" t="s">
        <v>70</v>
      </c>
      <c r="S36" s="4">
        <v>2.83</v>
      </c>
      <c r="T36" s="10"/>
    </row>
    <row r="37" spans="3:20" x14ac:dyDescent="0.2">
      <c r="C37" s="4" t="s">
        <v>71</v>
      </c>
      <c r="S37" s="4">
        <v>4.5490000000000004</v>
      </c>
    </row>
    <row r="38" spans="3:20" x14ac:dyDescent="0.2">
      <c r="C38" s="4" t="s">
        <v>2</v>
      </c>
      <c r="S38" s="4">
        <f>4.72+1.487+6.659</f>
        <v>12.866</v>
      </c>
    </row>
    <row r="39" spans="3:20" x14ac:dyDescent="0.2">
      <c r="C39" s="4" t="s">
        <v>55</v>
      </c>
      <c r="S39" s="4">
        <f>+SUM(S26:S38)</f>
        <v>190.13200000000001</v>
      </c>
    </row>
    <row r="41" spans="3:20" x14ac:dyDescent="0.2">
      <c r="C41" s="4" t="s">
        <v>101</v>
      </c>
      <c r="S41" s="4">
        <v>2.5539999999999998</v>
      </c>
    </row>
    <row r="42" spans="3:20" x14ac:dyDescent="0.2">
      <c r="C42" s="4" t="s">
        <v>65</v>
      </c>
      <c r="S42" s="4">
        <v>1.264</v>
      </c>
    </row>
    <row r="43" spans="3:20" x14ac:dyDescent="0.2">
      <c r="C43" s="4" t="s">
        <v>102</v>
      </c>
      <c r="S43" s="4">
        <v>7.5750000000000002</v>
      </c>
    </row>
    <row r="44" spans="3:20" x14ac:dyDescent="0.2">
      <c r="C44" s="4" t="s">
        <v>100</v>
      </c>
      <c r="S44" s="4">
        <v>3.766</v>
      </c>
    </row>
    <row r="45" spans="3:20" x14ac:dyDescent="0.2">
      <c r="C45" s="4" t="s">
        <v>103</v>
      </c>
      <c r="S45" s="4">
        <v>29.202999999999999</v>
      </c>
    </row>
    <row r="46" spans="3:20" x14ac:dyDescent="0.2">
      <c r="C46" s="4" t="s">
        <v>104</v>
      </c>
      <c r="S46" s="4">
        <v>5.23</v>
      </c>
    </row>
    <row r="47" spans="3:20" x14ac:dyDescent="0.2">
      <c r="C47" s="4" t="s">
        <v>34</v>
      </c>
      <c r="S47" s="4">
        <v>12.465</v>
      </c>
    </row>
    <row r="48" spans="3:20" x14ac:dyDescent="0.2">
      <c r="C48" s="4" t="s">
        <v>3</v>
      </c>
      <c r="S48" s="4">
        <f>41.323+11.735</f>
        <v>53.058</v>
      </c>
    </row>
    <row r="49" spans="3:20" x14ac:dyDescent="0.2">
      <c r="C49" s="4" t="s">
        <v>56</v>
      </c>
      <c r="S49" s="4">
        <f>+SUM(S41:S48)</f>
        <v>115.11500000000001</v>
      </c>
    </row>
    <row r="50" spans="3:20" x14ac:dyDescent="0.2">
      <c r="C50" s="4" t="s">
        <v>57</v>
      </c>
      <c r="S50" s="4">
        <f>+S39-S49</f>
        <v>75.016999999999996</v>
      </c>
    </row>
    <row r="51" spans="3:20" x14ac:dyDescent="0.2">
      <c r="C51" s="4" t="s">
        <v>58</v>
      </c>
      <c r="S51" s="4">
        <f>+S49+S50</f>
        <v>190.13200000000001</v>
      </c>
    </row>
    <row r="52" spans="3:20" x14ac:dyDescent="0.2">
      <c r="C52" s="4" t="s">
        <v>59</v>
      </c>
      <c r="K52" s="10"/>
      <c r="S52" s="10">
        <f>+S15/S39</f>
        <v>9.6112174699682348E-2</v>
      </c>
    </row>
    <row r="53" spans="3:20" x14ac:dyDescent="0.2">
      <c r="C53" s="4" t="s">
        <v>60</v>
      </c>
      <c r="K53" s="10"/>
      <c r="S53" s="10">
        <f>+S15/S50</f>
        <v>0.24359811775997448</v>
      </c>
    </row>
    <row r="55" spans="3:20" x14ac:dyDescent="0.2">
      <c r="C55" s="4" t="s">
        <v>47</v>
      </c>
      <c r="P55" s="4">
        <v>8.625</v>
      </c>
      <c r="Q55" s="4">
        <v>6.7939999999999996</v>
      </c>
      <c r="R55" s="7">
        <v>21.991762999999999</v>
      </c>
      <c r="S55" s="7">
        <v>23.422445</v>
      </c>
    </row>
    <row r="56" spans="3:20" x14ac:dyDescent="0.2">
      <c r="C56" s="4" t="s">
        <v>48</v>
      </c>
      <c r="R56" s="7">
        <v>-69.490922999999995</v>
      </c>
      <c r="S56" s="7">
        <v>-15.700396</v>
      </c>
    </row>
    <row r="57" spans="3:20" x14ac:dyDescent="0.2">
      <c r="C57" s="4" t="s">
        <v>49</v>
      </c>
      <c r="P57" s="4">
        <v>2.4180000000000001</v>
      </c>
      <c r="Q57" s="4">
        <v>10.6952</v>
      </c>
      <c r="R57" s="7">
        <v>47.895919999999997</v>
      </c>
      <c r="S57" s="7">
        <v>-15.784846999999999</v>
      </c>
    </row>
    <row r="58" spans="3:20" x14ac:dyDescent="0.2">
      <c r="C58" s="4" t="s">
        <v>50</v>
      </c>
      <c r="R58" s="7">
        <f>-46.723529-0.306126</f>
        <v>-47.029654999999998</v>
      </c>
      <c r="S58" s="7">
        <v>-0.30349199999999998</v>
      </c>
    </row>
    <row r="59" spans="3:20" x14ac:dyDescent="0.2">
      <c r="C59" s="4" t="s">
        <v>51</v>
      </c>
      <c r="R59" s="7">
        <f>+R55+R58</f>
        <v>-25.037891999999999</v>
      </c>
      <c r="S59" s="7">
        <f>+S55+S58</f>
        <v>23.118953000000001</v>
      </c>
    </row>
    <row r="60" spans="3:20" x14ac:dyDescent="0.2">
      <c r="C60" s="4" t="s">
        <v>107</v>
      </c>
      <c r="S60" s="4" t="s">
        <v>46</v>
      </c>
      <c r="T60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2025-08-26T13:00:51Z</dcterms:created>
  <dcterms:modified xsi:type="dcterms:W3CDTF">2025-09-02T19:43:15Z</dcterms:modified>
</cp:coreProperties>
</file>