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0" documentId="8_{F953CC36-1E85-4036-8E9D-EFA56B800C98}" xr6:coauthVersionLast="47" xr6:coauthVersionMax="47" xr10:uidLastSave="{00000000-0000-0000-0000-000000000000}"/>
  <bookViews>
    <workbookView xWindow="-105" yWindow="0" windowWidth="14610" windowHeight="15585" activeTab="1" xr2:uid="{A43170C6-C978-4E2D-94A5-95F4F346DF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8" i="2" l="1"/>
  <c r="X8" i="2"/>
  <c r="Y8" i="2" s="1"/>
  <c r="W8" i="2"/>
  <c r="W7" i="2"/>
  <c r="W9" i="2" s="1"/>
  <c r="X6" i="2"/>
  <c r="Y6" i="2" s="1"/>
  <c r="Z6" i="2" s="1"/>
  <c r="AA6" i="2" s="1"/>
  <c r="AB6" i="2" s="1"/>
  <c r="W6" i="2"/>
  <c r="AB5" i="2"/>
  <c r="AA5" i="2"/>
  <c r="Z5" i="2"/>
  <c r="Y5" i="2"/>
  <c r="X5" i="2"/>
  <c r="W5" i="2"/>
  <c r="X4" i="2"/>
  <c r="Y4" i="2" s="1"/>
  <c r="Z4" i="2" s="1"/>
  <c r="AA4" i="2" s="1"/>
  <c r="AB4" i="2" s="1"/>
  <c r="W4" i="2"/>
  <c r="X3" i="2"/>
  <c r="W3" i="2"/>
  <c r="V12" i="2"/>
  <c r="V5" i="2"/>
  <c r="V10" i="2" s="1"/>
  <c r="V4" i="2"/>
  <c r="V9" i="2"/>
  <c r="V8" i="2"/>
  <c r="V7" i="2"/>
  <c r="V6" i="2"/>
  <c r="V3" i="2"/>
  <c r="V11" i="2"/>
  <c r="T20" i="2"/>
  <c r="S20" i="2"/>
  <c r="T19" i="2"/>
  <c r="S19" i="2"/>
  <c r="T18" i="2"/>
  <c r="U20" i="2"/>
  <c r="U19" i="2"/>
  <c r="U18" i="2"/>
  <c r="T32" i="2"/>
  <c r="U32" i="2"/>
  <c r="U45" i="2"/>
  <c r="U46" i="2" s="1"/>
  <c r="T45" i="2"/>
  <c r="T46" i="2" s="1"/>
  <c r="T24" i="2"/>
  <c r="T58" i="2"/>
  <c r="S58" i="2"/>
  <c r="S56" i="2"/>
  <c r="T56" i="2"/>
  <c r="U58" i="2"/>
  <c r="U56" i="2"/>
  <c r="S9" i="2"/>
  <c r="S5" i="2"/>
  <c r="T9" i="2"/>
  <c r="T5" i="2"/>
  <c r="U9" i="2"/>
  <c r="U5" i="2"/>
  <c r="U24" i="2"/>
  <c r="T2" i="2"/>
  <c r="U2" i="2" s="1"/>
  <c r="V2" i="2" s="1"/>
  <c r="W2" i="2" s="1"/>
  <c r="X2" i="2" s="1"/>
  <c r="Y2" i="2" s="1"/>
  <c r="Z2" i="2" s="1"/>
  <c r="AA2" i="2" s="1"/>
  <c r="AB2" i="2" s="1"/>
  <c r="L42" i="2"/>
  <c r="L39" i="2"/>
  <c r="L38" i="2"/>
  <c r="L32" i="2"/>
  <c r="L35" i="2" s="1"/>
  <c r="H9" i="2"/>
  <c r="H5" i="2"/>
  <c r="L9" i="2"/>
  <c r="L5" i="2"/>
  <c r="M7" i="1"/>
  <c r="M4" i="1"/>
  <c r="Z8" i="2" l="1"/>
  <c r="W10" i="2"/>
  <c r="X7" i="2"/>
  <c r="Y7" i="2" s="1"/>
  <c r="Z7" i="2" s="1"/>
  <c r="AA7" i="2" s="1"/>
  <c r="AB7" i="2" s="1"/>
  <c r="X9" i="2"/>
  <c r="X10" i="2" s="1"/>
  <c r="X19" i="2"/>
  <c r="X18" i="2"/>
  <c r="Y3" i="2"/>
  <c r="W19" i="2"/>
  <c r="V13" i="2"/>
  <c r="V14" i="2" s="1"/>
  <c r="V19" i="2"/>
  <c r="V18" i="2"/>
  <c r="V20" i="2"/>
  <c r="W18" i="2"/>
  <c r="L44" i="2"/>
  <c r="L45" i="2" s="1"/>
  <c r="L46" i="2" s="1"/>
  <c r="S10" i="2"/>
  <c r="S12" i="2" s="1"/>
  <c r="S14" i="2" s="1"/>
  <c r="S15" i="2" s="1"/>
  <c r="U10" i="2"/>
  <c r="U12" i="2" s="1"/>
  <c r="U14" i="2" s="1"/>
  <c r="T10" i="2"/>
  <c r="T12" i="2" s="1"/>
  <c r="T14" i="2" s="1"/>
  <c r="L10" i="2"/>
  <c r="L12" i="2" s="1"/>
  <c r="L14" i="2" s="1"/>
  <c r="L15" i="2" s="1"/>
  <c r="H10" i="2"/>
  <c r="H12" i="2" s="1"/>
  <c r="H14" i="2" s="1"/>
  <c r="H15" i="2" s="1"/>
  <c r="X13" i="2" l="1"/>
  <c r="W13" i="2"/>
  <c r="Y9" i="2"/>
  <c r="Y10" i="2" s="1"/>
  <c r="AA8" i="2"/>
  <c r="Z9" i="2"/>
  <c r="Z10" i="2" s="1"/>
  <c r="Z3" i="2"/>
  <c r="Y18" i="2"/>
  <c r="Y19" i="2"/>
  <c r="V24" i="2"/>
  <c r="W20" i="2"/>
  <c r="T49" i="2"/>
  <c r="T48" i="2"/>
  <c r="U49" i="2"/>
  <c r="U48" i="2"/>
  <c r="S51" i="2"/>
  <c r="T15" i="2"/>
  <c r="T51" i="2"/>
  <c r="U15" i="2"/>
  <c r="U51" i="2"/>
  <c r="W11" i="2" l="1"/>
  <c r="Z13" i="2"/>
  <c r="AB8" i="2"/>
  <c r="AB9" i="2" s="1"/>
  <c r="AB10" i="2" s="1"/>
  <c r="AA9" i="2"/>
  <c r="AA10" i="2" s="1"/>
  <c r="Y13" i="2"/>
  <c r="Z18" i="2"/>
  <c r="AA3" i="2"/>
  <c r="Z19" i="2"/>
  <c r="X20" i="2"/>
  <c r="AB13" i="2" l="1"/>
  <c r="W12" i="2"/>
  <c r="W14" i="2"/>
  <c r="W24" i="2" s="1"/>
  <c r="X11" i="2" s="1"/>
  <c r="AA13" i="2"/>
  <c r="AB3" i="2"/>
  <c r="AA18" i="2"/>
  <c r="AA19" i="2"/>
  <c r="Y20" i="2"/>
  <c r="X14" i="2" l="1"/>
  <c r="X24" i="2" s="1"/>
  <c r="Y11" i="2" s="1"/>
  <c r="X12" i="2"/>
  <c r="AB18" i="2"/>
  <c r="AB19" i="2"/>
  <c r="Z20" i="2"/>
  <c r="Y14" i="2" l="1"/>
  <c r="Y24" i="2" s="1"/>
  <c r="Z11" i="2" s="1"/>
  <c r="Y12" i="2"/>
  <c r="AB20" i="2"/>
  <c r="AA20" i="2"/>
  <c r="Z14" i="2" l="1"/>
  <c r="Z12" i="2"/>
  <c r="Z24" i="2"/>
  <c r="AA11" i="2" s="1"/>
  <c r="AA12" i="2" l="1"/>
  <c r="AA14" i="2"/>
  <c r="AA24" i="2" s="1"/>
  <c r="AB11" i="2" s="1"/>
  <c r="AB14" i="2" l="1"/>
  <c r="AB24" i="2" s="1"/>
  <c r="AB12" i="2"/>
  <c r="AC14" i="2" l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E19" i="2" s="1"/>
</calcChain>
</file>

<file path=xl/sharedStrings.xml><?xml version="1.0" encoding="utf-8"?>
<sst xmlns="http://schemas.openxmlformats.org/spreadsheetml/2006/main" count="75" uniqueCount="63">
  <si>
    <t>Price</t>
  </si>
  <si>
    <t>Shares</t>
  </si>
  <si>
    <t>MC</t>
  </si>
  <si>
    <t>Cash</t>
  </si>
  <si>
    <t>Debt</t>
  </si>
  <si>
    <t>EV</t>
  </si>
  <si>
    <t>Q124</t>
  </si>
  <si>
    <t>Q123</t>
  </si>
  <si>
    <t>Q223</t>
  </si>
  <si>
    <t>Q323</t>
  </si>
  <si>
    <t>Q423</t>
  </si>
  <si>
    <t>Q224</t>
  </si>
  <si>
    <t>Q324</t>
  </si>
  <si>
    <t>Q424</t>
  </si>
  <si>
    <t>Q125</t>
  </si>
  <si>
    <t>Q225</t>
  </si>
  <si>
    <t>Sales</t>
  </si>
  <si>
    <t>COGS</t>
  </si>
  <si>
    <t xml:space="preserve">Gross Profit </t>
  </si>
  <si>
    <t>SSO</t>
  </si>
  <si>
    <t>GA</t>
  </si>
  <si>
    <t>Pre-opening</t>
  </si>
  <si>
    <t>OPEX</t>
  </si>
  <si>
    <t>Operating Proft</t>
  </si>
  <si>
    <t>Interest Income</t>
  </si>
  <si>
    <t>Pretax</t>
  </si>
  <si>
    <t>Taxes</t>
  </si>
  <si>
    <t>NI</t>
  </si>
  <si>
    <t>EPS</t>
  </si>
  <si>
    <t xml:space="preserve"> </t>
  </si>
  <si>
    <t>NC</t>
  </si>
  <si>
    <t>Income Tax</t>
  </si>
  <si>
    <t>Receivebles</t>
  </si>
  <si>
    <t>Inventory</t>
  </si>
  <si>
    <t>Prepaid</t>
  </si>
  <si>
    <t>RUA</t>
  </si>
  <si>
    <t>Intagibles</t>
  </si>
  <si>
    <t>DT</t>
  </si>
  <si>
    <t>Other</t>
  </si>
  <si>
    <t>Assets</t>
  </si>
  <si>
    <t>Term loans</t>
  </si>
  <si>
    <t>AP</t>
  </si>
  <si>
    <t>Leases</t>
  </si>
  <si>
    <t>Liabilities</t>
  </si>
  <si>
    <t>S/E</t>
  </si>
  <si>
    <t>L+S/E</t>
  </si>
  <si>
    <t>AE</t>
  </si>
  <si>
    <t>Model NI</t>
  </si>
  <si>
    <t>Reported</t>
  </si>
  <si>
    <t>CFFO</t>
  </si>
  <si>
    <t>CFFI</t>
  </si>
  <si>
    <t>CFFF</t>
  </si>
  <si>
    <t>CIC</t>
  </si>
  <si>
    <t>Capex</t>
  </si>
  <si>
    <t>FCF</t>
  </si>
  <si>
    <t>ROTE</t>
  </si>
  <si>
    <t>ROA</t>
  </si>
  <si>
    <t>Fixed</t>
  </si>
  <si>
    <t>Revenue Growth</t>
  </si>
  <si>
    <t>EBITDA Margin</t>
  </si>
  <si>
    <t>Gross Margin</t>
  </si>
  <si>
    <t>NPV</t>
  </si>
  <si>
    <t>Per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</si>
</sst>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9338-EC63-4B63-9BBF-914A1EB76AD0}">
  <dimension ref="L2:M7"/>
  <sheetViews>
    <sheetView workbookViewId="0">
      <selection activeCell="N7" sqref="N7"/>
    </sheetView>
  </sheetViews>
  <sheetFormatPr defaultRowHeight="15" x14ac:dyDescent="0.25"/>
  <sheetData>
    <row r="2" spans="12:13" x14ac:dyDescent="0.25">
      <c r="L2" t="s">
        <v>0</v>
      </c>
      <c r="M2" s="1">
        <v>82</v>
      </c>
    </row>
    <row r="3" spans="12:13" x14ac:dyDescent="0.25">
      <c r="L3" t="s">
        <v>1</v>
      </c>
      <c r="M3" s="1">
        <v>107.691475</v>
      </c>
    </row>
    <row r="4" spans="12:13" x14ac:dyDescent="0.25">
      <c r="L4" t="s">
        <v>2</v>
      </c>
      <c r="M4" s="1">
        <f>+M3*M2</f>
        <v>8830.7009500000004</v>
      </c>
    </row>
    <row r="5" spans="12:13" x14ac:dyDescent="0.25">
      <c r="L5" t="s">
        <v>3</v>
      </c>
      <c r="M5" s="1">
        <v>176.876</v>
      </c>
    </row>
    <row r="6" spans="12:13" x14ac:dyDescent="0.25">
      <c r="L6" t="s">
        <v>4</v>
      </c>
      <c r="M6" s="1">
        <v>0</v>
      </c>
    </row>
    <row r="7" spans="12:13" x14ac:dyDescent="0.25">
      <c r="L7" t="s">
        <v>5</v>
      </c>
      <c r="M7" s="1">
        <f>+M4-M5+M6</f>
        <v>8653.8249500000002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F5B9-D511-4C39-A0EB-B3FB0B27D033}">
  <dimension ref="A1:AW5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RowHeight="15" x14ac:dyDescent="0.25"/>
  <cols>
    <col min="2" max="2" width="14.7109375" bestFit="1" customWidth="1"/>
    <col min="17" max="30" width="9.140625" style="1"/>
    <col min="31" max="31" width="9.42578125" style="1" bestFit="1" customWidth="1"/>
    <col min="32" max="16384" width="9.140625" style="1"/>
  </cols>
  <sheetData>
    <row r="1" spans="2:49" customFormat="1" x14ac:dyDescent="0.25"/>
    <row r="2" spans="2:49" customFormat="1" x14ac:dyDescent="0.25"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R2">
        <v>2021</v>
      </c>
      <c r="S2">
        <v>2022</v>
      </c>
      <c r="T2">
        <f>+S2+1</f>
        <v>2023</v>
      </c>
      <c r="U2">
        <f t="shared" ref="U2:AB2" si="0">+T2+1</f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 t="s">
        <v>29</v>
      </c>
    </row>
    <row r="3" spans="2:49" x14ac:dyDescent="0.25">
      <c r="B3" t="s">
        <v>16</v>
      </c>
      <c r="C3" s="1"/>
      <c r="D3" s="1"/>
      <c r="E3" s="1"/>
      <c r="F3" s="1"/>
      <c r="G3" s="1"/>
      <c r="H3" s="1">
        <v>1133.1389999999999</v>
      </c>
      <c r="I3" s="1">
        <v>1117</v>
      </c>
      <c r="J3" s="1">
        <v>1107</v>
      </c>
      <c r="K3" s="1">
        <v>1160</v>
      </c>
      <c r="L3" s="1">
        <v>1214.1500000000001</v>
      </c>
      <c r="S3" s="1">
        <v>4264.473</v>
      </c>
      <c r="T3" s="1">
        <v>4413.884</v>
      </c>
      <c r="U3" s="1">
        <v>4455.72</v>
      </c>
      <c r="V3" s="1">
        <f>2374*2</f>
        <v>4748</v>
      </c>
      <c r="W3" s="1">
        <f>+V3*1.08</f>
        <v>5127.84</v>
      </c>
      <c r="X3" s="1">
        <f t="shared" ref="X3:AB3" si="1">+W3*1.08</f>
        <v>5538.0672000000004</v>
      </c>
      <c r="Y3" s="1">
        <f t="shared" si="1"/>
        <v>5981.1125760000004</v>
      </c>
      <c r="Z3" s="1">
        <f t="shared" si="1"/>
        <v>6459.6015820800012</v>
      </c>
      <c r="AA3" s="1">
        <f t="shared" si="1"/>
        <v>6976.3697086464017</v>
      </c>
      <c r="AB3" s="1">
        <f t="shared" si="1"/>
        <v>7534.4792853381141</v>
      </c>
    </row>
    <row r="4" spans="2:49" x14ac:dyDescent="0.25">
      <c r="B4" t="s">
        <v>17</v>
      </c>
      <c r="C4" s="1"/>
      <c r="D4" s="1"/>
      <c r="E4" s="1"/>
      <c r="F4" s="1"/>
      <c r="G4" s="1"/>
      <c r="H4" s="1">
        <v>642.10500000000002</v>
      </c>
      <c r="I4" s="1">
        <v>632</v>
      </c>
      <c r="J4" s="1">
        <v>626</v>
      </c>
      <c r="K4" s="1">
        <v>652.6</v>
      </c>
      <c r="L4" s="1">
        <v>681.46199999999999</v>
      </c>
      <c r="S4" s="1">
        <v>2536.7570000000001</v>
      </c>
      <c r="T4" s="1">
        <v>2555.5360000000001</v>
      </c>
      <c r="U4" s="1">
        <v>2527.5189999999998</v>
      </c>
      <c r="V4" s="1">
        <f>1334*2</f>
        <v>2668</v>
      </c>
      <c r="W4" s="1">
        <f>+V4*1.08</f>
        <v>2881.44</v>
      </c>
      <c r="X4" s="1">
        <f t="shared" ref="X4:AB4" si="2">+W4*1.08</f>
        <v>3111.9552000000003</v>
      </c>
      <c r="Y4" s="1">
        <f t="shared" si="2"/>
        <v>3360.9116160000008</v>
      </c>
      <c r="Z4" s="1">
        <f t="shared" si="2"/>
        <v>3629.7845452800011</v>
      </c>
      <c r="AA4" s="1">
        <f t="shared" si="2"/>
        <v>3920.1673089024016</v>
      </c>
      <c r="AB4" s="1">
        <f t="shared" si="2"/>
        <v>4233.7806936145944</v>
      </c>
    </row>
    <row r="5" spans="2:49" x14ac:dyDescent="0.25">
      <c r="B5" t="s">
        <v>18</v>
      </c>
      <c r="C5" s="1"/>
      <c r="D5" s="1"/>
      <c r="E5" s="1"/>
      <c r="F5" s="1"/>
      <c r="G5" s="1"/>
      <c r="H5" s="1">
        <f>+H3-H4</f>
        <v>491.03399999999988</v>
      </c>
      <c r="I5" s="1"/>
      <c r="J5" s="1"/>
      <c r="K5" s="1"/>
      <c r="L5" s="1">
        <f>+L3-L4</f>
        <v>532.6880000000001</v>
      </c>
      <c r="S5" s="1">
        <f>+S3-S4</f>
        <v>1727.7159999999999</v>
      </c>
      <c r="T5" s="1">
        <f>+T3-T4</f>
        <v>1858.348</v>
      </c>
      <c r="U5" s="1">
        <f>+U3-U4</f>
        <v>1928.2010000000005</v>
      </c>
      <c r="V5" s="1">
        <f>+V3-V4</f>
        <v>2080</v>
      </c>
      <c r="W5" s="1">
        <f t="shared" ref="W5:AB5" si="3">+W3-W4</f>
        <v>2246.4</v>
      </c>
      <c r="X5" s="1">
        <f t="shared" si="3"/>
        <v>2426.1120000000001</v>
      </c>
      <c r="Y5" s="1">
        <f t="shared" si="3"/>
        <v>2620.2009599999997</v>
      </c>
      <c r="Z5" s="1">
        <f t="shared" si="3"/>
        <v>2829.8170368000001</v>
      </c>
      <c r="AA5" s="1">
        <f t="shared" si="3"/>
        <v>3056.2023997440001</v>
      </c>
      <c r="AB5" s="1">
        <f t="shared" si="3"/>
        <v>3300.6985917235197</v>
      </c>
    </row>
    <row r="6" spans="2:49" x14ac:dyDescent="0.25">
      <c r="B6" t="s">
        <v>19</v>
      </c>
      <c r="C6" s="1"/>
      <c r="D6" s="1"/>
      <c r="E6" s="1"/>
      <c r="F6" s="1"/>
      <c r="G6" s="1"/>
      <c r="H6" s="1">
        <v>341.40800000000002</v>
      </c>
      <c r="I6" s="1"/>
      <c r="J6" s="1"/>
      <c r="K6" s="1"/>
      <c r="L6" s="1">
        <v>376.24</v>
      </c>
      <c r="S6" s="1">
        <v>1078.4659999999999</v>
      </c>
      <c r="T6" s="1">
        <v>1239.2249999999999</v>
      </c>
      <c r="U6" s="1">
        <v>1362.325</v>
      </c>
      <c r="V6" s="1">
        <f>+U6*1.03</f>
        <v>1403.1947500000001</v>
      </c>
      <c r="W6" s="1">
        <f t="shared" ref="W6:AB6" si="4">+V6*1.03</f>
        <v>1445.2905925000002</v>
      </c>
      <c r="X6" s="1">
        <f t="shared" si="4"/>
        <v>1488.6493102750003</v>
      </c>
      <c r="Y6" s="1">
        <f t="shared" si="4"/>
        <v>1533.3087895832502</v>
      </c>
      <c r="Z6" s="1">
        <f t="shared" si="4"/>
        <v>1579.3080532707479</v>
      </c>
      <c r="AA6" s="1">
        <f t="shared" si="4"/>
        <v>1626.6872948688704</v>
      </c>
      <c r="AB6" s="1">
        <f t="shared" si="4"/>
        <v>1675.4879137149364</v>
      </c>
    </row>
    <row r="7" spans="2:49" x14ac:dyDescent="0.25">
      <c r="B7" t="s">
        <v>20</v>
      </c>
      <c r="C7" s="1"/>
      <c r="D7" s="1"/>
      <c r="E7" s="1"/>
      <c r="F7" s="1"/>
      <c r="G7" s="1"/>
      <c r="H7" s="1">
        <v>67.671000000000006</v>
      </c>
      <c r="I7" s="1"/>
      <c r="J7" s="1"/>
      <c r="K7" s="1"/>
      <c r="L7" s="1">
        <v>69.430000000000007</v>
      </c>
      <c r="S7" s="1">
        <v>213.84800000000001</v>
      </c>
      <c r="T7" s="1">
        <v>252.71299999999999</v>
      </c>
      <c r="U7" s="1">
        <v>266.16500000000002</v>
      </c>
      <c r="V7" s="1">
        <f t="shared" ref="V7:AB8" si="5">+U7*1.03</f>
        <v>274.14995000000005</v>
      </c>
      <c r="W7" s="1">
        <f t="shared" si="5"/>
        <v>282.37444850000003</v>
      </c>
      <c r="X7" s="1">
        <f t="shared" si="5"/>
        <v>290.84568195500003</v>
      </c>
      <c r="Y7" s="1">
        <f t="shared" si="5"/>
        <v>299.57105241365002</v>
      </c>
      <c r="Z7" s="1">
        <f t="shared" si="5"/>
        <v>308.55818398605953</v>
      </c>
      <c r="AA7" s="1">
        <f t="shared" si="5"/>
        <v>317.81492950564132</v>
      </c>
      <c r="AB7" s="1">
        <f t="shared" si="5"/>
        <v>327.34937739081056</v>
      </c>
    </row>
    <row r="8" spans="2:49" x14ac:dyDescent="0.25">
      <c r="B8" t="s">
        <v>21</v>
      </c>
      <c r="C8" s="1"/>
      <c r="D8" s="1"/>
      <c r="E8" s="1"/>
      <c r="F8" s="1"/>
      <c r="G8" s="1"/>
      <c r="H8" s="1">
        <v>10.627000000000001</v>
      </c>
      <c r="I8" s="1"/>
      <c r="J8" s="1"/>
      <c r="K8" s="1"/>
      <c r="L8" s="1">
        <v>5.1239999999999997</v>
      </c>
      <c r="S8" s="1">
        <v>38.642000000000003</v>
      </c>
      <c r="T8" s="1">
        <v>44.981999999999999</v>
      </c>
      <c r="U8" s="1">
        <v>43.585000000000001</v>
      </c>
      <c r="V8" s="1">
        <f t="shared" si="5"/>
        <v>44.89255</v>
      </c>
      <c r="W8" s="1">
        <f t="shared" si="5"/>
        <v>46.239326500000004</v>
      </c>
      <c r="X8" s="1">
        <f t="shared" si="5"/>
        <v>47.626506295000006</v>
      </c>
      <c r="Y8" s="1">
        <f t="shared" si="5"/>
        <v>49.055301483850009</v>
      </c>
      <c r="Z8" s="1">
        <f t="shared" si="5"/>
        <v>50.526960528365514</v>
      </c>
      <c r="AA8" s="1">
        <f t="shared" si="5"/>
        <v>52.042769344216481</v>
      </c>
      <c r="AB8" s="1">
        <f t="shared" si="5"/>
        <v>53.604052424542978</v>
      </c>
    </row>
    <row r="9" spans="2:49" x14ac:dyDescent="0.25">
      <c r="B9" t="s">
        <v>22</v>
      </c>
      <c r="C9" s="1"/>
      <c r="D9" s="1"/>
      <c r="E9" s="1"/>
      <c r="F9" s="1"/>
      <c r="G9" s="1"/>
      <c r="H9" s="1">
        <f>+H8+H7+H6</f>
        <v>419.70600000000002</v>
      </c>
      <c r="I9" s="1"/>
      <c r="J9" s="1"/>
      <c r="K9" s="1"/>
      <c r="L9" s="1">
        <f>+L8+L7+L6</f>
        <v>450.79399999999998</v>
      </c>
      <c r="S9" s="1">
        <f>+S8+S7+S6</f>
        <v>1330.9559999999999</v>
      </c>
      <c r="T9" s="1">
        <f>+T8+T7+T6</f>
        <v>1536.9199999999998</v>
      </c>
      <c r="U9" s="1">
        <f>+U8+U7+U6</f>
        <v>1672.075</v>
      </c>
      <c r="V9" s="1">
        <f>+V8+V7+V6</f>
        <v>1722.2372500000001</v>
      </c>
      <c r="W9" s="1">
        <f t="shared" ref="W9:AB9" si="6">+W8+W7+W6</f>
        <v>1773.9043675000003</v>
      </c>
      <c r="X9" s="1">
        <f t="shared" si="6"/>
        <v>1827.1214985250003</v>
      </c>
      <c r="Y9" s="1">
        <f t="shared" si="6"/>
        <v>1881.9351434807504</v>
      </c>
      <c r="Z9" s="1">
        <f t="shared" si="6"/>
        <v>1938.393197785173</v>
      </c>
      <c r="AA9" s="1">
        <f t="shared" si="6"/>
        <v>1996.5449937187282</v>
      </c>
      <c r="AB9" s="1">
        <f t="shared" si="6"/>
        <v>2056.4413435302899</v>
      </c>
    </row>
    <row r="10" spans="2:49" x14ac:dyDescent="0.25">
      <c r="B10" t="s">
        <v>23</v>
      </c>
      <c r="C10" s="1"/>
      <c r="D10" s="1"/>
      <c r="E10" s="1"/>
      <c r="F10" s="1"/>
      <c r="G10" s="1"/>
      <c r="H10" s="1">
        <f>+H5-H9</f>
        <v>71.327999999999861</v>
      </c>
      <c r="I10" s="1"/>
      <c r="J10" s="1"/>
      <c r="K10" s="1"/>
      <c r="L10" s="1">
        <f>+L5-L9</f>
        <v>81.894000000000119</v>
      </c>
      <c r="S10" s="1">
        <f>+S5-S9</f>
        <v>396.76</v>
      </c>
      <c r="T10" s="1">
        <f>+T5-T9</f>
        <v>321.42800000000011</v>
      </c>
      <c r="U10" s="1">
        <f>+U5-U9</f>
        <v>256.12600000000043</v>
      </c>
      <c r="V10" s="1">
        <f>+V5-V9</f>
        <v>357.76274999999987</v>
      </c>
      <c r="W10" s="1">
        <f t="shared" ref="W10:AB10" si="7">+W5-W9</f>
        <v>472.49563249999983</v>
      </c>
      <c r="X10" s="1">
        <f t="shared" si="7"/>
        <v>598.99050147499975</v>
      </c>
      <c r="Y10" s="1">
        <f t="shared" si="7"/>
        <v>738.26581651924926</v>
      </c>
      <c r="Z10" s="1">
        <f t="shared" si="7"/>
        <v>891.42383901482708</v>
      </c>
      <c r="AA10" s="1">
        <f t="shared" si="7"/>
        <v>1059.6574060252719</v>
      </c>
      <c r="AB10" s="1">
        <f t="shared" si="7"/>
        <v>1244.2572481932298</v>
      </c>
    </row>
    <row r="11" spans="2:49" x14ac:dyDescent="0.25">
      <c r="B11" t="s">
        <v>24</v>
      </c>
      <c r="C11" s="1"/>
      <c r="D11" s="1"/>
      <c r="E11" s="1"/>
      <c r="F11" s="1"/>
      <c r="G11" s="1"/>
      <c r="H11" s="1">
        <v>-0.66300000000000003</v>
      </c>
      <c r="I11" s="1"/>
      <c r="J11" s="1"/>
      <c r="K11" s="1"/>
      <c r="L11" s="1">
        <v>-1.0760000000000001</v>
      </c>
      <c r="S11" s="1">
        <v>-11.138</v>
      </c>
      <c r="T11" s="1">
        <v>-9.8970000000000002</v>
      </c>
      <c r="U11" s="1">
        <v>-2.7730000000000001</v>
      </c>
      <c r="V11" s="1">
        <f>+U24*0.005</f>
        <v>0.9383450000000001</v>
      </c>
      <c r="W11" s="1">
        <f t="shared" ref="W11:AB11" si="8">+V24*0.005</f>
        <v>2.3740877249999994</v>
      </c>
      <c r="X11" s="1">
        <f t="shared" si="8"/>
        <v>4.2759406936249986</v>
      </c>
      <c r="Y11" s="1">
        <f t="shared" si="8"/>
        <v>6.6932824029931224</v>
      </c>
      <c r="Z11" s="1">
        <f t="shared" si="8"/>
        <v>9.6798120810850854</v>
      </c>
      <c r="AA11" s="1">
        <f t="shared" si="8"/>
        <v>13.29390649754982</v>
      </c>
      <c r="AB11" s="1">
        <f t="shared" si="8"/>
        <v>17.599005654138658</v>
      </c>
    </row>
    <row r="12" spans="2:49" x14ac:dyDescent="0.25">
      <c r="B12" t="s">
        <v>25</v>
      </c>
      <c r="C12" s="1"/>
      <c r="D12" s="1"/>
      <c r="E12" s="1"/>
      <c r="F12" s="1"/>
      <c r="G12" s="1"/>
      <c r="H12" s="1">
        <f>+H10+H11</f>
        <v>70.664999999999864</v>
      </c>
      <c r="I12" s="1"/>
      <c r="J12" s="1"/>
      <c r="K12" s="1"/>
      <c r="L12" s="1">
        <f>+L10+L11</f>
        <v>80.818000000000126</v>
      </c>
      <c r="S12" s="1">
        <f>+S10+S11</f>
        <v>385.62200000000001</v>
      </c>
      <c r="T12" s="1">
        <f>+T10+T11</f>
        <v>311.53100000000012</v>
      </c>
      <c r="U12" s="1">
        <f>+U10+U11</f>
        <v>253.35300000000043</v>
      </c>
      <c r="V12" s="1">
        <f>+V10+V11</f>
        <v>358.7010949999999</v>
      </c>
      <c r="W12" s="1">
        <f t="shared" ref="W12:AB12" si="9">+W10+W11</f>
        <v>474.86972022499981</v>
      </c>
      <c r="X12" s="1">
        <f t="shared" si="9"/>
        <v>603.26644216862474</v>
      </c>
      <c r="Y12" s="1">
        <f t="shared" si="9"/>
        <v>744.95909892224233</v>
      </c>
      <c r="Z12" s="1">
        <f t="shared" si="9"/>
        <v>901.10365109591214</v>
      </c>
      <c r="AA12" s="1">
        <f t="shared" si="9"/>
        <v>1072.9513125228218</v>
      </c>
      <c r="AB12" s="1">
        <f t="shared" si="9"/>
        <v>1261.8562538473684</v>
      </c>
    </row>
    <row r="13" spans="2:49" x14ac:dyDescent="0.25">
      <c r="B13" t="s">
        <v>26</v>
      </c>
      <c r="C13" s="1"/>
      <c r="D13" s="1"/>
      <c r="E13" s="1"/>
      <c r="F13" s="1"/>
      <c r="G13" s="1"/>
      <c r="H13" s="1">
        <v>13.999000000000001</v>
      </c>
      <c r="I13" s="1"/>
      <c r="J13" s="1"/>
      <c r="K13" s="1"/>
      <c r="L13" s="1">
        <v>17.64</v>
      </c>
      <c r="S13" s="1">
        <v>87.427000000000007</v>
      </c>
      <c r="T13" s="1">
        <v>65.551000000000002</v>
      </c>
      <c r="U13" s="1">
        <v>47.530999999999999</v>
      </c>
      <c r="V13" s="1">
        <f>+V10*0.2</f>
        <v>71.552549999999982</v>
      </c>
      <c r="W13" s="1">
        <f t="shared" ref="W13:AB13" si="10">+W10*0.2</f>
        <v>94.499126499999974</v>
      </c>
      <c r="X13" s="1">
        <f t="shared" si="10"/>
        <v>119.79810029499995</v>
      </c>
      <c r="Y13" s="1">
        <f t="shared" si="10"/>
        <v>147.65316330384985</v>
      </c>
      <c r="Z13" s="1">
        <f t="shared" si="10"/>
        <v>178.28476780296543</v>
      </c>
      <c r="AA13" s="1">
        <f t="shared" si="10"/>
        <v>211.93148120505441</v>
      </c>
      <c r="AB13" s="1">
        <f t="shared" si="10"/>
        <v>248.85144963864596</v>
      </c>
    </row>
    <row r="14" spans="2:49" x14ac:dyDescent="0.25">
      <c r="B14" t="s">
        <v>27</v>
      </c>
      <c r="C14" s="1">
        <v>69.2</v>
      </c>
      <c r="D14" s="1">
        <v>71.5</v>
      </c>
      <c r="E14" s="1">
        <v>65.900000000000006</v>
      </c>
      <c r="F14" s="1">
        <v>37.1</v>
      </c>
      <c r="G14" s="1">
        <v>50</v>
      </c>
      <c r="H14" s="1">
        <f>+H12-H13</f>
        <v>56.665999999999862</v>
      </c>
      <c r="I14" s="1">
        <v>51.7</v>
      </c>
      <c r="J14" s="1">
        <v>47.5</v>
      </c>
      <c r="K14" s="1">
        <v>48.9</v>
      </c>
      <c r="L14" s="1">
        <f>+L12-L13</f>
        <v>63.178000000000125</v>
      </c>
      <c r="Q14" s="1">
        <v>195</v>
      </c>
      <c r="R14" s="1">
        <v>283.2</v>
      </c>
      <c r="S14" s="1">
        <f>+S12-S13</f>
        <v>298.19499999999999</v>
      </c>
      <c r="T14" s="1">
        <f>+T12-T13</f>
        <v>245.98000000000013</v>
      </c>
      <c r="U14" s="1">
        <f>+U12-U13</f>
        <v>205.82200000000043</v>
      </c>
      <c r="V14" s="1">
        <f>+V10+V11-V13</f>
        <v>287.1485449999999</v>
      </c>
      <c r="W14" s="1">
        <f t="shared" ref="W14:AB14" si="11">+W10+W11-W13</f>
        <v>380.37059372499982</v>
      </c>
      <c r="X14" s="1">
        <f t="shared" si="11"/>
        <v>483.46834187362481</v>
      </c>
      <c r="Y14" s="1">
        <f t="shared" si="11"/>
        <v>597.30593561839248</v>
      </c>
      <c r="Z14" s="1">
        <f t="shared" si="11"/>
        <v>722.81888329294668</v>
      </c>
      <c r="AA14" s="1">
        <f t="shared" si="11"/>
        <v>861.0198313177674</v>
      </c>
      <c r="AB14" s="1">
        <f t="shared" si="11"/>
        <v>1013.0048042087225</v>
      </c>
      <c r="AC14" s="1">
        <f>+AB14*0.99</f>
        <v>1002.8747561666353</v>
      </c>
      <c r="AD14" s="1">
        <f t="shared" ref="AD14:AW14" si="12">+AC14*0.99</f>
        <v>992.84600860496892</v>
      </c>
      <c r="AE14" s="1">
        <f t="shared" si="12"/>
        <v>982.91754851891926</v>
      </c>
      <c r="AF14" s="1">
        <f t="shared" si="12"/>
        <v>973.08837303373002</v>
      </c>
      <c r="AG14" s="1">
        <f t="shared" si="12"/>
        <v>963.35748930339275</v>
      </c>
      <c r="AH14" s="1">
        <f t="shared" si="12"/>
        <v>953.72391441035882</v>
      </c>
      <c r="AI14" s="1">
        <f t="shared" si="12"/>
        <v>944.18667526625518</v>
      </c>
      <c r="AJ14" s="1">
        <f t="shared" si="12"/>
        <v>934.7448085135926</v>
      </c>
      <c r="AK14" s="1">
        <f t="shared" si="12"/>
        <v>925.39736042845664</v>
      </c>
      <c r="AL14" s="1">
        <f t="shared" si="12"/>
        <v>916.14338682417201</v>
      </c>
      <c r="AM14" s="1">
        <f t="shared" si="12"/>
        <v>906.9819529559303</v>
      </c>
      <c r="AN14" s="1">
        <f t="shared" si="12"/>
        <v>897.91213342637093</v>
      </c>
      <c r="AO14" s="1">
        <f t="shared" si="12"/>
        <v>888.93301209210722</v>
      </c>
      <c r="AP14" s="1">
        <f t="shared" si="12"/>
        <v>880.04368197118617</v>
      </c>
      <c r="AQ14" s="1">
        <f t="shared" si="12"/>
        <v>871.2432451514743</v>
      </c>
      <c r="AR14" s="1">
        <f t="shared" si="12"/>
        <v>862.5308126999596</v>
      </c>
      <c r="AS14" s="1">
        <f t="shared" si="12"/>
        <v>853.90550457296001</v>
      </c>
      <c r="AT14" s="1">
        <f t="shared" si="12"/>
        <v>845.36644952723043</v>
      </c>
      <c r="AU14" s="1">
        <f t="shared" si="12"/>
        <v>836.91278503195815</v>
      </c>
      <c r="AV14" s="1">
        <f t="shared" si="12"/>
        <v>828.54365718163854</v>
      </c>
      <c r="AW14" s="1">
        <f t="shared" si="12"/>
        <v>820.25822060982216</v>
      </c>
    </row>
    <row r="15" spans="2:49" x14ac:dyDescent="0.25">
      <c r="B15" t="s">
        <v>28</v>
      </c>
      <c r="C15" s="1"/>
      <c r="D15" s="1"/>
      <c r="E15" s="1"/>
      <c r="F15" s="1"/>
      <c r="G15" s="1"/>
      <c r="H15" s="1">
        <f>+H14/H16</f>
        <v>0.52782771500693815</v>
      </c>
      <c r="I15" s="1"/>
      <c r="J15" s="1"/>
      <c r="K15" s="1"/>
      <c r="L15" s="1">
        <f>+L14/L16</f>
        <v>0.58694884706144779</v>
      </c>
      <c r="S15" s="1">
        <f>+S14/S16</f>
        <v>2.809158651355145</v>
      </c>
      <c r="T15" s="1">
        <f>+T14/T16</f>
        <v>2.3045213513462883</v>
      </c>
      <c r="U15" s="1">
        <f>+U14/U16</f>
        <v>1.9171735424797678</v>
      </c>
    </row>
    <row r="16" spans="2:49" x14ac:dyDescent="0.25">
      <c r="B16" t="s">
        <v>1</v>
      </c>
      <c r="C16" s="1"/>
      <c r="D16" s="1"/>
      <c r="E16" s="1"/>
      <c r="F16" s="1"/>
      <c r="G16" s="1"/>
      <c r="H16" s="1">
        <v>107.357</v>
      </c>
      <c r="I16" s="1"/>
      <c r="J16" s="1"/>
      <c r="K16" s="1"/>
      <c r="L16" s="1">
        <v>107.63800000000001</v>
      </c>
      <c r="R16" s="1">
        <v>105.761</v>
      </c>
      <c r="S16" s="1">
        <v>106.151</v>
      </c>
      <c r="T16" s="1">
        <v>106.738</v>
      </c>
      <c r="U16" s="1">
        <v>107.357</v>
      </c>
    </row>
    <row r="17" spans="1:31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AE17" s="1">
        <v>7.4999999999999997E-2</v>
      </c>
    </row>
    <row r="18" spans="1:31" s="4" customFormat="1" x14ac:dyDescent="0.25">
      <c r="A18" s="3"/>
      <c r="B18" s="3" t="s">
        <v>58</v>
      </c>
      <c r="M18" s="3"/>
      <c r="N18" s="3"/>
      <c r="O18" s="3"/>
      <c r="P18" s="3"/>
      <c r="S18" s="5" t="s">
        <v>29</v>
      </c>
      <c r="T18" s="5">
        <f t="shared" ref="S18:U18" si="13">+T3/S3-1</f>
        <v>3.5036216667335029E-2</v>
      </c>
      <c r="U18" s="5">
        <f>+U3/T3-1</f>
        <v>9.4782735568039733E-3</v>
      </c>
      <c r="V18" s="5">
        <f t="shared" ref="V18:AB18" si="14">+V3/U3-1</f>
        <v>6.559658147280345E-2</v>
      </c>
      <c r="W18" s="5">
        <f t="shared" si="14"/>
        <v>8.0000000000000071E-2</v>
      </c>
      <c r="X18" s="5">
        <f t="shared" si="14"/>
        <v>8.0000000000000071E-2</v>
      </c>
      <c r="Y18" s="5">
        <f t="shared" si="14"/>
        <v>8.0000000000000071E-2</v>
      </c>
      <c r="Z18" s="5">
        <f t="shared" si="14"/>
        <v>8.0000000000000071E-2</v>
      </c>
      <c r="AA18" s="5">
        <f t="shared" si="14"/>
        <v>8.0000000000000071E-2</v>
      </c>
      <c r="AB18" s="5">
        <f t="shared" si="14"/>
        <v>8.0000000000000071E-2</v>
      </c>
      <c r="AD18" s="4" t="s">
        <v>61</v>
      </c>
      <c r="AE18" s="4">
        <f>+NPV(AE17,V14:AW14)-main!M5+main!M6</f>
        <v>8778.38581529363</v>
      </c>
    </row>
    <row r="19" spans="1:31" x14ac:dyDescent="0.25">
      <c r="B19" t="s">
        <v>60</v>
      </c>
      <c r="C19" s="1"/>
      <c r="D19" s="1"/>
      <c r="E19" s="1"/>
      <c r="F19" s="1"/>
      <c r="G19" s="1"/>
      <c r="H19" s="1"/>
      <c r="I19" s="1"/>
      <c r="J19" s="1"/>
      <c r="K19" s="1"/>
      <c r="L19" s="1"/>
      <c r="S19" s="2">
        <f t="shared" ref="S19:U19" si="15">+S5/S3</f>
        <v>0.40514173732604236</v>
      </c>
      <c r="T19" s="2">
        <f t="shared" si="15"/>
        <v>0.42102329830145058</v>
      </c>
      <c r="U19" s="2">
        <f>+U5/U3</f>
        <v>0.43274734498577117</v>
      </c>
      <c r="V19" s="2">
        <f t="shared" ref="V19:AB19" si="16">+V5/V3</f>
        <v>0.43807919123841615</v>
      </c>
      <c r="W19" s="2">
        <f t="shared" si="16"/>
        <v>0.43807919123841615</v>
      </c>
      <c r="X19" s="2">
        <f t="shared" si="16"/>
        <v>0.43807919123841615</v>
      </c>
      <c r="Y19" s="2">
        <f t="shared" si="16"/>
        <v>0.4380791912384161</v>
      </c>
      <c r="Z19" s="2">
        <f t="shared" si="16"/>
        <v>0.4380791912384161</v>
      </c>
      <c r="AA19" s="2">
        <f t="shared" si="16"/>
        <v>0.4380791912384161</v>
      </c>
      <c r="AB19" s="2">
        <f t="shared" si="16"/>
        <v>0.43807919123841599</v>
      </c>
      <c r="AD19" s="1" t="s">
        <v>62</v>
      </c>
      <c r="AE19" s="1">
        <f>+AE18/main!M3</f>
        <v>81.514212850122348</v>
      </c>
    </row>
    <row r="20" spans="1:31" x14ac:dyDescent="0.25">
      <c r="B20" t="s">
        <v>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S20" s="2">
        <f t="shared" ref="S20:U20" si="17">+S10/S3</f>
        <v>9.3038459851897293E-2</v>
      </c>
      <c r="T20" s="2">
        <f t="shared" si="17"/>
        <v>7.282203157128736E-2</v>
      </c>
      <c r="U20" s="2">
        <f>+U10/U3</f>
        <v>5.7482516854739617E-2</v>
      </c>
      <c r="V20" s="2">
        <f t="shared" ref="V20:AB20" si="18">+V10/V3</f>
        <v>7.5350200084245977E-2</v>
      </c>
      <c r="W20" s="2">
        <f t="shared" si="18"/>
        <v>9.2143208933976067E-2</v>
      </c>
      <c r="X20" s="2">
        <f t="shared" si="18"/>
        <v>0.10815876367029272</v>
      </c>
      <c r="Y20" s="2">
        <f t="shared" si="18"/>
        <v>0.12343285753918724</v>
      </c>
      <c r="Z20" s="2">
        <f t="shared" si="18"/>
        <v>0.13799981743267009</v>
      </c>
      <c r="AA20" s="2">
        <f t="shared" si="18"/>
        <v>0.15189238103478797</v>
      </c>
      <c r="AB20" s="2">
        <f t="shared" si="18"/>
        <v>0.16514177039606701</v>
      </c>
    </row>
    <row r="21" spans="1:3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3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31" x14ac:dyDescent="0.25">
      <c r="C23" s="1"/>
      <c r="D23" s="1"/>
      <c r="E23" s="1"/>
      <c r="F23" s="1"/>
      <c r="G23" s="1"/>
      <c r="H23" s="1"/>
      <c r="I23" s="1"/>
      <c r="J23" s="1"/>
      <c r="K23" s="1"/>
      <c r="L23" s="1" t="s">
        <v>29</v>
      </c>
      <c r="U23" s="1" t="s">
        <v>29</v>
      </c>
    </row>
    <row r="24" spans="1:31" x14ac:dyDescent="0.25">
      <c r="B24" t="s"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T24" s="1">
        <f>+T25-T37</f>
        <v>36.381999999999998</v>
      </c>
      <c r="U24" s="1">
        <f>+U25-U37</f>
        <v>187.66900000000001</v>
      </c>
      <c r="V24" s="1">
        <f>+U24+V14</f>
        <v>474.81754499999988</v>
      </c>
      <c r="W24" s="1">
        <f t="shared" ref="W24:AB24" si="19">+V24+W14</f>
        <v>855.1881387249997</v>
      </c>
      <c r="X24" s="1">
        <f t="shared" si="19"/>
        <v>1338.6564805986245</v>
      </c>
      <c r="Y24" s="1">
        <f t="shared" si="19"/>
        <v>1935.9624162170171</v>
      </c>
      <c r="Z24" s="1">
        <f t="shared" si="19"/>
        <v>2658.7812995099639</v>
      </c>
      <c r="AA24" s="1">
        <f t="shared" si="19"/>
        <v>3519.8011308277314</v>
      </c>
      <c r="AB24" s="1">
        <f t="shared" si="19"/>
        <v>4532.8059350364538</v>
      </c>
    </row>
    <row r="25" spans="1:31" x14ac:dyDescent="0.25">
      <c r="B25" t="s">
        <v>3</v>
      </c>
      <c r="C25" s="1"/>
      <c r="D25" s="1"/>
      <c r="E25" s="1"/>
      <c r="F25" s="1"/>
      <c r="G25" s="1"/>
      <c r="H25" s="1"/>
      <c r="I25" s="1"/>
      <c r="J25" s="1"/>
      <c r="K25" s="1"/>
      <c r="L25" s="1">
        <v>176.876</v>
      </c>
      <c r="N25" t="s">
        <v>29</v>
      </c>
      <c r="T25" s="1">
        <v>36.381999999999998</v>
      </c>
      <c r="U25" s="1">
        <v>187.66900000000001</v>
      </c>
    </row>
    <row r="26" spans="1:31" x14ac:dyDescent="0.25">
      <c r="B26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>
        <v>7.4390000000000001</v>
      </c>
    </row>
    <row r="27" spans="1:31" x14ac:dyDescent="0.25">
      <c r="B2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>
        <v>105.392</v>
      </c>
    </row>
    <row r="28" spans="1:31" x14ac:dyDescent="0.25">
      <c r="B28" t="s">
        <v>33</v>
      </c>
      <c r="C28" s="1"/>
      <c r="D28" s="1"/>
      <c r="E28" s="1"/>
      <c r="F28" s="1"/>
      <c r="G28" s="1"/>
      <c r="H28" s="1"/>
      <c r="I28" s="1"/>
      <c r="J28" s="1"/>
      <c r="K28" s="1"/>
      <c r="L28" s="1">
        <v>1211.431</v>
      </c>
      <c r="T28" s="1">
        <v>1106.1500000000001</v>
      </c>
      <c r="U28" s="1">
        <v>1132.5989999999999</v>
      </c>
    </row>
    <row r="29" spans="1:31" x14ac:dyDescent="0.25">
      <c r="B29" t="s">
        <v>34</v>
      </c>
      <c r="C29" s="1"/>
      <c r="D29" s="1"/>
      <c r="E29" s="1"/>
      <c r="F29" s="1"/>
      <c r="G29" s="1"/>
      <c r="H29" s="1"/>
      <c r="I29" s="1"/>
      <c r="J29" s="1"/>
      <c r="K29" s="1"/>
      <c r="L29" s="1">
        <v>52.026000000000003</v>
      </c>
    </row>
    <row r="30" spans="1:31" x14ac:dyDescent="0.25">
      <c r="B30" t="s">
        <v>57</v>
      </c>
      <c r="C30" s="1"/>
      <c r="D30" s="1"/>
      <c r="E30" s="1"/>
      <c r="F30" s="1"/>
      <c r="G30" s="1"/>
      <c r="H30" s="1"/>
      <c r="I30" s="1"/>
      <c r="J30" s="1"/>
      <c r="K30" s="1"/>
      <c r="L30" s="1">
        <v>1820.2149999999999</v>
      </c>
    </row>
    <row r="31" spans="1:31" x14ac:dyDescent="0.25">
      <c r="B31" t="s">
        <v>35</v>
      </c>
      <c r="C31" s="1"/>
      <c r="D31" s="1"/>
      <c r="E31" s="1"/>
      <c r="F31" s="1"/>
      <c r="G31" s="1"/>
      <c r="H31" s="1"/>
      <c r="I31" s="1"/>
      <c r="J31" s="1"/>
      <c r="K31" s="1"/>
      <c r="L31" s="1">
        <v>1587.56</v>
      </c>
    </row>
    <row r="32" spans="1:31" x14ac:dyDescent="0.25">
      <c r="B32" t="s">
        <v>36</v>
      </c>
      <c r="C32" s="1"/>
      <c r="D32" s="1"/>
      <c r="E32" s="1"/>
      <c r="F32" s="1"/>
      <c r="G32" s="1"/>
      <c r="H32" s="1"/>
      <c r="I32" s="1"/>
      <c r="J32" s="1"/>
      <c r="K32" s="1"/>
      <c r="L32" s="1">
        <f>148.369+257.94</f>
        <v>406.30899999999997</v>
      </c>
      <c r="T32" s="1">
        <f>153.869+257.94</f>
        <v>411.80899999999997</v>
      </c>
      <c r="U32" s="1">
        <f>150.203+257.94</f>
        <v>408.14300000000003</v>
      </c>
    </row>
    <row r="33" spans="2:21" x14ac:dyDescent="0.25">
      <c r="B33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>
        <v>18.658000000000001</v>
      </c>
    </row>
    <row r="34" spans="2:21" x14ac:dyDescent="0.25">
      <c r="B34" t="s">
        <v>38</v>
      </c>
      <c r="C34" s="1"/>
      <c r="D34" s="1"/>
      <c r="E34" s="1"/>
      <c r="F34" s="1"/>
      <c r="G34" s="1"/>
      <c r="H34" s="1"/>
      <c r="I34" s="1"/>
      <c r="J34" s="1"/>
      <c r="K34" s="1"/>
      <c r="L34" s="1">
        <v>25.341000000000001</v>
      </c>
    </row>
    <row r="35" spans="2:21" x14ac:dyDescent="0.25">
      <c r="B35" t="s">
        <v>39</v>
      </c>
      <c r="C35" s="1"/>
      <c r="D35" s="1"/>
      <c r="E35" s="1"/>
      <c r="F35" s="1"/>
      <c r="G35" s="1"/>
      <c r="H35" s="1"/>
      <c r="I35" s="1"/>
      <c r="J35" s="1"/>
      <c r="K35" s="1"/>
      <c r="L35" s="1">
        <f>+SUM(L25:L34)</f>
        <v>5411.2470000000012</v>
      </c>
      <c r="M35" t="s">
        <v>29</v>
      </c>
      <c r="T35" s="1">
        <v>4662.55</v>
      </c>
      <c r="U35" s="1">
        <v>5050.4780000000001</v>
      </c>
    </row>
    <row r="36" spans="2:21" x14ac:dyDescent="0.25">
      <c r="C36" s="1"/>
      <c r="D36" s="1"/>
      <c r="E36" s="1"/>
      <c r="F36" s="1"/>
      <c r="G36" s="1"/>
      <c r="H36" s="1"/>
      <c r="I36" s="1"/>
      <c r="J36" s="1"/>
      <c r="K36" s="1"/>
      <c r="L36" s="1" t="s">
        <v>29</v>
      </c>
    </row>
    <row r="37" spans="2:21" x14ac:dyDescent="0.25">
      <c r="B37" t="s">
        <v>4</v>
      </c>
      <c r="C37" s="1"/>
      <c r="D37" s="1"/>
      <c r="E37" s="1"/>
      <c r="F37" s="1"/>
      <c r="G37" s="1"/>
      <c r="H37" s="1"/>
      <c r="I37" s="1"/>
      <c r="J37" s="1"/>
      <c r="K37" s="1"/>
      <c r="L37" s="1">
        <v>0</v>
      </c>
      <c r="T37" s="1">
        <v>0</v>
      </c>
      <c r="U37" s="1">
        <v>0</v>
      </c>
    </row>
    <row r="38" spans="2:21" x14ac:dyDescent="0.25">
      <c r="B38" t="s">
        <v>40</v>
      </c>
      <c r="C38" s="1"/>
      <c r="D38" s="1"/>
      <c r="E38" s="1"/>
      <c r="F38" s="1"/>
      <c r="G38" s="1"/>
      <c r="H38" s="1"/>
      <c r="I38" s="1"/>
      <c r="J38" s="1"/>
      <c r="K38" s="1"/>
      <c r="L38" s="1">
        <f>2.103+194.321</f>
        <v>196.42400000000001</v>
      </c>
      <c r="U38" s="1" t="s">
        <v>29</v>
      </c>
    </row>
    <row r="39" spans="2:21" x14ac:dyDescent="0.25">
      <c r="B39" t="s">
        <v>42</v>
      </c>
      <c r="C39" s="1"/>
      <c r="D39" s="1"/>
      <c r="E39" s="1"/>
      <c r="F39" s="1"/>
      <c r="G39" s="1"/>
      <c r="H39" s="1"/>
      <c r="I39" s="1"/>
      <c r="J39" s="1"/>
      <c r="K39" s="1"/>
      <c r="L39" s="1">
        <f>148.871+1606.545</f>
        <v>1755.4160000000002</v>
      </c>
    </row>
    <row r="40" spans="2:21" x14ac:dyDescent="0.25">
      <c r="B40" t="s">
        <v>41</v>
      </c>
      <c r="C40" s="1"/>
      <c r="D40" s="1"/>
      <c r="E40" s="1"/>
      <c r="F40" s="1"/>
      <c r="G40" s="1"/>
      <c r="H40" s="1"/>
      <c r="I40" s="1"/>
      <c r="J40" s="1"/>
      <c r="K40" s="1"/>
      <c r="L40" s="1">
        <v>777.08199999999999</v>
      </c>
    </row>
    <row r="41" spans="2:21" x14ac:dyDescent="0.25">
      <c r="B41" t="s">
        <v>46</v>
      </c>
      <c r="C41" s="1"/>
      <c r="D41" s="1"/>
      <c r="E41" s="1"/>
      <c r="F41" s="1"/>
      <c r="G41" s="1"/>
      <c r="H41" s="1"/>
      <c r="I41" s="1"/>
      <c r="J41" s="1"/>
      <c r="K41" s="1"/>
      <c r="L41" s="1">
        <v>295.62799999999999</v>
      </c>
    </row>
    <row r="42" spans="2:21" x14ac:dyDescent="0.25">
      <c r="B42" t="s">
        <v>37</v>
      </c>
      <c r="C42" s="1"/>
      <c r="D42" s="1"/>
      <c r="E42" s="1"/>
      <c r="F42" s="1"/>
      <c r="G42" s="1"/>
      <c r="H42" s="1"/>
      <c r="I42" s="1"/>
      <c r="J42" s="1"/>
      <c r="K42" s="1"/>
      <c r="L42" s="1">
        <f>14.097+53.872</f>
        <v>67.968999999999994</v>
      </c>
    </row>
    <row r="43" spans="2:21" x14ac:dyDescent="0.25">
      <c r="B43" t="s">
        <v>38</v>
      </c>
      <c r="C43" s="1"/>
      <c r="D43" s="1"/>
      <c r="E43" s="1"/>
      <c r="F43" s="1"/>
      <c r="G43" s="1"/>
      <c r="H43" s="1"/>
      <c r="I43" s="1"/>
      <c r="J43" s="1"/>
      <c r="K43" s="1"/>
      <c r="L43" s="1">
        <v>24.385999999999999</v>
      </c>
    </row>
    <row r="44" spans="2:21" x14ac:dyDescent="0.25">
      <c r="B44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>
        <f>+SUM(L37:L43)</f>
        <v>3116.9050000000002</v>
      </c>
      <c r="T44" s="1">
        <v>1579.547</v>
      </c>
      <c r="U44" s="1">
        <v>1636.1279999999999</v>
      </c>
    </row>
    <row r="45" spans="2:21" x14ac:dyDescent="0.25">
      <c r="B45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>
        <f>+L35-L44</f>
        <v>2294.342000000001</v>
      </c>
      <c r="T45" s="1">
        <f t="shared" ref="T45:U45" si="20">+T35-T44</f>
        <v>3083.0030000000002</v>
      </c>
      <c r="U45" s="1">
        <f t="shared" si="20"/>
        <v>3414.3500000000004</v>
      </c>
    </row>
    <row r="46" spans="2:21" x14ac:dyDescent="0.25">
      <c r="B4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>
        <f>+L44+L45</f>
        <v>5411.2470000000012</v>
      </c>
      <c r="T46" s="1">
        <f t="shared" ref="T46:U46" si="21">+T44+T45</f>
        <v>4662.55</v>
      </c>
      <c r="U46" s="1">
        <f t="shared" si="21"/>
        <v>5050.4780000000001</v>
      </c>
    </row>
    <row r="47" spans="2:21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21" x14ac:dyDescent="0.25">
      <c r="B48" t="s">
        <v>55</v>
      </c>
      <c r="C48" s="1"/>
      <c r="D48" s="1"/>
      <c r="E48" s="1"/>
      <c r="F48" s="1"/>
      <c r="G48" s="1"/>
      <c r="H48" s="1"/>
      <c r="I48" s="1"/>
      <c r="J48" s="1"/>
      <c r="K48" s="1"/>
      <c r="L48" s="1"/>
      <c r="T48" s="1">
        <f>+T14/(T45-T32)</f>
        <v>9.2086160720636578E-2</v>
      </c>
      <c r="U48" s="1">
        <f>+U14/(U45-U32)</f>
        <v>6.8465677845870362E-2</v>
      </c>
    </row>
    <row r="49" spans="2:21" x14ac:dyDescent="0.25">
      <c r="B49" t="s">
        <v>56</v>
      </c>
      <c r="C49" s="1"/>
      <c r="D49" s="1"/>
      <c r="E49" s="1"/>
      <c r="F49" s="1"/>
      <c r="G49" s="1"/>
      <c r="H49" s="1"/>
      <c r="I49" s="1"/>
      <c r="J49" s="1"/>
      <c r="K49" s="1"/>
      <c r="L49" s="1"/>
      <c r="T49" s="1">
        <f>+T14/T35</f>
        <v>5.2756538803873446E-2</v>
      </c>
      <c r="U49" s="1">
        <f>+U14/U35</f>
        <v>4.0752974272930287E-2</v>
      </c>
    </row>
    <row r="51" spans="2:21" x14ac:dyDescent="0.25">
      <c r="B51" t="s">
        <v>47</v>
      </c>
      <c r="S51" s="1">
        <f>+S14</f>
        <v>298.19499999999999</v>
      </c>
      <c r="T51" s="1">
        <f>+T14</f>
        <v>245.98000000000013</v>
      </c>
      <c r="U51" s="1">
        <f>+U14</f>
        <v>205.82200000000043</v>
      </c>
    </row>
    <row r="52" spans="2:21" x14ac:dyDescent="0.25">
      <c r="B52" t="s">
        <v>48</v>
      </c>
      <c r="S52" s="1">
        <v>298.19499999999999</v>
      </c>
      <c r="T52" s="1">
        <v>245.98</v>
      </c>
      <c r="U52" s="1">
        <v>205.87200000000001</v>
      </c>
    </row>
    <row r="53" spans="2:21" x14ac:dyDescent="0.25">
      <c r="B53" t="s">
        <v>49</v>
      </c>
      <c r="S53" s="1">
        <v>112.45</v>
      </c>
      <c r="T53" s="1">
        <v>803.58900000000006</v>
      </c>
      <c r="U53" s="1">
        <v>603.15499999999997</v>
      </c>
    </row>
    <row r="54" spans="2:21" x14ac:dyDescent="0.25">
      <c r="B54" t="s">
        <v>50</v>
      </c>
      <c r="S54" s="1">
        <v>-455.637</v>
      </c>
      <c r="T54" s="1">
        <v>-564.96600000000001</v>
      </c>
      <c r="U54" s="1">
        <v>-446.82600000000002</v>
      </c>
    </row>
    <row r="55" spans="2:21" x14ac:dyDescent="0.25">
      <c r="B55" t="s">
        <v>51</v>
      </c>
      <c r="S55" s="1">
        <v>213.53700000000001</v>
      </c>
      <c r="T55" s="1">
        <v>-214.035</v>
      </c>
      <c r="U55" s="1">
        <v>-3.0419999999999998</v>
      </c>
    </row>
    <row r="56" spans="2:21" x14ac:dyDescent="0.25">
      <c r="B56" t="s">
        <v>52</v>
      </c>
      <c r="S56" s="1">
        <f>+S53+S54+S55</f>
        <v>-129.65</v>
      </c>
      <c r="T56" s="1">
        <f>+T53+T54+T55</f>
        <v>24.588000000000051</v>
      </c>
      <c r="U56" s="1">
        <f>+U53+U54+U55</f>
        <v>153.28699999999995</v>
      </c>
    </row>
    <row r="57" spans="2:21" x14ac:dyDescent="0.25">
      <c r="B57" t="s">
        <v>53</v>
      </c>
      <c r="S57" s="1">
        <v>-456.6</v>
      </c>
      <c r="T57" s="1">
        <v>-547.62300000000005</v>
      </c>
      <c r="U57" s="1">
        <v>-446.82600000000002</v>
      </c>
    </row>
    <row r="58" spans="2:21" x14ac:dyDescent="0.25">
      <c r="B58" t="s">
        <v>54</v>
      </c>
      <c r="S58" s="1">
        <f t="shared" ref="S58:T58" si="22">+S53+S57</f>
        <v>-344.15000000000003</v>
      </c>
      <c r="T58" s="1">
        <f t="shared" si="22"/>
        <v>255.96600000000001</v>
      </c>
      <c r="U58" s="1">
        <f>+U53+U57</f>
        <v>156.32899999999995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2025-09-04T20:38:31Z</dcterms:created>
  <dcterms:modified xsi:type="dcterms:W3CDTF">2025-09-04T21:51:08Z</dcterms:modified>
</cp:coreProperties>
</file>