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723" documentId="8_{E5C635A4-33B9-4B70-9688-7E0E946CDF22}" xr6:coauthVersionLast="47" xr6:coauthVersionMax="47" xr10:uidLastSave="{7D732357-A059-4D4C-BE5F-DFA1B171D922}"/>
  <bookViews>
    <workbookView xWindow="-105" yWindow="0" windowWidth="14610" windowHeight="15585" xr2:uid="{FD7293C2-3B89-492C-83BA-BFE616B5BA0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V6" i="2"/>
  <c r="W6" i="2" s="1"/>
  <c r="X6" i="2" s="1"/>
  <c r="Y6" i="2" s="1"/>
  <c r="Z6" i="2" s="1"/>
  <c r="AA6" i="2" s="1"/>
  <c r="U6" i="2"/>
  <c r="Y5" i="2"/>
  <c r="Z5" i="2" s="1"/>
  <c r="AA5" i="2" s="1"/>
  <c r="G21" i="1"/>
  <c r="S50" i="2"/>
  <c r="R50" i="2"/>
  <c r="T50" i="2"/>
  <c r="U12" i="2"/>
  <c r="S23" i="2"/>
  <c r="T23" i="2"/>
  <c r="S33" i="2"/>
  <c r="S32" i="2"/>
  <c r="S29" i="2"/>
  <c r="S28" i="2"/>
  <c r="S24" i="2"/>
  <c r="T33" i="2"/>
  <c r="T32" i="2"/>
  <c r="T29" i="2"/>
  <c r="T28" i="2"/>
  <c r="T24" i="2"/>
  <c r="C10" i="2"/>
  <c r="C5" i="2"/>
  <c r="C7" i="2" s="1"/>
  <c r="C20" i="2" s="1"/>
  <c r="D10" i="2"/>
  <c r="D5" i="2"/>
  <c r="D7" i="2" s="1"/>
  <c r="D20" i="2" s="1"/>
  <c r="F10" i="2"/>
  <c r="F5" i="2"/>
  <c r="F7" i="2" s="1"/>
  <c r="F20" i="2" s="1"/>
  <c r="J10" i="2"/>
  <c r="J5" i="2"/>
  <c r="U17" i="2"/>
  <c r="V17" i="2" s="1"/>
  <c r="W17" i="2" s="1"/>
  <c r="X17" i="2" s="1"/>
  <c r="Y17" i="2" s="1"/>
  <c r="Z17" i="2" s="1"/>
  <c r="AA17" i="2" s="1"/>
  <c r="V5" i="2"/>
  <c r="W5" i="2" s="1"/>
  <c r="X5" i="2" s="1"/>
  <c r="U8" i="2"/>
  <c r="V8" i="2" s="1"/>
  <c r="W8" i="2" s="1"/>
  <c r="X8" i="2" s="1"/>
  <c r="Y8" i="2" s="1"/>
  <c r="Z8" i="2" s="1"/>
  <c r="AA8" i="2" s="1"/>
  <c r="R48" i="2"/>
  <c r="S48" i="2"/>
  <c r="T48" i="2"/>
  <c r="U9" i="2"/>
  <c r="Q10" i="2"/>
  <c r="Q5" i="2"/>
  <c r="Q7" i="2" s="1"/>
  <c r="Q20" i="2" s="1"/>
  <c r="R10" i="2"/>
  <c r="R5" i="2"/>
  <c r="R7" i="2" s="1"/>
  <c r="R20" i="2" s="1"/>
  <c r="S10" i="2"/>
  <c r="S5" i="2"/>
  <c r="E10" i="2"/>
  <c r="E5" i="2"/>
  <c r="E7" i="2" s="1"/>
  <c r="E20" i="2" s="1"/>
  <c r="I10" i="2"/>
  <c r="I5" i="2"/>
  <c r="I7" i="2" s="1"/>
  <c r="I20" i="2" s="1"/>
  <c r="G10" i="2"/>
  <c r="G5" i="2"/>
  <c r="G7" i="2" s="1"/>
  <c r="G20" i="2" s="1"/>
  <c r="K10" i="2"/>
  <c r="K5" i="2"/>
  <c r="K7" i="2" s="1"/>
  <c r="T10" i="2"/>
  <c r="T5" i="2"/>
  <c r="R2" i="2"/>
  <c r="S2" i="2" s="1"/>
  <c r="T2" i="2" s="1"/>
  <c r="U2" i="2" s="1"/>
  <c r="V2" i="2" s="1"/>
  <c r="W2" i="2" s="1"/>
  <c r="X2" i="2" s="1"/>
  <c r="Y2" i="2" s="1"/>
  <c r="Z2" i="2" s="1"/>
  <c r="AA2" i="2" s="1"/>
  <c r="H10" i="2"/>
  <c r="H5" i="2"/>
  <c r="H7" i="2" s="1"/>
  <c r="H20" i="2" s="1"/>
  <c r="L10" i="2"/>
  <c r="L5" i="2"/>
  <c r="L7" i="2" s="1"/>
  <c r="L20" i="2" s="1"/>
  <c r="M5" i="1"/>
  <c r="D11" i="1"/>
  <c r="D10" i="1"/>
  <c r="D9" i="1"/>
  <c r="D8" i="1"/>
  <c r="M4" i="1"/>
  <c r="AA19" i="2" l="1"/>
  <c r="T37" i="2"/>
  <c r="K11" i="2"/>
  <c r="K21" i="2" s="1"/>
  <c r="S30" i="2"/>
  <c r="S37" i="2"/>
  <c r="S39" i="2"/>
  <c r="S40" i="2" s="1"/>
  <c r="T30" i="2"/>
  <c r="T39" i="2" s="1"/>
  <c r="T40" i="2" s="1"/>
  <c r="D19" i="2"/>
  <c r="E19" i="2"/>
  <c r="J19" i="2"/>
  <c r="J7" i="2"/>
  <c r="G19" i="2"/>
  <c r="H19" i="2"/>
  <c r="K20" i="2"/>
  <c r="I19" i="2"/>
  <c r="K19" i="2"/>
  <c r="C11" i="2"/>
  <c r="F19" i="2"/>
  <c r="D11" i="2"/>
  <c r="F11" i="2"/>
  <c r="M7" i="1"/>
  <c r="AA7" i="2"/>
  <c r="AA20" i="2" s="1"/>
  <c r="U10" i="2"/>
  <c r="S19" i="2"/>
  <c r="L19" i="2"/>
  <c r="T19" i="2"/>
  <c r="V9" i="2"/>
  <c r="W9" i="2" s="1"/>
  <c r="X9" i="2" s="1"/>
  <c r="Y9" i="2" s="1"/>
  <c r="Z9" i="2" s="1"/>
  <c r="AA9" i="2" s="1"/>
  <c r="S7" i="2"/>
  <c r="S20" i="2" s="1"/>
  <c r="T7" i="2"/>
  <c r="T20" i="2" s="1"/>
  <c r="R19" i="2"/>
  <c r="Q11" i="2"/>
  <c r="R11" i="2"/>
  <c r="E11" i="2"/>
  <c r="E21" i="2" s="1"/>
  <c r="I11" i="2"/>
  <c r="I21" i="2" s="1"/>
  <c r="G11" i="2"/>
  <c r="G21" i="2" s="1"/>
  <c r="K13" i="2"/>
  <c r="K15" i="2" s="1"/>
  <c r="L11" i="2"/>
  <c r="H11" i="2"/>
  <c r="H21" i="2" s="1"/>
  <c r="D13" i="2" l="1"/>
  <c r="D15" i="2" s="1"/>
  <c r="D16" i="2" s="1"/>
  <c r="D21" i="2"/>
  <c r="C13" i="2"/>
  <c r="C15" i="2" s="1"/>
  <c r="C21" i="2"/>
  <c r="F13" i="2"/>
  <c r="F15" i="2" s="1"/>
  <c r="F21" i="2"/>
  <c r="J11" i="2"/>
  <c r="J20" i="2"/>
  <c r="G13" i="2"/>
  <c r="G15" i="2" s="1"/>
  <c r="I13" i="2"/>
  <c r="I15" i="2" s="1"/>
  <c r="E13" i="2"/>
  <c r="E15" i="2" s="1"/>
  <c r="U7" i="2"/>
  <c r="U19" i="2"/>
  <c r="H13" i="2"/>
  <c r="H15" i="2" s="1"/>
  <c r="H16" i="2" s="1"/>
  <c r="W10" i="2"/>
  <c r="L13" i="2"/>
  <c r="L15" i="2" s="1"/>
  <c r="L16" i="2" s="1"/>
  <c r="L21" i="2"/>
  <c r="V10" i="2"/>
  <c r="T11" i="2"/>
  <c r="T21" i="2" s="1"/>
  <c r="S11" i="2"/>
  <c r="S21" i="2" s="1"/>
  <c r="S13" i="2"/>
  <c r="S15" i="2" s="1"/>
  <c r="R13" i="2"/>
  <c r="R15" i="2" s="1"/>
  <c r="R21" i="2"/>
  <c r="Q13" i="2"/>
  <c r="Q15" i="2" s="1"/>
  <c r="Q21" i="2"/>
  <c r="S42" i="2" l="1"/>
  <c r="S43" i="2"/>
  <c r="J13" i="2"/>
  <c r="J15" i="2" s="1"/>
  <c r="J21" i="2"/>
  <c r="T13" i="2"/>
  <c r="T15" i="2" s="1"/>
  <c r="X10" i="2"/>
  <c r="U11" i="2"/>
  <c r="U20" i="2"/>
  <c r="V19" i="2"/>
  <c r="V7" i="2"/>
  <c r="T16" i="2" l="1"/>
  <c r="T43" i="2"/>
  <c r="T42" i="2"/>
  <c r="U13" i="2"/>
  <c r="U14" i="2" s="1"/>
  <c r="U21" i="2"/>
  <c r="Y10" i="2"/>
  <c r="V11" i="2"/>
  <c r="V20" i="2"/>
  <c r="W7" i="2"/>
  <c r="W19" i="2"/>
  <c r="AA10" i="2" l="1"/>
  <c r="Z10" i="2"/>
  <c r="U15" i="2"/>
  <c r="W11" i="2"/>
  <c r="W20" i="2"/>
  <c r="X19" i="2"/>
  <c r="X7" i="2"/>
  <c r="V21" i="2"/>
  <c r="U16" i="2" l="1"/>
  <c r="U23" i="2"/>
  <c r="V12" i="2" s="1"/>
  <c r="Y19" i="2"/>
  <c r="Y7" i="2"/>
  <c r="X11" i="2"/>
  <c r="X20" i="2"/>
  <c r="W21" i="2"/>
  <c r="V13" i="2" l="1"/>
  <c r="X21" i="2"/>
  <c r="Y11" i="2"/>
  <c r="Y20" i="2"/>
  <c r="Z19" i="2"/>
  <c r="Z7" i="2"/>
  <c r="V14" i="2" l="1"/>
  <c r="V15" i="2"/>
  <c r="Y21" i="2"/>
  <c r="Z20" i="2"/>
  <c r="Z11" i="2"/>
  <c r="V16" i="2" l="1"/>
  <c r="V23" i="2"/>
  <c r="W12" i="2" s="1"/>
  <c r="AA11" i="2"/>
  <c r="AA21" i="2" s="1"/>
  <c r="Z21" i="2"/>
  <c r="W13" i="2" l="1"/>
  <c r="W14" i="2" l="1"/>
  <c r="W15" i="2" s="1"/>
  <c r="W16" i="2" l="1"/>
  <c r="W23" i="2"/>
  <c r="X12" i="2" s="1"/>
  <c r="X13" i="2" l="1"/>
  <c r="X14" i="2" l="1"/>
  <c r="X15" i="2" s="1"/>
  <c r="X16" i="2" l="1"/>
  <c r="X23" i="2"/>
  <c r="Y12" i="2" s="1"/>
  <c r="Y13" i="2" l="1"/>
  <c r="Y14" i="2" l="1"/>
  <c r="Y15" i="2" s="1"/>
  <c r="Y16" i="2" l="1"/>
  <c r="Y23" i="2"/>
  <c r="Z12" i="2" s="1"/>
  <c r="Z13" i="2" l="1"/>
  <c r="Z14" i="2" l="1"/>
  <c r="Z15" i="2" s="1"/>
  <c r="Z16" i="2" l="1"/>
  <c r="Z23" i="2"/>
  <c r="AA12" i="2" s="1"/>
  <c r="AA13" i="2" l="1"/>
  <c r="AA14" i="2" l="1"/>
  <c r="AA15" i="2" s="1"/>
  <c r="AB15" i="2" l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AD19" i="2" s="1"/>
  <c r="AA16" i="2"/>
  <c r="AA23" i="2"/>
  <c r="AD20" i="2" l="1"/>
  <c r="AD21" i="2" l="1"/>
  <c r="AD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Simão Clemente</author>
  </authors>
  <commentList>
    <comment ref="AA5" authorId="0" shapeId="0" xr:uid="{73A26522-2532-4229-8407-81A1E691A695}">
      <text>
        <r>
          <rPr>
            <b/>
            <sz val="9"/>
            <color indexed="81"/>
            <rFont val="Tahoma"/>
            <family val="2"/>
          </rPr>
          <t>Simão Clemente:</t>
        </r>
        <r>
          <rPr>
            <sz val="9"/>
            <color indexed="81"/>
            <rFont val="Tahoma"/>
            <family val="2"/>
          </rPr>
          <t xml:space="preserve">
Expects UVC AM about ~1.7Bi
said in Q225
</t>
        </r>
      </text>
    </comment>
  </commentList>
</comments>
</file>

<file path=xl/sharedStrings.xml><?xml version="1.0" encoding="utf-8"?>
<sst xmlns="http://schemas.openxmlformats.org/spreadsheetml/2006/main" count="116" uniqueCount="89">
  <si>
    <t>Shares</t>
  </si>
  <si>
    <t>Cash</t>
  </si>
  <si>
    <t>Price SEK</t>
  </si>
  <si>
    <t>MC SEK</t>
  </si>
  <si>
    <t xml:space="preserve">Cash SEK </t>
  </si>
  <si>
    <t>Debt SEK</t>
  </si>
  <si>
    <t>EV SEK</t>
  </si>
  <si>
    <t>Market Share</t>
  </si>
  <si>
    <t>Asia</t>
  </si>
  <si>
    <t>Europe</t>
  </si>
  <si>
    <t>Rest</t>
  </si>
  <si>
    <t>North America</t>
  </si>
  <si>
    <t>Total</t>
  </si>
  <si>
    <t>1H25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</si>
  <si>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</si>
  <si>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</si>
  <si>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</si>
  <si>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</si>
  <si>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</si>
  <si>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</si>
  <si>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</si>
  <si>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</si>
  <si>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</si>
  <si>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</si>
  <si>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Sales</t>
  </si>
  <si>
    <t>Other</t>
  </si>
  <si>
    <t>Revenue</t>
  </si>
  <si>
    <t>COGS</t>
  </si>
  <si>
    <t>Gross Profit</t>
  </si>
  <si>
    <t>SGA</t>
  </si>
  <si>
    <t xml:space="preserve">External </t>
  </si>
  <si>
    <t>OPEX</t>
  </si>
  <si>
    <t>Operating Profit</t>
  </si>
  <si>
    <t>Interest Income</t>
  </si>
  <si>
    <t>Pretax</t>
  </si>
  <si>
    <t>Taxes</t>
  </si>
  <si>
    <t>NI</t>
  </si>
  <si>
    <t>EPS</t>
  </si>
  <si>
    <t xml:space="preserve">Revenue Growth </t>
  </si>
  <si>
    <t>NC</t>
  </si>
  <si>
    <t>Intagibles</t>
  </si>
  <si>
    <t>RUA</t>
  </si>
  <si>
    <t>Inventory</t>
  </si>
  <si>
    <t>AR</t>
  </si>
  <si>
    <t>Assets</t>
  </si>
  <si>
    <t xml:space="preserve"> </t>
  </si>
  <si>
    <t>Liabilities</t>
  </si>
  <si>
    <t>Leases</t>
  </si>
  <si>
    <t>Condicional</t>
  </si>
  <si>
    <t>S/E</t>
  </si>
  <si>
    <t>L+S/E</t>
  </si>
  <si>
    <t>ROTE</t>
  </si>
  <si>
    <t>ROA</t>
  </si>
  <si>
    <t>CFFF</t>
  </si>
  <si>
    <t>CFFI</t>
  </si>
  <si>
    <t>CFFO</t>
  </si>
  <si>
    <t>CIC</t>
  </si>
  <si>
    <t>Capex</t>
  </si>
  <si>
    <t>FCF</t>
  </si>
  <si>
    <t>Gross Margin</t>
  </si>
  <si>
    <t>EBITDA Margin</t>
  </si>
  <si>
    <t>NPV</t>
  </si>
  <si>
    <t>Claes Lindahl</t>
  </si>
  <si>
    <t>Healthcare</t>
  </si>
  <si>
    <t>Curing</t>
  </si>
  <si>
    <t>Horticulture</t>
  </si>
  <si>
    <t>UV Photosynthesis</t>
  </si>
  <si>
    <t>Use</t>
  </si>
  <si>
    <t>Multilayer colouimetric indicator</t>
  </si>
  <si>
    <t>Dose responsive UV Indicator</t>
  </si>
  <si>
    <t>Patents</t>
  </si>
  <si>
    <t>Serie</t>
  </si>
  <si>
    <t>Date</t>
  </si>
  <si>
    <t>Acquisitions</t>
  </si>
  <si>
    <t>Daro Group</t>
  </si>
  <si>
    <t>Disinfection</t>
  </si>
  <si>
    <t>INT SF</t>
  </si>
  <si>
    <t>Tangible</t>
  </si>
  <si>
    <t xml:space="preserve">Credit </t>
  </si>
  <si>
    <t>Debt</t>
  </si>
  <si>
    <t>Per Share</t>
  </si>
  <si>
    <t>Upside</t>
  </si>
  <si>
    <t>EV/E</t>
  </si>
  <si>
    <t>Competitors</t>
  </si>
  <si>
    <t>LIGHT.AS</t>
  </si>
  <si>
    <t>Price</t>
  </si>
  <si>
    <t>E24</t>
  </si>
  <si>
    <t>EV24</t>
  </si>
  <si>
    <t>UVC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</si>
</sst>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3" fontId="0" fillId="0" borderId="0" xfId="0" applyNumberFormat="1"/>
    <xf numFmtId="0" fontId="3" fillId="0" borderId="0" xfId="0" applyFont="1"/>
    <xf numFmtId="1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3" fontId="4" fillId="0" borderId="0" xfId="0" applyNumberFormat="1" applyFont="1"/>
    <xf numFmtId="4" fontId="3" fillId="0" borderId="0" xfId="0" applyNumberFormat="1" applyFont="1"/>
    <xf numFmtId="9" fontId="3" fillId="0" borderId="0" xfId="0" applyNumberFormat="1" applyFont="1"/>
    <xf numFmtId="9" fontId="4" fillId="0" borderId="0" xfId="0" applyNumberFormat="1" applyFont="1"/>
    <xf numFmtId="8" fontId="4" fillId="0" borderId="0" xfId="0" applyNumberFormat="1" applyFont="1"/>
    <xf numFmtId="164" fontId="3" fillId="0" borderId="0" xfId="0" applyNumberFormat="1" applyFont="1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66675</xdr:rowOff>
    </xdr:from>
    <xdr:to>
      <xdr:col>11</xdr:col>
      <xdr:colOff>600075</xdr:colOff>
      <xdr:row>33</xdr:row>
      <xdr:rowOff>57150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3941C369-A995-071C-C482-F814083F2E47}"/>
            </a:ext>
          </a:extLst>
        </xdr:cNvPr>
        <xdr:cNvCxnSpPr/>
      </xdr:nvCxnSpPr>
      <xdr:spPr>
        <a:xfrm>
          <a:off x="7877175" y="66675"/>
          <a:ext cx="0" cy="6276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38100</xdr:rowOff>
    </xdr:from>
    <xdr:to>
      <xdr:col>20</xdr:col>
      <xdr:colOff>0</xdr:colOff>
      <xdr:row>33</xdr:row>
      <xdr:rowOff>28575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F6B23039-9FA7-4C26-9ED7-1FF24477E819}"/>
            </a:ext>
          </a:extLst>
        </xdr:cNvPr>
        <xdr:cNvCxnSpPr/>
      </xdr:nvCxnSpPr>
      <xdr:spPr>
        <a:xfrm>
          <a:off x="12763500" y="38100"/>
          <a:ext cx="0" cy="6276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BE6F-2F9A-44CE-932A-C1DB5201C07F}">
  <dimension ref="B2:N24"/>
  <sheetViews>
    <sheetView tabSelected="1" workbookViewId="0">
      <selection activeCell="B25" sqref="B25"/>
    </sheetView>
  </sheetViews>
  <sheetFormatPr defaultRowHeight="15" x14ac:dyDescent="0.25"/>
  <cols>
    <col min="2" max="2" width="25.85546875" bestFit="1" customWidth="1"/>
    <col min="3" max="3" width="14.5703125" customWidth="1"/>
    <col min="4" max="4" width="12" bestFit="1" customWidth="1"/>
    <col min="7" max="7" width="10.5703125" bestFit="1" customWidth="1"/>
  </cols>
  <sheetData>
    <row r="2" spans="2:14" x14ac:dyDescent="0.25">
      <c r="B2" t="s">
        <v>76</v>
      </c>
      <c r="D2" t="s">
        <v>88</v>
      </c>
      <c r="L2" t="s">
        <v>2</v>
      </c>
      <c r="M2">
        <v>194</v>
      </c>
    </row>
    <row r="3" spans="2:14" x14ac:dyDescent="0.25">
      <c r="B3" t="s">
        <v>62</v>
      </c>
      <c r="C3" t="s">
        <v>63</v>
      </c>
      <c r="D3" t="s">
        <v>75</v>
      </c>
      <c r="L3" t="s">
        <v>0</v>
      </c>
      <c r="M3" s="2">
        <v>29.745999999999999</v>
      </c>
      <c r="N3" t="s">
        <v>23</v>
      </c>
    </row>
    <row r="4" spans="2:14" x14ac:dyDescent="0.25">
      <c r="C4" t="s">
        <v>64</v>
      </c>
      <c r="D4" t="s">
        <v>64</v>
      </c>
      <c r="L4" t="s">
        <v>3</v>
      </c>
      <c r="M4" s="2">
        <f>+M2*M3</f>
        <v>5770.7240000000002</v>
      </c>
    </row>
    <row r="5" spans="2:14" x14ac:dyDescent="0.25">
      <c r="C5" t="s">
        <v>65</v>
      </c>
      <c r="D5" t="s">
        <v>66</v>
      </c>
      <c r="L5" t="s">
        <v>4</v>
      </c>
      <c r="M5" s="2">
        <f>100.313+9.012</f>
        <v>109.325</v>
      </c>
      <c r="N5" t="s">
        <v>23</v>
      </c>
    </row>
    <row r="6" spans="2:14" x14ac:dyDescent="0.25">
      <c r="L6" t="s">
        <v>5</v>
      </c>
      <c r="M6" s="2">
        <v>0</v>
      </c>
      <c r="N6" t="s">
        <v>23</v>
      </c>
    </row>
    <row r="7" spans="2:14" x14ac:dyDescent="0.25">
      <c r="B7" t="s">
        <v>7</v>
      </c>
      <c r="C7" t="s">
        <v>13</v>
      </c>
      <c r="L7" t="s">
        <v>6</v>
      </c>
      <c r="M7" s="2">
        <f>+M4-M5+M6</f>
        <v>5661.3990000000003</v>
      </c>
    </row>
    <row r="8" spans="2:14" x14ac:dyDescent="0.25">
      <c r="B8" t="s">
        <v>8</v>
      </c>
      <c r="C8" s="2">
        <v>55.067</v>
      </c>
      <c r="D8" s="1">
        <f>+C8/C12</f>
        <v>0.13169386622790236</v>
      </c>
    </row>
    <row r="9" spans="2:14" x14ac:dyDescent="0.25">
      <c r="B9" t="s">
        <v>9</v>
      </c>
      <c r="C9" s="2">
        <v>110.08799999999999</v>
      </c>
      <c r="D9" s="1">
        <f>+C9/C12</f>
        <v>0.26327772250707887</v>
      </c>
    </row>
    <row r="10" spans="2:14" x14ac:dyDescent="0.25">
      <c r="B10" t="s">
        <v>11</v>
      </c>
      <c r="C10" s="2">
        <v>252.98400000000001</v>
      </c>
      <c r="D10" s="1">
        <f>+C10/C12</f>
        <v>0.60501645366189638</v>
      </c>
    </row>
    <row r="11" spans="2:14" x14ac:dyDescent="0.25">
      <c r="B11" t="s">
        <v>10</v>
      </c>
      <c r="C11" s="2">
        <v>5.0000000000000001E-3</v>
      </c>
      <c r="D11" s="1">
        <f>+C11/C12</f>
        <v>1.1957603122369327E-5</v>
      </c>
    </row>
    <row r="12" spans="2:14" x14ac:dyDescent="0.25">
      <c r="B12" t="s">
        <v>12</v>
      </c>
      <c r="C12" s="2">
        <v>418.14400000000001</v>
      </c>
      <c r="D12" s="1">
        <v>1</v>
      </c>
    </row>
    <row r="14" spans="2:14" x14ac:dyDescent="0.25">
      <c r="B14" t="s">
        <v>70</v>
      </c>
      <c r="C14" t="s">
        <v>72</v>
      </c>
      <c r="D14" t="s">
        <v>71</v>
      </c>
      <c r="E14" t="s">
        <v>67</v>
      </c>
    </row>
    <row r="15" spans="2:14" x14ac:dyDescent="0.25">
      <c r="C15">
        <v>2025</v>
      </c>
      <c r="D15" s="2">
        <v>12372399</v>
      </c>
      <c r="E15" t="s">
        <v>68</v>
      </c>
    </row>
    <row r="16" spans="2:14" x14ac:dyDescent="0.25">
      <c r="C16">
        <v>2015</v>
      </c>
      <c r="D16">
        <v>9097588</v>
      </c>
      <c r="E16" t="s">
        <v>69</v>
      </c>
    </row>
    <row r="18" spans="2:7" x14ac:dyDescent="0.25">
      <c r="B18" t="s">
        <v>73</v>
      </c>
      <c r="C18">
        <v>2022</v>
      </c>
      <c r="D18" t="s">
        <v>74</v>
      </c>
      <c r="E18" s="2" t="s">
        <v>45</v>
      </c>
    </row>
    <row r="20" spans="2:7" x14ac:dyDescent="0.25">
      <c r="B20" t="s">
        <v>83</v>
      </c>
      <c r="C20" t="s">
        <v>72</v>
      </c>
      <c r="D20" t="s">
        <v>85</v>
      </c>
      <c r="E20" t="s">
        <v>87</v>
      </c>
      <c r="F20" t="s">
        <v>86</v>
      </c>
      <c r="G20" t="s">
        <v>82</v>
      </c>
    </row>
    <row r="21" spans="2:7" x14ac:dyDescent="0.25">
      <c r="B21" t="s">
        <v>84</v>
      </c>
      <c r="C21" s="14">
        <v>45903</v>
      </c>
      <c r="D21">
        <v>22.42</v>
      </c>
      <c r="E21">
        <v>4000</v>
      </c>
      <c r="F21">
        <v>334</v>
      </c>
      <c r="G21" s="15">
        <f>+E21/F21</f>
        <v>11.976047904191617</v>
      </c>
    </row>
    <row r="22" spans="2:7" x14ac:dyDescent="0.25">
      <c r="C22" t="s">
        <v>45</v>
      </c>
    </row>
    <row r="24" spans="2:7" x14ac:dyDescent="0.25">
      <c r="B24">
        <f>0.7338+2.264719+2.070586+3.042396+8.232422+0.415704</f>
        <v>16.759627000000002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35DA-7298-42E8-8F45-965B3501B68A}">
  <dimension ref="A2:BK51"/>
  <sheetViews>
    <sheetView topLeftCell="B1" workbookViewId="0">
      <pane xSplit="1" ySplit="2" topLeftCell="J22" activePane="bottomRight" state="frozen"/>
      <selection activeCell="B1" sqref="B1"/>
      <selection pane="topRight" activeCell="C1" sqref="C1"/>
      <selection pane="bottomLeft" activeCell="B3" sqref="B3"/>
      <selection pane="bottomRight" activeCell="T52" sqref="T52"/>
    </sheetView>
  </sheetViews>
  <sheetFormatPr defaultRowHeight="14.25" x14ac:dyDescent="0.2"/>
  <cols>
    <col min="1" max="1" width="9.140625" style="3"/>
    <col min="2" max="2" width="17.7109375" style="3" bestFit="1" customWidth="1"/>
    <col min="3" max="12" width="9.28515625" style="3" bestFit="1" customWidth="1"/>
    <col min="13" max="16" width="9.140625" style="3"/>
    <col min="17" max="29" width="9.28515625" style="3" bestFit="1" customWidth="1"/>
    <col min="30" max="30" width="14.28515625" style="3" bestFit="1" customWidth="1"/>
    <col min="31" max="63" width="9.28515625" style="3" bestFit="1" customWidth="1"/>
    <col min="64" max="16384" width="9.140625" style="3"/>
  </cols>
  <sheetData>
    <row r="2" spans="1:63" x14ac:dyDescent="0.2"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Q2" s="3">
        <v>2021</v>
      </c>
      <c r="R2" s="3">
        <f>+Q2+1</f>
        <v>2022</v>
      </c>
      <c r="S2" s="3">
        <f t="shared" ref="S2:AA2" si="0">+R2+1</f>
        <v>2023</v>
      </c>
      <c r="T2" s="3">
        <f t="shared" si="0"/>
        <v>2024</v>
      </c>
      <c r="U2" s="3">
        <f t="shared" si="0"/>
        <v>2025</v>
      </c>
      <c r="V2" s="3">
        <f t="shared" si="0"/>
        <v>2026</v>
      </c>
      <c r="W2" s="3">
        <f t="shared" si="0"/>
        <v>2027</v>
      </c>
      <c r="X2" s="3">
        <f t="shared" si="0"/>
        <v>2028</v>
      </c>
      <c r="Y2" s="3">
        <f t="shared" si="0"/>
        <v>2029</v>
      </c>
      <c r="Z2" s="3">
        <f t="shared" si="0"/>
        <v>2030</v>
      </c>
      <c r="AA2" s="3">
        <f t="shared" si="0"/>
        <v>2031</v>
      </c>
    </row>
    <row r="3" spans="1:63" s="5" customFormat="1" x14ac:dyDescent="0.2">
      <c r="A3" s="3"/>
      <c r="B3" s="3" t="s">
        <v>24</v>
      </c>
      <c r="C3" s="4">
        <v>42.869</v>
      </c>
      <c r="D3" s="4">
        <v>44.838999999999999</v>
      </c>
      <c r="E3" s="4">
        <v>43.38</v>
      </c>
      <c r="F3" s="4">
        <v>55.405000000000001</v>
      </c>
      <c r="G3" s="4">
        <v>79.608999999999995</v>
      </c>
      <c r="H3" s="4">
        <v>54.691000000000003</v>
      </c>
      <c r="I3" s="4">
        <v>74.402000000000001</v>
      </c>
      <c r="J3" s="4">
        <v>58.417000000000002</v>
      </c>
      <c r="K3" s="4">
        <v>200.99799999999999</v>
      </c>
      <c r="L3" s="4">
        <v>217.14599999999999</v>
      </c>
      <c r="Q3" s="5">
        <v>9.1479999999999997</v>
      </c>
      <c r="R3" s="5">
        <v>57.783999999999999</v>
      </c>
      <c r="S3" s="5">
        <v>187.23099999999999</v>
      </c>
      <c r="T3" s="5">
        <v>265.28100000000001</v>
      </c>
    </row>
    <row r="4" spans="1:63" s="5" customFormat="1" x14ac:dyDescent="0.2">
      <c r="A4" s="3"/>
      <c r="B4" s="3" t="s">
        <v>25</v>
      </c>
      <c r="C4" s="4">
        <v>2E-3</v>
      </c>
      <c r="D4" s="4">
        <v>0.35499999999999998</v>
      </c>
      <c r="E4" s="4">
        <v>0.23799999999999999</v>
      </c>
      <c r="F4" s="4">
        <v>0.14299999999999999</v>
      </c>
      <c r="G4" s="4">
        <v>6.0000000000000001E-3</v>
      </c>
      <c r="H4" s="4">
        <v>0</v>
      </c>
      <c r="I4" s="4">
        <v>0</v>
      </c>
      <c r="J4" s="4">
        <v>1.2999999999999999E-2</v>
      </c>
      <c r="K4" s="4">
        <v>0</v>
      </c>
      <c r="L4" s="4">
        <v>1E-3</v>
      </c>
      <c r="Q4" s="5">
        <v>0.35699999999999998</v>
      </c>
      <c r="R4" s="5">
        <v>0.93899999999999995</v>
      </c>
      <c r="S4" s="5">
        <v>0.73799999999999999</v>
      </c>
      <c r="T4" s="5">
        <v>1.9E-2</v>
      </c>
    </row>
    <row r="5" spans="1:63" s="8" customFormat="1" ht="15" x14ac:dyDescent="0.25">
      <c r="A5" s="6"/>
      <c r="B5" s="6" t="s">
        <v>26</v>
      </c>
      <c r="C5" s="7">
        <f t="shared" ref="C5:L5" si="1">+C3+C4</f>
        <v>42.871000000000002</v>
      </c>
      <c r="D5" s="7">
        <f t="shared" si="1"/>
        <v>45.193999999999996</v>
      </c>
      <c r="E5" s="7">
        <f t="shared" si="1"/>
        <v>43.618000000000002</v>
      </c>
      <c r="F5" s="7">
        <f t="shared" si="1"/>
        <v>55.548000000000002</v>
      </c>
      <c r="G5" s="7">
        <f t="shared" si="1"/>
        <v>79.614999999999995</v>
      </c>
      <c r="H5" s="7">
        <f t="shared" si="1"/>
        <v>54.691000000000003</v>
      </c>
      <c r="I5" s="7">
        <f t="shared" si="1"/>
        <v>74.402000000000001</v>
      </c>
      <c r="J5" s="7">
        <f t="shared" si="1"/>
        <v>58.43</v>
      </c>
      <c r="K5" s="7">
        <f t="shared" si="1"/>
        <v>200.99799999999999</v>
      </c>
      <c r="L5" s="7">
        <f t="shared" si="1"/>
        <v>217.14699999999999</v>
      </c>
      <c r="Q5" s="8">
        <f>+Q3+Q4</f>
        <v>9.504999999999999</v>
      </c>
      <c r="R5" s="8">
        <f>+R3+R4</f>
        <v>58.722999999999999</v>
      </c>
      <c r="S5" s="8">
        <f>+S3+S4</f>
        <v>187.96899999999999</v>
      </c>
      <c r="T5" s="8">
        <f>+T3+T4</f>
        <v>265.3</v>
      </c>
      <c r="U5" s="8">
        <v>700</v>
      </c>
      <c r="V5" s="8">
        <f>+U5*1.2</f>
        <v>840</v>
      </c>
      <c r="W5" s="8">
        <f t="shared" ref="W5:AA6" si="2">+V5*1.2</f>
        <v>1008</v>
      </c>
      <c r="X5" s="8">
        <f t="shared" si="2"/>
        <v>1209.5999999999999</v>
      </c>
      <c r="Y5" s="8">
        <f t="shared" si="2"/>
        <v>1451.5199999999998</v>
      </c>
      <c r="Z5" s="8">
        <f t="shared" si="2"/>
        <v>1741.8239999999996</v>
      </c>
      <c r="AA5" s="8">
        <f t="shared" si="2"/>
        <v>2090.1887999999994</v>
      </c>
    </row>
    <row r="6" spans="1:63" s="5" customFormat="1" x14ac:dyDescent="0.2">
      <c r="A6" s="3"/>
      <c r="B6" s="3" t="s">
        <v>27</v>
      </c>
      <c r="C6" s="4">
        <v>-9.1259999999999994</v>
      </c>
      <c r="D6" s="4">
        <v>-9.5429999999999993</v>
      </c>
      <c r="E6" s="4">
        <v>-16.709</v>
      </c>
      <c r="F6" s="4">
        <v>-6.1539999999999999</v>
      </c>
      <c r="G6" s="4">
        <v>-14.522</v>
      </c>
      <c r="H6" s="4">
        <v>-8.2959999999999994</v>
      </c>
      <c r="I6" s="4">
        <v>-13.653</v>
      </c>
      <c r="J6" s="4">
        <v>-12.313000000000001</v>
      </c>
      <c r="K6" s="4">
        <v>-12.513</v>
      </c>
      <c r="L6" s="4">
        <v>-16.634</v>
      </c>
      <c r="Q6" s="5">
        <v>-1.2190000000000001</v>
      </c>
      <c r="R6" s="5">
        <v>-27.754999999999999</v>
      </c>
      <c r="S6" s="5">
        <v>-41.533000000000001</v>
      </c>
      <c r="T6" s="5">
        <v>-47.88</v>
      </c>
      <c r="U6" s="5">
        <f>+T6*1.2</f>
        <v>-57.456000000000003</v>
      </c>
      <c r="V6" s="5">
        <f t="shared" ref="V6" si="3">+U6*1.2</f>
        <v>-68.947199999999995</v>
      </c>
      <c r="W6" s="5">
        <f t="shared" si="2"/>
        <v>-82.736639999999994</v>
      </c>
      <c r="X6" s="5">
        <f t="shared" si="2"/>
        <v>-99.283967999999987</v>
      </c>
      <c r="Y6" s="5">
        <f t="shared" si="2"/>
        <v>-119.14076159999998</v>
      </c>
      <c r="Z6" s="5">
        <f t="shared" si="2"/>
        <v>-142.96891391999998</v>
      </c>
      <c r="AA6" s="5">
        <f t="shared" si="2"/>
        <v>-171.56269670399996</v>
      </c>
    </row>
    <row r="7" spans="1:63" s="5" customFormat="1" x14ac:dyDescent="0.2">
      <c r="A7" s="3"/>
      <c r="B7" s="3" t="s">
        <v>28</v>
      </c>
      <c r="C7" s="4">
        <f t="shared" ref="C7:L7" si="4">+C5+C6</f>
        <v>33.745000000000005</v>
      </c>
      <c r="D7" s="4">
        <f t="shared" si="4"/>
        <v>35.650999999999996</v>
      </c>
      <c r="E7" s="4">
        <f t="shared" si="4"/>
        <v>26.909000000000002</v>
      </c>
      <c r="F7" s="4">
        <f t="shared" si="4"/>
        <v>49.394000000000005</v>
      </c>
      <c r="G7" s="4">
        <f t="shared" si="4"/>
        <v>65.092999999999989</v>
      </c>
      <c r="H7" s="4">
        <f t="shared" si="4"/>
        <v>46.395000000000003</v>
      </c>
      <c r="I7" s="4">
        <f t="shared" si="4"/>
        <v>60.749000000000002</v>
      </c>
      <c r="J7" s="4">
        <f t="shared" si="4"/>
        <v>46.116999999999997</v>
      </c>
      <c r="K7" s="4">
        <f t="shared" si="4"/>
        <v>188.48499999999999</v>
      </c>
      <c r="L7" s="4">
        <f t="shared" si="4"/>
        <v>200.51299999999998</v>
      </c>
      <c r="Q7" s="5">
        <f>+Q5+Q6</f>
        <v>8.2859999999999996</v>
      </c>
      <c r="R7" s="5">
        <f>+R5+R6</f>
        <v>30.968</v>
      </c>
      <c r="S7" s="5">
        <f>+S5+S6</f>
        <v>146.43599999999998</v>
      </c>
      <c r="T7" s="5">
        <f>+T5+T6</f>
        <v>217.42000000000002</v>
      </c>
      <c r="U7" s="5">
        <f>+U5+U6</f>
        <v>642.54399999999998</v>
      </c>
      <c r="V7" s="5">
        <f t="shared" ref="V7:AA7" si="5">+V5+V6</f>
        <v>771.05280000000005</v>
      </c>
      <c r="W7" s="5">
        <f t="shared" si="5"/>
        <v>925.26336000000003</v>
      </c>
      <c r="X7" s="5">
        <f t="shared" si="5"/>
        <v>1110.316032</v>
      </c>
      <c r="Y7" s="5">
        <f t="shared" si="5"/>
        <v>1332.3792383999998</v>
      </c>
      <c r="Z7" s="5">
        <f t="shared" si="5"/>
        <v>1598.8550860799996</v>
      </c>
      <c r="AA7" s="5">
        <f t="shared" si="5"/>
        <v>1918.6261032959994</v>
      </c>
    </row>
    <row r="8" spans="1:63" s="5" customFormat="1" x14ac:dyDescent="0.2">
      <c r="A8" s="3"/>
      <c r="B8" s="3" t="s">
        <v>30</v>
      </c>
      <c r="C8" s="4">
        <v>-4.9450000000000003</v>
      </c>
      <c r="D8" s="4">
        <v>-6.8579999999999997</v>
      </c>
      <c r="E8" s="4">
        <v>-6.9829999999999997</v>
      </c>
      <c r="F8" s="4">
        <v>-8.2579999999999991</v>
      </c>
      <c r="G8" s="4">
        <v>-7.2889999999999997</v>
      </c>
      <c r="H8" s="4">
        <v>-17.375</v>
      </c>
      <c r="I8" s="4">
        <v>-13.41</v>
      </c>
      <c r="J8" s="4">
        <v>-14.058</v>
      </c>
      <c r="K8" s="4">
        <v>-9.8640000000000008</v>
      </c>
      <c r="L8" s="4">
        <v>-22.039000000000001</v>
      </c>
      <c r="Q8" s="5">
        <v>-6.3380000000000001</v>
      </c>
      <c r="R8" s="5">
        <v>-17.541</v>
      </c>
      <c r="S8" s="5">
        <v>-27.042999999999999</v>
      </c>
      <c r="T8" s="5">
        <v>-53.618000000000002</v>
      </c>
      <c r="U8" s="5">
        <f>+T8*1.15</f>
        <v>-61.660699999999999</v>
      </c>
      <c r="V8" s="5">
        <f t="shared" ref="V8:AA8" si="6">+U8*1.15</f>
        <v>-70.909804999999992</v>
      </c>
      <c r="W8" s="5">
        <f t="shared" si="6"/>
        <v>-81.546275749999978</v>
      </c>
      <c r="X8" s="5">
        <f t="shared" si="6"/>
        <v>-93.778217112499973</v>
      </c>
      <c r="Y8" s="5">
        <f t="shared" si="6"/>
        <v>-107.84494967937496</v>
      </c>
      <c r="Z8" s="5">
        <f t="shared" si="6"/>
        <v>-124.0216921312812</v>
      </c>
      <c r="AA8" s="5">
        <f t="shared" si="6"/>
        <v>-142.62494595097337</v>
      </c>
    </row>
    <row r="9" spans="1:63" s="5" customFormat="1" x14ac:dyDescent="0.2">
      <c r="A9" s="3"/>
      <c r="B9" s="3" t="s">
        <v>29</v>
      </c>
      <c r="C9" s="4">
        <v>-8.8879999999999999</v>
      </c>
      <c r="D9" s="4">
        <v>-9.7560000000000002</v>
      </c>
      <c r="E9" s="4">
        <v>-10.997</v>
      </c>
      <c r="F9" s="4">
        <v>-12.125</v>
      </c>
      <c r="G9" s="4">
        <v>-9.8480000000000008</v>
      </c>
      <c r="H9" s="4">
        <v>-10.792999999999999</v>
      </c>
      <c r="I9" s="4">
        <v>-10.602</v>
      </c>
      <c r="J9" s="4">
        <v>-11.787000000000001</v>
      </c>
      <c r="K9" s="4">
        <v>-10.653</v>
      </c>
      <c r="L9" s="4">
        <v>-10.811999999999999</v>
      </c>
      <c r="Q9" s="5">
        <v>-7.2380000000000004</v>
      </c>
      <c r="R9" s="5">
        <v>-15.061</v>
      </c>
      <c r="S9" s="5">
        <v>-41.762999999999998</v>
      </c>
      <c r="T9" s="5">
        <v>-43.030999999999999</v>
      </c>
      <c r="U9" s="5">
        <f>+T9*1.1</f>
        <v>-47.334099999999999</v>
      </c>
      <c r="V9" s="5">
        <f t="shared" ref="V9:AA9" si="7">+U9*1.1</f>
        <v>-52.067510000000006</v>
      </c>
      <c r="W9" s="5">
        <f t="shared" si="7"/>
        <v>-57.27426100000001</v>
      </c>
      <c r="X9" s="5">
        <f t="shared" si="7"/>
        <v>-63.001687100000019</v>
      </c>
      <c r="Y9" s="5">
        <f t="shared" si="7"/>
        <v>-69.301855810000021</v>
      </c>
      <c r="Z9" s="5">
        <f t="shared" si="7"/>
        <v>-76.232041391000024</v>
      </c>
      <c r="AA9" s="5">
        <f t="shared" si="7"/>
        <v>-83.855245530100035</v>
      </c>
    </row>
    <row r="10" spans="1:63" s="5" customFormat="1" x14ac:dyDescent="0.2">
      <c r="A10" s="3"/>
      <c r="B10" s="3" t="s">
        <v>31</v>
      </c>
      <c r="C10" s="4">
        <f t="shared" ref="C10:L10" si="8">+C8+C9</f>
        <v>-13.833</v>
      </c>
      <c r="D10" s="4">
        <f t="shared" si="8"/>
        <v>-16.614000000000001</v>
      </c>
      <c r="E10" s="4">
        <f t="shared" si="8"/>
        <v>-17.98</v>
      </c>
      <c r="F10" s="4">
        <f t="shared" si="8"/>
        <v>-20.382999999999999</v>
      </c>
      <c r="G10" s="4">
        <f t="shared" si="8"/>
        <v>-17.137</v>
      </c>
      <c r="H10" s="4">
        <f t="shared" si="8"/>
        <v>-28.167999999999999</v>
      </c>
      <c r="I10" s="4">
        <f t="shared" si="8"/>
        <v>-24.012</v>
      </c>
      <c r="J10" s="4">
        <f t="shared" si="8"/>
        <v>-25.844999999999999</v>
      </c>
      <c r="K10" s="4">
        <f t="shared" si="8"/>
        <v>-20.517000000000003</v>
      </c>
      <c r="L10" s="4">
        <f t="shared" si="8"/>
        <v>-32.850999999999999</v>
      </c>
      <c r="Q10" s="5">
        <f>+Q8+Q9</f>
        <v>-13.576000000000001</v>
      </c>
      <c r="R10" s="5">
        <f>+R8+R9</f>
        <v>-32.602000000000004</v>
      </c>
      <c r="S10" s="5">
        <f>+S8+S9</f>
        <v>-68.805999999999997</v>
      </c>
      <c r="T10" s="5">
        <f>+T8+T9</f>
        <v>-96.649000000000001</v>
      </c>
      <c r="U10" s="5">
        <f>+U8+U9</f>
        <v>-108.9948</v>
      </c>
      <c r="V10" s="5">
        <f t="shared" ref="V10:AA10" si="9">+V8+V9</f>
        <v>-122.977315</v>
      </c>
      <c r="W10" s="5">
        <f t="shared" si="9"/>
        <v>-138.82053674999997</v>
      </c>
      <c r="X10" s="5">
        <f t="shared" si="9"/>
        <v>-156.77990421249999</v>
      </c>
      <c r="Y10" s="5">
        <f t="shared" si="9"/>
        <v>-177.14680548937497</v>
      </c>
      <c r="Z10" s="5">
        <f t="shared" si="9"/>
        <v>-200.25373352228121</v>
      </c>
      <c r="AA10" s="5">
        <f t="shared" si="9"/>
        <v>-226.4801914810734</v>
      </c>
    </row>
    <row r="11" spans="1:63" s="5" customFormat="1" x14ac:dyDescent="0.2">
      <c r="A11" s="3"/>
      <c r="B11" s="3" t="s">
        <v>32</v>
      </c>
      <c r="C11" s="4">
        <f t="shared" ref="C11:L11" si="10">+C7+C10</f>
        <v>19.912000000000006</v>
      </c>
      <c r="D11" s="4">
        <f t="shared" si="10"/>
        <v>19.036999999999995</v>
      </c>
      <c r="E11" s="4">
        <f t="shared" si="10"/>
        <v>8.929000000000002</v>
      </c>
      <c r="F11" s="4">
        <f t="shared" si="10"/>
        <v>29.011000000000006</v>
      </c>
      <c r="G11" s="4">
        <f t="shared" si="10"/>
        <v>47.955999999999989</v>
      </c>
      <c r="H11" s="4">
        <f t="shared" si="10"/>
        <v>18.227000000000004</v>
      </c>
      <c r="I11" s="4">
        <f t="shared" si="10"/>
        <v>36.737000000000002</v>
      </c>
      <c r="J11" s="4">
        <f t="shared" si="10"/>
        <v>20.271999999999998</v>
      </c>
      <c r="K11" s="4">
        <f t="shared" si="10"/>
        <v>167.96799999999999</v>
      </c>
      <c r="L11" s="4">
        <f t="shared" si="10"/>
        <v>167.66199999999998</v>
      </c>
      <c r="Q11" s="5">
        <f>+Q7+Q10</f>
        <v>-5.2900000000000009</v>
      </c>
      <c r="R11" s="5">
        <f>+R7+R10</f>
        <v>-1.6340000000000039</v>
      </c>
      <c r="S11" s="5">
        <f>+S7+S10</f>
        <v>77.629999999999981</v>
      </c>
      <c r="T11" s="5">
        <f>+T7+T10</f>
        <v>120.77100000000002</v>
      </c>
      <c r="U11" s="5">
        <f>+U7+U10</f>
        <v>533.54919999999993</v>
      </c>
      <c r="V11" s="5">
        <f t="shared" ref="V11:AA11" si="11">+V7+V10</f>
        <v>648.07548500000007</v>
      </c>
      <c r="W11" s="5">
        <f t="shared" si="11"/>
        <v>786.44282325000006</v>
      </c>
      <c r="X11" s="5">
        <f t="shared" si="11"/>
        <v>953.53612778749994</v>
      </c>
      <c r="Y11" s="5">
        <f t="shared" si="11"/>
        <v>1155.232432910625</v>
      </c>
      <c r="Z11" s="5">
        <f t="shared" si="11"/>
        <v>1398.6013525577184</v>
      </c>
      <c r="AA11" s="5">
        <f t="shared" si="11"/>
        <v>1692.145911814926</v>
      </c>
    </row>
    <row r="12" spans="1:63" s="5" customFormat="1" x14ac:dyDescent="0.2">
      <c r="A12" s="3"/>
      <c r="B12" s="3" t="s">
        <v>33</v>
      </c>
      <c r="C12" s="4">
        <v>-3.911</v>
      </c>
      <c r="D12" s="4">
        <v>-4.2160000000000002</v>
      </c>
      <c r="E12" s="4">
        <v>-2.2530000000000001</v>
      </c>
      <c r="F12" s="4">
        <v>-3.8340000000000001</v>
      </c>
      <c r="G12" s="4">
        <v>-3.1419999999999999</v>
      </c>
      <c r="H12" s="4">
        <v>-2.9220000000000002</v>
      </c>
      <c r="I12" s="4">
        <v>-4.54</v>
      </c>
      <c r="J12" s="4">
        <v>-0.81399999999999995</v>
      </c>
      <c r="K12" s="4">
        <v>-13.741</v>
      </c>
      <c r="L12" s="4">
        <v>-8.5449999999999999</v>
      </c>
      <c r="Q12" s="5">
        <v>-7.0999999999999994E-2</v>
      </c>
      <c r="R12" s="5">
        <v>-5.3879999999999999</v>
      </c>
      <c r="S12" s="5">
        <v>-14.295</v>
      </c>
      <c r="T12" s="5">
        <v>-9.7899999999999991</v>
      </c>
      <c r="U12" s="5">
        <f>+T23*0.05</f>
        <v>0.9941500000000002</v>
      </c>
      <c r="V12" s="5">
        <f t="shared" ref="V12:AA12" si="12">+U23*0.05</f>
        <v>21.841340649999996</v>
      </c>
      <c r="W12" s="5">
        <f t="shared" si="12"/>
        <v>47.968096850350001</v>
      </c>
      <c r="X12" s="5">
        <f t="shared" si="12"/>
        <v>80.510122734263661</v>
      </c>
      <c r="Y12" s="5">
        <f t="shared" si="12"/>
        <v>120.83792650461244</v>
      </c>
      <c r="Z12" s="5">
        <f t="shared" si="12"/>
        <v>170.60467052180672</v>
      </c>
      <c r="AA12" s="5">
        <f t="shared" si="12"/>
        <v>231.80370542190818</v>
      </c>
    </row>
    <row r="13" spans="1:63" s="5" customFormat="1" x14ac:dyDescent="0.2">
      <c r="A13" s="3"/>
      <c r="B13" s="3" t="s">
        <v>34</v>
      </c>
      <c r="C13" s="4">
        <f t="shared" ref="C13:L13" si="13">+C11+C12</f>
        <v>16.001000000000005</v>
      </c>
      <c r="D13" s="4">
        <f t="shared" si="13"/>
        <v>14.820999999999994</v>
      </c>
      <c r="E13" s="4">
        <f t="shared" si="13"/>
        <v>6.6760000000000019</v>
      </c>
      <c r="F13" s="4">
        <f t="shared" si="13"/>
        <v>25.177000000000007</v>
      </c>
      <c r="G13" s="4">
        <f t="shared" si="13"/>
        <v>44.813999999999986</v>
      </c>
      <c r="H13" s="4">
        <f t="shared" si="13"/>
        <v>15.305000000000003</v>
      </c>
      <c r="I13" s="4">
        <f t="shared" si="13"/>
        <v>32.197000000000003</v>
      </c>
      <c r="J13" s="4">
        <f t="shared" si="13"/>
        <v>19.457999999999998</v>
      </c>
      <c r="K13" s="4">
        <f t="shared" si="13"/>
        <v>154.22699999999998</v>
      </c>
      <c r="L13" s="4">
        <f t="shared" si="13"/>
        <v>159.11699999999999</v>
      </c>
      <c r="Q13" s="5">
        <f>+Q11+Q12</f>
        <v>-5.3610000000000007</v>
      </c>
      <c r="R13" s="5">
        <f>+R11+R12</f>
        <v>-7.0220000000000038</v>
      </c>
      <c r="S13" s="5">
        <f>+S11+S12</f>
        <v>63.33499999999998</v>
      </c>
      <c r="T13" s="5">
        <f>+T11+T12</f>
        <v>110.98100000000002</v>
      </c>
      <c r="U13" s="5">
        <f>+U11+U12</f>
        <v>534.54334999999992</v>
      </c>
      <c r="V13" s="5">
        <f t="shared" ref="V13:AA13" si="14">+V11+V12</f>
        <v>669.91682565000008</v>
      </c>
      <c r="W13" s="5">
        <f t="shared" si="14"/>
        <v>834.41092010035004</v>
      </c>
      <c r="X13" s="5">
        <f t="shared" si="14"/>
        <v>1034.0462505217636</v>
      </c>
      <c r="Y13" s="5">
        <f t="shared" si="14"/>
        <v>1276.0703594152374</v>
      </c>
      <c r="Z13" s="5">
        <f t="shared" si="14"/>
        <v>1569.206023079525</v>
      </c>
      <c r="AA13" s="5">
        <f t="shared" si="14"/>
        <v>1923.9496172368342</v>
      </c>
    </row>
    <row r="14" spans="1:63" s="5" customFormat="1" x14ac:dyDescent="0.2">
      <c r="A14" s="3"/>
      <c r="B14" s="3" t="s">
        <v>35</v>
      </c>
      <c r="C14" s="4">
        <v>-1.2889999999999999</v>
      </c>
      <c r="D14" s="4">
        <v>-3.5339999999999998</v>
      </c>
      <c r="E14" s="4">
        <v>-1.073</v>
      </c>
      <c r="F14" s="4">
        <v>-3.242</v>
      </c>
      <c r="G14" s="4">
        <v>-3.2810000000000001</v>
      </c>
      <c r="H14" s="4">
        <v>-4.806</v>
      </c>
      <c r="I14" s="4">
        <v>-4.72</v>
      </c>
      <c r="J14" s="4">
        <v>-9.7249999999999996</v>
      </c>
      <c r="K14" s="4">
        <v>-24.927</v>
      </c>
      <c r="L14" s="4">
        <v>-33.014000000000003</v>
      </c>
      <c r="Q14" s="5">
        <v>1.07</v>
      </c>
      <c r="R14" s="5">
        <v>1.617</v>
      </c>
      <c r="S14" s="5">
        <v>-9.2260000000000009</v>
      </c>
      <c r="T14" s="5">
        <v>-24.013999999999999</v>
      </c>
      <c r="U14" s="5">
        <f>-U13*0.22</f>
        <v>-117.59953699999998</v>
      </c>
      <c r="V14" s="5">
        <f t="shared" ref="V14:AA14" si="15">-V13*0.22</f>
        <v>-147.38170164300001</v>
      </c>
      <c r="W14" s="5">
        <f t="shared" si="15"/>
        <v>-183.57040242207702</v>
      </c>
      <c r="X14" s="5">
        <f t="shared" si="15"/>
        <v>-227.49017511478797</v>
      </c>
      <c r="Y14" s="5">
        <f t="shared" si="15"/>
        <v>-280.73547907135224</v>
      </c>
      <c r="Z14" s="5">
        <f t="shared" si="15"/>
        <v>-345.22532507749548</v>
      </c>
      <c r="AA14" s="5">
        <f t="shared" si="15"/>
        <v>-423.26891579210354</v>
      </c>
    </row>
    <row r="15" spans="1:63" s="5" customFormat="1" x14ac:dyDescent="0.2">
      <c r="A15" s="3"/>
      <c r="B15" s="3" t="s">
        <v>36</v>
      </c>
      <c r="C15" s="4">
        <f t="shared" ref="C15:L15" si="16">+C13+C14</f>
        <v>14.712000000000005</v>
      </c>
      <c r="D15" s="4">
        <f t="shared" si="16"/>
        <v>11.286999999999995</v>
      </c>
      <c r="E15" s="4">
        <f t="shared" si="16"/>
        <v>5.6030000000000015</v>
      </c>
      <c r="F15" s="4">
        <f t="shared" si="16"/>
        <v>21.935000000000006</v>
      </c>
      <c r="G15" s="4">
        <f t="shared" si="16"/>
        <v>41.532999999999987</v>
      </c>
      <c r="H15" s="4">
        <f t="shared" si="16"/>
        <v>10.499000000000002</v>
      </c>
      <c r="I15" s="4">
        <f t="shared" si="16"/>
        <v>27.477000000000004</v>
      </c>
      <c r="J15" s="4">
        <f t="shared" si="16"/>
        <v>9.7329999999999988</v>
      </c>
      <c r="K15" s="4">
        <f t="shared" si="16"/>
        <v>129.29999999999998</v>
      </c>
      <c r="L15" s="4">
        <f t="shared" si="16"/>
        <v>126.10299999999998</v>
      </c>
      <c r="Q15" s="5">
        <f>+Q13+Q14</f>
        <v>-4.2910000000000004</v>
      </c>
      <c r="R15" s="5">
        <f>+R13+R14</f>
        <v>-5.4050000000000038</v>
      </c>
      <c r="S15" s="5">
        <f>+S13+S14</f>
        <v>54.10899999999998</v>
      </c>
      <c r="T15" s="5">
        <f>+T13+T14</f>
        <v>86.967000000000027</v>
      </c>
      <c r="U15" s="5">
        <f>+U13+U14</f>
        <v>416.94381299999992</v>
      </c>
      <c r="V15" s="5">
        <f t="shared" ref="V15:AA15" si="17">+V13+V14</f>
        <v>522.53512400700004</v>
      </c>
      <c r="W15" s="5">
        <f t="shared" si="17"/>
        <v>650.84051767827305</v>
      </c>
      <c r="X15" s="5">
        <f t="shared" si="17"/>
        <v>806.55607540697565</v>
      </c>
      <c r="Y15" s="5">
        <f t="shared" si="17"/>
        <v>995.33488034388506</v>
      </c>
      <c r="Z15" s="5">
        <f t="shared" si="17"/>
        <v>1223.9806980020296</v>
      </c>
      <c r="AA15" s="5">
        <f t="shared" si="17"/>
        <v>1500.6807014447306</v>
      </c>
      <c r="AB15" s="5">
        <f>+AA15*0.97</f>
        <v>1455.6602804013887</v>
      </c>
      <c r="AC15" s="5">
        <f t="shared" ref="AC15:BK15" si="18">+AB15*0.97</f>
        <v>1411.990471989347</v>
      </c>
      <c r="AD15" s="5">
        <f t="shared" si="18"/>
        <v>1369.6307578296667</v>
      </c>
      <c r="AE15" s="5">
        <f t="shared" si="18"/>
        <v>1328.5418350947766</v>
      </c>
      <c r="AF15" s="5">
        <f t="shared" si="18"/>
        <v>1288.6855800419332</v>
      </c>
      <c r="AG15" s="5">
        <f t="shared" si="18"/>
        <v>1250.0250126406752</v>
      </c>
      <c r="AH15" s="5">
        <f t="shared" si="18"/>
        <v>1212.5242622614549</v>
      </c>
      <c r="AI15" s="5">
        <f t="shared" si="18"/>
        <v>1176.1485343936113</v>
      </c>
      <c r="AJ15" s="5">
        <f t="shared" si="18"/>
        <v>1140.864078361803</v>
      </c>
      <c r="AK15" s="5">
        <f t="shared" si="18"/>
        <v>1106.6381560109489</v>
      </c>
      <c r="AL15" s="5">
        <f t="shared" si="18"/>
        <v>1073.4390113306204</v>
      </c>
      <c r="AM15" s="5">
        <f t="shared" si="18"/>
        <v>1041.2358409907017</v>
      </c>
      <c r="AN15" s="5">
        <f t="shared" si="18"/>
        <v>1009.9987657609806</v>
      </c>
      <c r="AO15" s="5">
        <f t="shared" si="18"/>
        <v>979.69880278815117</v>
      </c>
      <c r="AP15" s="5">
        <f t="shared" si="18"/>
        <v>950.30783870450659</v>
      </c>
      <c r="AQ15" s="5">
        <f t="shared" si="18"/>
        <v>921.79860354337131</v>
      </c>
      <c r="AR15" s="5">
        <f t="shared" si="18"/>
        <v>894.14464543707015</v>
      </c>
      <c r="AS15" s="5">
        <f t="shared" si="18"/>
        <v>867.32030607395802</v>
      </c>
      <c r="AT15" s="5">
        <f t="shared" si="18"/>
        <v>841.30069689173922</v>
      </c>
      <c r="AU15" s="5">
        <f t="shared" si="18"/>
        <v>816.061675984987</v>
      </c>
      <c r="AV15" s="5">
        <f t="shared" si="18"/>
        <v>791.57982570543743</v>
      </c>
      <c r="AW15" s="5">
        <f t="shared" si="18"/>
        <v>767.83243093427427</v>
      </c>
      <c r="AX15" s="5">
        <f t="shared" si="18"/>
        <v>744.79745800624607</v>
      </c>
      <c r="AY15" s="5">
        <f t="shared" si="18"/>
        <v>722.45353426605868</v>
      </c>
      <c r="AZ15" s="5">
        <f t="shared" si="18"/>
        <v>700.77992823807688</v>
      </c>
      <c r="BA15" s="5">
        <f t="shared" si="18"/>
        <v>679.75653039093459</v>
      </c>
      <c r="BB15" s="5">
        <f t="shared" si="18"/>
        <v>659.3638344792065</v>
      </c>
      <c r="BC15" s="5">
        <f t="shared" si="18"/>
        <v>639.58291944483028</v>
      </c>
      <c r="BD15" s="5">
        <f t="shared" si="18"/>
        <v>620.39543186148535</v>
      </c>
      <c r="BE15" s="5">
        <f t="shared" si="18"/>
        <v>601.78356890564078</v>
      </c>
      <c r="BF15" s="5">
        <f t="shared" si="18"/>
        <v>583.73006183847156</v>
      </c>
      <c r="BG15" s="5">
        <f t="shared" si="18"/>
        <v>566.21815998331738</v>
      </c>
      <c r="BH15" s="5">
        <f t="shared" si="18"/>
        <v>549.23161518381789</v>
      </c>
      <c r="BI15" s="5">
        <f t="shared" si="18"/>
        <v>532.75466672830339</v>
      </c>
      <c r="BJ15" s="5">
        <f t="shared" si="18"/>
        <v>516.77202672645433</v>
      </c>
      <c r="BK15" s="5">
        <f t="shared" si="18"/>
        <v>501.2688659246607</v>
      </c>
    </row>
    <row r="16" spans="1:63" s="9" customFormat="1" x14ac:dyDescent="0.2">
      <c r="B16" s="9" t="s">
        <v>37</v>
      </c>
      <c r="C16" s="4" t="s">
        <v>45</v>
      </c>
      <c r="D16" s="4">
        <f>+D15/D17</f>
        <v>0.42325720928488375</v>
      </c>
      <c r="E16" s="4" t="s">
        <v>45</v>
      </c>
      <c r="F16" s="4" t="s">
        <v>45</v>
      </c>
      <c r="G16" s="4" t="s">
        <v>45</v>
      </c>
      <c r="H16" s="4">
        <f>+H15/H17</f>
        <v>0.39108247038664984</v>
      </c>
      <c r="I16" s="4" t="s">
        <v>45</v>
      </c>
      <c r="J16" s="4" t="s">
        <v>45</v>
      </c>
      <c r="K16" s="4" t="s">
        <v>45</v>
      </c>
      <c r="L16" s="4">
        <f>+L15/L17</f>
        <v>4.2477515410785855</v>
      </c>
      <c r="Q16" s="9" t="s">
        <v>45</v>
      </c>
      <c r="R16" s="9" t="s">
        <v>45</v>
      </c>
      <c r="S16" s="9" t="s">
        <v>45</v>
      </c>
      <c r="T16" s="9">
        <f>+T15/T17</f>
        <v>2.9294640751844248</v>
      </c>
      <c r="U16" s="9">
        <f t="shared" ref="U16:AA16" si="19">+U15/U17</f>
        <v>14.044659716374166</v>
      </c>
      <c r="V16" s="9">
        <f t="shared" si="19"/>
        <v>17.601479570418029</v>
      </c>
      <c r="W16" s="9">
        <f t="shared" si="19"/>
        <v>21.923418253049249</v>
      </c>
      <c r="X16" s="9">
        <f t="shared" si="19"/>
        <v>27.168662222756616</v>
      </c>
      <c r="Y16" s="9">
        <f t="shared" si="19"/>
        <v>33.527634329635362</v>
      </c>
      <c r="Z16" s="9">
        <f t="shared" si="19"/>
        <v>41.229517903527793</v>
      </c>
      <c r="AA16" s="9">
        <f t="shared" si="19"/>
        <v>50.550096050282299</v>
      </c>
      <c r="AB16" s="9" t="s">
        <v>45</v>
      </c>
    </row>
    <row r="17" spans="2:30" s="5" customFormat="1" x14ac:dyDescent="0.2">
      <c r="B17" s="5" t="s">
        <v>0</v>
      </c>
      <c r="C17" s="4" t="s">
        <v>45</v>
      </c>
      <c r="D17" s="4">
        <v>26.667000000000002</v>
      </c>
      <c r="E17" s="4"/>
      <c r="F17" s="4"/>
      <c r="G17" s="4"/>
      <c r="H17" s="4">
        <v>26.846</v>
      </c>
      <c r="I17" s="4"/>
      <c r="J17" s="4"/>
      <c r="K17" s="4"/>
      <c r="L17" s="4">
        <v>29.687000000000001</v>
      </c>
      <c r="T17" s="5">
        <v>29.687000000000001</v>
      </c>
      <c r="U17" s="5">
        <f>+T17</f>
        <v>29.687000000000001</v>
      </c>
      <c r="V17" s="5">
        <f t="shared" ref="V17:AA17" si="20">+U17</f>
        <v>29.687000000000001</v>
      </c>
      <c r="W17" s="5">
        <f t="shared" si="20"/>
        <v>29.687000000000001</v>
      </c>
      <c r="X17" s="5">
        <f t="shared" si="20"/>
        <v>29.687000000000001</v>
      </c>
      <c r="Y17" s="5">
        <f t="shared" si="20"/>
        <v>29.687000000000001</v>
      </c>
      <c r="Z17" s="5">
        <f t="shared" si="20"/>
        <v>29.687000000000001</v>
      </c>
      <c r="AA17" s="5">
        <f t="shared" si="20"/>
        <v>29.687000000000001</v>
      </c>
    </row>
    <row r="18" spans="2:30" x14ac:dyDescent="0.2">
      <c r="AD18" s="10">
        <v>0.08</v>
      </c>
    </row>
    <row r="19" spans="2:30" s="6" customFormat="1" ht="15" x14ac:dyDescent="0.25">
      <c r="B19" s="6" t="s">
        <v>38</v>
      </c>
      <c r="C19" s="11" t="s">
        <v>45</v>
      </c>
      <c r="D19" s="11">
        <f t="shared" ref="D19" si="21">+D5/C5-1</f>
        <v>5.4185813253714521E-2</v>
      </c>
      <c r="E19" s="11">
        <f t="shared" ref="E19" si="22">+E5/D5-1</f>
        <v>-3.4871885648537271E-2</v>
      </c>
      <c r="F19" s="11">
        <f t="shared" ref="F19" si="23">+F5/E5-1</f>
        <v>0.27351093585217101</v>
      </c>
      <c r="G19" s="11">
        <f t="shared" ref="G19" si="24">+G5/F5-1</f>
        <v>0.43326492402966799</v>
      </c>
      <c r="H19" s="11">
        <f t="shared" ref="H19" si="25">+H5/G5-1</f>
        <v>-0.31305658481441934</v>
      </c>
      <c r="I19" s="11">
        <f t="shared" ref="I19" si="26">+I5/H5-1</f>
        <v>0.3604066482602255</v>
      </c>
      <c r="J19" s="11">
        <f t="shared" ref="J19" si="27">+J5/I5-1</f>
        <v>-0.21467164861159649</v>
      </c>
      <c r="K19" s="11">
        <f t="shared" ref="K19" si="28">+K5/J5-1</f>
        <v>2.4399794626048261</v>
      </c>
      <c r="L19" s="11">
        <f t="shared" ref="L19" si="29">+L5/K5-1</f>
        <v>8.034408302570184E-2</v>
      </c>
      <c r="Q19" s="11" t="s">
        <v>45</v>
      </c>
      <c r="R19" s="11">
        <f t="shared" ref="R19:S19" si="30">+R5/Q5-1</f>
        <v>5.1781167806417683</v>
      </c>
      <c r="S19" s="11">
        <f t="shared" si="30"/>
        <v>2.2009434122916063</v>
      </c>
      <c r="T19" s="11">
        <f>+T5/S5-1</f>
        <v>0.41140294410248512</v>
      </c>
      <c r="U19" s="11">
        <f t="shared" ref="U19:AA19" si="31">+U5/T5-1</f>
        <v>1.6385224274406331</v>
      </c>
      <c r="V19" s="11">
        <f t="shared" si="31"/>
        <v>0.19999999999999996</v>
      </c>
      <c r="W19" s="11">
        <f t="shared" si="31"/>
        <v>0.19999999999999996</v>
      </c>
      <c r="X19" s="11">
        <f t="shared" si="31"/>
        <v>0.19999999999999996</v>
      </c>
      <c r="Y19" s="11">
        <f t="shared" si="31"/>
        <v>0.19999999999999996</v>
      </c>
      <c r="Z19" s="11">
        <f t="shared" si="31"/>
        <v>0.19999999999999996</v>
      </c>
      <c r="AA19" s="11">
        <f t="shared" si="31"/>
        <v>0.19999999999999996</v>
      </c>
      <c r="AC19" s="6" t="s">
        <v>61</v>
      </c>
      <c r="AD19" s="12">
        <f>+NPV(AD18,U15:BK15)-T23</f>
        <v>11807.991425473285</v>
      </c>
    </row>
    <row r="20" spans="2:30" x14ac:dyDescent="0.2">
      <c r="B20" s="3" t="s">
        <v>59</v>
      </c>
      <c r="C20" s="10">
        <f t="shared" ref="C20:K20" si="32">+C7/C5</f>
        <v>0.78712882834550169</v>
      </c>
      <c r="D20" s="10">
        <f t="shared" si="32"/>
        <v>0.78884365181218741</v>
      </c>
      <c r="E20" s="10">
        <f t="shared" si="32"/>
        <v>0.61692420560319139</v>
      </c>
      <c r="F20" s="10">
        <f t="shared" si="32"/>
        <v>0.88921293295888248</v>
      </c>
      <c r="G20" s="10">
        <f t="shared" si="32"/>
        <v>0.81759718645983792</v>
      </c>
      <c r="H20" s="10">
        <f t="shared" si="32"/>
        <v>0.8483114223546836</v>
      </c>
      <c r="I20" s="10">
        <f t="shared" si="32"/>
        <v>0.81649686836375368</v>
      </c>
      <c r="J20" s="10">
        <f t="shared" si="32"/>
        <v>0.78926921102173542</v>
      </c>
      <c r="K20" s="10">
        <f t="shared" si="32"/>
        <v>0.9377456492104399</v>
      </c>
      <c r="L20" s="10">
        <f>+L7/L5</f>
        <v>0.92339751412637516</v>
      </c>
      <c r="Q20" s="10">
        <f t="shared" ref="Q20:AA20" si="33">+Q7/Q5</f>
        <v>0.87175170962651238</v>
      </c>
      <c r="R20" s="10">
        <f t="shared" si="33"/>
        <v>0.52735725354631069</v>
      </c>
      <c r="S20" s="10">
        <f t="shared" si="33"/>
        <v>0.77904335289329618</v>
      </c>
      <c r="T20" s="10">
        <f t="shared" si="33"/>
        <v>0.81952506596306074</v>
      </c>
      <c r="U20" s="10">
        <f t="shared" si="33"/>
        <v>0.91791999999999996</v>
      </c>
      <c r="V20" s="10">
        <f t="shared" si="33"/>
        <v>0.91792000000000007</v>
      </c>
      <c r="W20" s="10">
        <f t="shared" si="33"/>
        <v>0.91792000000000007</v>
      </c>
      <c r="X20" s="10">
        <f t="shared" si="33"/>
        <v>0.91792000000000007</v>
      </c>
      <c r="Y20" s="10">
        <f t="shared" si="33"/>
        <v>0.91792000000000007</v>
      </c>
      <c r="Z20" s="10">
        <f t="shared" si="33"/>
        <v>0.91791999999999996</v>
      </c>
      <c r="AA20" s="10">
        <f t="shared" si="33"/>
        <v>0.91791999999999996</v>
      </c>
      <c r="AC20" s="3" t="s">
        <v>80</v>
      </c>
      <c r="AD20" s="3">
        <f>+AD19/main!M3</f>
        <v>396.96064766601512</v>
      </c>
    </row>
    <row r="21" spans="2:30" x14ac:dyDescent="0.2">
      <c r="B21" s="3" t="s">
        <v>60</v>
      </c>
      <c r="C21" s="10">
        <f t="shared" ref="C21:K21" si="34">+ABS(C11/C5)</f>
        <v>0.46446315691259837</v>
      </c>
      <c r="D21" s="10">
        <f t="shared" si="34"/>
        <v>0.42122848165685706</v>
      </c>
      <c r="E21" s="10">
        <f t="shared" si="34"/>
        <v>0.20470906506488151</v>
      </c>
      <c r="F21" s="10">
        <f t="shared" si="34"/>
        <v>0.52226902858788804</v>
      </c>
      <c r="G21" s="10">
        <f t="shared" si="34"/>
        <v>0.60234880361740872</v>
      </c>
      <c r="H21" s="10">
        <f t="shared" si="34"/>
        <v>0.33327238485308375</v>
      </c>
      <c r="I21" s="10">
        <f t="shared" si="34"/>
        <v>0.49376360850514772</v>
      </c>
      <c r="J21" s="10">
        <f t="shared" si="34"/>
        <v>0.34694506246791029</v>
      </c>
      <c r="K21" s="10">
        <f t="shared" si="34"/>
        <v>0.83567000666673297</v>
      </c>
      <c r="L21" s="10">
        <f>+ABS(L11/L5)</f>
        <v>0.77211290047755665</v>
      </c>
      <c r="Q21" s="10">
        <f t="shared" ref="Q21:AA21" si="35">+ABS(Q11/Q5)</f>
        <v>0.55654918463966352</v>
      </c>
      <c r="R21" s="10">
        <f t="shared" si="35"/>
        <v>2.7825553871566575E-2</v>
      </c>
      <c r="S21" s="10">
        <f t="shared" si="35"/>
        <v>0.412993631928669</v>
      </c>
      <c r="T21" s="10">
        <f t="shared" si="35"/>
        <v>0.45522427440633251</v>
      </c>
      <c r="U21" s="10">
        <f t="shared" si="35"/>
        <v>0.7622131428571427</v>
      </c>
      <c r="V21" s="10">
        <f t="shared" si="35"/>
        <v>0.77151843452380964</v>
      </c>
      <c r="W21" s="10">
        <f t="shared" si="35"/>
        <v>0.78020121354166672</v>
      </c>
      <c r="X21" s="10">
        <f t="shared" si="35"/>
        <v>0.78830698395130627</v>
      </c>
      <c r="Y21" s="10">
        <f t="shared" si="35"/>
        <v>0.79587772329049911</v>
      </c>
      <c r="Z21" s="10">
        <f t="shared" si="35"/>
        <v>0.80295216540690606</v>
      </c>
      <c r="AA21" s="10">
        <f t="shared" si="35"/>
        <v>0.80956606016400356</v>
      </c>
      <c r="AC21" s="3" t="s">
        <v>81</v>
      </c>
      <c r="AD21" s="10">
        <f>+AD20/main!M2-1</f>
        <v>1.0461889054949234</v>
      </c>
    </row>
    <row r="22" spans="2:30" x14ac:dyDescent="0.2">
      <c r="S22" s="3" t="s">
        <v>45</v>
      </c>
      <c r="AC22" s="3" t="s">
        <v>82</v>
      </c>
      <c r="AD22" s="13">
        <f>+AD20/T15</f>
        <v>4.5644974262193134</v>
      </c>
    </row>
    <row r="23" spans="2:30" x14ac:dyDescent="0.2">
      <c r="B23" s="3" t="s">
        <v>39</v>
      </c>
      <c r="S23" s="5">
        <f>+S29-S36</f>
        <v>15.678999999999998</v>
      </c>
      <c r="T23" s="5">
        <f>+T29-T36</f>
        <v>19.883000000000003</v>
      </c>
      <c r="U23" s="5">
        <f>+T23+U15</f>
        <v>436.8268129999999</v>
      </c>
      <c r="V23" s="5">
        <f t="shared" ref="V23:AA23" si="36">+U23+V15</f>
        <v>959.36193700699994</v>
      </c>
      <c r="W23" s="5">
        <f t="shared" si="36"/>
        <v>1610.2024546852731</v>
      </c>
      <c r="X23" s="5">
        <f t="shared" si="36"/>
        <v>2416.7585300922487</v>
      </c>
      <c r="Y23" s="5">
        <f t="shared" si="36"/>
        <v>3412.093410436134</v>
      </c>
      <c r="Z23" s="5">
        <f t="shared" si="36"/>
        <v>4636.0741084381634</v>
      </c>
      <c r="AA23" s="5">
        <f t="shared" si="36"/>
        <v>6136.7548098828938</v>
      </c>
    </row>
    <row r="24" spans="2:30" x14ac:dyDescent="0.2">
      <c r="B24" s="3" t="s">
        <v>40</v>
      </c>
      <c r="S24" s="5">
        <f>71.572+4.842</f>
        <v>76.414000000000001</v>
      </c>
      <c r="T24" s="5">
        <f>82.945+8.535</f>
        <v>91.47999999999999</v>
      </c>
    </row>
    <row r="25" spans="2:30" x14ac:dyDescent="0.2">
      <c r="B25" s="3" t="s">
        <v>77</v>
      </c>
      <c r="S25" s="5">
        <v>30.236000000000001</v>
      </c>
      <c r="T25" s="5">
        <v>72.046999999999997</v>
      </c>
    </row>
    <row r="26" spans="2:30" x14ac:dyDescent="0.2">
      <c r="B26" s="3" t="s">
        <v>41</v>
      </c>
      <c r="S26" s="5">
        <v>7.6769999999999996</v>
      </c>
      <c r="T26" s="5">
        <v>6.952</v>
      </c>
    </row>
    <row r="27" spans="2:30" x14ac:dyDescent="0.2">
      <c r="B27" s="3" t="s">
        <v>42</v>
      </c>
      <c r="S27" s="5">
        <v>19.463000000000001</v>
      </c>
      <c r="T27" s="5">
        <v>24</v>
      </c>
    </row>
    <row r="28" spans="2:30" x14ac:dyDescent="0.2">
      <c r="B28" s="3" t="s">
        <v>43</v>
      </c>
      <c r="S28" s="5">
        <f>92.116+11.609</f>
        <v>103.72499999999999</v>
      </c>
      <c r="T28" s="5">
        <f>190.034+11.623</f>
        <v>201.65699999999998</v>
      </c>
    </row>
    <row r="29" spans="2:30" x14ac:dyDescent="0.2">
      <c r="B29" s="3" t="s">
        <v>1</v>
      </c>
      <c r="S29" s="5">
        <f>8.062+7.617</f>
        <v>15.678999999999998</v>
      </c>
      <c r="T29" s="5">
        <f>11.471+8.412</f>
        <v>19.883000000000003</v>
      </c>
    </row>
    <row r="30" spans="2:30" x14ac:dyDescent="0.2">
      <c r="B30" s="3" t="s">
        <v>44</v>
      </c>
      <c r="S30" s="5">
        <f>+SUM(S24:S29)</f>
        <v>253.19399999999999</v>
      </c>
      <c r="T30" s="5">
        <f>+SUM(T24:T29)</f>
        <v>416.01899999999995</v>
      </c>
    </row>
    <row r="31" spans="2:30" x14ac:dyDescent="0.2">
      <c r="S31" s="5"/>
      <c r="T31" s="5"/>
    </row>
    <row r="32" spans="2:30" x14ac:dyDescent="0.2">
      <c r="B32" s="3" t="s">
        <v>78</v>
      </c>
      <c r="S32" s="5">
        <f>14.304+8.305</f>
        <v>22.609000000000002</v>
      </c>
      <c r="T32" s="5">
        <f>26.433+8.333</f>
        <v>34.765999999999998</v>
      </c>
    </row>
    <row r="33" spans="2:20" x14ac:dyDescent="0.2">
      <c r="B33" s="3" t="s">
        <v>47</v>
      </c>
      <c r="S33" s="5">
        <f>7.142+0.868</f>
        <v>8.01</v>
      </c>
      <c r="T33" s="5">
        <f>6.493+1.253</f>
        <v>7.7460000000000004</v>
      </c>
    </row>
    <row r="34" spans="2:20" x14ac:dyDescent="0.2">
      <c r="B34" s="3" t="s">
        <v>48</v>
      </c>
      <c r="S34" s="5">
        <v>17.247</v>
      </c>
      <c r="T34" s="5">
        <v>20.84</v>
      </c>
    </row>
    <row r="35" spans="2:20" x14ac:dyDescent="0.2">
      <c r="B35" s="3" t="s">
        <v>25</v>
      </c>
      <c r="S35" s="5">
        <v>7.5890000000000004</v>
      </c>
      <c r="T35" s="5">
        <v>0</v>
      </c>
    </row>
    <row r="36" spans="2:20" x14ac:dyDescent="0.2">
      <c r="B36" s="3" t="s">
        <v>79</v>
      </c>
      <c r="S36" s="5">
        <v>0</v>
      </c>
      <c r="T36" s="5">
        <v>0</v>
      </c>
    </row>
    <row r="37" spans="2:20" x14ac:dyDescent="0.2">
      <c r="B37" s="3" t="s">
        <v>46</v>
      </c>
      <c r="S37" s="5">
        <f>+SUM(S32:S35)</f>
        <v>55.454999999999998</v>
      </c>
      <c r="T37" s="5">
        <f>+SUM(T32:T35)</f>
        <v>63.352000000000004</v>
      </c>
    </row>
    <row r="38" spans="2:20" x14ac:dyDescent="0.2">
      <c r="S38" s="5"/>
      <c r="T38" s="5"/>
    </row>
    <row r="39" spans="2:20" x14ac:dyDescent="0.2">
      <c r="B39" s="3" t="s">
        <v>49</v>
      </c>
      <c r="S39" s="5">
        <f>+S30-S37</f>
        <v>197.73899999999998</v>
      </c>
      <c r="T39" s="5">
        <f>+T30-T37</f>
        <v>352.66699999999992</v>
      </c>
    </row>
    <row r="40" spans="2:20" x14ac:dyDescent="0.2">
      <c r="B40" s="3" t="s">
        <v>50</v>
      </c>
      <c r="S40" s="5">
        <f>+S37+S39</f>
        <v>253.19399999999996</v>
      </c>
      <c r="T40" s="5">
        <f>+T37+T39</f>
        <v>416.01899999999989</v>
      </c>
    </row>
    <row r="42" spans="2:20" x14ac:dyDescent="0.2">
      <c r="B42" s="3" t="s">
        <v>51</v>
      </c>
      <c r="S42" s="10">
        <f t="shared" ref="S42" si="37">+S15/(S39-S25)</f>
        <v>0.32303302030411385</v>
      </c>
      <c r="T42" s="10">
        <f>+T15/(T39-T25)</f>
        <v>0.30991019884541393</v>
      </c>
    </row>
    <row r="43" spans="2:20" x14ac:dyDescent="0.2">
      <c r="B43" s="3" t="s">
        <v>52</v>
      </c>
      <c r="S43" s="10">
        <f t="shared" ref="S43" si="38">+S15/S30</f>
        <v>0.21370569602755193</v>
      </c>
      <c r="T43" s="10">
        <f>+T15/T30</f>
        <v>0.20904574069934315</v>
      </c>
    </row>
    <row r="44" spans="2:20" x14ac:dyDescent="0.2">
      <c r="S44" s="10"/>
      <c r="T44" s="10"/>
    </row>
    <row r="45" spans="2:20" x14ac:dyDescent="0.2">
      <c r="B45" s="3" t="s">
        <v>55</v>
      </c>
      <c r="R45" s="3">
        <v>3.125</v>
      </c>
      <c r="S45" s="3">
        <v>-20.143999999999998</v>
      </c>
      <c r="T45" s="3">
        <v>35.707000000000001</v>
      </c>
    </row>
    <row r="46" spans="2:20" x14ac:dyDescent="0.2">
      <c r="B46" s="3" t="s">
        <v>54</v>
      </c>
      <c r="R46" s="3">
        <v>3.1230000000000002</v>
      </c>
      <c r="S46" s="3">
        <v>-35.255000000000003</v>
      </c>
      <c r="T46" s="3">
        <v>-75.56</v>
      </c>
    </row>
    <row r="47" spans="2:20" x14ac:dyDescent="0.2">
      <c r="B47" s="3" t="s">
        <v>53</v>
      </c>
      <c r="R47" s="3">
        <v>29.268999999999998</v>
      </c>
      <c r="S47" s="3">
        <v>19.288</v>
      </c>
      <c r="T47" s="3">
        <v>42.994</v>
      </c>
    </row>
    <row r="48" spans="2:20" x14ac:dyDescent="0.2">
      <c r="B48" s="3" t="s">
        <v>56</v>
      </c>
      <c r="R48" s="3">
        <f>+R47+R46+R45</f>
        <v>35.516999999999996</v>
      </c>
      <c r="S48" s="3">
        <f>+S47+S46+S45</f>
        <v>-36.111000000000004</v>
      </c>
      <c r="T48" s="3">
        <f>+T47+T46+T45</f>
        <v>3.1409999999999982</v>
      </c>
    </row>
    <row r="49" spans="2:21" x14ac:dyDescent="0.2">
      <c r="B49" s="3" t="s">
        <v>57</v>
      </c>
      <c r="R49" s="3">
        <v>-0.14299999999999999</v>
      </c>
      <c r="S49" s="3">
        <v>-26.193000000000001</v>
      </c>
      <c r="T49" s="3">
        <v>-65.367999999999995</v>
      </c>
      <c r="U49" s="3" t="s">
        <v>45</v>
      </c>
    </row>
    <row r="50" spans="2:21" x14ac:dyDescent="0.2">
      <c r="B50" s="3" t="s">
        <v>58</v>
      </c>
      <c r="R50" s="3">
        <f t="shared" ref="R50:S50" si="39">+R45+R49</f>
        <v>2.9820000000000002</v>
      </c>
      <c r="S50" s="3">
        <f t="shared" si="39"/>
        <v>-46.337000000000003</v>
      </c>
      <c r="T50" s="3">
        <f>+T45+T49</f>
        <v>-29.660999999999994</v>
      </c>
    </row>
    <row r="51" spans="2:21" x14ac:dyDescent="0.2">
      <c r="B51" s="3" t="s">
        <v>45</v>
      </c>
      <c r="T51" s="3" t="s">
        <v>45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2025-09-02T18:50:51Z</dcterms:created>
  <dcterms:modified xsi:type="dcterms:W3CDTF">2025-09-04T11:53:08Z</dcterms:modified>
</cp:coreProperties>
</file>