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575" documentId="8_{E0838E19-727E-413A-9D31-D37F268B1644}" xr6:coauthVersionLast="47" xr6:coauthVersionMax="47" xr10:uidLastSave="{ECCC50E2-8618-4440-8087-AF7B132F179A}"/>
  <bookViews>
    <workbookView xWindow="-120" yWindow="-120" windowWidth="29040" windowHeight="15720" activeTab="1" xr2:uid="{A9FD44D2-7391-4648-9DA0-F9F06DE94B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" l="1"/>
  <c r="V19" i="2" l="1"/>
  <c r="AA19" i="2"/>
  <c r="AA18" i="2" s="1"/>
  <c r="V18" i="2"/>
  <c r="AA10" i="2"/>
  <c r="Z10" i="2"/>
  <c r="Y10" i="2"/>
  <c r="X10" i="2"/>
  <c r="W10" i="2"/>
  <c r="V10" i="2"/>
  <c r="AA3" i="2"/>
  <c r="W3" i="2"/>
  <c r="X3" i="2" s="1"/>
  <c r="V3" i="2"/>
  <c r="W6" i="2"/>
  <c r="V6" i="2"/>
  <c r="W22" i="2"/>
  <c r="V22" i="2"/>
  <c r="V16" i="2"/>
  <c r="W16" i="2" s="1"/>
  <c r="X16" i="2" s="1"/>
  <c r="Y16" i="2" s="1"/>
  <c r="Z16" i="2" s="1"/>
  <c r="AA16" i="2" s="1"/>
  <c r="S9" i="2"/>
  <c r="R9" i="2"/>
  <c r="K9" i="2"/>
  <c r="I9" i="2"/>
  <c r="H9" i="2"/>
  <c r="G9" i="2"/>
  <c r="F9" i="2"/>
  <c r="E9" i="2"/>
  <c r="D9" i="2"/>
  <c r="C9" i="2"/>
  <c r="S13" i="2"/>
  <c r="R13" i="2"/>
  <c r="S22" i="2"/>
  <c r="R6" i="2"/>
  <c r="R23" i="2" s="1"/>
  <c r="S11" i="2"/>
  <c r="S6" i="2"/>
  <c r="S23" i="2" s="1"/>
  <c r="T28" i="2"/>
  <c r="U28" i="2"/>
  <c r="V11" i="2" s="1"/>
  <c r="C11" i="2"/>
  <c r="C6" i="2"/>
  <c r="F13" i="2"/>
  <c r="T13" i="2" s="1"/>
  <c r="J13" i="2"/>
  <c r="U13" i="2" s="1"/>
  <c r="F8" i="2"/>
  <c r="T8" i="2" s="1"/>
  <c r="F7" i="2"/>
  <c r="T7" i="2" s="1"/>
  <c r="T9" i="2" s="1"/>
  <c r="F5" i="2"/>
  <c r="T5" i="2" s="1"/>
  <c r="F4" i="2"/>
  <c r="T4" i="2" s="1"/>
  <c r="F3" i="2"/>
  <c r="T3" i="2" s="1"/>
  <c r="J8" i="2"/>
  <c r="U8" i="2" s="1"/>
  <c r="J5" i="2"/>
  <c r="U5" i="2" s="1"/>
  <c r="J4" i="2"/>
  <c r="U4" i="2" s="1"/>
  <c r="J3" i="2"/>
  <c r="J6" i="2" s="1"/>
  <c r="D11" i="2"/>
  <c r="D6" i="2"/>
  <c r="H11" i="2"/>
  <c r="H6" i="2"/>
  <c r="E11" i="2"/>
  <c r="E6" i="2"/>
  <c r="I11" i="2"/>
  <c r="I6" i="2"/>
  <c r="G62" i="2"/>
  <c r="K62" i="2"/>
  <c r="U2" i="2"/>
  <c r="V2" i="2" s="1"/>
  <c r="W2" i="2" s="1"/>
  <c r="X2" i="2" s="1"/>
  <c r="Y2" i="2" s="1"/>
  <c r="Z2" i="2" s="1"/>
  <c r="AA2" i="2" s="1"/>
  <c r="AB2" i="2" s="1"/>
  <c r="AC2" i="2" s="1"/>
  <c r="AD2" i="2" s="1"/>
  <c r="K28" i="2"/>
  <c r="K47" i="2"/>
  <c r="K51" i="2" s="1"/>
  <c r="K30" i="2"/>
  <c r="K37" i="2"/>
  <c r="G11" i="2"/>
  <c r="G7" i="2"/>
  <c r="G6" i="2"/>
  <c r="K11" i="2"/>
  <c r="K6" i="2"/>
  <c r="L5" i="1"/>
  <c r="L8" i="1" s="1"/>
  <c r="Y3" i="2" l="1"/>
  <c r="X22" i="2"/>
  <c r="X6" i="2"/>
  <c r="U3" i="2"/>
  <c r="T6" i="2"/>
  <c r="T23" i="2" s="1"/>
  <c r="T22" i="2"/>
  <c r="T10" i="2"/>
  <c r="R10" i="2"/>
  <c r="S10" i="2"/>
  <c r="J7" i="2"/>
  <c r="J9" i="2" s="1"/>
  <c r="J11" i="2"/>
  <c r="U11" i="2" s="1"/>
  <c r="F11" i="2"/>
  <c r="T11" i="2" s="1"/>
  <c r="C10" i="2"/>
  <c r="C12" i="2" s="1"/>
  <c r="C14" i="2" s="1"/>
  <c r="C15" i="2" s="1"/>
  <c r="F6" i="2"/>
  <c r="D10" i="2"/>
  <c r="D12" i="2" s="1"/>
  <c r="D14" i="2" s="1"/>
  <c r="D15" i="2" s="1"/>
  <c r="H10" i="2"/>
  <c r="H12" i="2" s="1"/>
  <c r="H14" i="2" s="1"/>
  <c r="H15" i="2" s="1"/>
  <c r="E10" i="2"/>
  <c r="E12" i="2" s="1"/>
  <c r="E14" i="2" s="1"/>
  <c r="E15" i="2" s="1"/>
  <c r="I10" i="2"/>
  <c r="I12" i="2" s="1"/>
  <c r="I14" i="2" s="1"/>
  <c r="I15" i="2" s="1"/>
  <c r="K10" i="2"/>
  <c r="K40" i="2"/>
  <c r="K53" i="2" s="1"/>
  <c r="G10" i="2"/>
  <c r="Z3" i="2" l="1"/>
  <c r="Y6" i="2"/>
  <c r="Y22" i="2"/>
  <c r="U22" i="2"/>
  <c r="U6" i="2"/>
  <c r="U23" i="2" s="1"/>
  <c r="J10" i="2"/>
  <c r="J12" i="2" s="1"/>
  <c r="J14" i="2" s="1"/>
  <c r="J15" i="2" s="1"/>
  <c r="U7" i="2"/>
  <c r="U9" i="2" s="1"/>
  <c r="S12" i="2"/>
  <c r="S24" i="2"/>
  <c r="R12" i="2"/>
  <c r="R24" i="2"/>
  <c r="T24" i="2"/>
  <c r="T12" i="2"/>
  <c r="F10" i="2"/>
  <c r="F12" i="2" s="1"/>
  <c r="F14" i="2" s="1"/>
  <c r="F15" i="2" s="1"/>
  <c r="K12" i="2"/>
  <c r="K54" i="2"/>
  <c r="G12" i="2"/>
  <c r="G14" i="2" s="1"/>
  <c r="G15" i="2" s="1"/>
  <c r="Z6" i="2" l="1"/>
  <c r="Z22" i="2"/>
  <c r="T14" i="2"/>
  <c r="T25" i="2"/>
  <c r="R14" i="2"/>
  <c r="R15" i="2" s="1"/>
  <c r="R25" i="2"/>
  <c r="S14" i="2"/>
  <c r="S25" i="2"/>
  <c r="U10" i="2"/>
  <c r="K14" i="2"/>
  <c r="AA6" i="2" l="1"/>
  <c r="AA22" i="2"/>
  <c r="W24" i="2"/>
  <c r="W23" i="2"/>
  <c r="V24" i="2"/>
  <c r="V23" i="2"/>
  <c r="V12" i="2"/>
  <c r="V13" i="2" s="1"/>
  <c r="U12" i="2"/>
  <c r="U24" i="2"/>
  <c r="S15" i="2"/>
  <c r="S26" i="2"/>
  <c r="T15" i="2"/>
  <c r="T26" i="2"/>
  <c r="K15" i="2"/>
  <c r="K57" i="2"/>
  <c r="K56" i="2"/>
  <c r="X24" i="2" l="1"/>
  <c r="X23" i="2"/>
  <c r="V14" i="2"/>
  <c r="V25" i="2"/>
  <c r="U14" i="2"/>
  <c r="U25" i="2"/>
  <c r="V28" i="2"/>
  <c r="Y24" i="2" l="1"/>
  <c r="Y23" i="2"/>
  <c r="V15" i="2"/>
  <c r="V26" i="2"/>
  <c r="W11" i="2"/>
  <c r="W12" i="2" s="1"/>
  <c r="U26" i="2"/>
  <c r="U15" i="2"/>
  <c r="Z24" i="2" l="1"/>
  <c r="Z23" i="2"/>
  <c r="W13" i="2"/>
  <c r="W25" i="2" s="1"/>
  <c r="W14" i="2"/>
  <c r="W15" i="2" l="1"/>
  <c r="W26" i="2"/>
  <c r="AA24" i="2"/>
  <c r="AA23" i="2"/>
  <c r="W28" i="2"/>
  <c r="X11" i="2" l="1"/>
  <c r="X12" i="2" s="1"/>
  <c r="X13" i="2" s="1"/>
  <c r="X14" i="2" l="1"/>
  <c r="X25" i="2"/>
  <c r="X26" i="2" l="1"/>
  <c r="X28" i="2"/>
  <c r="Y11" i="2" s="1"/>
  <c r="Y12" i="2" s="1"/>
  <c r="Y13" i="2" s="1"/>
  <c r="X15" i="2"/>
  <c r="Y14" i="2" l="1"/>
  <c r="Y25" i="2"/>
  <c r="Y26" i="2" l="1"/>
  <c r="Y28" i="2"/>
  <c r="Y15" i="2"/>
  <c r="Z11" i="2" l="1"/>
  <c r="Z12" i="2" s="1"/>
  <c r="Z13" i="2" s="1"/>
  <c r="Z14" i="2" l="1"/>
  <c r="Z25" i="2"/>
  <c r="Z15" i="2" l="1"/>
  <c r="Z26" i="2"/>
  <c r="Z28" i="2"/>
  <c r="AA11" i="2" l="1"/>
  <c r="AA12" i="2" s="1"/>
  <c r="AA13" i="2" s="1"/>
  <c r="AA14" i="2" l="1"/>
  <c r="AA25" i="2"/>
  <c r="AA15" i="2" l="1"/>
  <c r="AB14" i="2"/>
  <c r="AA26" i="2"/>
  <c r="AA28" i="2"/>
  <c r="AB28" i="2" s="1"/>
  <c r="AC14" i="2" l="1"/>
  <c r="AD14" i="2" l="1"/>
  <c r="AC28" i="2"/>
  <c r="AD28" i="2" l="1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</calcChain>
</file>

<file path=xl/sharedStrings.xml><?xml version="1.0" encoding="utf-8"?>
<sst xmlns="http://schemas.openxmlformats.org/spreadsheetml/2006/main" count="81" uniqueCount="63">
  <si>
    <t>Price</t>
  </si>
  <si>
    <t>Shares</t>
  </si>
  <si>
    <t>MC</t>
  </si>
  <si>
    <t>Cash</t>
  </si>
  <si>
    <t>Debt</t>
  </si>
  <si>
    <t>EV</t>
  </si>
  <si>
    <t xml:space="preserve"> </t>
  </si>
  <si>
    <t>Q223</t>
  </si>
  <si>
    <t>Q323</t>
  </si>
  <si>
    <t>Q123</t>
  </si>
  <si>
    <t>Q423</t>
  </si>
  <si>
    <t>Q124</t>
  </si>
  <si>
    <t>Q224</t>
  </si>
  <si>
    <t>Q324</t>
  </si>
  <si>
    <t>Q424</t>
  </si>
  <si>
    <t>Q125</t>
  </si>
  <si>
    <t>Q225</t>
  </si>
  <si>
    <t>Other</t>
  </si>
  <si>
    <t xml:space="preserve">Other </t>
  </si>
  <si>
    <t xml:space="preserve">Cost of material </t>
  </si>
  <si>
    <t>Gross Profit</t>
  </si>
  <si>
    <t>Personnel Expenses</t>
  </si>
  <si>
    <t>OPEX</t>
  </si>
  <si>
    <t>Operating Profit</t>
  </si>
  <si>
    <t>Interest Income</t>
  </si>
  <si>
    <t>EBIT</t>
  </si>
  <si>
    <t>Taxes</t>
  </si>
  <si>
    <t>NI</t>
  </si>
  <si>
    <t>EPS</t>
  </si>
  <si>
    <t>NC</t>
  </si>
  <si>
    <t>Receivebles</t>
  </si>
  <si>
    <t>Contracts</t>
  </si>
  <si>
    <t>Inventory</t>
  </si>
  <si>
    <t>Income Tax</t>
  </si>
  <si>
    <t>Financial Assets</t>
  </si>
  <si>
    <t>Assets</t>
  </si>
  <si>
    <t>Tangible</t>
  </si>
  <si>
    <t>Intangible</t>
  </si>
  <si>
    <t xml:space="preserve">RoU </t>
  </si>
  <si>
    <t>DT</t>
  </si>
  <si>
    <t>AP</t>
  </si>
  <si>
    <t>Leases</t>
  </si>
  <si>
    <t>Provisions</t>
  </si>
  <si>
    <t>Liabilities</t>
  </si>
  <si>
    <t>S/E</t>
  </si>
  <si>
    <t>L+S/E</t>
  </si>
  <si>
    <t>ROA</t>
  </si>
  <si>
    <t>ROE</t>
  </si>
  <si>
    <t>Rev y/y</t>
  </si>
  <si>
    <t>Gross %</t>
  </si>
  <si>
    <t>Taxe %</t>
  </si>
  <si>
    <t>NI y/y</t>
  </si>
  <si>
    <t>CFFO</t>
  </si>
  <si>
    <t>CFFF</t>
  </si>
  <si>
    <t>FCF</t>
  </si>
  <si>
    <t>IRR</t>
  </si>
  <si>
    <t>NPV</t>
  </si>
  <si>
    <t>Pensions</t>
  </si>
  <si>
    <t>Sales Revenue</t>
  </si>
  <si>
    <t>Operating %</t>
  </si>
  <si>
    <t>EV/EBITDA</t>
  </si>
  <si>
    <t>Net Flow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</si>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</sst>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F1C2-B3E6-425E-BCDF-6C66C6C94309}">
  <dimension ref="K3:O9"/>
  <sheetViews>
    <sheetView workbookViewId="0">
      <selection activeCell="H22" sqref="H22"/>
    </sheetView>
  </sheetViews>
  <sheetFormatPr defaultRowHeight="14.25" x14ac:dyDescent="0.2"/>
  <cols>
    <col min="1" max="16384" width="9.140625" style="1"/>
  </cols>
  <sheetData>
    <row r="3" spans="11:15" x14ac:dyDescent="0.2">
      <c r="K3" s="1" t="s">
        <v>0</v>
      </c>
      <c r="L3" s="2">
        <v>21.8</v>
      </c>
    </row>
    <row r="4" spans="11:15" x14ac:dyDescent="0.2">
      <c r="K4" s="1" t="s">
        <v>1</v>
      </c>
      <c r="L4" s="2">
        <v>17.271000000000001</v>
      </c>
      <c r="O4" s="1" t="s">
        <v>6</v>
      </c>
    </row>
    <row r="5" spans="11:15" x14ac:dyDescent="0.2">
      <c r="K5" s="1" t="s">
        <v>2</v>
      </c>
      <c r="L5" s="2">
        <f>+L4*L3</f>
        <v>376.50780000000003</v>
      </c>
      <c r="O5" s="1" t="s">
        <v>6</v>
      </c>
    </row>
    <row r="6" spans="11:15" x14ac:dyDescent="0.2">
      <c r="K6" s="1" t="s">
        <v>3</v>
      </c>
      <c r="L6" s="2">
        <v>23.187999999999999</v>
      </c>
      <c r="O6" s="1" t="s">
        <v>6</v>
      </c>
    </row>
    <row r="7" spans="11:15" x14ac:dyDescent="0.2">
      <c r="K7" s="1" t="s">
        <v>4</v>
      </c>
      <c r="L7" s="2">
        <v>1.6890000000000001</v>
      </c>
    </row>
    <row r="8" spans="11:15" x14ac:dyDescent="0.2">
      <c r="K8" s="1" t="s">
        <v>5</v>
      </c>
      <c r="L8" s="2">
        <f>+L5-L6+L7</f>
        <v>355.00880000000006</v>
      </c>
    </row>
    <row r="9" spans="11:15" x14ac:dyDescent="0.2">
      <c r="L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3AC5-F93D-44DE-9085-71FB144A3124}">
  <dimension ref="A2:BM65"/>
  <sheetViews>
    <sheetView tabSelected="1" workbookViewId="0">
      <pane xSplit="2" ySplit="2" topLeftCell="S35" activePane="bottomRight" state="frozen"/>
      <selection pane="topRight" activeCell="C1" sqref="C1"/>
      <selection pane="bottomLeft" activeCell="A3" sqref="A3"/>
      <selection pane="bottomRight" activeCell="B66" sqref="B66"/>
    </sheetView>
  </sheetViews>
  <sheetFormatPr defaultRowHeight="14.25" x14ac:dyDescent="0.2"/>
  <cols>
    <col min="1" max="1" width="9.140625" style="1"/>
    <col min="2" max="2" width="18.7109375" style="1" bestFit="1" customWidth="1"/>
    <col min="3" max="16384" width="9.140625" style="1"/>
  </cols>
  <sheetData>
    <row r="2" spans="1:65" x14ac:dyDescent="0.2">
      <c r="C2" s="1" t="s">
        <v>9</v>
      </c>
      <c r="D2" s="1" t="s">
        <v>7</v>
      </c>
      <c r="E2" s="1" t="s">
        <v>8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R2" s="2">
        <v>2021</v>
      </c>
      <c r="S2" s="2">
        <v>2022</v>
      </c>
      <c r="T2" s="2">
        <v>2023</v>
      </c>
      <c r="U2" s="2">
        <f>+T2+1</f>
        <v>2024</v>
      </c>
      <c r="V2" s="2">
        <f t="shared" ref="V2:AD2" si="0">+U2+1</f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 t="shared" si="0"/>
        <v>2030</v>
      </c>
      <c r="AB2" s="2">
        <f t="shared" si="0"/>
        <v>2031</v>
      </c>
      <c r="AC2" s="2">
        <f t="shared" si="0"/>
        <v>2032</v>
      </c>
      <c r="AD2" s="2">
        <f t="shared" si="0"/>
        <v>2033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s="4" customFormat="1" ht="15" x14ac:dyDescent="0.25">
      <c r="A3" s="3"/>
      <c r="B3" s="3" t="s">
        <v>58</v>
      </c>
      <c r="C3" s="4">
        <v>22.731999999999999</v>
      </c>
      <c r="D3" s="4">
        <v>26.352</v>
      </c>
      <c r="E3" s="4">
        <v>26.626999999999999</v>
      </c>
      <c r="F3" s="4">
        <f>122.492-E3-D3-C3</f>
        <v>46.781000000000006</v>
      </c>
      <c r="G3" s="4">
        <v>26.829000000000001</v>
      </c>
      <c r="H3" s="4">
        <v>27.902000000000001</v>
      </c>
      <c r="I3" s="4">
        <v>31.274999999999999</v>
      </c>
      <c r="J3" s="4">
        <f>133.671-I3-H3-G3</f>
        <v>47.664999999999985</v>
      </c>
      <c r="K3" s="4">
        <v>30.809000000000001</v>
      </c>
      <c r="R3" s="5">
        <v>102.884</v>
      </c>
      <c r="S3" s="5">
        <v>113.23399999999999</v>
      </c>
      <c r="T3" s="5">
        <f>+SUM(C3:F3)</f>
        <v>122.492</v>
      </c>
      <c r="U3" s="5">
        <f>+SUM(G3:J3)</f>
        <v>133.67099999999999</v>
      </c>
      <c r="V3" s="5">
        <f>+U3*1.1</f>
        <v>147.03810000000001</v>
      </c>
      <c r="W3" s="5">
        <f t="shared" ref="W3" si="1">+V3*1.1</f>
        <v>161.74191000000002</v>
      </c>
      <c r="X3" s="5">
        <f t="shared" ref="X3:Z3" si="2">+W3*1.09</f>
        <v>176.29868190000002</v>
      </c>
      <c r="Y3" s="5">
        <f t="shared" si="2"/>
        <v>192.16556327100002</v>
      </c>
      <c r="Z3" s="5">
        <f t="shared" si="2"/>
        <v>209.46046396539003</v>
      </c>
      <c r="AA3" s="5">
        <f>+Z3*1.08</f>
        <v>226.21730108262125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5" s="6" customFormat="1" x14ac:dyDescent="0.2">
      <c r="A4" s="1"/>
      <c r="B4" s="1" t="s">
        <v>18</v>
      </c>
      <c r="C4" s="6">
        <v>0.65100000000000002</v>
      </c>
      <c r="D4" s="6">
        <v>0.18099999999999999</v>
      </c>
      <c r="E4" s="6">
        <v>0.185</v>
      </c>
      <c r="F4" s="6">
        <f>0.751-E4-D4-C4</f>
        <v>-0.26599999999999996</v>
      </c>
      <c r="G4" s="6">
        <v>0.182</v>
      </c>
      <c r="H4" s="6">
        <v>1.02</v>
      </c>
      <c r="I4" s="6">
        <v>0.29299999999999998</v>
      </c>
      <c r="J4" s="6">
        <f>1.722-I4-H4-G4</f>
        <v>0.22700000000000004</v>
      </c>
      <c r="K4" s="6">
        <v>6.0999999999999999E-2</v>
      </c>
      <c r="R4" s="2">
        <v>1.33</v>
      </c>
      <c r="S4" s="2">
        <v>1.1970000000000001</v>
      </c>
      <c r="T4" s="2">
        <f>+SUM(C4:F4)</f>
        <v>0.75100000000000011</v>
      </c>
      <c r="U4" s="2">
        <f>+SUM(G4:J4)</f>
        <v>1.722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s="6" customFormat="1" x14ac:dyDescent="0.2">
      <c r="A5" s="1"/>
      <c r="B5" s="1" t="s">
        <v>19</v>
      </c>
      <c r="C5" s="6">
        <v>-3.5169999999999999</v>
      </c>
      <c r="D5" s="6">
        <v>-5.1219999999999999</v>
      </c>
      <c r="E5" s="6">
        <v>-4.1509999999999998</v>
      </c>
      <c r="F5" s="6">
        <f>-22.113-E5-D5-C5</f>
        <v>-9.3230000000000004</v>
      </c>
      <c r="G5" s="6">
        <v>-5.0030000000000001</v>
      </c>
      <c r="H5" s="6">
        <v>-4.5119999999999996</v>
      </c>
      <c r="I5" s="6">
        <v>-4.8520000000000003</v>
      </c>
      <c r="J5" s="6">
        <f>-22.003-I5-H5-G5</f>
        <v>-7.6359999999999992</v>
      </c>
      <c r="K5" s="6">
        <v>-6.141</v>
      </c>
      <c r="R5" s="2">
        <v>-28.434999999999999</v>
      </c>
      <c r="S5" s="2">
        <v>-23.861999999999998</v>
      </c>
      <c r="T5" s="2">
        <f>+SUM(C5:F5)</f>
        <v>-22.113</v>
      </c>
      <c r="U5" s="2">
        <f>+SUM(G5:J5)</f>
        <v>-22.003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s="4" customFormat="1" ht="15" x14ac:dyDescent="0.25">
      <c r="A6" s="3"/>
      <c r="B6" s="3" t="s">
        <v>20</v>
      </c>
      <c r="C6" s="4">
        <f t="shared" ref="C6:K6" si="3">+C3+C4+C5</f>
        <v>19.866</v>
      </c>
      <c r="D6" s="4">
        <f t="shared" si="3"/>
        <v>21.411000000000001</v>
      </c>
      <c r="E6" s="4">
        <f t="shared" si="3"/>
        <v>22.660999999999998</v>
      </c>
      <c r="F6" s="4">
        <f t="shared" si="3"/>
        <v>37.192000000000007</v>
      </c>
      <c r="G6" s="4">
        <f t="shared" si="3"/>
        <v>22.007999999999999</v>
      </c>
      <c r="H6" s="4">
        <f t="shared" si="3"/>
        <v>24.41</v>
      </c>
      <c r="I6" s="4">
        <f t="shared" si="3"/>
        <v>26.715999999999998</v>
      </c>
      <c r="J6" s="4">
        <f t="shared" si="3"/>
        <v>40.255999999999986</v>
      </c>
      <c r="K6" s="4">
        <f t="shared" si="3"/>
        <v>24.728999999999999</v>
      </c>
      <c r="R6" s="5">
        <f>+R3+R4+R5</f>
        <v>75.778999999999996</v>
      </c>
      <c r="S6" s="5">
        <f>+S3+S4+S5</f>
        <v>90.569000000000003</v>
      </c>
      <c r="T6" s="5">
        <f>+T3+T4+T5</f>
        <v>101.13000000000001</v>
      </c>
      <c r="U6" s="5">
        <f>+U3+U4+U5</f>
        <v>113.39</v>
      </c>
      <c r="V6" s="5">
        <f>+V3*0.85</f>
        <v>124.98238500000001</v>
      </c>
      <c r="W6" s="5">
        <f t="shared" ref="W6:AA6" si="4">+W3*0.85</f>
        <v>137.48062350000001</v>
      </c>
      <c r="X6" s="5">
        <f t="shared" si="4"/>
        <v>149.85387961500001</v>
      </c>
      <c r="Y6" s="5">
        <f t="shared" si="4"/>
        <v>163.34072878035002</v>
      </c>
      <c r="Z6" s="5">
        <f t="shared" si="4"/>
        <v>178.04139437058151</v>
      </c>
      <c r="AA6" s="5">
        <f t="shared" si="4"/>
        <v>192.28470592022805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spans="1:65" s="6" customFormat="1" x14ac:dyDescent="0.2">
      <c r="A7" s="1"/>
      <c r="B7" s="1" t="s">
        <v>21</v>
      </c>
      <c r="C7" s="6">
        <v>-16.062000000000001</v>
      </c>
      <c r="D7" s="6">
        <v>-16.472999999999999</v>
      </c>
      <c r="E7" s="6">
        <v>-16.149999999999999</v>
      </c>
      <c r="F7" s="6">
        <f>-67.611-E7-D7-C7</f>
        <v>-18.926000000000005</v>
      </c>
      <c r="G7" s="6">
        <f>+-17.549</f>
        <v>-17.548999999999999</v>
      </c>
      <c r="H7" s="6">
        <v>-19.170999999999999</v>
      </c>
      <c r="I7" s="6">
        <v>-18.558</v>
      </c>
      <c r="J7" s="6">
        <f>-76.469-I7-H7-G7</f>
        <v>-21.190999999999995</v>
      </c>
      <c r="K7" s="6">
        <v>-19.446000000000002</v>
      </c>
      <c r="R7" s="2">
        <v>-49.814999999999998</v>
      </c>
      <c r="S7" s="2">
        <v>-60.277999999999999</v>
      </c>
      <c r="T7" s="2">
        <f t="shared" ref="T7:T8" si="5">+SUM(C7:F7)</f>
        <v>-67.611000000000004</v>
      </c>
      <c r="U7" s="2">
        <f t="shared" ref="U7:U8" si="6">+SUM(G7:J7)</f>
        <v>-76.468999999999994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s="6" customFormat="1" x14ac:dyDescent="0.2">
      <c r="A8" s="1"/>
      <c r="B8" s="1" t="s">
        <v>18</v>
      </c>
      <c r="C8" s="6">
        <v>-3.09</v>
      </c>
      <c r="D8" s="6">
        <v>-2.7789999999999999</v>
      </c>
      <c r="E8" s="6">
        <v>-3.0019999999999998</v>
      </c>
      <c r="F8" s="6">
        <f>-13.213-E8-D8-C8</f>
        <v>-4.3419999999999987</v>
      </c>
      <c r="G8" s="6">
        <v>-3.476</v>
      </c>
      <c r="H8" s="6">
        <v>-3.6360000000000001</v>
      </c>
      <c r="I8" s="6">
        <v>-3.2989999999999999</v>
      </c>
      <c r="J8" s="6">
        <f>-15.234-I8-H8-G8</f>
        <v>-4.8229999999999995</v>
      </c>
      <c r="K8" s="6">
        <v>-3.899</v>
      </c>
      <c r="R8" s="2">
        <v>-9.5169999999999995</v>
      </c>
      <c r="S8" s="2">
        <v>-11.596</v>
      </c>
      <c r="T8" s="2">
        <f t="shared" si="5"/>
        <v>-13.212999999999997</v>
      </c>
      <c r="U8" s="2">
        <f t="shared" si="6"/>
        <v>-15.233999999999998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s="6" customFormat="1" x14ac:dyDescent="0.2">
      <c r="A9" s="1"/>
      <c r="B9" s="1" t="s">
        <v>22</v>
      </c>
      <c r="C9" s="6">
        <f>+C7+C8</f>
        <v>-19.152000000000001</v>
      </c>
      <c r="D9" s="6">
        <f t="shared" ref="D9:K9" si="7">+D7+D8</f>
        <v>-19.251999999999999</v>
      </c>
      <c r="E9" s="6">
        <f t="shared" si="7"/>
        <v>-19.151999999999997</v>
      </c>
      <c r="F9" s="6">
        <f t="shared" si="7"/>
        <v>-23.268000000000004</v>
      </c>
      <c r="G9" s="6">
        <f t="shared" si="7"/>
        <v>-21.024999999999999</v>
      </c>
      <c r="H9" s="6">
        <f t="shared" si="7"/>
        <v>-22.806999999999999</v>
      </c>
      <c r="I9" s="6">
        <f t="shared" si="7"/>
        <v>-21.856999999999999</v>
      </c>
      <c r="J9" s="6">
        <f t="shared" si="7"/>
        <v>-26.013999999999996</v>
      </c>
      <c r="K9" s="6">
        <f t="shared" si="7"/>
        <v>-23.345000000000002</v>
      </c>
      <c r="R9" s="2">
        <f>+R7+R8</f>
        <v>-59.331999999999994</v>
      </c>
      <c r="S9" s="2">
        <f t="shared" ref="S9:U9" si="8">+S7+S8</f>
        <v>-71.873999999999995</v>
      </c>
      <c r="T9" s="2">
        <f t="shared" si="8"/>
        <v>-80.823999999999998</v>
      </c>
      <c r="U9" s="2">
        <f t="shared" si="8"/>
        <v>-91.702999999999989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s="4" customFormat="1" ht="15" x14ac:dyDescent="0.25">
      <c r="A10" s="3"/>
      <c r="B10" s="3" t="s">
        <v>23</v>
      </c>
      <c r="C10" s="4">
        <f t="shared" ref="C10:K10" si="9">+C6+C9</f>
        <v>0.71399999999999864</v>
      </c>
      <c r="D10" s="4">
        <f t="shared" si="9"/>
        <v>2.1590000000000025</v>
      </c>
      <c r="E10" s="4">
        <f t="shared" si="9"/>
        <v>3.5090000000000003</v>
      </c>
      <c r="F10" s="4">
        <f t="shared" si="9"/>
        <v>13.924000000000003</v>
      </c>
      <c r="G10" s="4">
        <f t="shared" si="9"/>
        <v>0.98300000000000054</v>
      </c>
      <c r="H10" s="4">
        <f t="shared" si="9"/>
        <v>1.6030000000000015</v>
      </c>
      <c r="I10" s="4">
        <f t="shared" si="9"/>
        <v>4.8589999999999982</v>
      </c>
      <c r="J10" s="4">
        <f t="shared" si="9"/>
        <v>14.24199999999999</v>
      </c>
      <c r="K10" s="4">
        <f t="shared" si="9"/>
        <v>1.3839999999999968</v>
      </c>
      <c r="R10" s="5">
        <f>+R6+R9</f>
        <v>16.447000000000003</v>
      </c>
      <c r="S10" s="5">
        <f>+S6+S9</f>
        <v>18.695000000000007</v>
      </c>
      <c r="T10" s="5">
        <f>+T6+T9</f>
        <v>20.306000000000012</v>
      </c>
      <c r="U10" s="5">
        <f>+U6+U9</f>
        <v>21.687000000000012</v>
      </c>
      <c r="V10" s="5">
        <f>+V3*0.16</f>
        <v>23.526096000000003</v>
      </c>
      <c r="W10" s="5">
        <f t="shared" ref="W10:AA10" si="10">+W3*0.16</f>
        <v>25.878705600000004</v>
      </c>
      <c r="X10" s="5">
        <f t="shared" si="10"/>
        <v>28.207789104000003</v>
      </c>
      <c r="Y10" s="5">
        <f t="shared" si="10"/>
        <v>30.746490123360005</v>
      </c>
      <c r="Z10" s="5">
        <f t="shared" si="10"/>
        <v>33.513674234462407</v>
      </c>
      <c r="AA10" s="5">
        <f t="shared" si="10"/>
        <v>36.194768173219401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s="6" customFormat="1" x14ac:dyDescent="0.2">
      <c r="A11" s="1"/>
      <c r="B11" s="1" t="s">
        <v>24</v>
      </c>
      <c r="C11" s="6">
        <f>0.155-0.079</f>
        <v>7.5999999999999998E-2</v>
      </c>
      <c r="D11" s="6">
        <f>0.208-0.078</f>
        <v>0.13</v>
      </c>
      <c r="E11" s="6">
        <f>0.278-0.071</f>
        <v>0.20700000000000002</v>
      </c>
      <c r="F11" s="6">
        <f>0.996-0.533-E11-D11-C11</f>
        <v>4.9999999999999947E-2</v>
      </c>
      <c r="G11" s="6">
        <f>0.341-0.181</f>
        <v>0.16000000000000003</v>
      </c>
      <c r="H11" s="6">
        <f>0.363-0.185</f>
        <v>0.17799999999999999</v>
      </c>
      <c r="I11" s="6">
        <f>0.349-0.189</f>
        <v>0.15999999999999998</v>
      </c>
      <c r="J11" s="6">
        <f>1.283-0.833-I11-H11-G11</f>
        <v>-4.8000000000000043E-2</v>
      </c>
      <c r="K11" s="6">
        <f>0.26-0.223</f>
        <v>3.7000000000000005E-2</v>
      </c>
      <c r="R11" s="2">
        <v>-0.35699999999999998</v>
      </c>
      <c r="S11" s="2">
        <f>0.106-0.285</f>
        <v>-0.17899999999999999</v>
      </c>
      <c r="T11" s="2">
        <f t="shared" ref="T11:T13" si="11">+SUM(C11:F11)</f>
        <v>0.46299999999999997</v>
      </c>
      <c r="U11" s="2">
        <f>+SUM(G11:J11)</f>
        <v>0.44999999999999996</v>
      </c>
      <c r="V11" s="2">
        <f>+U28*0.04</f>
        <v>0.77804000000000006</v>
      </c>
      <c r="W11" s="2">
        <f t="shared" ref="W11:AA11" si="12">+V28*0.04</f>
        <v>1.4585558080000001</v>
      </c>
      <c r="X11" s="2">
        <f t="shared" si="12"/>
        <v>2.2239991274240003</v>
      </c>
      <c r="Y11" s="2">
        <f t="shared" si="12"/>
        <v>3.0760891979038725</v>
      </c>
      <c r="Z11" s="2">
        <f t="shared" si="12"/>
        <v>4.0231214188992608</v>
      </c>
      <c r="AA11" s="2">
        <f t="shared" si="12"/>
        <v>5.0741516971933871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s="6" customFormat="1" x14ac:dyDescent="0.2">
      <c r="A12" s="1"/>
      <c r="B12" s="1" t="s">
        <v>25</v>
      </c>
      <c r="C12" s="7">
        <f t="shared" ref="C12:K12" si="13">+C10+C11</f>
        <v>0.78999999999999859</v>
      </c>
      <c r="D12" s="7">
        <f t="shared" si="13"/>
        <v>2.2890000000000024</v>
      </c>
      <c r="E12" s="7">
        <f t="shared" si="13"/>
        <v>3.7160000000000002</v>
      </c>
      <c r="F12" s="7">
        <f t="shared" si="13"/>
        <v>13.974000000000004</v>
      </c>
      <c r="G12" s="7">
        <f t="shared" si="13"/>
        <v>1.1430000000000007</v>
      </c>
      <c r="H12" s="7">
        <f t="shared" si="13"/>
        <v>1.7810000000000015</v>
      </c>
      <c r="I12" s="7">
        <f t="shared" si="13"/>
        <v>5.0189999999999984</v>
      </c>
      <c r="J12" s="7">
        <f t="shared" si="13"/>
        <v>14.19399999999999</v>
      </c>
      <c r="K12" s="6">
        <f t="shared" si="13"/>
        <v>1.4209999999999967</v>
      </c>
      <c r="R12" s="2">
        <f>+R10+R11</f>
        <v>16.090000000000003</v>
      </c>
      <c r="S12" s="2">
        <f>+S10+S11</f>
        <v>18.516000000000009</v>
      </c>
      <c r="T12" s="2">
        <f>+T10+T11</f>
        <v>20.769000000000013</v>
      </c>
      <c r="U12" s="2">
        <f>+U10+U11</f>
        <v>22.137000000000011</v>
      </c>
      <c r="V12" s="2">
        <f t="shared" ref="V12:AA12" si="14">+V10+V11</f>
        <v>24.304136000000003</v>
      </c>
      <c r="W12" s="2">
        <f t="shared" si="14"/>
        <v>27.337261408000003</v>
      </c>
      <c r="X12" s="2">
        <f t="shared" si="14"/>
        <v>30.431788231424004</v>
      </c>
      <c r="Y12" s="2">
        <f t="shared" si="14"/>
        <v>33.822579321263873</v>
      </c>
      <c r="Z12" s="2">
        <f t="shared" si="14"/>
        <v>37.536795653361665</v>
      </c>
      <c r="AA12" s="2">
        <f t="shared" si="14"/>
        <v>41.268919870412788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s="6" customFormat="1" x14ac:dyDescent="0.2">
      <c r="A13" s="1"/>
      <c r="B13" s="1" t="s">
        <v>26</v>
      </c>
      <c r="C13" s="6">
        <v>-4.4999999999999998E-2</v>
      </c>
      <c r="D13" s="6">
        <v>-0.35499999999999998</v>
      </c>
      <c r="E13" s="6">
        <v>0.26800000000000002</v>
      </c>
      <c r="F13" s="6">
        <f>-5.044-E13-D13-C13</f>
        <v>-4.911999999999999</v>
      </c>
      <c r="G13" s="6">
        <v>-4.0000000000000001E-3</v>
      </c>
      <c r="H13" s="6">
        <v>-9.5000000000000001E-2</v>
      </c>
      <c r="I13" s="6">
        <v>-8.7999999999999995E-2</v>
      </c>
      <c r="J13" s="6">
        <f>-5.256-I13-H13-G13</f>
        <v>-5.0690000000000008</v>
      </c>
      <c r="K13" s="6">
        <v>-7.0000000000000007E-2</v>
      </c>
      <c r="R13" s="2">
        <f>-1.63-2.577</f>
        <v>-4.2069999999999999</v>
      </c>
      <c r="S13" s="2">
        <f>-2.511-2.082</f>
        <v>-4.593</v>
      </c>
      <c r="T13" s="2">
        <f t="shared" si="11"/>
        <v>-5.0439999999999987</v>
      </c>
      <c r="U13" s="2">
        <f>+SUM(G13:J13)</f>
        <v>-5.2560000000000011</v>
      </c>
      <c r="V13" s="2">
        <f>+V12*-0.3</f>
        <v>-7.2912408000000006</v>
      </c>
      <c r="W13" s="2">
        <f t="shared" ref="W13:AA13" si="15">+W12*-0.3</f>
        <v>-8.2011784223999999</v>
      </c>
      <c r="X13" s="2">
        <f t="shared" si="15"/>
        <v>-9.129536469427201</v>
      </c>
      <c r="Y13" s="2">
        <f t="shared" si="15"/>
        <v>-10.146773796379161</v>
      </c>
      <c r="Z13" s="2">
        <f t="shared" si="15"/>
        <v>-11.2610386960085</v>
      </c>
      <c r="AA13" s="2">
        <f t="shared" si="15"/>
        <v>-12.380675961123837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s="4" customFormat="1" ht="15" x14ac:dyDescent="0.25">
      <c r="A14" s="3"/>
      <c r="B14" s="3" t="s">
        <v>27</v>
      </c>
      <c r="C14" s="8">
        <f t="shared" ref="C14:K14" si="16">+C12+C13</f>
        <v>0.74499999999999855</v>
      </c>
      <c r="D14" s="8">
        <f t="shared" si="16"/>
        <v>1.9340000000000024</v>
      </c>
      <c r="E14" s="8">
        <f t="shared" si="16"/>
        <v>3.984</v>
      </c>
      <c r="F14" s="8">
        <f t="shared" si="16"/>
        <v>9.0620000000000047</v>
      </c>
      <c r="G14" s="8">
        <f t="shared" si="16"/>
        <v>1.1390000000000007</v>
      </c>
      <c r="H14" s="8">
        <f t="shared" si="16"/>
        <v>1.6860000000000015</v>
      </c>
      <c r="I14" s="8">
        <f t="shared" si="16"/>
        <v>4.9309999999999983</v>
      </c>
      <c r="J14" s="8">
        <f t="shared" si="16"/>
        <v>9.1249999999999893</v>
      </c>
      <c r="K14" s="4">
        <f t="shared" si="16"/>
        <v>1.3509999999999966</v>
      </c>
      <c r="R14" s="5">
        <f>+R12+R13</f>
        <v>11.883000000000003</v>
      </c>
      <c r="S14" s="5">
        <f>+S12+S13</f>
        <v>13.923000000000009</v>
      </c>
      <c r="T14" s="5">
        <f>+T12+T13</f>
        <v>15.725000000000014</v>
      </c>
      <c r="U14" s="5">
        <f>+U12+U13</f>
        <v>16.881000000000011</v>
      </c>
      <c r="V14" s="5">
        <f t="shared" ref="V14:AA14" si="17">+V12+V13</f>
        <v>17.012895200000003</v>
      </c>
      <c r="W14" s="5">
        <f t="shared" si="17"/>
        <v>19.136082985600005</v>
      </c>
      <c r="X14" s="5">
        <f t="shared" si="17"/>
        <v>21.302251761996803</v>
      </c>
      <c r="Y14" s="5">
        <f t="shared" si="17"/>
        <v>23.675805524884712</v>
      </c>
      <c r="Z14" s="5">
        <f t="shared" si="17"/>
        <v>26.275756957353167</v>
      </c>
      <c r="AA14" s="5">
        <f t="shared" si="17"/>
        <v>28.888243909288953</v>
      </c>
      <c r="AB14" s="5">
        <f>+AA14*0.99</f>
        <v>28.599361470196062</v>
      </c>
      <c r="AC14" s="5">
        <f t="shared" ref="AC14:BG14" si="18">+AB14*0.99</f>
        <v>28.3133678554941</v>
      </c>
      <c r="AD14" s="5">
        <f t="shared" si="18"/>
        <v>28.03023417693916</v>
      </c>
      <c r="AE14" s="5">
        <f t="shared" si="18"/>
        <v>27.749931835169768</v>
      </c>
      <c r="AF14" s="5">
        <f t="shared" si="18"/>
        <v>27.472432516818071</v>
      </c>
      <c r="AG14" s="5">
        <f t="shared" si="18"/>
        <v>27.197708191649891</v>
      </c>
      <c r="AH14" s="5">
        <f t="shared" si="18"/>
        <v>26.925731109733391</v>
      </c>
      <c r="AI14" s="5">
        <f t="shared" si="18"/>
        <v>26.656473798636057</v>
      </c>
      <c r="AJ14" s="5">
        <f t="shared" si="18"/>
        <v>26.389909060649696</v>
      </c>
      <c r="AK14" s="5">
        <f t="shared" si="18"/>
        <v>26.126009970043199</v>
      </c>
      <c r="AL14" s="5">
        <f t="shared" si="18"/>
        <v>25.864749870342767</v>
      </c>
      <c r="AM14" s="5">
        <f t="shared" si="18"/>
        <v>25.606102371639338</v>
      </c>
      <c r="AN14" s="5">
        <f t="shared" si="18"/>
        <v>25.350041347922943</v>
      </c>
      <c r="AO14" s="5">
        <f t="shared" si="18"/>
        <v>25.096540934443713</v>
      </c>
      <c r="AP14" s="5">
        <f t="shared" si="18"/>
        <v>24.845575525099274</v>
      </c>
      <c r="AQ14" s="5">
        <f t="shared" si="18"/>
        <v>24.59711976984828</v>
      </c>
      <c r="AR14" s="5">
        <f t="shared" si="18"/>
        <v>24.351148572149796</v>
      </c>
      <c r="AS14" s="5">
        <f t="shared" si="18"/>
        <v>24.107637086428298</v>
      </c>
      <c r="AT14" s="5">
        <f t="shared" si="18"/>
        <v>23.866560715564013</v>
      </c>
      <c r="AU14" s="5">
        <f t="shared" si="18"/>
        <v>23.627895108408374</v>
      </c>
      <c r="AV14" s="5">
        <f t="shared" si="18"/>
        <v>23.39161615732429</v>
      </c>
      <c r="AW14" s="5">
        <f t="shared" si="18"/>
        <v>23.157699995751045</v>
      </c>
      <c r="AX14" s="5">
        <f t="shared" si="18"/>
        <v>22.926122995793534</v>
      </c>
      <c r="AY14" s="5">
        <f t="shared" si="18"/>
        <v>22.6968617658356</v>
      </c>
      <c r="AZ14" s="5">
        <f t="shared" si="18"/>
        <v>22.469893148177242</v>
      </c>
      <c r="BA14" s="5">
        <f t="shared" si="18"/>
        <v>22.24519421669547</v>
      </c>
      <c r="BB14" s="5">
        <f t="shared" si="18"/>
        <v>22.022742274528515</v>
      </c>
      <c r="BC14" s="5">
        <f t="shared" si="18"/>
        <v>21.802514851783229</v>
      </c>
      <c r="BD14" s="5">
        <f t="shared" si="18"/>
        <v>21.584489703265398</v>
      </c>
      <c r="BE14" s="5">
        <f t="shared" si="18"/>
        <v>21.368644806232744</v>
      </c>
      <c r="BF14" s="5">
        <f t="shared" si="18"/>
        <v>21.154958358170418</v>
      </c>
      <c r="BG14" s="5">
        <f t="shared" si="18"/>
        <v>20.943408774588715</v>
      </c>
      <c r="BH14" s="5"/>
      <c r="BI14" s="5"/>
      <c r="BJ14" s="5"/>
      <c r="BK14" s="5"/>
      <c r="BL14" s="5"/>
      <c r="BM14" s="5"/>
    </row>
    <row r="15" spans="1:65" s="6" customFormat="1" x14ac:dyDescent="0.2">
      <c r="A15" s="1"/>
      <c r="B15" s="1" t="s">
        <v>28</v>
      </c>
      <c r="C15" s="6">
        <f t="shared" ref="C15:K15" si="19">+C14/C16</f>
        <v>4.259820458573952E-2</v>
      </c>
      <c r="D15" s="6">
        <f t="shared" si="19"/>
        <v>0.11000511916273263</v>
      </c>
      <c r="E15" s="6">
        <f t="shared" si="19"/>
        <v>0.22660827029179229</v>
      </c>
      <c r="F15" s="6">
        <f t="shared" si="19"/>
        <v>0.51635327635327655</v>
      </c>
      <c r="G15" s="6">
        <f t="shared" si="19"/>
        <v>6.5433446314701021E-2</v>
      </c>
      <c r="H15" s="6">
        <f t="shared" si="19"/>
        <v>9.672977624784862E-2</v>
      </c>
      <c r="I15" s="6">
        <f t="shared" si="19"/>
        <v>0.28303294684881175</v>
      </c>
      <c r="J15" s="6">
        <f t="shared" si="19"/>
        <v>0.51994301994301928</v>
      </c>
      <c r="K15" s="6">
        <f t="shared" si="19"/>
        <v>7.8223611834867493E-2</v>
      </c>
      <c r="R15" s="2">
        <f>+R14/R16</f>
        <v>0.67643877725280366</v>
      </c>
      <c r="S15" s="2">
        <f>+S14/S16</f>
        <v>0.79605488850771933</v>
      </c>
      <c r="T15" s="2">
        <f>+T14/T16</f>
        <v>0.89601139601139679</v>
      </c>
      <c r="U15" s="2">
        <f>+U14/U16</f>
        <v>0.97017241379310415</v>
      </c>
      <c r="V15" s="2">
        <f t="shared" ref="V15:AA15" si="20">+V14/V16</f>
        <v>0.97775259770114964</v>
      </c>
      <c r="W15" s="2">
        <f t="shared" si="20"/>
        <v>1.0997748842298853</v>
      </c>
      <c r="X15" s="2">
        <f t="shared" si="20"/>
        <v>1.2242673426434945</v>
      </c>
      <c r="Y15" s="2">
        <f t="shared" si="20"/>
        <v>1.3606784784416501</v>
      </c>
      <c r="Z15" s="2">
        <f t="shared" si="20"/>
        <v>1.5101009745605269</v>
      </c>
      <c r="AA15" s="2">
        <f t="shared" si="20"/>
        <v>1.6602439028326985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s="6" customFormat="1" x14ac:dyDescent="0.2">
      <c r="A16" s="1"/>
      <c r="B16" s="1" t="s">
        <v>1</v>
      </c>
      <c r="C16" s="6">
        <v>17.489000000000001</v>
      </c>
      <c r="D16" s="6">
        <v>17.581</v>
      </c>
      <c r="E16" s="6">
        <v>17.581</v>
      </c>
      <c r="F16" s="6">
        <v>17.55</v>
      </c>
      <c r="G16" s="6">
        <v>17.407</v>
      </c>
      <c r="H16" s="6">
        <v>17.43</v>
      </c>
      <c r="I16" s="6">
        <v>17.422000000000001</v>
      </c>
      <c r="J16" s="6">
        <v>17.55</v>
      </c>
      <c r="K16" s="6">
        <v>17.271000000000001</v>
      </c>
      <c r="R16" s="2">
        <v>17.567</v>
      </c>
      <c r="S16" s="2">
        <v>17.489999999999998</v>
      </c>
      <c r="T16" s="2">
        <v>17.55</v>
      </c>
      <c r="U16" s="2">
        <v>17.399999999999999</v>
      </c>
      <c r="V16" s="2">
        <f>+U16</f>
        <v>17.399999999999999</v>
      </c>
      <c r="W16" s="2">
        <f t="shared" ref="W16:AA16" si="21">+V16</f>
        <v>17.399999999999999</v>
      </c>
      <c r="X16" s="2">
        <f t="shared" si="21"/>
        <v>17.399999999999999</v>
      </c>
      <c r="Y16" s="2">
        <f t="shared" si="21"/>
        <v>17.399999999999999</v>
      </c>
      <c r="Z16" s="2">
        <f t="shared" si="21"/>
        <v>17.399999999999999</v>
      </c>
      <c r="AA16" s="2">
        <f t="shared" si="21"/>
        <v>17.399999999999999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s="6" customFormat="1" x14ac:dyDescent="0.2">
      <c r="A17" s="1"/>
      <c r="B17" s="1"/>
      <c r="R17" s="2"/>
      <c r="S17" s="2"/>
      <c r="T17" s="2"/>
      <c r="U17" s="2"/>
      <c r="V17" s="2">
        <v>-2000</v>
      </c>
      <c r="W17" s="2">
        <v>19000</v>
      </c>
      <c r="X17" s="2">
        <v>21000</v>
      </c>
      <c r="Y17" s="2">
        <v>24000</v>
      </c>
      <c r="Z17" s="2">
        <v>26000</v>
      </c>
      <c r="AA17" s="2">
        <v>29000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s="6" customFormat="1" x14ac:dyDescent="0.2">
      <c r="A18" s="1"/>
      <c r="B18" s="1" t="s">
        <v>60</v>
      </c>
      <c r="R18" s="2"/>
      <c r="S18" s="2"/>
      <c r="T18" s="2"/>
      <c r="U18" s="2"/>
      <c r="V18" s="2">
        <f>+main!L8/model!V12</f>
        <v>14.60692945431181</v>
      </c>
      <c r="W18" s="2"/>
      <c r="X18" s="2"/>
      <c r="Y18" s="2"/>
      <c r="Z18" s="2"/>
      <c r="AA18" s="2">
        <f>(AA19-AA28)/AA12</f>
        <v>9.620224793732687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s="6" customFormat="1" x14ac:dyDescent="0.2">
      <c r="A19" s="1"/>
      <c r="B19" s="1" t="s">
        <v>56</v>
      </c>
      <c r="H19" s="6" t="s">
        <v>6</v>
      </c>
      <c r="R19" s="2"/>
      <c r="S19" s="2"/>
      <c r="T19" s="2"/>
      <c r="U19" s="2"/>
      <c r="V19" s="2">
        <f>+main!L8</f>
        <v>355.00880000000006</v>
      </c>
      <c r="W19" s="2"/>
      <c r="X19" s="2"/>
      <c r="Y19" s="2"/>
      <c r="Z19" s="2"/>
      <c r="AA19" s="2">
        <f>+NPV(0.009,AA14:BG14)-AA28</f>
        <v>552.75832248703625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s="6" customFormat="1" x14ac:dyDescent="0.2">
      <c r="A20" s="1"/>
      <c r="B20" s="1" t="s">
        <v>55</v>
      </c>
      <c r="R20" s="2"/>
      <c r="S20" s="2"/>
      <c r="T20" s="2"/>
      <c r="U20" s="2"/>
      <c r="V20" s="2">
        <f>+IRR(V17:AA17)</f>
        <v>9.6084413944736582</v>
      </c>
      <c r="W20" s="2"/>
      <c r="X20" s="2"/>
      <c r="Y20" s="2"/>
      <c r="Z20" s="2"/>
      <c r="AA20" s="2" t="s">
        <v>6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s="6" customFormat="1" x14ac:dyDescent="0.2">
      <c r="A21" s="1"/>
      <c r="B21" s="1"/>
    </row>
    <row r="22" spans="1:65" s="6" customFormat="1" x14ac:dyDescent="0.2">
      <c r="A22" s="1"/>
      <c r="B22" s="1" t="s">
        <v>48</v>
      </c>
      <c r="K22" s="9"/>
      <c r="R22" s="9" t="s">
        <v>6</v>
      </c>
      <c r="S22" s="9">
        <f>+S3/R3-1</f>
        <v>0.10059873255316654</v>
      </c>
      <c r="T22" s="9">
        <f>+T3/S3-1</f>
        <v>8.1759895437766072E-2</v>
      </c>
      <c r="U22" s="9">
        <f>+U3/T3-1</f>
        <v>9.1263102896515624E-2</v>
      </c>
      <c r="V22" s="9">
        <f t="shared" ref="V22:AA22" si="22">+V3/U3-1</f>
        <v>0.10000000000000009</v>
      </c>
      <c r="W22" s="9">
        <f t="shared" si="22"/>
        <v>0.10000000000000009</v>
      </c>
      <c r="X22" s="9">
        <f t="shared" si="22"/>
        <v>9.000000000000008E-2</v>
      </c>
      <c r="Y22" s="9">
        <f t="shared" si="22"/>
        <v>9.000000000000008E-2</v>
      </c>
      <c r="Z22" s="9">
        <f t="shared" si="22"/>
        <v>9.000000000000008E-2</v>
      </c>
      <c r="AA22" s="9">
        <f t="shared" si="22"/>
        <v>8.0000000000000071E-2</v>
      </c>
      <c r="AB22" s="9"/>
      <c r="AC22" s="9"/>
      <c r="AD22" s="9"/>
    </row>
    <row r="23" spans="1:65" s="6" customFormat="1" x14ac:dyDescent="0.2">
      <c r="A23" s="1"/>
      <c r="B23" s="1" t="s">
        <v>49</v>
      </c>
      <c r="K23" s="9"/>
      <c r="R23" s="9">
        <f>+R6/R3</f>
        <v>0.73654795692235908</v>
      </c>
      <c r="S23" s="9">
        <f>+S6/S3</f>
        <v>0.79983927089036866</v>
      </c>
      <c r="T23" s="9">
        <f>+T6/T3</f>
        <v>0.82560493746530395</v>
      </c>
      <c r="U23" s="9">
        <f>+U6/U3</f>
        <v>0.84827673915808222</v>
      </c>
      <c r="V23" s="9">
        <f t="shared" ref="V23:AA23" si="23">+V6/V3</f>
        <v>0.85</v>
      </c>
      <c r="W23" s="9">
        <f t="shared" si="23"/>
        <v>0.85</v>
      </c>
      <c r="X23" s="9">
        <f t="shared" si="23"/>
        <v>0.85</v>
      </c>
      <c r="Y23" s="9">
        <f t="shared" si="23"/>
        <v>0.85</v>
      </c>
      <c r="Z23" s="9">
        <f t="shared" si="23"/>
        <v>0.85</v>
      </c>
      <c r="AA23" s="9">
        <f t="shared" si="23"/>
        <v>0.85</v>
      </c>
      <c r="AB23" s="9"/>
      <c r="AC23" s="9"/>
      <c r="AD23" s="9"/>
    </row>
    <row r="24" spans="1:65" s="6" customFormat="1" x14ac:dyDescent="0.2">
      <c r="A24" s="1"/>
      <c r="B24" s="1" t="s">
        <v>59</v>
      </c>
      <c r="K24" s="9"/>
      <c r="R24" s="9">
        <f>+R10/R3</f>
        <v>0.15985964775864084</v>
      </c>
      <c r="S24" s="9">
        <f>+S10/S3</f>
        <v>0.16510058816256609</v>
      </c>
      <c r="T24" s="9">
        <f>+T10/T3</f>
        <v>0.16577409136923235</v>
      </c>
      <c r="U24" s="9">
        <f>+U10/U3</f>
        <v>0.16224162308952586</v>
      </c>
      <c r="V24" s="9">
        <f t="shared" ref="V24:AA24" si="24">+V10/V3</f>
        <v>0.16</v>
      </c>
      <c r="W24" s="9">
        <f t="shared" si="24"/>
        <v>0.16</v>
      </c>
      <c r="X24" s="9">
        <f t="shared" si="24"/>
        <v>0.16</v>
      </c>
      <c r="Y24" s="9">
        <f t="shared" si="24"/>
        <v>0.16</v>
      </c>
      <c r="Z24" s="9">
        <f t="shared" si="24"/>
        <v>0.16</v>
      </c>
      <c r="AA24" s="9">
        <f t="shared" si="24"/>
        <v>0.16</v>
      </c>
      <c r="AB24" s="9"/>
      <c r="AC24" s="9"/>
      <c r="AD24" s="9"/>
    </row>
    <row r="25" spans="1:65" s="6" customFormat="1" x14ac:dyDescent="0.2">
      <c r="A25" s="1"/>
      <c r="B25" s="1" t="s">
        <v>50</v>
      </c>
      <c r="K25" s="9"/>
      <c r="R25" s="9">
        <f t="shared" ref="R25:T25" si="25">+R13/R12</f>
        <v>-0.26146674953387189</v>
      </c>
      <c r="S25" s="9">
        <f t="shared" si="25"/>
        <v>-0.24805573558003877</v>
      </c>
      <c r="T25" s="9">
        <f t="shared" si="25"/>
        <v>-0.24286195772545599</v>
      </c>
      <c r="U25" s="9">
        <f>+U13/U12</f>
        <v>-0.23743054614446396</v>
      </c>
      <c r="V25" s="9">
        <f t="shared" ref="V25:AA25" si="26">+V13/V12</f>
        <v>-0.3</v>
      </c>
      <c r="W25" s="9">
        <f t="shared" si="26"/>
        <v>-0.29999999999999993</v>
      </c>
      <c r="X25" s="9">
        <f t="shared" si="26"/>
        <v>-0.3</v>
      </c>
      <c r="Y25" s="9">
        <f t="shared" si="26"/>
        <v>-0.3</v>
      </c>
      <c r="Z25" s="9">
        <f t="shared" si="26"/>
        <v>-0.3</v>
      </c>
      <c r="AA25" s="9">
        <f t="shared" si="26"/>
        <v>-0.3</v>
      </c>
      <c r="AB25" s="9"/>
      <c r="AC25" s="9"/>
      <c r="AD25" s="9"/>
    </row>
    <row r="26" spans="1:65" s="6" customFormat="1" x14ac:dyDescent="0.2">
      <c r="A26" s="1"/>
      <c r="B26" s="1" t="s">
        <v>51</v>
      </c>
      <c r="K26" s="9"/>
      <c r="R26" s="9" t="s">
        <v>6</v>
      </c>
      <c r="S26" s="9">
        <f>+S14/R14-1</f>
        <v>0.17167381974248985</v>
      </c>
      <c r="T26" s="9">
        <f>+T14/S14-1</f>
        <v>0.12942612942612963</v>
      </c>
      <c r="U26" s="9">
        <f>+U14/T14-1</f>
        <v>7.3513513513513207E-2</v>
      </c>
      <c r="V26" s="9">
        <f t="shared" ref="V26:AA26" si="27">+V14/U14-1</f>
        <v>7.8132338131622348E-3</v>
      </c>
      <c r="W26" s="9">
        <f t="shared" si="27"/>
        <v>0.12479873417429865</v>
      </c>
      <c r="X26" s="9">
        <f t="shared" si="27"/>
        <v>0.11319812827039111</v>
      </c>
      <c r="Y26" s="9">
        <f t="shared" si="27"/>
        <v>0.11142266974434722</v>
      </c>
      <c r="Z26" s="9">
        <f t="shared" si="27"/>
        <v>0.10981469795127974</v>
      </c>
      <c r="AA26" s="9">
        <f t="shared" si="27"/>
        <v>9.9425754172409953E-2</v>
      </c>
      <c r="AB26" s="9"/>
      <c r="AC26" s="9"/>
      <c r="AD26" s="9"/>
    </row>
    <row r="27" spans="1:65" s="6" customFormat="1" x14ac:dyDescent="0.2">
      <c r="A27" s="1"/>
      <c r="B27" s="1"/>
    </row>
    <row r="28" spans="1:65" s="3" customFormat="1" ht="15" x14ac:dyDescent="0.25">
      <c r="B28" s="3" t="s">
        <v>29</v>
      </c>
      <c r="K28" s="3">
        <f>+K29-K42</f>
        <v>21.498999999999999</v>
      </c>
      <c r="T28" s="3">
        <f>25.397-1.517</f>
        <v>23.88</v>
      </c>
      <c r="U28" s="3">
        <f>21.089-1.638</f>
        <v>19.451000000000001</v>
      </c>
      <c r="V28" s="4">
        <f>+U28+V14</f>
        <v>36.463895200000003</v>
      </c>
      <c r="W28" s="4">
        <f t="shared" ref="W28:AD28" si="28">+V28+W14</f>
        <v>55.599978185600008</v>
      </c>
      <c r="X28" s="4">
        <f t="shared" si="28"/>
        <v>76.902229947596808</v>
      </c>
      <c r="Y28" s="4">
        <f t="shared" si="28"/>
        <v>100.57803547248152</v>
      </c>
      <c r="Z28" s="4">
        <f t="shared" si="28"/>
        <v>126.85379242983468</v>
      </c>
      <c r="AA28" s="4">
        <f t="shared" si="28"/>
        <v>155.74203633912364</v>
      </c>
      <c r="AB28" s="4">
        <f t="shared" si="28"/>
        <v>184.34139780931972</v>
      </c>
      <c r="AC28" s="4">
        <f t="shared" si="28"/>
        <v>212.65476566481382</v>
      </c>
      <c r="AD28" s="4">
        <f t="shared" si="28"/>
        <v>240.68499984175298</v>
      </c>
    </row>
    <row r="29" spans="1:65" x14ac:dyDescent="0.2">
      <c r="B29" s="1" t="s">
        <v>3</v>
      </c>
      <c r="K29" s="1">
        <v>23.187999999999999</v>
      </c>
      <c r="L29" s="1" t="s">
        <v>6</v>
      </c>
    </row>
    <row r="30" spans="1:65" x14ac:dyDescent="0.2">
      <c r="B30" s="1" t="s">
        <v>34</v>
      </c>
      <c r="K30" s="1">
        <f>25.895+0.301</f>
        <v>26.195999999999998</v>
      </c>
      <c r="L30" s="1" t="s">
        <v>6</v>
      </c>
    </row>
    <row r="31" spans="1:65" x14ac:dyDescent="0.2">
      <c r="B31" s="1" t="s">
        <v>30</v>
      </c>
      <c r="K31" s="1">
        <v>38.991999999999997</v>
      </c>
    </row>
    <row r="32" spans="1:65" x14ac:dyDescent="0.2">
      <c r="B32" s="1" t="s">
        <v>31</v>
      </c>
      <c r="K32" s="1">
        <v>14.013999999999999</v>
      </c>
    </row>
    <row r="33" spans="2:11" x14ac:dyDescent="0.2">
      <c r="B33" s="1" t="s">
        <v>32</v>
      </c>
      <c r="K33" s="1">
        <v>5.3289999999999997</v>
      </c>
    </row>
    <row r="34" spans="2:11" x14ac:dyDescent="0.2">
      <c r="B34" s="1" t="s">
        <v>33</v>
      </c>
      <c r="K34" s="1">
        <v>1.6539999999999999</v>
      </c>
    </row>
    <row r="35" spans="2:11" x14ac:dyDescent="0.2">
      <c r="B35" s="1" t="s">
        <v>17</v>
      </c>
      <c r="K35" s="1">
        <v>6.0960000000000001</v>
      </c>
    </row>
    <row r="36" spans="2:11" x14ac:dyDescent="0.2">
      <c r="B36" s="1" t="s">
        <v>36</v>
      </c>
      <c r="K36" s="1">
        <v>1.982</v>
      </c>
    </row>
    <row r="37" spans="2:11" x14ac:dyDescent="0.2">
      <c r="B37" s="1" t="s">
        <v>37</v>
      </c>
      <c r="K37" s="1">
        <f>6.776+19.163</f>
        <v>25.939</v>
      </c>
    </row>
    <row r="38" spans="2:11" x14ac:dyDescent="0.2">
      <c r="B38" s="1" t="s">
        <v>38</v>
      </c>
      <c r="K38" s="1">
        <v>19.225999999999999</v>
      </c>
    </row>
    <row r="39" spans="2:11" x14ac:dyDescent="0.2">
      <c r="B39" s="1" t="s">
        <v>39</v>
      </c>
      <c r="K39" s="1">
        <v>3.0209999999999999</v>
      </c>
    </row>
    <row r="40" spans="2:11" x14ac:dyDescent="0.2">
      <c r="B40" s="1" t="s">
        <v>35</v>
      </c>
      <c r="K40" s="1">
        <f>+SUM(K29:K39)</f>
        <v>165.63699999999997</v>
      </c>
    </row>
    <row r="42" spans="2:11" x14ac:dyDescent="0.2">
      <c r="B42" s="1" t="s">
        <v>4</v>
      </c>
      <c r="K42" s="1">
        <v>1.6890000000000001</v>
      </c>
    </row>
    <row r="43" spans="2:11" x14ac:dyDescent="0.2">
      <c r="B43" s="1" t="s">
        <v>40</v>
      </c>
      <c r="K43" s="1">
        <v>2.8010000000000002</v>
      </c>
    </row>
    <row r="44" spans="2:11" x14ac:dyDescent="0.2">
      <c r="B44" s="1" t="s">
        <v>31</v>
      </c>
      <c r="K44" s="1">
        <v>27.074000000000002</v>
      </c>
    </row>
    <row r="45" spans="2:11" x14ac:dyDescent="0.2">
      <c r="B45" s="1" t="s">
        <v>42</v>
      </c>
      <c r="K45" s="1">
        <v>2.331</v>
      </c>
    </row>
    <row r="46" spans="2:11" x14ac:dyDescent="0.2">
      <c r="B46" s="1" t="s">
        <v>26</v>
      </c>
      <c r="K46" s="1">
        <v>9.5210000000000008</v>
      </c>
    </row>
    <row r="47" spans="2:11" x14ac:dyDescent="0.2">
      <c r="B47" s="1" t="s">
        <v>17</v>
      </c>
      <c r="K47" s="1">
        <f>0.652+12.882</f>
        <v>13.533999999999999</v>
      </c>
    </row>
    <row r="48" spans="2:11" x14ac:dyDescent="0.2">
      <c r="B48" s="1" t="s">
        <v>41</v>
      </c>
      <c r="K48" s="1">
        <v>18.709</v>
      </c>
    </row>
    <row r="49" spans="2:11" x14ac:dyDescent="0.2">
      <c r="B49" s="1" t="s">
        <v>57</v>
      </c>
      <c r="K49" s="1">
        <v>3.13</v>
      </c>
    </row>
    <row r="50" spans="2:11" x14ac:dyDescent="0.2">
      <c r="B50" s="1" t="s">
        <v>42</v>
      </c>
      <c r="K50" s="1">
        <v>1.6</v>
      </c>
    </row>
    <row r="51" spans="2:11" x14ac:dyDescent="0.2">
      <c r="B51" s="1" t="s">
        <v>43</v>
      </c>
      <c r="K51" s="1">
        <f>+SUM(K42:K50)</f>
        <v>80.388999999999996</v>
      </c>
    </row>
    <row r="53" spans="2:11" x14ac:dyDescent="0.2">
      <c r="B53" s="1" t="s">
        <v>44</v>
      </c>
      <c r="K53" s="1">
        <f>+K40-K48</f>
        <v>146.92799999999997</v>
      </c>
    </row>
    <row r="54" spans="2:11" x14ac:dyDescent="0.2">
      <c r="B54" s="1" t="s">
        <v>45</v>
      </c>
      <c r="K54" s="1">
        <f>+K48+K53</f>
        <v>165.63699999999997</v>
      </c>
    </row>
    <row r="56" spans="2:11" x14ac:dyDescent="0.2">
      <c r="B56" s="1" t="s">
        <v>46</v>
      </c>
      <c r="K56" s="10">
        <f>+K14/K40</f>
        <v>8.1563901785228956E-3</v>
      </c>
    </row>
    <row r="57" spans="2:11" x14ac:dyDescent="0.2">
      <c r="B57" s="1" t="s">
        <v>47</v>
      </c>
      <c r="K57" s="10">
        <f>+K14/K53</f>
        <v>9.1949798540781665E-3</v>
      </c>
    </row>
    <row r="59" spans="2:11" x14ac:dyDescent="0.2">
      <c r="B59" s="1" t="s">
        <v>52</v>
      </c>
      <c r="G59" s="1">
        <v>7.83</v>
      </c>
      <c r="K59" s="1">
        <v>3.2120000000000002</v>
      </c>
    </row>
    <row r="60" spans="2:11" x14ac:dyDescent="0.2">
      <c r="B60" s="1" t="s">
        <v>52</v>
      </c>
      <c r="G60" s="1">
        <v>-0.34499999999999997</v>
      </c>
      <c r="K60" s="1">
        <v>-0.109</v>
      </c>
    </row>
    <row r="61" spans="2:11" x14ac:dyDescent="0.2">
      <c r="B61" s="1" t="s">
        <v>53</v>
      </c>
      <c r="G61" s="1">
        <v>-1.8440000000000001</v>
      </c>
      <c r="K61" s="1">
        <v>-1.004</v>
      </c>
    </row>
    <row r="62" spans="2:11" s="3" customFormat="1" ht="15" x14ac:dyDescent="0.25">
      <c r="B62" s="3" t="s">
        <v>61</v>
      </c>
      <c r="G62" s="3">
        <f>+G61+G60+G59</f>
        <v>5.641</v>
      </c>
      <c r="K62" s="3">
        <f>+K61+K60+K59</f>
        <v>2.0990000000000002</v>
      </c>
    </row>
    <row r="64" spans="2:11" x14ac:dyDescent="0.2">
      <c r="B64" s="1" t="s">
        <v>62</v>
      </c>
    </row>
    <row r="65" spans="2:2" x14ac:dyDescent="0.2">
      <c r="B65" s="1" t="s">
        <v>54</v>
      </c>
    </row>
  </sheetData>
  <pageMargins left="0.7" right="0.7" top="0.75" bottom="0.75" header="0.3" footer="0.3"/>
  <ignoredErrors>
    <ignoredError sqref="J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2025-08-19T09:50:32Z</dcterms:created>
  <dcterms:modified xsi:type="dcterms:W3CDTF">2025-08-24T09:28:06Z</dcterms:modified>
</cp:coreProperties>
</file>