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1028" documentId="8_{194380FB-E70F-4C61-8945-4B283F868C47}" xr6:coauthVersionLast="47" xr6:coauthVersionMax="47" xr10:uidLastSave="{D6EBE25C-A079-46AA-8C54-E72F38DA8D59}"/>
  <bookViews>
    <workbookView xWindow="-120" yWindow="-120" windowWidth="29040" windowHeight="15720" activeTab="1" xr2:uid="{5F378DED-6308-4504-9E35-5FACAC81B88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1" i="2" l="1"/>
  <c r="V42" i="2"/>
  <c r="W42" i="2"/>
  <c r="X42" i="2"/>
  <c r="W45" i="2" l="1"/>
  <c r="V59" i="2"/>
  <c r="V60" i="2" s="1"/>
  <c r="W59" i="2"/>
  <c r="W60" i="2" s="1"/>
  <c r="W30" i="2"/>
  <c r="X59" i="2"/>
  <c r="X60" i="2" s="1"/>
  <c r="X45" i="2"/>
  <c r="X30" i="2"/>
  <c r="V79" i="2"/>
  <c r="V80" i="2" s="1"/>
  <c r="W79" i="2"/>
  <c r="W80" i="2" s="1"/>
  <c r="X79" i="2"/>
  <c r="X80" i="2" s="1"/>
  <c r="Y80" i="2" s="1"/>
  <c r="Z80" i="2" s="1"/>
  <c r="AA80" i="2" s="1"/>
  <c r="AB80" i="2" s="1"/>
  <c r="AC80" i="2" s="1"/>
  <c r="AD80" i="2" s="1"/>
  <c r="V45" i="2"/>
  <c r="V30" i="2"/>
  <c r="C6" i="1"/>
  <c r="C5" i="1"/>
  <c r="V12" i="2"/>
  <c r="V15" i="2" s="1"/>
  <c r="V18" i="2"/>
  <c r="V9" i="2"/>
  <c r="V5" i="2"/>
  <c r="F16" i="2"/>
  <c r="F19" i="2"/>
  <c r="F10" i="2"/>
  <c r="F5" i="2"/>
  <c r="E24" i="2"/>
  <c r="D24" i="2"/>
  <c r="C24" i="2"/>
  <c r="E16" i="2"/>
  <c r="E25" i="2" s="1"/>
  <c r="C16" i="2"/>
  <c r="C25" i="2" s="1"/>
  <c r="G18" i="2"/>
  <c r="D16" i="2"/>
  <c r="D25" i="2" s="1"/>
  <c r="H18" i="2"/>
  <c r="J14" i="2"/>
  <c r="W14" i="2" s="1"/>
  <c r="J13" i="2"/>
  <c r="W13" i="2" s="1"/>
  <c r="J12" i="2"/>
  <c r="W12" i="2" s="1"/>
  <c r="J11" i="2"/>
  <c r="W11" i="2" s="1"/>
  <c r="J8" i="2"/>
  <c r="W8" i="2" s="1"/>
  <c r="J7" i="2"/>
  <c r="W7" i="2" s="1"/>
  <c r="J6" i="2"/>
  <c r="W6" i="2" s="1"/>
  <c r="J4" i="2"/>
  <c r="W4" i="2" s="1"/>
  <c r="J3" i="2"/>
  <c r="W3" i="2" s="1"/>
  <c r="W21" i="2"/>
  <c r="G15" i="2"/>
  <c r="G9" i="2"/>
  <c r="G5" i="2"/>
  <c r="H15" i="2"/>
  <c r="H9" i="2"/>
  <c r="H5" i="2"/>
  <c r="X21" i="2"/>
  <c r="Y21" i="2" s="1"/>
  <c r="Z21" i="2" s="1"/>
  <c r="AA21" i="2" s="1"/>
  <c r="AB21" i="2" s="1"/>
  <c r="AC21" i="2" s="1"/>
  <c r="AD21" i="2" s="1"/>
  <c r="W2" i="2"/>
  <c r="X2" i="2" s="1"/>
  <c r="Y2" i="2" s="1"/>
  <c r="Z2" i="2" s="1"/>
  <c r="AA2" i="2" s="1"/>
  <c r="AB2" i="2" s="1"/>
  <c r="AC2" i="2" s="1"/>
  <c r="AD2" i="2" s="1"/>
  <c r="N13" i="2"/>
  <c r="X13" i="2" s="1"/>
  <c r="Y13" i="2" s="1"/>
  <c r="Z13" i="2" s="1"/>
  <c r="AA13" i="2" s="1"/>
  <c r="AB13" i="2" s="1"/>
  <c r="AC13" i="2" s="1"/>
  <c r="AD13" i="2" s="1"/>
  <c r="N12" i="2"/>
  <c r="X12" i="2" s="1"/>
  <c r="Y12" i="2" s="1"/>
  <c r="Z12" i="2" s="1"/>
  <c r="AA12" i="2" s="1"/>
  <c r="AB12" i="2" s="1"/>
  <c r="AC12" i="2" s="1"/>
  <c r="AD12" i="2" s="1"/>
  <c r="N11" i="2"/>
  <c r="X11" i="2" s="1"/>
  <c r="Y11" i="2" s="1"/>
  <c r="Z11" i="2" s="1"/>
  <c r="N8" i="2"/>
  <c r="X8" i="2" s="1"/>
  <c r="Y8" i="2" s="1"/>
  <c r="Z8" i="2" s="1"/>
  <c r="AA8" i="2" s="1"/>
  <c r="N7" i="2"/>
  <c r="N6" i="2"/>
  <c r="N4" i="2"/>
  <c r="N3" i="2"/>
  <c r="I18" i="2"/>
  <c r="I15" i="2"/>
  <c r="I9" i="2"/>
  <c r="I5" i="2"/>
  <c r="M18" i="2"/>
  <c r="M15" i="2"/>
  <c r="M9" i="2"/>
  <c r="M5" i="2"/>
  <c r="K18" i="2"/>
  <c r="K15" i="2"/>
  <c r="K9" i="2"/>
  <c r="K5" i="2"/>
  <c r="O18" i="2"/>
  <c r="O15" i="2"/>
  <c r="O9" i="2"/>
  <c r="O5" i="2"/>
  <c r="L14" i="2"/>
  <c r="L15" i="2" s="1"/>
  <c r="L9" i="2"/>
  <c r="L5" i="2"/>
  <c r="P14" i="2"/>
  <c r="P15" i="2" s="1"/>
  <c r="P9" i="2"/>
  <c r="P5" i="2"/>
  <c r="C4" i="1"/>
  <c r="F25" i="2" l="1"/>
  <c r="X62" i="2"/>
  <c r="X63" i="2" s="1"/>
  <c r="V62" i="2"/>
  <c r="V63" i="2" s="1"/>
  <c r="W62" i="2"/>
  <c r="W63" i="2" s="1"/>
  <c r="X81" i="2"/>
  <c r="W5" i="2"/>
  <c r="W23" i="2" s="1"/>
  <c r="W28" i="2"/>
  <c r="W83" i="2" s="1"/>
  <c r="AA11" i="2"/>
  <c r="X28" i="2"/>
  <c r="X83" i="2" s="1"/>
  <c r="M23" i="2"/>
  <c r="L23" i="2"/>
  <c r="H23" i="2"/>
  <c r="V10" i="2"/>
  <c r="I10" i="2"/>
  <c r="I24" i="2" s="1"/>
  <c r="J18" i="2"/>
  <c r="V28" i="2"/>
  <c r="V83" i="2" s="1"/>
  <c r="V81" i="2" s="1"/>
  <c r="P23" i="2"/>
  <c r="G23" i="2"/>
  <c r="K10" i="2"/>
  <c r="K24" i="2" s="1"/>
  <c r="I23" i="2"/>
  <c r="C7" i="1"/>
  <c r="F24" i="2"/>
  <c r="W15" i="2"/>
  <c r="J15" i="2"/>
  <c r="J9" i="2"/>
  <c r="J5" i="2"/>
  <c r="J23" i="2" s="1"/>
  <c r="W9" i="2"/>
  <c r="G10" i="2"/>
  <c r="N9" i="2"/>
  <c r="N18" i="2"/>
  <c r="L10" i="2"/>
  <c r="N14" i="2"/>
  <c r="X6" i="2"/>
  <c r="Y6" i="2" s="1"/>
  <c r="Z6" i="2" s="1"/>
  <c r="AA6" i="2" s="1"/>
  <c r="AB6" i="2" s="1"/>
  <c r="AC6" i="2" s="1"/>
  <c r="AD6" i="2" s="1"/>
  <c r="N5" i="2"/>
  <c r="N23" i="2" s="1"/>
  <c r="X3" i="2"/>
  <c r="Y3" i="2" s="1"/>
  <c r="Z3" i="2" s="1"/>
  <c r="AA3" i="2" s="1"/>
  <c r="AB3" i="2" s="1"/>
  <c r="AC3" i="2" s="1"/>
  <c r="AD3" i="2" s="1"/>
  <c r="M10" i="2"/>
  <c r="X4" i="2"/>
  <c r="Y4" i="2" s="1"/>
  <c r="Z4" i="2" s="1"/>
  <c r="AA4" i="2" s="1"/>
  <c r="AB4" i="2" s="1"/>
  <c r="AC4" i="2" s="1"/>
  <c r="AD4" i="2" s="1"/>
  <c r="X7" i="2"/>
  <c r="Y7" i="2" s="1"/>
  <c r="Z7" i="2" s="1"/>
  <c r="AA7" i="2" s="1"/>
  <c r="AB7" i="2" s="1"/>
  <c r="AC7" i="2" s="1"/>
  <c r="AD7" i="2" s="1"/>
  <c r="H10" i="2"/>
  <c r="O10" i="2"/>
  <c r="P10" i="2"/>
  <c r="P24" i="2" s="1"/>
  <c r="AB11" i="2" l="1"/>
  <c r="Y9" i="2"/>
  <c r="Z9" i="2"/>
  <c r="X5" i="2"/>
  <c r="X23" i="2" s="1"/>
  <c r="V16" i="2"/>
  <c r="V25" i="2" s="1"/>
  <c r="V24" i="2"/>
  <c r="I16" i="2"/>
  <c r="I25" i="2" s="1"/>
  <c r="O23" i="2"/>
  <c r="X9" i="2"/>
  <c r="K23" i="2"/>
  <c r="G16" i="2"/>
  <c r="G25" i="2" s="1"/>
  <c r="G24" i="2"/>
  <c r="J10" i="2"/>
  <c r="J24" i="2" s="1"/>
  <c r="M16" i="2"/>
  <c r="M25" i="2" s="1"/>
  <c r="M24" i="2"/>
  <c r="O16" i="2"/>
  <c r="O25" i="2" s="1"/>
  <c r="O24" i="2"/>
  <c r="K16" i="2"/>
  <c r="K25" i="2" s="1"/>
  <c r="H16" i="2"/>
  <c r="H25" i="2" s="1"/>
  <c r="H24" i="2"/>
  <c r="L16" i="2"/>
  <c r="L25" i="2" s="1"/>
  <c r="L24" i="2"/>
  <c r="W10" i="2"/>
  <c r="W18" i="2"/>
  <c r="N15" i="2"/>
  <c r="X14" i="2"/>
  <c r="Y14" i="2" s="1"/>
  <c r="Z14" i="2" s="1"/>
  <c r="AA14" i="2" s="1"/>
  <c r="AB14" i="2" s="1"/>
  <c r="AC14" i="2" s="1"/>
  <c r="AD14" i="2" s="1"/>
  <c r="N10" i="2"/>
  <c r="N24" i="2" s="1"/>
  <c r="X18" i="2"/>
  <c r="P16" i="2"/>
  <c r="P25" i="2" s="1"/>
  <c r="X15" i="2" l="1"/>
  <c r="AB8" i="2"/>
  <c r="AA9" i="2"/>
  <c r="AC11" i="2"/>
  <c r="Y5" i="2"/>
  <c r="V17" i="2"/>
  <c r="V26" i="2" s="1"/>
  <c r="W16" i="2"/>
  <c r="W25" i="2" s="1"/>
  <c r="W24" i="2"/>
  <c r="I17" i="2"/>
  <c r="X10" i="2"/>
  <c r="J16" i="2"/>
  <c r="M17" i="2"/>
  <c r="L17" i="2"/>
  <c r="G17" i="2"/>
  <c r="H17" i="2"/>
  <c r="K17" i="2"/>
  <c r="O17" i="2"/>
  <c r="N16" i="2"/>
  <c r="N25" i="2" s="1"/>
  <c r="P17" i="2"/>
  <c r="P19" i="2" l="1"/>
  <c r="P20" i="2" s="1"/>
  <c r="P26" i="2"/>
  <c r="K19" i="2"/>
  <c r="K20" i="2" s="1"/>
  <c r="K26" i="2"/>
  <c r="G19" i="2"/>
  <c r="G26" i="2"/>
  <c r="L19" i="2"/>
  <c r="L20" i="2" s="1"/>
  <c r="L26" i="2"/>
  <c r="J17" i="2"/>
  <c r="J25" i="2"/>
  <c r="O19" i="2"/>
  <c r="O20" i="2" s="1"/>
  <c r="O26" i="2"/>
  <c r="H19" i="2"/>
  <c r="H26" i="2"/>
  <c r="M19" i="2"/>
  <c r="M20" i="2" s="1"/>
  <c r="M26" i="2"/>
  <c r="I19" i="2"/>
  <c r="I20" i="2" s="1"/>
  <c r="I26" i="2"/>
  <c r="Y10" i="2"/>
  <c r="Y24" i="2" s="1"/>
  <c r="Y23" i="2"/>
  <c r="V19" i="2"/>
  <c r="AD11" i="2"/>
  <c r="AC8" i="2"/>
  <c r="AB9" i="2"/>
  <c r="Y15" i="2"/>
  <c r="X16" i="2"/>
  <c r="X25" i="2" s="1"/>
  <c r="X24" i="2"/>
  <c r="W17" i="2"/>
  <c r="W26" i="2" s="1"/>
  <c r="N17" i="2"/>
  <c r="N19" i="2" l="1"/>
  <c r="N20" i="2" s="1"/>
  <c r="N26" i="2"/>
  <c r="J19" i="2"/>
  <c r="J20" i="2" s="1"/>
  <c r="J26" i="2"/>
  <c r="V73" i="2"/>
  <c r="V65" i="2"/>
  <c r="Y16" i="2"/>
  <c r="V20" i="2"/>
  <c r="W19" i="2"/>
  <c r="Z15" i="2"/>
  <c r="AD8" i="2"/>
  <c r="AC9" i="2"/>
  <c r="X17" i="2"/>
  <c r="X26" i="2" s="1"/>
  <c r="Y17" i="2" l="1"/>
  <c r="Y18" i="2" s="1"/>
  <c r="Y25" i="2"/>
  <c r="W20" i="2"/>
  <c r="W65" i="2"/>
  <c r="W73" i="2"/>
  <c r="X19" i="2"/>
  <c r="AA15" i="2"/>
  <c r="AD9" i="2"/>
  <c r="Y19" i="2" l="1"/>
  <c r="Y20" i="2" s="1"/>
  <c r="Y26" i="2"/>
  <c r="X73" i="2"/>
  <c r="X65" i="2"/>
  <c r="X20" i="2"/>
  <c r="AB15" i="2"/>
  <c r="Y28" i="2" l="1"/>
  <c r="Z5" i="2"/>
  <c r="AC15" i="2"/>
  <c r="Z10" i="2" l="1"/>
  <c r="Z23" i="2"/>
  <c r="AD15" i="2"/>
  <c r="Z24" i="2" l="1"/>
  <c r="Z16" i="2"/>
  <c r="Z17" i="2" l="1"/>
  <c r="Z25" i="2"/>
  <c r="Z18" i="2" l="1"/>
  <c r="Z26" i="2" s="1"/>
  <c r="Z19" i="2" l="1"/>
  <c r="Z28" i="2" s="1"/>
  <c r="AA5" i="2"/>
  <c r="Z20" i="2" l="1"/>
  <c r="AA10" i="2"/>
  <c r="AA23" i="2"/>
  <c r="AA24" i="2" l="1"/>
  <c r="AA16" i="2"/>
  <c r="AA17" i="2" l="1"/>
  <c r="AA18" i="2" s="1"/>
  <c r="AA19" i="2" s="1"/>
  <c r="AA25" i="2"/>
  <c r="AA26" i="2" l="1"/>
  <c r="AA20" i="2"/>
  <c r="AA28" i="2" l="1"/>
  <c r="AB5" i="2"/>
  <c r="AB10" i="2" l="1"/>
  <c r="AB23" i="2"/>
  <c r="AB24" i="2" l="1"/>
  <c r="AB16" i="2"/>
  <c r="AB17" i="2" l="1"/>
  <c r="AB25" i="2"/>
  <c r="AB18" i="2" l="1"/>
  <c r="AB19" i="2" s="1"/>
  <c r="AB20" i="2" s="1"/>
  <c r="AB26" i="2" l="1"/>
  <c r="AB28" i="2"/>
  <c r="AC5" i="2"/>
  <c r="AC10" i="2" l="1"/>
  <c r="AC23" i="2"/>
  <c r="AC24" i="2" l="1"/>
  <c r="AC16" i="2"/>
  <c r="AC17" i="2" l="1"/>
  <c r="AC18" i="2" s="1"/>
  <c r="AC19" i="2" s="1"/>
  <c r="AC25" i="2"/>
  <c r="AC26" i="2" l="1"/>
  <c r="AC28" i="2"/>
  <c r="AC20" i="2"/>
  <c r="AD5" i="2" l="1"/>
  <c r="AD10" i="2" l="1"/>
  <c r="AD23" i="2"/>
  <c r="AD24" i="2" l="1"/>
  <c r="AD16" i="2"/>
  <c r="AD17" i="2" l="1"/>
  <c r="AD18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D25" i="2"/>
  <c r="AD26" i="2" l="1"/>
  <c r="AD20" i="2"/>
  <c r="AD28" i="2"/>
  <c r="AD83" i="2" s="1"/>
  <c r="AD84" i="2" l="1"/>
  <c r="AD81" i="2"/>
  <c r="X82" i="2"/>
  <c r="W82" i="2"/>
  <c r="W81" i="2"/>
</calcChain>
</file>

<file path=xl/sharedStrings.xml><?xml version="1.0" encoding="utf-8"?>
<sst xmlns="http://schemas.openxmlformats.org/spreadsheetml/2006/main" count="134" uniqueCount="90">
  <si>
    <t>Price</t>
  </si>
  <si>
    <t>MC</t>
  </si>
  <si>
    <t>Shares</t>
  </si>
  <si>
    <t>Cash</t>
  </si>
  <si>
    <t>Debt</t>
  </si>
  <si>
    <t>EV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</si>
  <si>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</si>
  <si>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</si>
  <si>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</si>
  <si>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</si>
  <si>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</si>
  <si>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</si>
  <si>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</si>
  <si>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</si>
  <si>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</si>
  <si>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Fee and Comissions</t>
  </si>
  <si>
    <t>Revenue</t>
  </si>
  <si>
    <t>Interest Expenses</t>
  </si>
  <si>
    <t>Transanctional Expenses</t>
  </si>
  <si>
    <t>Suport and Operations</t>
  </si>
  <si>
    <t>G&amp;A</t>
  </si>
  <si>
    <t>Marketing</t>
  </si>
  <si>
    <t xml:space="preserve">Other </t>
  </si>
  <si>
    <t>OPEX</t>
  </si>
  <si>
    <t>Operating Profit</t>
  </si>
  <si>
    <t>Gross Profit</t>
  </si>
  <si>
    <t>NI</t>
  </si>
  <si>
    <t>EPS</t>
  </si>
  <si>
    <t>Allowances</t>
  </si>
  <si>
    <t>COSS</t>
  </si>
  <si>
    <t>Financial Instruments</t>
  </si>
  <si>
    <t>Tax</t>
  </si>
  <si>
    <t>Pretax</t>
  </si>
  <si>
    <t>Q225</t>
  </si>
  <si>
    <t xml:space="preserve"> </t>
  </si>
  <si>
    <t>Q122</t>
  </si>
  <si>
    <t>Q222</t>
  </si>
  <si>
    <t>Q322</t>
  </si>
  <si>
    <t>Q422</t>
  </si>
  <si>
    <t>NC</t>
  </si>
  <si>
    <t>Securities</t>
  </si>
  <si>
    <t>Derivatives</t>
  </si>
  <si>
    <t xml:space="preserve">Collatoral </t>
  </si>
  <si>
    <t>Credits</t>
  </si>
  <si>
    <t>Loans</t>
  </si>
  <si>
    <t>Receivebles</t>
  </si>
  <si>
    <t>DT</t>
  </si>
  <si>
    <t>RUA</t>
  </si>
  <si>
    <t>PPE</t>
  </si>
  <si>
    <t>Intangibles</t>
  </si>
  <si>
    <t>Assets</t>
  </si>
  <si>
    <t>Financial Liabilities</t>
  </si>
  <si>
    <t>Financial Assets</t>
  </si>
  <si>
    <t>Instruments</t>
  </si>
  <si>
    <t xml:space="preserve">Revenue Growth </t>
  </si>
  <si>
    <t>Gross Growth</t>
  </si>
  <si>
    <t>Model NI</t>
  </si>
  <si>
    <t>Reported NI</t>
  </si>
  <si>
    <t>CFFO</t>
  </si>
  <si>
    <t>CFFI</t>
  </si>
  <si>
    <t>CFFF</t>
  </si>
  <si>
    <t>CapeX</t>
  </si>
  <si>
    <t>FCF</t>
  </si>
  <si>
    <t>,</t>
  </si>
  <si>
    <t>Repurchases</t>
  </si>
  <si>
    <t>Deposits</t>
  </si>
  <si>
    <t>Payables</t>
  </si>
  <si>
    <t>SS Contribuitions</t>
  </si>
  <si>
    <t>Taxes</t>
  </si>
  <si>
    <t>Leases</t>
  </si>
  <si>
    <t>Proceeds</t>
  </si>
  <si>
    <t>Deferred Income</t>
  </si>
  <si>
    <t>Other</t>
  </si>
  <si>
    <t>Liabilities</t>
  </si>
  <si>
    <t>L+S/E</t>
  </si>
  <si>
    <t>Taxe Rate</t>
  </si>
  <si>
    <t>Share</t>
  </si>
  <si>
    <t>EV/FCF</t>
  </si>
  <si>
    <t>EV/E</t>
  </si>
  <si>
    <t>S/E (BV)</t>
  </si>
  <si>
    <t>Book Value</t>
  </si>
  <si>
    <t>Intangible Book Value</t>
  </si>
  <si>
    <t>RoTe</t>
  </si>
  <si>
    <t>Operational Growth</t>
  </si>
  <si>
    <t>CoE</t>
  </si>
  <si>
    <t>P/TBV</t>
  </si>
  <si>
    <t>NIM</t>
  </si>
  <si>
    <t>Loans to Customers</t>
  </si>
  <si>
    <t>Interest received</t>
  </si>
  <si>
    <t>Interest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</si>
</sst>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19050</xdr:rowOff>
    </xdr:from>
    <xdr:to>
      <xdr:col>16</xdr:col>
      <xdr:colOff>38100</xdr:colOff>
      <xdr:row>39</xdr:row>
      <xdr:rowOff>57150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F96DE38D-D696-E44F-7F69-A4B8F61666D2}"/>
            </a:ext>
          </a:extLst>
        </xdr:cNvPr>
        <xdr:cNvCxnSpPr/>
      </xdr:nvCxnSpPr>
      <xdr:spPr>
        <a:xfrm>
          <a:off x="13639800" y="19050"/>
          <a:ext cx="0" cy="7124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28575</xdr:colOff>
      <xdr:row>0</xdr:row>
      <xdr:rowOff>133350</xdr:rowOff>
    </xdr:from>
    <xdr:to>
      <xdr:col>24</xdr:col>
      <xdr:colOff>28575</xdr:colOff>
      <xdr:row>39</xdr:row>
      <xdr:rowOff>171450</xdr:rowOff>
    </xdr:to>
    <xdr:cxnSp macro="">
      <xdr:nvCxnSpPr>
        <xdr:cNvPr id="4" name="Conexão reta 3">
          <a:extLst>
            <a:ext uri="{FF2B5EF4-FFF2-40B4-BE49-F238E27FC236}">
              <a16:creationId xmlns:a16="http://schemas.microsoft.com/office/drawing/2014/main" id="{FF744EE6-9D2F-446D-856F-B782773C454E}"/>
            </a:ext>
          </a:extLst>
        </xdr:cNvPr>
        <xdr:cNvCxnSpPr/>
      </xdr:nvCxnSpPr>
      <xdr:spPr>
        <a:xfrm>
          <a:off x="19116675" y="133350"/>
          <a:ext cx="0" cy="7124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44D6-DE68-438D-95F0-AEB7CF72D764}">
  <dimension ref="B2:H10"/>
  <sheetViews>
    <sheetView workbookViewId="0">
      <selection activeCell="C8" sqref="C8"/>
    </sheetView>
  </sheetViews>
  <sheetFormatPr defaultRowHeight="14.25" x14ac:dyDescent="0.2"/>
  <cols>
    <col min="8" max="8" width="10.875" bestFit="1" customWidth="1"/>
  </cols>
  <sheetData>
    <row r="2" spans="2:8" x14ac:dyDescent="0.2">
      <c r="B2" t="s">
        <v>0</v>
      </c>
      <c r="C2" s="2">
        <v>13.9</v>
      </c>
    </row>
    <row r="3" spans="2:8" x14ac:dyDescent="0.2">
      <c r="B3" t="s">
        <v>2</v>
      </c>
      <c r="C3" s="2">
        <v>4816</v>
      </c>
    </row>
    <row r="4" spans="2:8" x14ac:dyDescent="0.2">
      <c r="B4" t="s">
        <v>1</v>
      </c>
      <c r="C4" s="2">
        <f>+C3*C2</f>
        <v>66942.400000000009</v>
      </c>
    </row>
    <row r="5" spans="2:8" x14ac:dyDescent="0.2">
      <c r="B5" t="s">
        <v>3</v>
      </c>
      <c r="C5" s="2">
        <f>13.269+8210.232</f>
        <v>8223.5010000000002</v>
      </c>
    </row>
    <row r="6" spans="2:8" x14ac:dyDescent="0.2">
      <c r="B6" t="s">
        <v>4</v>
      </c>
      <c r="C6" s="2">
        <f>2275.618+1064.482</f>
        <v>3340.1</v>
      </c>
    </row>
    <row r="7" spans="2:8" x14ac:dyDescent="0.2">
      <c r="B7" t="s">
        <v>5</v>
      </c>
      <c r="C7" s="2">
        <f>+C4-C5+C6</f>
        <v>62058.999000000003</v>
      </c>
    </row>
    <row r="8" spans="2:8" x14ac:dyDescent="0.2">
      <c r="H8" s="2" t="s">
        <v>34</v>
      </c>
    </row>
    <row r="9" spans="2:8" x14ac:dyDescent="0.2">
      <c r="H9" s="2" t="s">
        <v>34</v>
      </c>
    </row>
    <row r="10" spans="2:8" x14ac:dyDescent="0.2">
      <c r="H10" s="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86EC-020E-4788-BAF8-4FB68C38D668}">
  <dimension ref="B1:AX85"/>
  <sheetViews>
    <sheetView tabSelected="1" workbookViewId="0">
      <pane xSplit="2" ySplit="2" topLeftCell="T48" activePane="bottomRight" state="frozen"/>
      <selection pane="topRight" activeCell="C1" sqref="C1"/>
      <selection pane="bottomLeft" activeCell="A3" sqref="A3"/>
      <selection pane="bottomRight" activeCell="X64" sqref="X64"/>
    </sheetView>
  </sheetViews>
  <sheetFormatPr defaultRowHeight="14.25" x14ac:dyDescent="0.2"/>
  <cols>
    <col min="2" max="2" width="21.875" bestFit="1" customWidth="1"/>
    <col min="3" max="3" width="7.5" customWidth="1"/>
    <col min="4" max="4" width="8.125" customWidth="1"/>
    <col min="5" max="5" width="7.5" customWidth="1"/>
    <col min="6" max="6" width="7.375" customWidth="1"/>
    <col min="25" max="31" width="9" style="2"/>
    <col min="34" max="34" width="10.375" bestFit="1" customWidth="1"/>
  </cols>
  <sheetData>
    <row r="1" spans="2:31" x14ac:dyDescent="0.2">
      <c r="I1" t="s">
        <v>34</v>
      </c>
      <c r="J1" t="s">
        <v>34</v>
      </c>
      <c r="K1" t="s">
        <v>34</v>
      </c>
      <c r="L1" t="s">
        <v>34</v>
      </c>
      <c r="M1" t="s">
        <v>34</v>
      </c>
      <c r="N1" t="s">
        <v>34</v>
      </c>
      <c r="O1" t="s">
        <v>34</v>
      </c>
      <c r="P1" t="s">
        <v>34</v>
      </c>
      <c r="Y1"/>
      <c r="Z1"/>
      <c r="AA1"/>
      <c r="AB1"/>
      <c r="AC1"/>
      <c r="AD1"/>
      <c r="AE1"/>
    </row>
    <row r="2" spans="2:31" x14ac:dyDescent="0.2">
      <c r="B2" s="2"/>
      <c r="C2" s="2" t="s">
        <v>35</v>
      </c>
      <c r="D2" s="2" t="s">
        <v>36</v>
      </c>
      <c r="E2" s="2" t="s">
        <v>37</v>
      </c>
      <c r="F2" s="2" t="s">
        <v>38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33</v>
      </c>
      <c r="V2">
        <v>2022</v>
      </c>
      <c r="W2">
        <f>+V2+1</f>
        <v>2023</v>
      </c>
      <c r="X2">
        <f t="shared" ref="X2:AD2" si="0">+W2+1</f>
        <v>2024</v>
      </c>
      <c r="Y2">
        <f t="shared" si="0"/>
        <v>2025</v>
      </c>
      <c r="Z2">
        <f t="shared" si="0"/>
        <v>2026</v>
      </c>
      <c r="AA2">
        <f t="shared" si="0"/>
        <v>2027</v>
      </c>
      <c r="AB2">
        <f t="shared" si="0"/>
        <v>2028</v>
      </c>
      <c r="AC2">
        <f t="shared" si="0"/>
        <v>2029</v>
      </c>
      <c r="AD2">
        <f t="shared" si="0"/>
        <v>2030</v>
      </c>
      <c r="AE2"/>
    </row>
    <row r="3" spans="2:31" x14ac:dyDescent="0.2">
      <c r="B3" s="2" t="s">
        <v>30</v>
      </c>
      <c r="C3" s="2"/>
      <c r="D3" s="2"/>
      <c r="E3" s="2"/>
      <c r="F3" s="2"/>
      <c r="G3" s="2">
        <v>1255.454</v>
      </c>
      <c r="H3" s="2">
        <v>1500.2249999999999</v>
      </c>
      <c r="I3" s="2">
        <v>1732.6990000000001</v>
      </c>
      <c r="J3" s="2">
        <f>6439.712-I3-H3-G3</f>
        <v>1951.334000000001</v>
      </c>
      <c r="K3" s="2">
        <v>2280.248</v>
      </c>
      <c r="L3" s="2">
        <v>2383.3069999999998</v>
      </c>
      <c r="M3" s="2">
        <v>2473.8069999999998</v>
      </c>
      <c r="N3" s="2">
        <f>9631.043-M3-L3-K3</f>
        <v>2493.681</v>
      </c>
      <c r="O3" s="2">
        <v>2732.1</v>
      </c>
      <c r="P3" s="2">
        <v>3128.7429999999999</v>
      </c>
      <c r="V3" s="2">
        <v>3555.2130000000002</v>
      </c>
      <c r="W3" s="2">
        <f>+SUM(G3:J3)</f>
        <v>6439.7120000000014</v>
      </c>
      <c r="X3" s="2">
        <f>+SUM(K3:N3)</f>
        <v>9631.0429999999997</v>
      </c>
      <c r="Y3" s="2">
        <f>+X3*1.25</f>
        <v>12038.803749999999</v>
      </c>
      <c r="Z3" s="2">
        <f t="shared" ref="Z3:AA3" si="1">+Y3*1.25</f>
        <v>15048.504687499999</v>
      </c>
      <c r="AA3" s="2">
        <f t="shared" si="1"/>
        <v>18810.630859375</v>
      </c>
      <c r="AB3" s="2">
        <f>+AA3*1.2</f>
        <v>22572.757031249999</v>
      </c>
      <c r="AC3" s="2">
        <f t="shared" ref="AC3:AD3" si="2">+AB3*1.2</f>
        <v>27087.3084375</v>
      </c>
      <c r="AD3" s="2">
        <f t="shared" si="2"/>
        <v>32504.770124999999</v>
      </c>
    </row>
    <row r="4" spans="2:31" x14ac:dyDescent="0.2">
      <c r="B4" s="2" t="s">
        <v>15</v>
      </c>
      <c r="C4" s="2"/>
      <c r="D4" s="2"/>
      <c r="E4" s="2"/>
      <c r="F4" s="2"/>
      <c r="G4" s="2">
        <v>363.21300000000002</v>
      </c>
      <c r="H4" s="2">
        <v>368.41500000000002</v>
      </c>
      <c r="I4" s="2">
        <v>404.05900000000003</v>
      </c>
      <c r="J4" s="2">
        <f>1589.264-I4-H4-G4</f>
        <v>453.57699999999994</v>
      </c>
      <c r="K4" s="2">
        <v>455.65300000000002</v>
      </c>
      <c r="L4" s="2">
        <v>465.38400000000001</v>
      </c>
      <c r="M4" s="2">
        <v>469.36099999999999</v>
      </c>
      <c r="N4" s="2">
        <f>1886.032-M4-L4-K4</f>
        <v>495.63399999999979</v>
      </c>
      <c r="O4" s="2">
        <v>515.6</v>
      </c>
      <c r="P4" s="2">
        <v>539.72699999999998</v>
      </c>
      <c r="V4" s="2">
        <v>1237.018</v>
      </c>
      <c r="W4" s="2">
        <f>+SUM(G4:J4)</f>
        <v>1589.2640000000001</v>
      </c>
      <c r="X4" s="2">
        <f>+SUM(K4:N4)</f>
        <v>1886.0319999999999</v>
      </c>
      <c r="Y4" s="2">
        <f t="shared" ref="Y4:AA4" si="3">+X4*1.25</f>
        <v>2357.54</v>
      </c>
      <c r="Z4" s="2">
        <f t="shared" si="3"/>
        <v>2946.9250000000002</v>
      </c>
      <c r="AA4" s="2">
        <f t="shared" si="3"/>
        <v>3683.65625</v>
      </c>
      <c r="AB4" s="2">
        <f t="shared" ref="AB4:AD4" si="4">+AA4*1.2</f>
        <v>4420.3874999999998</v>
      </c>
      <c r="AC4" s="2">
        <f t="shared" si="4"/>
        <v>5304.4649999999992</v>
      </c>
      <c r="AD4" s="2">
        <f t="shared" si="4"/>
        <v>6365.3579999999993</v>
      </c>
    </row>
    <row r="5" spans="2:31" s="1" customFormat="1" ht="15" x14ac:dyDescent="0.25">
      <c r="B5" s="3" t="s">
        <v>16</v>
      </c>
      <c r="C5" s="3">
        <v>877.26700000000005</v>
      </c>
      <c r="D5" s="3">
        <v>1157.5609999999999</v>
      </c>
      <c r="E5" s="3">
        <v>1306.867</v>
      </c>
      <c r="F5" s="3">
        <f>4792.231-E5-D5-C5</f>
        <v>1450.5359999999998</v>
      </c>
      <c r="G5" s="3">
        <f t="shared" ref="G5:P5" si="5">+G3+G4</f>
        <v>1618.6669999999999</v>
      </c>
      <c r="H5" s="3">
        <f t="shared" si="5"/>
        <v>1868.6399999999999</v>
      </c>
      <c r="I5" s="3">
        <f t="shared" si="5"/>
        <v>2136.7580000000003</v>
      </c>
      <c r="J5" s="3">
        <f t="shared" si="5"/>
        <v>2404.911000000001</v>
      </c>
      <c r="K5" s="3">
        <f t="shared" si="5"/>
        <v>2735.9009999999998</v>
      </c>
      <c r="L5" s="3">
        <f t="shared" si="5"/>
        <v>2848.6909999999998</v>
      </c>
      <c r="M5" s="3">
        <f t="shared" si="5"/>
        <v>2943.1679999999997</v>
      </c>
      <c r="N5" s="3">
        <f t="shared" si="5"/>
        <v>2989.3149999999996</v>
      </c>
      <c r="O5" s="3">
        <f t="shared" si="5"/>
        <v>3247.7</v>
      </c>
      <c r="P5" s="3">
        <f t="shared" si="5"/>
        <v>3668.47</v>
      </c>
      <c r="V5" s="3">
        <f>+V3+V4</f>
        <v>4792.2309999999998</v>
      </c>
      <c r="W5" s="3">
        <f t="shared" ref="W5:X5" si="6">+W3+W4</f>
        <v>8028.9760000000015</v>
      </c>
      <c r="X5" s="3">
        <f t="shared" si="6"/>
        <v>11517.074999999999</v>
      </c>
      <c r="Y5" s="3">
        <f t="shared" ref="Y5" si="7">+Y3+Y4</f>
        <v>14396.34375</v>
      </c>
      <c r="Z5" s="3">
        <f t="shared" ref="Z5" si="8">+Z3+Z4</f>
        <v>17995.4296875</v>
      </c>
      <c r="AA5" s="3">
        <f t="shared" ref="AA5" si="9">+AA3+AA4</f>
        <v>22494.287109375</v>
      </c>
      <c r="AB5" s="3">
        <f t="shared" ref="AB5" si="10">+AB3+AB4</f>
        <v>26993.14453125</v>
      </c>
      <c r="AC5" s="3">
        <f t="shared" ref="AC5" si="11">+AC3+AC4</f>
        <v>32391.7734375</v>
      </c>
      <c r="AD5" s="3">
        <f t="shared" ref="AD5" si="12">+AD3+AD4</f>
        <v>38870.128124999996</v>
      </c>
      <c r="AE5" s="3"/>
    </row>
    <row r="6" spans="2:31" x14ac:dyDescent="0.2">
      <c r="B6" s="2" t="s">
        <v>17</v>
      </c>
      <c r="C6" s="2"/>
      <c r="D6" s="2"/>
      <c r="E6" s="2"/>
      <c r="F6" s="2"/>
      <c r="G6" s="2">
        <v>-440.21199999999999</v>
      </c>
      <c r="H6" s="2">
        <v>-453.42599999999999</v>
      </c>
      <c r="I6" s="2">
        <v>-537.649</v>
      </c>
      <c r="J6" s="2">
        <f>-2036.925-I6-H6-G6</f>
        <v>-605.63799999999992</v>
      </c>
      <c r="K6" s="2">
        <v>-660.71500000000003</v>
      </c>
      <c r="L6" s="2">
        <v>-665.19100000000003</v>
      </c>
      <c r="M6" s="2">
        <v>-760.95899999999995</v>
      </c>
      <c r="N6" s="2">
        <f>-2834.859-M6-L6-K6</f>
        <v>-747.99400000000003</v>
      </c>
      <c r="O6" s="2">
        <v>-896.2</v>
      </c>
      <c r="P6" s="2">
        <v>-1029.989</v>
      </c>
      <c r="V6" s="2">
        <v>-1547.903</v>
      </c>
      <c r="W6" s="2">
        <f t="shared" ref="W6:W8" si="13">+SUM(G6:J6)</f>
        <v>-2036.9249999999997</v>
      </c>
      <c r="X6" s="2">
        <f t="shared" ref="X6:X8" si="14">+SUM(K6:N6)</f>
        <v>-2834.8589999999999</v>
      </c>
      <c r="Y6" s="2">
        <f>+X6*1.2</f>
        <v>-3401.8307999999997</v>
      </c>
      <c r="Z6" s="2">
        <f t="shared" ref="Z6:AA6" si="15">+Y6*1.2</f>
        <v>-4082.1969599999993</v>
      </c>
      <c r="AA6" s="2">
        <f t="shared" si="15"/>
        <v>-4898.6363519999986</v>
      </c>
      <c r="AB6" s="2">
        <f>+AA6*1.1</f>
        <v>-5388.4999871999989</v>
      </c>
      <c r="AC6" s="2">
        <f t="shared" ref="AC6:AD6" si="16">+AB6*1.1</f>
        <v>-5927.3499859199992</v>
      </c>
      <c r="AD6" s="2">
        <f t="shared" si="16"/>
        <v>-6520.0849845119992</v>
      </c>
    </row>
    <row r="7" spans="2:31" x14ac:dyDescent="0.2">
      <c r="B7" s="2" t="s">
        <v>18</v>
      </c>
      <c r="C7" s="2"/>
      <c r="D7" s="2"/>
      <c r="E7" s="2"/>
      <c r="F7" s="2"/>
      <c r="G7" s="2">
        <v>-52.777999999999999</v>
      </c>
      <c r="H7" s="2">
        <v>-42.796999999999997</v>
      </c>
      <c r="I7" s="2">
        <v>-56.774000000000001</v>
      </c>
      <c r="J7" s="2">
        <f>-215.93-I7-H7-G7</f>
        <v>-63.58100000000001</v>
      </c>
      <c r="K7" s="2">
        <v>-62.948</v>
      </c>
      <c r="L7" s="2">
        <v>-64.31</v>
      </c>
      <c r="M7" s="2">
        <v>-59.454000000000001</v>
      </c>
      <c r="N7" s="2">
        <f>-260.324-M7-L7-K7</f>
        <v>-73.611999999999995</v>
      </c>
      <c r="O7" s="2">
        <v>-58.5</v>
      </c>
      <c r="P7" s="2">
        <v>-78.311000000000007</v>
      </c>
      <c r="V7" s="2">
        <v>-176.42699999999999</v>
      </c>
      <c r="W7" s="2">
        <f t="shared" si="13"/>
        <v>-215.93</v>
      </c>
      <c r="X7" s="2">
        <f t="shared" si="14"/>
        <v>-260.32400000000001</v>
      </c>
      <c r="Y7" s="2">
        <f>+X7*1.15</f>
        <v>-299.37259999999998</v>
      </c>
      <c r="Z7" s="2">
        <f t="shared" ref="Z7:AD7" si="17">+Y7*1.15</f>
        <v>-344.27848999999992</v>
      </c>
      <c r="AA7" s="2">
        <f t="shared" si="17"/>
        <v>-395.92026349999986</v>
      </c>
      <c r="AB7" s="2">
        <f t="shared" si="17"/>
        <v>-455.30830302499982</v>
      </c>
      <c r="AC7" s="2">
        <f t="shared" si="17"/>
        <v>-523.60454847874973</v>
      </c>
      <c r="AD7" s="2">
        <f t="shared" si="17"/>
        <v>-602.14523075056218</v>
      </c>
    </row>
    <row r="8" spans="2:31" x14ac:dyDescent="0.2">
      <c r="B8" s="2" t="s">
        <v>28</v>
      </c>
      <c r="C8" s="2"/>
      <c r="D8" s="2"/>
      <c r="E8" s="2"/>
      <c r="F8" s="2" t="s">
        <v>34</v>
      </c>
      <c r="G8" s="2">
        <v>-474.79500000000002</v>
      </c>
      <c r="H8" s="2">
        <v>-590.43399999999997</v>
      </c>
      <c r="I8" s="2">
        <v>-627.50599999999997</v>
      </c>
      <c r="J8" s="2">
        <f>-2285.218-I8-H8-G8</f>
        <v>-592.48299999999995</v>
      </c>
      <c r="K8" s="2">
        <v>-830.71900000000005</v>
      </c>
      <c r="L8" s="2">
        <v>-759.76499999999999</v>
      </c>
      <c r="M8" s="2">
        <v>-774.14400000000001</v>
      </c>
      <c r="N8" s="2">
        <f>-3168.983-M8-L8-K8</f>
        <v>-804.35500000000002</v>
      </c>
      <c r="O8" s="2">
        <v>-973.5</v>
      </c>
      <c r="P8" s="2">
        <v>-1012.192</v>
      </c>
      <c r="V8" s="2">
        <v>-1404.9110000000001</v>
      </c>
      <c r="W8" s="2">
        <f t="shared" si="13"/>
        <v>-2285.2179999999998</v>
      </c>
      <c r="X8" s="2">
        <f t="shared" si="14"/>
        <v>-3168.9829999999997</v>
      </c>
      <c r="Y8" s="2">
        <f>+X8*1.15</f>
        <v>-3644.3304499999995</v>
      </c>
      <c r="Z8" s="2">
        <f t="shared" ref="Z8:AA8" si="18">+Y8*1.15</f>
        <v>-4190.9800174999991</v>
      </c>
      <c r="AA8" s="2">
        <f t="shared" si="18"/>
        <v>-4819.627020124999</v>
      </c>
      <c r="AB8" s="2">
        <f t="shared" ref="AB8:AD8" si="19">+AA8*1.1</f>
        <v>-5301.5897221374989</v>
      </c>
      <c r="AC8" s="2">
        <f t="shared" si="19"/>
        <v>-5831.7486943512495</v>
      </c>
      <c r="AD8" s="2">
        <f t="shared" si="19"/>
        <v>-6414.9235637863749</v>
      </c>
    </row>
    <row r="9" spans="2:31" ht="15" x14ac:dyDescent="0.25">
      <c r="B9" s="2" t="s">
        <v>29</v>
      </c>
      <c r="C9" s="2"/>
      <c r="D9" s="2"/>
      <c r="E9" s="2"/>
      <c r="F9" s="1" t="s">
        <v>34</v>
      </c>
      <c r="G9" s="2">
        <f t="shared" ref="G9:P9" si="20">+G8+G7+G6</f>
        <v>-967.78499999999997</v>
      </c>
      <c r="H9" s="2">
        <f t="shared" si="20"/>
        <v>-1086.6569999999999</v>
      </c>
      <c r="I9" s="2">
        <f t="shared" si="20"/>
        <v>-1221.9290000000001</v>
      </c>
      <c r="J9" s="2">
        <f t="shared" si="20"/>
        <v>-1261.7019999999998</v>
      </c>
      <c r="K9" s="2">
        <f t="shared" si="20"/>
        <v>-1554.3820000000001</v>
      </c>
      <c r="L9" s="2">
        <f t="shared" si="20"/>
        <v>-1489.2660000000001</v>
      </c>
      <c r="M9" s="2">
        <f t="shared" si="20"/>
        <v>-1594.5569999999998</v>
      </c>
      <c r="N9" s="2">
        <f t="shared" si="20"/>
        <v>-1625.961</v>
      </c>
      <c r="O9" s="2">
        <f t="shared" si="20"/>
        <v>-1928.2</v>
      </c>
      <c r="P9" s="2">
        <f t="shared" si="20"/>
        <v>-2120.4920000000002</v>
      </c>
      <c r="R9" s="1"/>
      <c r="V9" s="2">
        <f>+V8+V7+V6</f>
        <v>-3129.241</v>
      </c>
      <c r="W9" s="2">
        <f>+W8+W7+W6</f>
        <v>-4538.0729999999994</v>
      </c>
      <c r="X9" s="2">
        <f>+X8+X7+X6</f>
        <v>-6264.1659999999993</v>
      </c>
      <c r="Y9" s="2">
        <f t="shared" ref="Y9:AD9" si="21">+Y8+Y7+Y6</f>
        <v>-7345.5338499999998</v>
      </c>
      <c r="Z9" s="2">
        <f t="shared" si="21"/>
        <v>-8617.4554674999981</v>
      </c>
      <c r="AA9" s="2">
        <f t="shared" si="21"/>
        <v>-10114.183635624999</v>
      </c>
      <c r="AB9" s="2">
        <f t="shared" si="21"/>
        <v>-11145.398012362497</v>
      </c>
      <c r="AC9" s="2">
        <f t="shared" si="21"/>
        <v>-12282.703228749999</v>
      </c>
      <c r="AD9" s="2">
        <f t="shared" si="21"/>
        <v>-13537.153779048936</v>
      </c>
    </row>
    <row r="10" spans="2:31" x14ac:dyDescent="0.2">
      <c r="B10" s="2" t="s">
        <v>25</v>
      </c>
      <c r="C10" s="2">
        <v>294.09399999999999</v>
      </c>
      <c r="D10" s="2">
        <v>363.53300000000002</v>
      </c>
      <c r="E10" s="2">
        <v>427.029</v>
      </c>
      <c r="F10" s="2">
        <f>1662.99-E10-D10-C10</f>
        <v>578.33400000000006</v>
      </c>
      <c r="G10" s="2">
        <f t="shared" ref="G10:P10" si="22">+G5+G9</f>
        <v>650.88199999999995</v>
      </c>
      <c r="H10" s="2">
        <f t="shared" si="22"/>
        <v>781.98299999999995</v>
      </c>
      <c r="I10" s="2">
        <f t="shared" si="22"/>
        <v>914.82900000000018</v>
      </c>
      <c r="J10" s="2">
        <f t="shared" si="22"/>
        <v>1143.2090000000012</v>
      </c>
      <c r="K10" s="2">
        <f t="shared" si="22"/>
        <v>1181.5189999999998</v>
      </c>
      <c r="L10" s="2">
        <f t="shared" si="22"/>
        <v>1359.4249999999997</v>
      </c>
      <c r="M10" s="2">
        <f t="shared" si="22"/>
        <v>1348.6109999999999</v>
      </c>
      <c r="N10" s="2">
        <f t="shared" si="22"/>
        <v>1363.3539999999996</v>
      </c>
      <c r="O10" s="2">
        <f t="shared" si="22"/>
        <v>1319.4999999999998</v>
      </c>
      <c r="P10" s="2">
        <f t="shared" si="22"/>
        <v>1547.9779999999996</v>
      </c>
      <c r="V10" s="2">
        <f>+V5+V9</f>
        <v>1662.9899999999998</v>
      </c>
      <c r="W10" s="2">
        <f>+W5+W9</f>
        <v>3490.9030000000021</v>
      </c>
      <c r="X10" s="2">
        <f>+X5+X9</f>
        <v>5252.9089999999997</v>
      </c>
      <c r="Y10" s="2">
        <f t="shared" ref="Y10:AD10" si="23">+Y5+Y9</f>
        <v>7050.8099000000002</v>
      </c>
      <c r="Z10" s="2">
        <f t="shared" si="23"/>
        <v>9377.9742200000019</v>
      </c>
      <c r="AA10" s="2">
        <f t="shared" si="23"/>
        <v>12380.103473750001</v>
      </c>
      <c r="AB10" s="2">
        <f t="shared" si="23"/>
        <v>15847.746518887503</v>
      </c>
      <c r="AC10" s="2">
        <f t="shared" si="23"/>
        <v>20109.070208750003</v>
      </c>
      <c r="AD10" s="2">
        <f t="shared" si="23"/>
        <v>25332.974345951057</v>
      </c>
    </row>
    <row r="11" spans="2:31" x14ac:dyDescent="0.2">
      <c r="B11" s="2" t="s">
        <v>19</v>
      </c>
      <c r="C11" s="2"/>
      <c r="D11" s="2"/>
      <c r="E11" s="2"/>
      <c r="F11" s="2"/>
      <c r="G11" s="2">
        <v>-107.815</v>
      </c>
      <c r="H11" s="2">
        <v>-113.309</v>
      </c>
      <c r="I11" s="2">
        <v>-127.295</v>
      </c>
      <c r="J11" s="2">
        <f>-488.082-I11-H11-G11</f>
        <v>-139.66299999999998</v>
      </c>
      <c r="K11" s="2">
        <v>-150.61199999999999</v>
      </c>
      <c r="L11" s="2">
        <v>-162.917</v>
      </c>
      <c r="M11" s="2">
        <v>-135.196</v>
      </c>
      <c r="N11" s="2">
        <f>-604.643-M11-L11-K11</f>
        <v>-155.91799999999998</v>
      </c>
      <c r="O11" s="2">
        <v>-151.5</v>
      </c>
      <c r="P11" s="2">
        <v>-161.434</v>
      </c>
      <c r="V11" s="2">
        <v>-335.363</v>
      </c>
      <c r="W11" s="2">
        <f t="shared" ref="W11:W14" si="24">+SUM(G11:J11)</f>
        <v>-488.08199999999999</v>
      </c>
      <c r="X11" s="2">
        <f t="shared" ref="X11:X14" si="25">+SUM(K11:N11)</f>
        <v>-604.64300000000003</v>
      </c>
      <c r="Y11" s="2">
        <f>+X11*1.2</f>
        <v>-725.57159999999999</v>
      </c>
      <c r="Z11" s="2">
        <f t="shared" ref="Z11:AD11" si="26">+Y11*1.2</f>
        <v>-870.68592000000001</v>
      </c>
      <c r="AA11" s="2">
        <f t="shared" si="26"/>
        <v>-1044.8231040000001</v>
      </c>
      <c r="AB11" s="2">
        <f t="shared" si="26"/>
        <v>-1253.7877248</v>
      </c>
      <c r="AC11" s="2">
        <f t="shared" si="26"/>
        <v>-1504.5452697599999</v>
      </c>
      <c r="AD11" s="2">
        <f t="shared" si="26"/>
        <v>-1805.4543237119999</v>
      </c>
    </row>
    <row r="12" spans="2:31" x14ac:dyDescent="0.2">
      <c r="B12" s="2" t="s">
        <v>20</v>
      </c>
      <c r="C12" s="2"/>
      <c r="D12" s="2"/>
      <c r="E12" s="2"/>
      <c r="F12" s="2"/>
      <c r="G12" s="2">
        <v>-236.881</v>
      </c>
      <c r="H12" s="2">
        <v>-256.40800000000002</v>
      </c>
      <c r="I12" s="2">
        <v>-264.26400000000001</v>
      </c>
      <c r="J12" s="2">
        <f>-1042.29-I12-H12-G12</f>
        <v>-284.73699999999997</v>
      </c>
      <c r="K12" s="2">
        <v>-326.05200000000002</v>
      </c>
      <c r="L12" s="2">
        <v>-326.55500000000001</v>
      </c>
      <c r="M12" s="2">
        <v>-284.70600000000002</v>
      </c>
      <c r="N12" s="2">
        <f>-1256.086-M12-L12-K12</f>
        <v>-318.77300000000002</v>
      </c>
      <c r="O12" s="2">
        <v>-289.89999999999998</v>
      </c>
      <c r="P12" s="2">
        <v>-341.25299999999999</v>
      </c>
      <c r="V12" s="2">
        <f>-1333.267</f>
        <v>-1333.2670000000001</v>
      </c>
      <c r="W12" s="2">
        <f t="shared" si="24"/>
        <v>-1042.29</v>
      </c>
      <c r="X12" s="2">
        <f t="shared" si="25"/>
        <v>-1256.086</v>
      </c>
      <c r="Y12" s="2">
        <f>+X12*1.1</f>
        <v>-1381.6946</v>
      </c>
      <c r="Z12" s="2">
        <f t="shared" ref="Z12:AA12" si="27">+Y12*1.1</f>
        <v>-1519.8640600000001</v>
      </c>
      <c r="AA12" s="2">
        <f t="shared" si="27"/>
        <v>-1671.8504660000003</v>
      </c>
      <c r="AB12" s="2">
        <f t="shared" ref="AB12" si="28">+AA12*1.1</f>
        <v>-1839.0355126000004</v>
      </c>
      <c r="AC12" s="2">
        <f t="shared" ref="AC12" si="29">+AB12*1.1</f>
        <v>-2022.9390638600007</v>
      </c>
      <c r="AD12" s="2">
        <f t="shared" ref="AD12" si="30">+AC12*1.1</f>
        <v>-2225.2329702460011</v>
      </c>
    </row>
    <row r="13" spans="2:31" x14ac:dyDescent="0.2">
      <c r="B13" s="2" t="s">
        <v>21</v>
      </c>
      <c r="C13" s="2"/>
      <c r="D13" s="2"/>
      <c r="E13" s="2"/>
      <c r="F13" s="2"/>
      <c r="G13" s="2">
        <v>-19.271999999999998</v>
      </c>
      <c r="H13" s="2">
        <v>-33.923000000000002</v>
      </c>
      <c r="I13" s="2">
        <v>-46.482999999999997</v>
      </c>
      <c r="J13" s="2">
        <f>-171.022-I13-H13-G13</f>
        <v>-71.343999999999994</v>
      </c>
      <c r="K13" s="2">
        <v>-46.826999999999998</v>
      </c>
      <c r="L13" s="2">
        <v>-47.750999999999998</v>
      </c>
      <c r="M13" s="2">
        <v>-98.817999999999998</v>
      </c>
      <c r="N13" s="2">
        <f>-246.396-M13-L13-K13</f>
        <v>-52.999999999999972</v>
      </c>
      <c r="O13" s="2">
        <v>-44.1</v>
      </c>
      <c r="P13" s="2">
        <v>-67.346999999999994</v>
      </c>
      <c r="V13" s="2">
        <v>-152.99700000000001</v>
      </c>
      <c r="W13" s="2">
        <f t="shared" si="24"/>
        <v>-171.02199999999999</v>
      </c>
      <c r="X13" s="2">
        <f t="shared" si="25"/>
        <v>-246.39599999999999</v>
      </c>
      <c r="Y13" s="2">
        <f>+X13*1.35</f>
        <v>-332.63459999999998</v>
      </c>
      <c r="Z13" s="2">
        <f t="shared" ref="Z13:AB13" si="31">+Y13*1.35</f>
        <v>-449.05671000000001</v>
      </c>
      <c r="AA13" s="2">
        <f t="shared" si="31"/>
        <v>-606.22655850000001</v>
      </c>
      <c r="AB13" s="2">
        <f t="shared" si="31"/>
        <v>-818.40585397500001</v>
      </c>
      <c r="AC13" s="2">
        <f>+AB13*1.2</f>
        <v>-982.08702476999997</v>
      </c>
      <c r="AD13" s="2">
        <f>+AC13*1.2</f>
        <v>-1178.5044297239999</v>
      </c>
    </row>
    <row r="14" spans="2:31" x14ac:dyDescent="0.2">
      <c r="B14" s="2" t="s">
        <v>22</v>
      </c>
      <c r="C14" s="2"/>
      <c r="D14" s="2"/>
      <c r="E14" s="2"/>
      <c r="F14" s="2"/>
      <c r="G14" s="2">
        <v>-43.284999999999997</v>
      </c>
      <c r="H14" s="2">
        <v>-54.366</v>
      </c>
      <c r="I14" s="2">
        <v>-65.242000000000004</v>
      </c>
      <c r="J14" s="2">
        <f>-250.431-I14-H14-G14</f>
        <v>-87.538000000000039</v>
      </c>
      <c r="K14" s="2">
        <v>-79.491</v>
      </c>
      <c r="L14" s="2">
        <f>-98.647+1.866</f>
        <v>-96.781000000000006</v>
      </c>
      <c r="M14" s="2">
        <v>-105.121</v>
      </c>
      <c r="N14" s="2">
        <f>-350.586-M14-L14-K14</f>
        <v>-69.193000000000026</v>
      </c>
      <c r="O14" s="2">
        <v>-37.9</v>
      </c>
      <c r="P14" s="2">
        <f>-112.289+14.732</f>
        <v>-97.557000000000002</v>
      </c>
      <c r="V14" s="2">
        <v>-150.26400000000001</v>
      </c>
      <c r="W14" s="2">
        <f t="shared" si="24"/>
        <v>-250.43100000000004</v>
      </c>
      <c r="X14" s="2">
        <f t="shared" si="25"/>
        <v>-350.58600000000001</v>
      </c>
      <c r="Y14" s="2">
        <f>+X14*1.15</f>
        <v>-403.1739</v>
      </c>
      <c r="Z14" s="2">
        <f t="shared" ref="Z14:AD14" si="32">+Y14*1.15</f>
        <v>-463.64998499999996</v>
      </c>
      <c r="AA14" s="2">
        <f t="shared" si="32"/>
        <v>-533.19748274999995</v>
      </c>
      <c r="AB14" s="2">
        <f t="shared" si="32"/>
        <v>-613.17710516249986</v>
      </c>
      <c r="AC14" s="2">
        <f t="shared" si="32"/>
        <v>-705.15367093687473</v>
      </c>
      <c r="AD14" s="2">
        <f t="shared" si="32"/>
        <v>-810.92672157740583</v>
      </c>
    </row>
    <row r="15" spans="2:31" x14ac:dyDescent="0.2">
      <c r="B15" s="2" t="s">
        <v>23</v>
      </c>
      <c r="C15" s="2"/>
      <c r="D15" s="2"/>
      <c r="E15" s="2"/>
      <c r="F15" s="2"/>
      <c r="G15" s="2">
        <f t="shared" ref="G15:P15" si="33">+SUM(G11:G14)</f>
        <v>-407.25300000000004</v>
      </c>
      <c r="H15" s="2">
        <f t="shared" si="33"/>
        <v>-458.00599999999997</v>
      </c>
      <c r="I15" s="2">
        <f t="shared" si="33"/>
        <v>-503.28400000000005</v>
      </c>
      <c r="J15" s="2">
        <f t="shared" si="33"/>
        <v>-583.28200000000004</v>
      </c>
      <c r="K15" s="2">
        <f t="shared" si="33"/>
        <v>-602.98199999999997</v>
      </c>
      <c r="L15" s="2">
        <f t="shared" si="33"/>
        <v>-634.00399999999991</v>
      </c>
      <c r="M15" s="2">
        <f t="shared" si="33"/>
        <v>-623.84100000000001</v>
      </c>
      <c r="N15" s="2">
        <f t="shared" si="33"/>
        <v>-596.88400000000001</v>
      </c>
      <c r="O15" s="2">
        <f t="shared" si="33"/>
        <v>-523.4</v>
      </c>
      <c r="P15" s="2">
        <f t="shared" si="33"/>
        <v>-667.59100000000001</v>
      </c>
      <c r="V15" s="2">
        <f>+SUM(V11:V14)</f>
        <v>-1971.8910000000001</v>
      </c>
      <c r="W15" s="2">
        <f>+SUM(W11:W14)</f>
        <v>-1951.8249999999998</v>
      </c>
      <c r="X15" s="2">
        <f>+SUM(X11:X14)</f>
        <v>-2457.7110000000002</v>
      </c>
      <c r="Y15" s="2">
        <f t="shared" ref="Y15:AD15" si="34">+SUM(Y11:Y14)</f>
        <v>-2843.0747000000001</v>
      </c>
      <c r="Z15" s="2">
        <f t="shared" si="34"/>
        <v>-3303.2566750000001</v>
      </c>
      <c r="AA15" s="2">
        <f t="shared" si="34"/>
        <v>-3856.0976112500002</v>
      </c>
      <c r="AB15" s="2">
        <f t="shared" si="34"/>
        <v>-4524.4061965375004</v>
      </c>
      <c r="AC15" s="2">
        <f t="shared" si="34"/>
        <v>-5214.7250293268753</v>
      </c>
      <c r="AD15" s="2">
        <f t="shared" si="34"/>
        <v>-6020.1184452594071</v>
      </c>
    </row>
    <row r="16" spans="2:31" x14ac:dyDescent="0.2">
      <c r="B16" s="2" t="s">
        <v>24</v>
      </c>
      <c r="C16" s="2">
        <f>+C10-361.745</f>
        <v>-67.65100000000001</v>
      </c>
      <c r="D16" s="2">
        <f>+D10-388.145</f>
        <v>-24.611999999999966</v>
      </c>
      <c r="E16" s="2">
        <f>+E10-421.922</f>
        <v>5.1069999999999709</v>
      </c>
      <c r="F16" s="2">
        <f>-87-308.901</f>
        <v>-395.90100000000001</v>
      </c>
      <c r="G16" s="2">
        <f t="shared" ref="G16:P16" si="35">+G10+G15</f>
        <v>243.62899999999991</v>
      </c>
      <c r="H16" s="2">
        <f t="shared" si="35"/>
        <v>323.97699999999998</v>
      </c>
      <c r="I16" s="2">
        <f t="shared" si="35"/>
        <v>411.54500000000013</v>
      </c>
      <c r="J16" s="2">
        <f t="shared" si="35"/>
        <v>559.92700000000116</v>
      </c>
      <c r="K16" s="2">
        <f t="shared" si="35"/>
        <v>578.53699999999981</v>
      </c>
      <c r="L16" s="2">
        <f t="shared" si="35"/>
        <v>725.42099999999982</v>
      </c>
      <c r="M16" s="2">
        <f t="shared" si="35"/>
        <v>724.76999999999987</v>
      </c>
      <c r="N16" s="2">
        <f t="shared" si="35"/>
        <v>766.46999999999957</v>
      </c>
      <c r="O16" s="2">
        <f t="shared" si="35"/>
        <v>796.0999999999998</v>
      </c>
      <c r="P16" s="2">
        <f t="shared" si="35"/>
        <v>880.3869999999996</v>
      </c>
      <c r="V16" s="2">
        <f>+V10+V15</f>
        <v>-308.90100000000029</v>
      </c>
      <c r="W16" s="2">
        <f>+W10+W15</f>
        <v>1539.0780000000022</v>
      </c>
      <c r="X16" s="2">
        <f>+X10+X15</f>
        <v>2795.1979999999994</v>
      </c>
      <c r="Y16" s="2">
        <f t="shared" ref="Y16:AD16" si="36">+Y10+Y15</f>
        <v>4207.7352000000001</v>
      </c>
      <c r="Z16" s="2">
        <f t="shared" si="36"/>
        <v>6074.7175450000013</v>
      </c>
      <c r="AA16" s="2">
        <f t="shared" si="36"/>
        <v>8524.005862500002</v>
      </c>
      <c r="AB16" s="2">
        <f t="shared" si="36"/>
        <v>11323.340322350003</v>
      </c>
      <c r="AC16" s="2">
        <f t="shared" si="36"/>
        <v>14894.345179423128</v>
      </c>
      <c r="AD16" s="2">
        <f t="shared" si="36"/>
        <v>19312.855900691651</v>
      </c>
    </row>
    <row r="17" spans="2:50" x14ac:dyDescent="0.2">
      <c r="B17" s="2" t="s">
        <v>32</v>
      </c>
      <c r="C17" s="2"/>
      <c r="D17" s="2"/>
      <c r="E17" s="2"/>
      <c r="F17" s="2"/>
      <c r="G17" s="2">
        <f t="shared" ref="G17:P17" si="37">+G16</f>
        <v>243.62899999999991</v>
      </c>
      <c r="H17" s="2">
        <f t="shared" si="37"/>
        <v>323.97699999999998</v>
      </c>
      <c r="I17" s="2">
        <f t="shared" si="37"/>
        <v>411.54500000000013</v>
      </c>
      <c r="J17" s="2">
        <f t="shared" si="37"/>
        <v>559.92700000000116</v>
      </c>
      <c r="K17" s="2">
        <f t="shared" si="37"/>
        <v>578.53699999999981</v>
      </c>
      <c r="L17" s="2">
        <f t="shared" si="37"/>
        <v>725.42099999999982</v>
      </c>
      <c r="M17" s="2">
        <f t="shared" si="37"/>
        <v>724.76999999999987</v>
      </c>
      <c r="N17" s="2">
        <f t="shared" si="37"/>
        <v>766.46999999999957</v>
      </c>
      <c r="O17" s="2">
        <f t="shared" si="37"/>
        <v>796.0999999999998</v>
      </c>
      <c r="P17" s="2">
        <f t="shared" si="37"/>
        <v>880.3869999999996</v>
      </c>
      <c r="V17" s="2">
        <f t="shared" ref="V17:AD17" si="38">+V16</f>
        <v>-308.90100000000029</v>
      </c>
      <c r="W17" s="2">
        <f t="shared" si="38"/>
        <v>1539.0780000000022</v>
      </c>
      <c r="X17" s="2">
        <f t="shared" si="38"/>
        <v>2795.1979999999994</v>
      </c>
      <c r="Y17" s="2">
        <f t="shared" si="38"/>
        <v>4207.7352000000001</v>
      </c>
      <c r="Z17" s="2">
        <f t="shared" si="38"/>
        <v>6074.7175450000013</v>
      </c>
      <c r="AA17" s="2">
        <f t="shared" si="38"/>
        <v>8524.005862500002</v>
      </c>
      <c r="AB17" s="2">
        <f t="shared" si="38"/>
        <v>11323.340322350003</v>
      </c>
      <c r="AC17" s="2">
        <f t="shared" si="38"/>
        <v>14894.345179423128</v>
      </c>
      <c r="AD17" s="2">
        <f t="shared" si="38"/>
        <v>19312.855900691651</v>
      </c>
    </row>
    <row r="18" spans="2:50" x14ac:dyDescent="0.2">
      <c r="B18" s="2" t="s">
        <v>31</v>
      </c>
      <c r="C18" s="2"/>
      <c r="D18" s="2"/>
      <c r="E18" s="2"/>
      <c r="F18" s="2"/>
      <c r="G18" s="2">
        <f>-205.864+103.986</f>
        <v>-101.878</v>
      </c>
      <c r="H18" s="2">
        <f>-263.071+163.96</f>
        <v>-99.111000000000018</v>
      </c>
      <c r="I18" s="2">
        <f>-307.248+198.739</f>
        <v>-108.50899999999999</v>
      </c>
      <c r="J18" s="2">
        <f>-1184.23+675.682-I18-H18-G18</f>
        <v>-199.05</v>
      </c>
      <c r="K18" s="2">
        <f>-415.042+215.319</f>
        <v>-199.72299999999998</v>
      </c>
      <c r="L18" s="2">
        <v>-238.149</v>
      </c>
      <c r="M18" s="2">
        <f>-335.468+165.064</f>
        <v>-170.40400000000002</v>
      </c>
      <c r="N18" s="2">
        <f>-1536.521+713.435-M18-L18-K18</f>
        <v>-214.81000000000003</v>
      </c>
      <c r="O18" s="2">
        <f>-81.114-156.751</f>
        <v>-237.86500000000001</v>
      </c>
      <c r="P18" s="2">
        <v>-242.375</v>
      </c>
      <c r="V18" s="2">
        <f>-473.345+417.612</f>
        <v>-55.733000000000004</v>
      </c>
      <c r="W18" s="2">
        <f>+SUM(G18:J18)</f>
        <v>-508.54800000000006</v>
      </c>
      <c r="X18" s="2">
        <f t="shared" ref="X18" si="39">+SUM(K18:N18)</f>
        <v>-823.08600000000001</v>
      </c>
      <c r="Y18" s="2">
        <f>-Y17*0.3</f>
        <v>-1262.3205599999999</v>
      </c>
      <c r="Z18" s="2">
        <f t="shared" ref="Z18:AD18" si="40">-Z17*0.3</f>
        <v>-1822.4152635000003</v>
      </c>
      <c r="AA18" s="2">
        <f t="shared" si="40"/>
        <v>-2557.2017587500004</v>
      </c>
      <c r="AB18" s="2">
        <f t="shared" si="40"/>
        <v>-3397.0020967050009</v>
      </c>
      <c r="AC18" s="2">
        <f t="shared" si="40"/>
        <v>-4468.3035538269378</v>
      </c>
      <c r="AD18" s="2">
        <f t="shared" si="40"/>
        <v>-5793.8567702074952</v>
      </c>
    </row>
    <row r="19" spans="2:50" s="1" customFormat="1" ht="15" x14ac:dyDescent="0.25">
      <c r="B19" s="3" t="s">
        <v>26</v>
      </c>
      <c r="C19" s="3">
        <v>-45.003999999999998</v>
      </c>
      <c r="D19" s="3">
        <v>-29.85</v>
      </c>
      <c r="E19" s="3">
        <v>7.8330000000000002</v>
      </c>
      <c r="F19" s="3">
        <f>-364.634-E19-D19-C19</f>
        <v>-297.613</v>
      </c>
      <c r="G19" s="3">
        <f t="shared" ref="G19:P19" si="41">+G17+G18</f>
        <v>141.75099999999992</v>
      </c>
      <c r="H19" s="3">
        <f t="shared" si="41"/>
        <v>224.86599999999996</v>
      </c>
      <c r="I19" s="3">
        <f t="shared" si="41"/>
        <v>303.03600000000017</v>
      </c>
      <c r="J19" s="3">
        <f t="shared" si="41"/>
        <v>360.87700000000115</v>
      </c>
      <c r="K19" s="3">
        <f t="shared" si="41"/>
        <v>378.81399999999985</v>
      </c>
      <c r="L19" s="3">
        <f t="shared" si="41"/>
        <v>487.27199999999982</v>
      </c>
      <c r="M19" s="3">
        <f t="shared" si="41"/>
        <v>554.36599999999987</v>
      </c>
      <c r="N19" s="3">
        <f t="shared" si="41"/>
        <v>551.65999999999951</v>
      </c>
      <c r="O19" s="3">
        <f t="shared" si="41"/>
        <v>558.23499999999979</v>
      </c>
      <c r="P19" s="3">
        <f t="shared" si="41"/>
        <v>638.0119999999996</v>
      </c>
      <c r="V19" s="3">
        <f>+V17+V18</f>
        <v>-364.6340000000003</v>
      </c>
      <c r="W19" s="3">
        <f>+W17+W18</f>
        <v>1030.5300000000022</v>
      </c>
      <c r="X19" s="3">
        <f>+X17+X18</f>
        <v>1972.1119999999994</v>
      </c>
      <c r="Y19" s="3">
        <f t="shared" ref="Y19:AD19" si="42">+Y17+Y18</f>
        <v>2945.41464</v>
      </c>
      <c r="Z19" s="3">
        <f t="shared" si="42"/>
        <v>4252.3022815000013</v>
      </c>
      <c r="AA19" s="3">
        <f t="shared" si="42"/>
        <v>5966.8041037500016</v>
      </c>
      <c r="AB19" s="3">
        <f t="shared" si="42"/>
        <v>7926.3382256450022</v>
      </c>
      <c r="AC19" s="3">
        <f t="shared" si="42"/>
        <v>10426.04162559619</v>
      </c>
      <c r="AD19" s="3">
        <f t="shared" si="42"/>
        <v>13518.999130484157</v>
      </c>
      <c r="AE19" s="3">
        <f>+AD19*0.99</f>
        <v>13383.809139179315</v>
      </c>
      <c r="AF19" s="3">
        <f t="shared" ref="AF19:AX19" si="43">+AE19*0.99</f>
        <v>13249.971047787521</v>
      </c>
      <c r="AG19" s="3">
        <f t="shared" si="43"/>
        <v>13117.471337309646</v>
      </c>
      <c r="AH19" s="3">
        <f t="shared" si="43"/>
        <v>12986.296623936549</v>
      </c>
      <c r="AI19" s="3">
        <f t="shared" si="43"/>
        <v>12856.433657697184</v>
      </c>
      <c r="AJ19" s="3">
        <f t="shared" si="43"/>
        <v>12727.869321120212</v>
      </c>
      <c r="AK19" s="3">
        <f t="shared" si="43"/>
        <v>12600.590627909009</v>
      </c>
      <c r="AL19" s="3">
        <f t="shared" si="43"/>
        <v>12474.584721629919</v>
      </c>
      <c r="AM19" s="3">
        <f t="shared" si="43"/>
        <v>12349.838874413619</v>
      </c>
      <c r="AN19" s="3">
        <f t="shared" si="43"/>
        <v>12226.340485669483</v>
      </c>
      <c r="AO19" s="3">
        <f t="shared" si="43"/>
        <v>12104.077080812789</v>
      </c>
      <c r="AP19" s="3">
        <f t="shared" si="43"/>
        <v>11983.036310004662</v>
      </c>
      <c r="AQ19" s="3">
        <f t="shared" si="43"/>
        <v>11863.205946904614</v>
      </c>
      <c r="AR19" s="3">
        <f t="shared" si="43"/>
        <v>11744.573887435568</v>
      </c>
      <c r="AS19" s="3">
        <f t="shared" si="43"/>
        <v>11627.128148561213</v>
      </c>
      <c r="AT19" s="3">
        <f t="shared" si="43"/>
        <v>11510.856867075601</v>
      </c>
      <c r="AU19" s="3">
        <f t="shared" si="43"/>
        <v>11395.748298404846</v>
      </c>
      <c r="AV19" s="3">
        <f t="shared" si="43"/>
        <v>11281.790815420796</v>
      </c>
      <c r="AW19" s="3">
        <f t="shared" si="43"/>
        <v>11168.972907266589</v>
      </c>
      <c r="AX19" s="3">
        <f t="shared" si="43"/>
        <v>11057.283178193922</v>
      </c>
    </row>
    <row r="20" spans="2:50" x14ac:dyDescent="0.2">
      <c r="B20" s="2" t="s">
        <v>27</v>
      </c>
      <c r="C20" s="2"/>
      <c r="D20" s="2"/>
      <c r="E20" s="2"/>
      <c r="F20" s="2"/>
      <c r="G20" s="4" t="s">
        <v>34</v>
      </c>
      <c r="H20" s="4" t="s">
        <v>34</v>
      </c>
      <c r="I20" s="4">
        <f t="shared" ref="I20:P20" si="44">+I19/I21</f>
        <v>6.3766136123896172E-2</v>
      </c>
      <c r="J20" s="4">
        <f t="shared" si="44"/>
        <v>7.6153008720908993E-2</v>
      </c>
      <c r="K20" s="4">
        <f t="shared" si="44"/>
        <v>7.9361295074837343E-2</v>
      </c>
      <c r="L20" s="4">
        <f t="shared" si="44"/>
        <v>0.10176434384332107</v>
      </c>
      <c r="M20" s="4">
        <f t="shared" si="44"/>
        <v>0.11554893382687813</v>
      </c>
      <c r="N20" s="4">
        <f t="shared" si="44"/>
        <v>0.1151190891806711</v>
      </c>
      <c r="O20" s="4">
        <f t="shared" si="44"/>
        <v>0.11590550742957133</v>
      </c>
      <c r="P20" s="4">
        <f t="shared" si="44"/>
        <v>0.13222063951889496</v>
      </c>
      <c r="V20" s="4">
        <f>+V19/V21</f>
        <v>-7.7963607689325878E-2</v>
      </c>
      <c r="W20" s="4">
        <f>+W19/W21</f>
        <v>0.21715611943091417</v>
      </c>
      <c r="X20" s="4">
        <f>+X19/X21</f>
        <v>0.41190193217924825</v>
      </c>
      <c r="Y20" s="4">
        <f t="shared" ref="Y20:AD20" si="45">+Y19/Y21</f>
        <v>0.61518918868961059</v>
      </c>
      <c r="Z20" s="4">
        <f t="shared" si="45"/>
        <v>0.88815012837003005</v>
      </c>
      <c r="AA20" s="4">
        <f t="shared" si="45"/>
        <v>1.2462467340950687</v>
      </c>
      <c r="AB20" s="4">
        <f t="shared" si="45"/>
        <v>1.6555216084326911</v>
      </c>
      <c r="AC20" s="4">
        <f t="shared" si="45"/>
        <v>2.1776180513907639</v>
      </c>
      <c r="AD20" s="4">
        <f t="shared" si="45"/>
        <v>2.8236235381033139</v>
      </c>
      <c r="AE20" s="4"/>
    </row>
    <row r="21" spans="2:50" x14ac:dyDescent="0.2">
      <c r="B21" s="2" t="s">
        <v>2</v>
      </c>
      <c r="C21" s="2"/>
      <c r="D21" s="2"/>
      <c r="E21" s="2"/>
      <c r="F21" s="2"/>
      <c r="G21" s="2" t="s">
        <v>34</v>
      </c>
      <c r="H21" s="2" t="s">
        <v>34</v>
      </c>
      <c r="I21" s="2">
        <v>4752.3029999999999</v>
      </c>
      <c r="J21" s="2">
        <v>4738.8410000000003</v>
      </c>
      <c r="K21" s="2">
        <v>4773.2839999999997</v>
      </c>
      <c r="L21" s="2">
        <v>4788.2389999999996</v>
      </c>
      <c r="M21" s="2">
        <v>4797.6729999999998</v>
      </c>
      <c r="N21" s="2">
        <v>4792.0810000000001</v>
      </c>
      <c r="O21" s="2">
        <v>4816.2939999999999</v>
      </c>
      <c r="P21" s="2">
        <v>4825.3585999999996</v>
      </c>
      <c r="V21" s="2">
        <v>4676.9769999999999</v>
      </c>
      <c r="W21" s="2">
        <f>+AVERAGE(G21:J21)</f>
        <v>4745.5720000000001</v>
      </c>
      <c r="X21" s="2">
        <f>+AVERAGE(K21:N21)</f>
        <v>4787.8192500000005</v>
      </c>
      <c r="Y21" s="2">
        <f>+X21</f>
        <v>4787.8192500000005</v>
      </c>
      <c r="Z21" s="2">
        <f t="shared" ref="Z21:AD21" si="46">+Y21</f>
        <v>4787.8192500000005</v>
      </c>
      <c r="AA21" s="2">
        <f t="shared" si="46"/>
        <v>4787.8192500000005</v>
      </c>
      <c r="AB21" s="2">
        <f t="shared" si="46"/>
        <v>4787.8192500000005</v>
      </c>
      <c r="AC21" s="2">
        <f t="shared" si="46"/>
        <v>4787.8192500000005</v>
      </c>
      <c r="AD21" s="2">
        <f t="shared" si="46"/>
        <v>4787.8192500000005</v>
      </c>
    </row>
    <row r="23" spans="2:50" x14ac:dyDescent="0.2">
      <c r="B23" t="s">
        <v>54</v>
      </c>
      <c r="C23" s="5" t="s">
        <v>34</v>
      </c>
      <c r="D23" s="5" t="s">
        <v>34</v>
      </c>
      <c r="E23" s="5" t="s">
        <v>34</v>
      </c>
      <c r="F23" s="5" t="s">
        <v>34</v>
      </c>
      <c r="G23" s="5">
        <f t="shared" ref="G23:P23" si="47">+G5/F5-1</f>
        <v>0.11590956722204759</v>
      </c>
      <c r="H23" s="5">
        <f t="shared" si="47"/>
        <v>0.15443139323900468</v>
      </c>
      <c r="I23" s="5">
        <f t="shared" si="47"/>
        <v>0.14348296086993773</v>
      </c>
      <c r="J23" s="5">
        <f t="shared" si="47"/>
        <v>0.12549525964100794</v>
      </c>
      <c r="K23" s="5">
        <f t="shared" si="47"/>
        <v>0.13763087282647835</v>
      </c>
      <c r="L23" s="5">
        <f t="shared" si="47"/>
        <v>4.1225906931573908E-2</v>
      </c>
      <c r="M23" s="5">
        <f t="shared" si="47"/>
        <v>3.3165057213997651E-2</v>
      </c>
      <c r="N23" s="5">
        <f t="shared" si="47"/>
        <v>1.5679363189597062E-2</v>
      </c>
      <c r="O23" s="5">
        <f t="shared" si="47"/>
        <v>8.6436190230872345E-2</v>
      </c>
      <c r="P23" s="5">
        <f t="shared" si="47"/>
        <v>0.12955938048465065</v>
      </c>
      <c r="V23" s="5" t="s">
        <v>34</v>
      </c>
      <c r="W23" s="5">
        <f t="shared" ref="W23:AD23" si="48">+W5/V5-1</f>
        <v>0.67541506242082283</v>
      </c>
      <c r="X23" s="5">
        <f t="shared" si="48"/>
        <v>0.43443883753046419</v>
      </c>
      <c r="Y23" s="5">
        <f t="shared" si="48"/>
        <v>0.25000000000000022</v>
      </c>
      <c r="Z23" s="5">
        <f t="shared" si="48"/>
        <v>0.25</v>
      </c>
      <c r="AA23" s="5">
        <f t="shared" si="48"/>
        <v>0.25</v>
      </c>
      <c r="AB23" s="5">
        <f t="shared" si="48"/>
        <v>0.19999999999999996</v>
      </c>
      <c r="AC23" s="5">
        <f t="shared" si="48"/>
        <v>0.19999999999999996</v>
      </c>
      <c r="AD23" s="5">
        <f t="shared" si="48"/>
        <v>0.19999999999999996</v>
      </c>
      <c r="AE23" s="5"/>
    </row>
    <row r="24" spans="2:50" x14ac:dyDescent="0.2">
      <c r="B24" t="s">
        <v>55</v>
      </c>
      <c r="C24" s="5">
        <f t="shared" ref="C24:P24" si="49">+C10/C5</f>
        <v>0.3352388725439347</v>
      </c>
      <c r="D24" s="5">
        <f t="shared" si="49"/>
        <v>0.31405083619783325</v>
      </c>
      <c r="E24" s="5">
        <f t="shared" si="49"/>
        <v>0.32675781085603967</v>
      </c>
      <c r="F24" s="5">
        <f t="shared" si="49"/>
        <v>0.39870365161567872</v>
      </c>
      <c r="G24" s="5">
        <f t="shared" si="49"/>
        <v>0.40210988424425775</v>
      </c>
      <c r="H24" s="5">
        <f t="shared" si="49"/>
        <v>0.41847707423580788</v>
      </c>
      <c r="I24" s="5">
        <f t="shared" si="49"/>
        <v>0.42813879718714054</v>
      </c>
      <c r="J24" s="5">
        <f t="shared" si="49"/>
        <v>0.47536436899328116</v>
      </c>
      <c r="K24" s="5">
        <f t="shared" si="49"/>
        <v>0.43185736618393716</v>
      </c>
      <c r="L24" s="5">
        <f t="shared" si="49"/>
        <v>0.47721040997426534</v>
      </c>
      <c r="M24" s="5">
        <f t="shared" si="49"/>
        <v>0.45821747178550459</v>
      </c>
      <c r="N24" s="5">
        <f t="shared" si="49"/>
        <v>0.45607572303353772</v>
      </c>
      <c r="O24" s="5">
        <f t="shared" si="49"/>
        <v>0.40628752655725586</v>
      </c>
      <c r="P24" s="5">
        <f t="shared" si="49"/>
        <v>0.42196828650636359</v>
      </c>
      <c r="V24" s="5">
        <f t="shared" ref="V24:AD24" si="50">+V10/V5</f>
        <v>0.34701791295119117</v>
      </c>
      <c r="W24" s="5">
        <f t="shared" si="50"/>
        <v>0.43478807260103919</v>
      </c>
      <c r="X24" s="5">
        <f t="shared" si="50"/>
        <v>0.456097490031106</v>
      </c>
      <c r="Y24" s="5">
        <f t="shared" si="50"/>
        <v>0.48976393051187045</v>
      </c>
      <c r="Z24" s="5">
        <f t="shared" si="50"/>
        <v>0.52113088616684367</v>
      </c>
      <c r="AA24" s="5">
        <f t="shared" si="50"/>
        <v>0.55036656256558203</v>
      </c>
      <c r="AB24" s="5">
        <f t="shared" si="50"/>
        <v>0.58710264380426469</v>
      </c>
      <c r="AC24" s="5">
        <f t="shared" si="50"/>
        <v>0.62080794210142587</v>
      </c>
      <c r="AD24" s="5">
        <f t="shared" si="50"/>
        <v>0.65173374948712137</v>
      </c>
      <c r="AE24" s="5"/>
    </row>
    <row r="25" spans="2:50" x14ac:dyDescent="0.2">
      <c r="B25" t="s">
        <v>83</v>
      </c>
      <c r="C25" s="5">
        <f t="shared" ref="C25:O25" si="51">+C16/C5</f>
        <v>-7.7115632982888913E-2</v>
      </c>
      <c r="D25" s="5">
        <f t="shared" si="51"/>
        <v>-2.1261946454657652E-2</v>
      </c>
      <c r="E25" s="5">
        <f t="shared" si="51"/>
        <v>3.9078192348570824E-3</v>
      </c>
      <c r="F25" s="5">
        <f t="shared" si="51"/>
        <v>-0.2729342808451497</v>
      </c>
      <c r="G25" s="5">
        <f t="shared" si="51"/>
        <v>0.15051211892254548</v>
      </c>
      <c r="H25" s="5">
        <f t="shared" si="51"/>
        <v>0.17337582412877814</v>
      </c>
      <c r="I25" s="5">
        <f t="shared" si="51"/>
        <v>0.19260253149865361</v>
      </c>
      <c r="J25" s="5">
        <f t="shared" si="51"/>
        <v>0.23282649545035178</v>
      </c>
      <c r="K25" s="5">
        <f t="shared" si="51"/>
        <v>0.21146123342913353</v>
      </c>
      <c r="L25" s="5">
        <f t="shared" si="51"/>
        <v>0.25465064480492966</v>
      </c>
      <c r="M25" s="5">
        <f t="shared" si="51"/>
        <v>0.24625505577663251</v>
      </c>
      <c r="N25" s="5">
        <f t="shared" si="51"/>
        <v>0.25640322281191502</v>
      </c>
      <c r="O25" s="5">
        <f t="shared" si="51"/>
        <v>0.24512732087323333</v>
      </c>
      <c r="P25" s="5">
        <f>+P16/P5</f>
        <v>0.23998751523114531</v>
      </c>
      <c r="V25" s="5">
        <f t="shared" ref="V25:AD25" si="52">+V16/V5</f>
        <v>-6.4458704098362601E-2</v>
      </c>
      <c r="W25" s="5">
        <f t="shared" si="52"/>
        <v>0.19169044720024098</v>
      </c>
      <c r="X25" s="5">
        <f t="shared" si="52"/>
        <v>0.24270033841057731</v>
      </c>
      <c r="Y25" s="5">
        <f t="shared" si="52"/>
        <v>0.29227804455558376</v>
      </c>
      <c r="Z25" s="5">
        <f t="shared" si="52"/>
        <v>0.33757001919324142</v>
      </c>
      <c r="AA25" s="5">
        <f t="shared" si="52"/>
        <v>0.37894092046808769</v>
      </c>
      <c r="AB25" s="5">
        <f t="shared" si="52"/>
        <v>0.41948948590413232</v>
      </c>
      <c r="AC25" s="5">
        <f t="shared" si="52"/>
        <v>0.4598187625682737</v>
      </c>
      <c r="AD25" s="5">
        <f t="shared" si="52"/>
        <v>0.49685598767734068</v>
      </c>
      <c r="AE25" s="5"/>
    </row>
    <row r="26" spans="2:50" x14ac:dyDescent="0.2">
      <c r="B26" t="s">
        <v>75</v>
      </c>
      <c r="C26" s="5"/>
      <c r="D26" s="5"/>
      <c r="E26" s="5"/>
      <c r="F26" s="5"/>
      <c r="G26" s="5">
        <f t="shared" ref="G26:O26" si="53">ABS(G18/G17)</f>
        <v>0.41816860882735651</v>
      </c>
      <c r="H26" s="5">
        <f t="shared" si="53"/>
        <v>0.3059198646817522</v>
      </c>
      <c r="I26" s="5">
        <f t="shared" si="53"/>
        <v>0.26366253994095407</v>
      </c>
      <c r="J26" s="5">
        <f t="shared" si="53"/>
        <v>0.35549276959317838</v>
      </c>
      <c r="K26" s="5">
        <f t="shared" si="53"/>
        <v>0.34522078968155889</v>
      </c>
      <c r="L26" s="5">
        <f t="shared" si="53"/>
        <v>0.32829074427125776</v>
      </c>
      <c r="M26" s="5">
        <f t="shared" si="53"/>
        <v>0.23511458807621735</v>
      </c>
      <c r="N26" s="5">
        <f t="shared" si="53"/>
        <v>0.28025884900909381</v>
      </c>
      <c r="O26" s="5">
        <f t="shared" si="53"/>
        <v>0.29878784072352726</v>
      </c>
      <c r="P26" s="5">
        <f>ABS(P18/P17)</f>
        <v>0.27530506470449939</v>
      </c>
      <c r="V26" s="5">
        <f t="shared" ref="V26:AD26" si="54">ABS(V18/V17)</f>
        <v>0.1804235013807011</v>
      </c>
      <c r="W26" s="5">
        <f t="shared" si="54"/>
        <v>0.33042379918366666</v>
      </c>
      <c r="X26" s="5">
        <f t="shared" si="54"/>
        <v>0.29446429197502294</v>
      </c>
      <c r="Y26" s="5">
        <f t="shared" si="54"/>
        <v>0.3</v>
      </c>
      <c r="Z26" s="5">
        <f t="shared" si="54"/>
        <v>0.3</v>
      </c>
      <c r="AA26" s="5">
        <f t="shared" si="54"/>
        <v>0.3</v>
      </c>
      <c r="AB26" s="5">
        <f t="shared" si="54"/>
        <v>0.3</v>
      </c>
      <c r="AC26" s="5">
        <f t="shared" si="54"/>
        <v>0.3</v>
      </c>
      <c r="AD26" s="5">
        <f t="shared" si="54"/>
        <v>0.3</v>
      </c>
      <c r="AE26" s="5"/>
    </row>
    <row r="28" spans="2:50" x14ac:dyDescent="0.2">
      <c r="B28" t="s">
        <v>39</v>
      </c>
      <c r="V28" s="2">
        <f>+V30-V45</f>
        <v>3389.8110000000001</v>
      </c>
      <c r="W28" s="2">
        <f t="shared" ref="W28:X28" si="55">+W30-W45</f>
        <v>12024.124999999998</v>
      </c>
      <c r="X28" s="2">
        <f t="shared" si="55"/>
        <v>13890.137000000001</v>
      </c>
      <c r="Y28" s="2">
        <f>+X28+Y19</f>
        <v>16835.551640000001</v>
      </c>
      <c r="Z28" s="2">
        <f t="shared" ref="Z28:AD28" si="56">+Y28+Z19</f>
        <v>21087.853921500002</v>
      </c>
      <c r="AA28" s="2">
        <f t="shared" si="56"/>
        <v>27054.658025250003</v>
      </c>
      <c r="AB28" s="2">
        <f t="shared" si="56"/>
        <v>34980.996250895005</v>
      </c>
      <c r="AC28" s="2">
        <f t="shared" si="56"/>
        <v>45407.037876491195</v>
      </c>
      <c r="AD28" s="2">
        <f t="shared" si="56"/>
        <v>58926.037006975355</v>
      </c>
      <c r="AG28" t="s">
        <v>34</v>
      </c>
      <c r="AH28" s="5" t="s">
        <v>34</v>
      </c>
    </row>
    <row r="29" spans="2:50" x14ac:dyDescent="0.2">
      <c r="V29" s="2"/>
      <c r="AG29" t="s">
        <v>34</v>
      </c>
      <c r="AH29" s="5" t="s">
        <v>34</v>
      </c>
    </row>
    <row r="30" spans="2:50" x14ac:dyDescent="0.2">
      <c r="B30" t="s">
        <v>3</v>
      </c>
      <c r="V30" s="2">
        <f>4172.316+0.305</f>
        <v>4172.6210000000001</v>
      </c>
      <c r="W30" s="2">
        <f>5923.44+7447.483</f>
        <v>13370.922999999999</v>
      </c>
      <c r="X30" s="2">
        <f>9185.741+6743.336</f>
        <v>15929.077000000001</v>
      </c>
      <c r="AG30" t="s">
        <v>34</v>
      </c>
      <c r="AH30" s="6" t="s">
        <v>34</v>
      </c>
    </row>
    <row r="31" spans="2:50" x14ac:dyDescent="0.2">
      <c r="B31" t="s">
        <v>52</v>
      </c>
      <c r="V31" s="2"/>
      <c r="W31" s="2"/>
      <c r="X31" s="2"/>
      <c r="AG31" t="s">
        <v>34</v>
      </c>
      <c r="AH31" t="s">
        <v>34</v>
      </c>
    </row>
    <row r="32" spans="2:50" x14ac:dyDescent="0.2">
      <c r="B32" t="s">
        <v>40</v>
      </c>
      <c r="V32" s="2"/>
      <c r="W32" s="2"/>
      <c r="X32" s="2"/>
    </row>
    <row r="33" spans="2:24" x14ac:dyDescent="0.2">
      <c r="B33" t="s">
        <v>41</v>
      </c>
      <c r="V33" s="2"/>
      <c r="W33" s="2"/>
      <c r="X33" s="2"/>
    </row>
    <row r="34" spans="2:24" x14ac:dyDescent="0.2">
      <c r="B34" t="s">
        <v>42</v>
      </c>
      <c r="V34" s="2"/>
      <c r="W34" s="2"/>
      <c r="X34" s="2"/>
    </row>
    <row r="35" spans="2:24" x14ac:dyDescent="0.2">
      <c r="B35" t="s">
        <v>22</v>
      </c>
      <c r="V35" s="2"/>
      <c r="W35" s="2"/>
      <c r="X35" s="2"/>
    </row>
    <row r="36" spans="2:24" x14ac:dyDescent="0.2">
      <c r="B36" t="s">
        <v>43</v>
      </c>
      <c r="V36" s="2"/>
      <c r="W36" s="2"/>
      <c r="X36" s="2"/>
    </row>
    <row r="37" spans="2:24" x14ac:dyDescent="0.2">
      <c r="B37" t="s">
        <v>44</v>
      </c>
      <c r="V37" s="2"/>
      <c r="W37" s="2"/>
      <c r="X37" s="2"/>
    </row>
    <row r="38" spans="2:24" x14ac:dyDescent="0.2">
      <c r="B38" t="s">
        <v>45</v>
      </c>
      <c r="V38" s="2"/>
      <c r="W38" s="2"/>
      <c r="X38" s="2"/>
    </row>
    <row r="39" spans="2:24" x14ac:dyDescent="0.2">
      <c r="B39" t="s">
        <v>46</v>
      </c>
      <c r="V39" s="2"/>
      <c r="W39" s="2"/>
      <c r="X39" s="2"/>
    </row>
    <row r="40" spans="2:24" x14ac:dyDescent="0.2">
      <c r="B40" t="s">
        <v>47</v>
      </c>
      <c r="V40" s="2"/>
      <c r="W40" s="2"/>
      <c r="X40" s="2"/>
    </row>
    <row r="41" spans="2:24" x14ac:dyDescent="0.2">
      <c r="B41" t="s">
        <v>48</v>
      </c>
      <c r="V41" s="2"/>
      <c r="W41" s="2"/>
      <c r="X41" s="2"/>
    </row>
    <row r="42" spans="2:24" x14ac:dyDescent="0.2">
      <c r="B42" t="s">
        <v>49</v>
      </c>
      <c r="V42" s="2">
        <f>182.164+397.397</f>
        <v>579.56099999999992</v>
      </c>
      <c r="W42" s="2">
        <f>295.881+397.538</f>
        <v>693.41899999999998</v>
      </c>
      <c r="X42" s="2">
        <f>347.616+414.287</f>
        <v>761.90300000000002</v>
      </c>
    </row>
    <row r="43" spans="2:24" x14ac:dyDescent="0.2">
      <c r="B43" t="s">
        <v>50</v>
      </c>
      <c r="V43" s="2">
        <v>29916.559000000001</v>
      </c>
      <c r="W43" s="2">
        <v>43345.195</v>
      </c>
      <c r="X43" s="2">
        <v>49931.214</v>
      </c>
    </row>
    <row r="44" spans="2:24" x14ac:dyDescent="0.2">
      <c r="V44" s="2"/>
      <c r="W44" s="2"/>
      <c r="X44" s="2"/>
    </row>
    <row r="45" spans="2:24" x14ac:dyDescent="0.2">
      <c r="B45" t="s">
        <v>4</v>
      </c>
      <c r="V45" s="2">
        <f>585.568+197.242</f>
        <v>782.81</v>
      </c>
      <c r="W45" s="2">
        <f>210.454+1136.344</f>
        <v>1346.798</v>
      </c>
      <c r="X45" s="2">
        <f>308.583+1730.357</f>
        <v>2038.94</v>
      </c>
    </row>
    <row r="46" spans="2:24" x14ac:dyDescent="0.2">
      <c r="B46" t="s">
        <v>51</v>
      </c>
      <c r="V46" s="2"/>
      <c r="W46" s="2"/>
      <c r="X46" s="2" t="s">
        <v>63</v>
      </c>
    </row>
    <row r="47" spans="2:24" x14ac:dyDescent="0.2">
      <c r="B47" t="s">
        <v>41</v>
      </c>
      <c r="V47" s="2"/>
      <c r="W47" s="2"/>
      <c r="X47" s="2"/>
    </row>
    <row r="48" spans="2:24" x14ac:dyDescent="0.2">
      <c r="B48" t="s">
        <v>53</v>
      </c>
      <c r="V48" s="2"/>
      <c r="W48" s="2"/>
      <c r="X48" s="2"/>
    </row>
    <row r="49" spans="2:24" x14ac:dyDescent="0.2">
      <c r="B49" t="s">
        <v>64</v>
      </c>
      <c r="V49" s="2"/>
      <c r="W49" s="2"/>
      <c r="X49" s="2"/>
    </row>
    <row r="50" spans="2:24" x14ac:dyDescent="0.2">
      <c r="B50" t="s">
        <v>65</v>
      </c>
      <c r="V50" s="2"/>
      <c r="W50" s="2"/>
      <c r="X50" s="2"/>
    </row>
    <row r="51" spans="2:24" x14ac:dyDescent="0.2">
      <c r="B51" t="s">
        <v>66</v>
      </c>
      <c r="V51" s="2"/>
      <c r="W51" s="2"/>
      <c r="X51" s="2"/>
    </row>
    <row r="52" spans="2:24" x14ac:dyDescent="0.2">
      <c r="B52" t="s">
        <v>67</v>
      </c>
      <c r="V52" s="2"/>
      <c r="W52" s="2"/>
      <c r="X52" s="2"/>
    </row>
    <row r="53" spans="2:24" x14ac:dyDescent="0.2">
      <c r="B53" t="s">
        <v>68</v>
      </c>
      <c r="V53" s="2"/>
      <c r="W53" s="2"/>
      <c r="X53" s="2"/>
    </row>
    <row r="54" spans="2:24" x14ac:dyDescent="0.2">
      <c r="B54" t="s">
        <v>69</v>
      </c>
      <c r="V54" s="2"/>
      <c r="W54" s="2"/>
      <c r="X54" s="2"/>
    </row>
    <row r="55" spans="2:24" x14ac:dyDescent="0.2">
      <c r="B55" t="s">
        <v>70</v>
      </c>
      <c r="V55" s="2"/>
      <c r="W55" s="2"/>
      <c r="X55" s="2"/>
    </row>
    <row r="56" spans="2:24" x14ac:dyDescent="0.2">
      <c r="B56" t="s">
        <v>71</v>
      </c>
      <c r="V56" s="2"/>
      <c r="W56" s="2"/>
      <c r="X56" s="2"/>
    </row>
    <row r="57" spans="2:24" x14ac:dyDescent="0.2">
      <c r="B57" t="s">
        <v>72</v>
      </c>
      <c r="V57" s="2"/>
      <c r="W57" s="2"/>
      <c r="X57" s="2"/>
    </row>
    <row r="58" spans="2:24" x14ac:dyDescent="0.2">
      <c r="B58" t="s">
        <v>73</v>
      </c>
      <c r="V58" s="2">
        <v>25025.776000000002</v>
      </c>
      <c r="W58" s="2">
        <v>36938.81</v>
      </c>
      <c r="X58" s="2">
        <v>42284.137999999999</v>
      </c>
    </row>
    <row r="59" spans="2:24" x14ac:dyDescent="0.2">
      <c r="B59" t="s">
        <v>79</v>
      </c>
      <c r="V59" s="2">
        <f>+V43-V58</f>
        <v>4890.7829999999994</v>
      </c>
      <c r="W59" s="2">
        <f>+W43-W58</f>
        <v>6406.385000000002</v>
      </c>
      <c r="X59" s="2">
        <f>+X43-X58</f>
        <v>7647.0760000000009</v>
      </c>
    </row>
    <row r="60" spans="2:24" x14ac:dyDescent="0.2">
      <c r="B60" t="s">
        <v>74</v>
      </c>
      <c r="V60" s="2">
        <f>+V58+V59</f>
        <v>29916.559000000001</v>
      </c>
      <c r="W60" s="2">
        <f>+W58+W59</f>
        <v>43345.195</v>
      </c>
      <c r="X60" s="2">
        <f>+X58+X59</f>
        <v>49931.214</v>
      </c>
    </row>
    <row r="61" spans="2:24" x14ac:dyDescent="0.2">
      <c r="V61" s="2"/>
      <c r="W61" s="2"/>
      <c r="X61" s="2"/>
    </row>
    <row r="62" spans="2:24" x14ac:dyDescent="0.2">
      <c r="B62" t="s">
        <v>80</v>
      </c>
      <c r="U62" s="2" t="s">
        <v>34</v>
      </c>
      <c r="V62" s="2">
        <f>+V59</f>
        <v>4890.7829999999994</v>
      </c>
      <c r="W62" s="2">
        <f>+W59</f>
        <v>6406.385000000002</v>
      </c>
      <c r="X62" s="2">
        <f>+X59</f>
        <v>7647.0760000000009</v>
      </c>
    </row>
    <row r="63" spans="2:24" x14ac:dyDescent="0.2">
      <c r="B63" t="s">
        <v>81</v>
      </c>
      <c r="V63" s="2">
        <f>+V62-V42</f>
        <v>4311.2219999999998</v>
      </c>
      <c r="W63" s="2">
        <f>+W62-W42</f>
        <v>5712.9660000000022</v>
      </c>
      <c r="X63" s="2">
        <f>+X62-X42</f>
        <v>6885.1730000000007</v>
      </c>
    </row>
    <row r="64" spans="2:24" x14ac:dyDescent="0.2">
      <c r="B64" t="s">
        <v>85</v>
      </c>
      <c r="V64" s="2"/>
      <c r="W64" s="2"/>
      <c r="X64" s="2" t="s">
        <v>34</v>
      </c>
    </row>
    <row r="65" spans="2:32" x14ac:dyDescent="0.2">
      <c r="B65" t="s">
        <v>82</v>
      </c>
      <c r="V65" s="5">
        <f t="shared" ref="V65:W65" si="57">+V19/V63</f>
        <v>-8.4577876063909568E-2</v>
      </c>
      <c r="W65" s="5">
        <f t="shared" si="57"/>
        <v>0.1803844097794389</v>
      </c>
      <c r="X65" s="5">
        <f>+X19/X63</f>
        <v>0.28642882321184948</v>
      </c>
    </row>
    <row r="66" spans="2:32" x14ac:dyDescent="0.2">
      <c r="B66" t="s">
        <v>84</v>
      </c>
      <c r="V66" s="2"/>
      <c r="W66" s="2"/>
      <c r="X66" s="2"/>
    </row>
    <row r="67" spans="2:32" x14ac:dyDescent="0.2">
      <c r="B67" t="s">
        <v>88</v>
      </c>
      <c r="V67" s="2"/>
      <c r="W67" s="2"/>
      <c r="X67" s="2">
        <v>179.203</v>
      </c>
    </row>
    <row r="68" spans="2:32" x14ac:dyDescent="0.2">
      <c r="B68" t="s">
        <v>89</v>
      </c>
      <c r="V68" s="2"/>
      <c r="W68" s="2"/>
      <c r="X68" s="2">
        <v>-88.081999999999994</v>
      </c>
    </row>
    <row r="69" spans="2:32" x14ac:dyDescent="0.2">
      <c r="B69" t="s">
        <v>87</v>
      </c>
      <c r="V69" s="2"/>
      <c r="W69" s="2"/>
      <c r="X69" s="2">
        <v>-7024.0029999999997</v>
      </c>
    </row>
    <row r="70" spans="2:32" x14ac:dyDescent="0.2">
      <c r="B70" t="s">
        <v>40</v>
      </c>
      <c r="V70" s="2"/>
      <c r="W70" s="2"/>
      <c r="X70" s="2">
        <v>665.24199999999996</v>
      </c>
    </row>
    <row r="71" spans="2:32" x14ac:dyDescent="0.2">
      <c r="B71" t="s">
        <v>86</v>
      </c>
      <c r="V71" s="2"/>
      <c r="W71" s="2"/>
      <c r="X71" s="2">
        <f>(X67+X68)/(X69+X70)</f>
        <v>-1.4329992902705419E-2</v>
      </c>
    </row>
    <row r="72" spans="2:32" x14ac:dyDescent="0.2">
      <c r="X72" s="2"/>
    </row>
    <row r="73" spans="2:32" x14ac:dyDescent="0.2">
      <c r="B73" t="s">
        <v>56</v>
      </c>
      <c r="V73" s="2">
        <f>+V19</f>
        <v>-364.6340000000003</v>
      </c>
      <c r="W73" s="2">
        <f>+W19</f>
        <v>1030.5300000000022</v>
      </c>
      <c r="X73" s="2">
        <f>+X19</f>
        <v>1972.1119999999994</v>
      </c>
    </row>
    <row r="74" spans="2:32" x14ac:dyDescent="0.2">
      <c r="B74" t="s">
        <v>57</v>
      </c>
      <c r="V74" s="2">
        <v>-364.63400000000001</v>
      </c>
      <c r="W74" s="2">
        <v>1030.53</v>
      </c>
      <c r="X74" s="2">
        <v>1972.1120000000001</v>
      </c>
    </row>
    <row r="75" spans="2:32" x14ac:dyDescent="0.2">
      <c r="B75" t="s">
        <v>58</v>
      </c>
      <c r="V75" s="2">
        <v>755.57299999999998</v>
      </c>
      <c r="W75" s="2">
        <v>1266.1890000000001</v>
      </c>
      <c r="X75" s="2">
        <v>2399.0439999999999</v>
      </c>
    </row>
    <row r="76" spans="2:32" x14ac:dyDescent="0.2">
      <c r="B76" t="s">
        <v>59</v>
      </c>
      <c r="V76" s="2">
        <v>-127.152</v>
      </c>
      <c r="W76" s="2">
        <v>-177.00299999999999</v>
      </c>
      <c r="X76" s="2">
        <v>-330.62700000000001</v>
      </c>
    </row>
    <row r="77" spans="2:32" x14ac:dyDescent="0.2">
      <c r="B77" t="s">
        <v>60</v>
      </c>
      <c r="V77" s="2">
        <v>654.03899999999999</v>
      </c>
      <c r="W77" s="2">
        <v>425.21499999999997</v>
      </c>
      <c r="X77" s="2">
        <v>727.74099999999999</v>
      </c>
    </row>
    <row r="78" spans="2:32" x14ac:dyDescent="0.2">
      <c r="B78" t="s">
        <v>34</v>
      </c>
    </row>
    <row r="79" spans="2:32" x14ac:dyDescent="0.2">
      <c r="B79" t="s">
        <v>61</v>
      </c>
      <c r="V79" s="2">
        <f>-20.001-94.305</f>
        <v>-114.30600000000001</v>
      </c>
      <c r="W79" s="2">
        <f>-20.243-156.76</f>
        <v>-177.00299999999999</v>
      </c>
      <c r="X79" s="2">
        <f>-5.418-169.572</f>
        <v>-174.99</v>
      </c>
      <c r="AF79" s="2"/>
    </row>
    <row r="80" spans="2:32" s="1" customFormat="1" ht="15" x14ac:dyDescent="0.25">
      <c r="B80" s="1" t="s">
        <v>62</v>
      </c>
      <c r="V80" s="3">
        <f t="shared" ref="V80:W80" si="58">+V75+V79</f>
        <v>641.26699999999994</v>
      </c>
      <c r="W80" s="3">
        <f t="shared" si="58"/>
        <v>1089.1860000000001</v>
      </c>
      <c r="X80" s="3">
        <f>+X75+X79</f>
        <v>2224.0540000000001</v>
      </c>
      <c r="Y80" s="3">
        <f>+X80*1.3</f>
        <v>2891.2702000000004</v>
      </c>
      <c r="Z80" s="3">
        <f t="shared" ref="Z80:AD80" si="59">+Y80*1.3</f>
        <v>3758.6512600000005</v>
      </c>
      <c r="AA80" s="3">
        <f t="shared" si="59"/>
        <v>4886.2466380000005</v>
      </c>
      <c r="AB80" s="3">
        <f t="shared" si="59"/>
        <v>6352.1206294000012</v>
      </c>
      <c r="AC80" s="3">
        <f t="shared" si="59"/>
        <v>8257.7568182200012</v>
      </c>
      <c r="AD80" s="3">
        <f t="shared" si="59"/>
        <v>10735.083863686003</v>
      </c>
      <c r="AE80" s="3"/>
      <c r="AF80" s="3"/>
    </row>
    <row r="81" spans="2:32" x14ac:dyDescent="0.2">
      <c r="B81" t="s">
        <v>77</v>
      </c>
      <c r="V81" s="2">
        <f>+V83/V80</f>
        <v>23.881143111995474</v>
      </c>
      <c r="W81" s="2">
        <f>+W83/W80</f>
        <v>25.935767628302234</v>
      </c>
      <c r="X81" s="2">
        <f>+main!C7/model!X80</f>
        <v>27.903548654843814</v>
      </c>
      <c r="AD81" s="2">
        <f>+AD83/AD80</f>
        <v>12.141493487601807</v>
      </c>
      <c r="AF81" s="2"/>
    </row>
    <row r="82" spans="2:32" x14ac:dyDescent="0.2">
      <c r="B82" t="s">
        <v>78</v>
      </c>
      <c r="U82" t="s">
        <v>34</v>
      </c>
      <c r="V82" s="2" t="s">
        <v>34</v>
      </c>
      <c r="W82" s="2">
        <f>+W83/W19</f>
        <v>27.411987035797054</v>
      </c>
      <c r="X82" s="2">
        <f>+X83/X19</f>
        <v>18.470483927890509</v>
      </c>
      <c r="AD82" s="2">
        <v>14</v>
      </c>
      <c r="AF82" s="2"/>
    </row>
    <row r="83" spans="2:32" x14ac:dyDescent="0.2">
      <c r="B83" t="s">
        <v>5</v>
      </c>
      <c r="V83" s="2">
        <f>+(4676*4)-V28</f>
        <v>15314.189</v>
      </c>
      <c r="W83" s="2">
        <f>+(4738*W84)-W28</f>
        <v>28248.875</v>
      </c>
      <c r="X83" s="2">
        <f>(4792*X84)-X28</f>
        <v>36425.862999999998</v>
      </c>
      <c r="AD83" s="2">
        <f>+AD19*AD82-AD28</f>
        <v>130339.95081980285</v>
      </c>
      <c r="AF83" s="2"/>
    </row>
    <row r="84" spans="2:32" x14ac:dyDescent="0.2">
      <c r="B84" t="s">
        <v>76</v>
      </c>
      <c r="V84" s="2">
        <v>4</v>
      </c>
      <c r="W84" s="2">
        <v>8.5</v>
      </c>
      <c r="X84" s="2">
        <v>10.5</v>
      </c>
      <c r="AD84" s="2">
        <f>+AD83/AD21</f>
        <v>27.223239645022698</v>
      </c>
      <c r="AF84" s="2"/>
    </row>
    <row r="85" spans="2:32" x14ac:dyDescent="0.2">
      <c r="V85" s="5" t="s">
        <v>34</v>
      </c>
      <c r="W85" s="5" t="s">
        <v>34</v>
      </c>
      <c r="X85" s="5" t="s">
        <v>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2025-05-14T11:28:22Z</dcterms:created>
  <dcterms:modified xsi:type="dcterms:W3CDTF">2025-08-25T16:05:11Z</dcterms:modified>
</cp:coreProperties>
</file>