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https://academiafaedupt-my.sharepoint.com/personal/sbclemente_academiafa_edu_pt/Documents/Gigs/WorkingFolder/Finance/Stocks/"/>
    </mc:Choice>
  </mc:AlternateContent>
  <xr:revisionPtr revIDLastSave="188" documentId="13_ncr:1_{F577B6F0-892C-4F50-9419-1EE04536669B}" xr6:coauthVersionLast="47" xr6:coauthVersionMax="47" xr10:uidLastSave="{2EA33C0A-FB38-4050-AFB8-6C0E7CEDBD0C}"/>
  <bookViews>
    <workbookView xWindow="6015" yWindow="1275" windowWidth="21600" windowHeight="11295" activeTab="1" xr2:uid="{00000000-000D-0000-FFFF-FFFF00000000}"/>
  </bookViews>
  <sheets>
    <sheet name="main" sheetId="1" r:id="rId1"/>
    <sheet name="Model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ZC9MktPFdLnaCxKMLZw0PNhQxbZrakJP1Bptx8+C1VU="/>
    </ext>
  </extLst>
</workbook>
</file>

<file path=xl/calcChain.xml><?xml version="1.0" encoding="utf-8"?>
<calcChain xmlns="http://schemas.openxmlformats.org/spreadsheetml/2006/main">
  <c r="O6" i="2" l="1"/>
  <c r="AT13" i="2"/>
  <c r="AU13" i="2" s="1"/>
  <c r="AV13" i="2" s="1"/>
  <c r="AW13" i="2" s="1"/>
  <c r="AX13" i="2" s="1"/>
  <c r="AY13" i="2" s="1"/>
  <c r="AZ13" i="2" s="1"/>
  <c r="BA13" i="2" s="1"/>
  <c r="BB13" i="2" s="1"/>
  <c r="BC13" i="2" s="1"/>
  <c r="BD13" i="2" s="1"/>
  <c r="BE13" i="2" s="1"/>
  <c r="AS13" i="2"/>
  <c r="AC13" i="2"/>
  <c r="AD13" i="2" s="1"/>
  <c r="AE13" i="2" s="1"/>
  <c r="AF13" i="2" s="1"/>
  <c r="AG13" i="2" s="1"/>
  <c r="AH13" i="2" s="1"/>
  <c r="AI13" i="2" s="1"/>
  <c r="AJ13" i="2" s="1"/>
  <c r="AK13" i="2" s="1"/>
  <c r="AL13" i="2" s="1"/>
  <c r="AM13" i="2" s="1"/>
  <c r="AN13" i="2" s="1"/>
  <c r="AO13" i="2" s="1"/>
  <c r="AP13" i="2" s="1"/>
  <c r="AQ13" i="2" s="1"/>
  <c r="AR13" i="2" s="1"/>
  <c r="AB13" i="2"/>
  <c r="L82" i="2"/>
  <c r="L80" i="2"/>
  <c r="L65" i="2"/>
  <c r="L83" i="2" s="1"/>
  <c r="L69" i="2"/>
  <c r="L71" i="2"/>
  <c r="L67" i="2"/>
  <c r="L53" i="2"/>
  <c r="L19" i="2"/>
  <c r="L18" i="2"/>
  <c r="L10" i="2"/>
  <c r="L4" i="2"/>
  <c r="L17" i="2" s="1"/>
  <c r="J40" i="2"/>
  <c r="I40" i="2"/>
  <c r="I45" i="2" s="1"/>
  <c r="H40" i="2"/>
  <c r="H45" i="2" s="1"/>
  <c r="G40" i="2"/>
  <c r="G45" i="2" s="1"/>
  <c r="F40" i="2"/>
  <c r="F45" i="2" s="1"/>
  <c r="E40" i="2"/>
  <c r="O10" i="2"/>
  <c r="J35" i="2"/>
  <c r="J38" i="2" s="1"/>
  <c r="I35" i="2"/>
  <c r="H35" i="2"/>
  <c r="H38" i="2" s="1"/>
  <c r="G35" i="2"/>
  <c r="G38" i="2" s="1"/>
  <c r="F35" i="2"/>
  <c r="F38" i="2" s="1"/>
  <c r="E35" i="2"/>
  <c r="I29" i="2"/>
  <c r="E29" i="2"/>
  <c r="K24" i="2"/>
  <c r="J24" i="2"/>
  <c r="I24" i="2"/>
  <c r="H24" i="2"/>
  <c r="G24" i="2"/>
  <c r="F24" i="2"/>
  <c r="K19" i="2"/>
  <c r="J19" i="2"/>
  <c r="I19" i="2"/>
  <c r="H19" i="2"/>
  <c r="G19" i="2"/>
  <c r="F19" i="2"/>
  <c r="E19" i="2"/>
  <c r="D19" i="2"/>
  <c r="C19" i="2"/>
  <c r="B19" i="2"/>
  <c r="K18" i="2"/>
  <c r="J18" i="2"/>
  <c r="I18" i="2"/>
  <c r="H18" i="2"/>
  <c r="G18" i="2"/>
  <c r="F18" i="2"/>
  <c r="E18" i="2"/>
  <c r="D18" i="2"/>
  <c r="C18" i="2"/>
  <c r="B18" i="2"/>
  <c r="S15" i="2"/>
  <c r="T15" i="2" s="1"/>
  <c r="U15" i="2" s="1"/>
  <c r="V15" i="2" s="1"/>
  <c r="W15" i="2" s="1"/>
  <c r="X15" i="2" s="1"/>
  <c r="Y15" i="2" s="1"/>
  <c r="Z15" i="2" s="1"/>
  <c r="AA15" i="2" s="1"/>
  <c r="R15" i="2"/>
  <c r="S12" i="2"/>
  <c r="R12" i="2"/>
  <c r="K10" i="2"/>
  <c r="J10" i="2"/>
  <c r="I10" i="2"/>
  <c r="H10" i="2"/>
  <c r="G10" i="2"/>
  <c r="F10" i="2"/>
  <c r="E10" i="2"/>
  <c r="D10" i="2"/>
  <c r="C10" i="2"/>
  <c r="B10" i="2"/>
  <c r="K8" i="2"/>
  <c r="J8" i="2"/>
  <c r="I8" i="2"/>
  <c r="H8" i="2"/>
  <c r="G8" i="2"/>
  <c r="F8" i="2"/>
  <c r="E8" i="2"/>
  <c r="D8" i="2"/>
  <c r="C8" i="2"/>
  <c r="B8" i="2"/>
  <c r="S7" i="2"/>
  <c r="T7" i="2" s="1"/>
  <c r="U7" i="2" s="1"/>
  <c r="V7" i="2" s="1"/>
  <c r="W7" i="2" s="1"/>
  <c r="X7" i="2" s="1"/>
  <c r="Y7" i="2" s="1"/>
  <c r="Z7" i="2" s="1"/>
  <c r="AA7" i="2" s="1"/>
  <c r="R7" i="2"/>
  <c r="S6" i="2"/>
  <c r="R6" i="2"/>
  <c r="S5" i="2"/>
  <c r="R5" i="2"/>
  <c r="K4" i="2"/>
  <c r="K17" i="2" s="1"/>
  <c r="J4" i="2"/>
  <c r="J17" i="2" s="1"/>
  <c r="I4" i="2"/>
  <c r="I17" i="2" s="1"/>
  <c r="H4" i="2"/>
  <c r="G4" i="2"/>
  <c r="G9" i="2" s="1"/>
  <c r="G11" i="2" s="1"/>
  <c r="G13" i="2" s="1"/>
  <c r="F4" i="2"/>
  <c r="E4" i="2"/>
  <c r="E9" i="2" s="1"/>
  <c r="D4" i="2"/>
  <c r="D17" i="2" s="1"/>
  <c r="C4" i="2"/>
  <c r="C17" i="2" s="1"/>
  <c r="B4" i="2"/>
  <c r="B17" i="2" s="1"/>
  <c r="S3" i="2"/>
  <c r="T3" i="2" s="1"/>
  <c r="U3" i="2" s="1"/>
  <c r="V3" i="2" s="1"/>
  <c r="W3" i="2" s="1"/>
  <c r="X3" i="2" s="1"/>
  <c r="Y3" i="2" s="1"/>
  <c r="Z3" i="2" s="1"/>
  <c r="AA3" i="2" s="1"/>
  <c r="R3" i="2"/>
  <c r="S2" i="2"/>
  <c r="R2" i="2"/>
  <c r="S1" i="2"/>
  <c r="T1" i="2" s="1"/>
  <c r="U1" i="2" s="1"/>
  <c r="V1" i="2" s="1"/>
  <c r="W1" i="2" s="1"/>
  <c r="X1" i="2" s="1"/>
  <c r="Y1" i="2" s="1"/>
  <c r="Z1" i="2" s="1"/>
  <c r="AA1" i="2" s="1"/>
  <c r="M9" i="1"/>
  <c r="M8" i="1"/>
  <c r="M10" i="1" s="1"/>
  <c r="M7" i="1"/>
  <c r="F47" i="2" l="1"/>
  <c r="E38" i="2"/>
  <c r="F27" i="2"/>
  <c r="R4" i="2"/>
  <c r="H47" i="2"/>
  <c r="H48" i="2" s="1"/>
  <c r="G27" i="2"/>
  <c r="H27" i="2"/>
  <c r="G26" i="2"/>
  <c r="H17" i="2"/>
  <c r="H9" i="2"/>
  <c r="H20" i="2" s="1"/>
  <c r="R18" i="2"/>
  <c r="S8" i="2"/>
  <c r="T5" i="2"/>
  <c r="U5" i="2" s="1"/>
  <c r="V5" i="2" s="1"/>
  <c r="W5" i="2" s="1"/>
  <c r="X5" i="2" s="1"/>
  <c r="Y5" i="2" s="1"/>
  <c r="Z5" i="2" s="1"/>
  <c r="AA5" i="2" s="1"/>
  <c r="R19" i="2"/>
  <c r="S19" i="2"/>
  <c r="T6" i="2"/>
  <c r="U6" i="2" s="1"/>
  <c r="V6" i="2" s="1"/>
  <c r="W6" i="2" s="1"/>
  <c r="X6" i="2" s="1"/>
  <c r="Y6" i="2" s="1"/>
  <c r="Z6" i="2" s="1"/>
  <c r="AA6" i="2" s="1"/>
  <c r="L9" i="2"/>
  <c r="G47" i="2"/>
  <c r="G48" i="2" s="1"/>
  <c r="C9" i="2"/>
  <c r="C20" i="2" s="1"/>
  <c r="D9" i="2"/>
  <c r="D11" i="2" s="1"/>
  <c r="D21" i="2" s="1"/>
  <c r="S18" i="2"/>
  <c r="S10" i="2"/>
  <c r="I9" i="2"/>
  <c r="I20" i="2" s="1"/>
  <c r="E27" i="2"/>
  <c r="R27" i="2" s="1"/>
  <c r="E11" i="2"/>
  <c r="E21" i="2" s="1"/>
  <c r="R10" i="2"/>
  <c r="E17" i="2"/>
  <c r="G17" i="2"/>
  <c r="R17" i="2"/>
  <c r="I38" i="2"/>
  <c r="I47" i="2" s="1"/>
  <c r="I48" i="2" s="1"/>
  <c r="R8" i="2"/>
  <c r="R9" i="2" s="1"/>
  <c r="E20" i="2"/>
  <c r="F9" i="2"/>
  <c r="F17" i="2"/>
  <c r="S24" i="2"/>
  <c r="J9" i="2"/>
  <c r="J45" i="2"/>
  <c r="J47" i="2" s="1"/>
  <c r="J27" i="2"/>
  <c r="O7" i="2" s="1"/>
  <c r="G50" i="2"/>
  <c r="G14" i="2"/>
  <c r="G51" i="2"/>
  <c r="G20" i="2"/>
  <c r="T2" i="2"/>
  <c r="K9" i="2"/>
  <c r="F48" i="2"/>
  <c r="G22" i="2"/>
  <c r="S4" i="2"/>
  <c r="B9" i="2"/>
  <c r="G21" i="2"/>
  <c r="I27" i="2"/>
  <c r="S27" i="2" s="1"/>
  <c r="E45" i="2"/>
  <c r="H11" i="2" l="1"/>
  <c r="C11" i="2"/>
  <c r="C21" i="2" s="1"/>
  <c r="D13" i="2"/>
  <c r="D22" i="2" s="1"/>
  <c r="E13" i="2"/>
  <c r="E14" i="2" s="1"/>
  <c r="L11" i="2"/>
  <c r="L20" i="2"/>
  <c r="T18" i="2"/>
  <c r="T4" i="2"/>
  <c r="T17" i="2" s="1"/>
  <c r="I11" i="2"/>
  <c r="I13" i="2" s="1"/>
  <c r="D20" i="2"/>
  <c r="R11" i="2"/>
  <c r="R20" i="2"/>
  <c r="H13" i="2"/>
  <c r="H21" i="2"/>
  <c r="T24" i="2"/>
  <c r="U2" i="2"/>
  <c r="U4" i="2" s="1"/>
  <c r="S9" i="2"/>
  <c r="S17" i="2"/>
  <c r="K20" i="2"/>
  <c r="K11" i="2"/>
  <c r="C13" i="2"/>
  <c r="J48" i="2"/>
  <c r="J20" i="2"/>
  <c r="J11" i="2"/>
  <c r="F11" i="2"/>
  <c r="F20" i="2"/>
  <c r="E47" i="2"/>
  <c r="E48" i="2" s="1"/>
  <c r="B20" i="2"/>
  <c r="B11" i="2"/>
  <c r="E22" i="2" l="1"/>
  <c r="E26" i="2"/>
  <c r="E51" i="2"/>
  <c r="D14" i="2"/>
  <c r="E50" i="2"/>
  <c r="I21" i="2"/>
  <c r="L21" i="2"/>
  <c r="I14" i="2"/>
  <c r="I51" i="2"/>
  <c r="I26" i="2"/>
  <c r="I22" i="2"/>
  <c r="I50" i="2"/>
  <c r="S11" i="2"/>
  <c r="S20" i="2"/>
  <c r="K21" i="2"/>
  <c r="K13" i="2"/>
  <c r="C22" i="2"/>
  <c r="C14" i="2"/>
  <c r="F21" i="2"/>
  <c r="F13" i="2"/>
  <c r="H50" i="2"/>
  <c r="H14" i="2"/>
  <c r="H26" i="2"/>
  <c r="H22" i="2"/>
  <c r="H51" i="2"/>
  <c r="J21" i="2"/>
  <c r="J13" i="2"/>
  <c r="U24" i="2"/>
  <c r="U17" i="2"/>
  <c r="V2" i="2"/>
  <c r="V4" i="2" s="1"/>
  <c r="U19" i="2"/>
  <c r="T19" i="2"/>
  <c r="T8" i="2"/>
  <c r="T9" i="2" s="1"/>
  <c r="B21" i="2"/>
  <c r="B13" i="2"/>
  <c r="R21" i="2"/>
  <c r="R13" i="2"/>
  <c r="L14" i="2" l="1"/>
  <c r="L22" i="2"/>
  <c r="T20" i="2"/>
  <c r="S13" i="2"/>
  <c r="S21" i="2"/>
  <c r="U8" i="2"/>
  <c r="U9" i="2" s="1"/>
  <c r="U20" i="2" s="1"/>
  <c r="U18" i="2"/>
  <c r="K22" i="2"/>
  <c r="K14" i="2"/>
  <c r="F50" i="2"/>
  <c r="F26" i="2"/>
  <c r="F22" i="2"/>
  <c r="F51" i="2"/>
  <c r="F14" i="2"/>
  <c r="J51" i="2"/>
  <c r="J26" i="2"/>
  <c r="J22" i="2"/>
  <c r="J50" i="2"/>
  <c r="J14" i="2"/>
  <c r="R14" i="2"/>
  <c r="R22" i="2"/>
  <c r="V24" i="2"/>
  <c r="V17" i="2"/>
  <c r="W2" i="2"/>
  <c r="W4" i="2" s="1"/>
  <c r="V19" i="2"/>
  <c r="B22" i="2"/>
  <c r="B14" i="2"/>
  <c r="V8" i="2" l="1"/>
  <c r="V9" i="2" s="1"/>
  <c r="V20" i="2" s="1"/>
  <c r="V18" i="2"/>
  <c r="W17" i="2"/>
  <c r="X2" i="2"/>
  <c r="X4" i="2" s="1"/>
  <c r="W19" i="2"/>
  <c r="W24" i="2"/>
  <c r="S14" i="2"/>
  <c r="S22" i="2"/>
  <c r="T10" i="2"/>
  <c r="T11" i="2" s="1"/>
  <c r="T12" i="2" s="1"/>
  <c r="T21" i="2" s="1"/>
  <c r="T13" i="2" l="1"/>
  <c r="T22" i="2"/>
  <c r="Y2" i="2"/>
  <c r="Y4" i="2" s="1"/>
  <c r="X24" i="2"/>
  <c r="X17" i="2"/>
  <c r="X19" i="2"/>
  <c r="W18" i="2"/>
  <c r="W8" i="2"/>
  <c r="W9" i="2" s="1"/>
  <c r="W20" i="2" s="1"/>
  <c r="T27" i="2" l="1"/>
  <c r="U10" i="2" s="1"/>
  <c r="U11" i="2" s="1"/>
  <c r="U12" i="2" s="1"/>
  <c r="U21" i="2" s="1"/>
  <c r="T14" i="2"/>
  <c r="X18" i="2"/>
  <c r="X8" i="2"/>
  <c r="X9" i="2" s="1"/>
  <c r="X20" i="2" s="1"/>
  <c r="Y19" i="2"/>
  <c r="Y24" i="2"/>
  <c r="Z2" i="2"/>
  <c r="Z4" i="2" s="1"/>
  <c r="Y17" i="2"/>
  <c r="U13" i="2" l="1"/>
  <c r="U27" i="2" s="1"/>
  <c r="U14" i="2"/>
  <c r="V10" i="2"/>
  <c r="V11" i="2" s="1"/>
  <c r="V12" i="2" s="1"/>
  <c r="V21" i="2" s="1"/>
  <c r="U22" i="2"/>
  <c r="Y18" i="2"/>
  <c r="Y8" i="2"/>
  <c r="Y9" i="2" s="1"/>
  <c r="Y20" i="2" s="1"/>
  <c r="Z19" i="2"/>
  <c r="Z17" i="2"/>
  <c r="Z24" i="2"/>
  <c r="AA2" i="2"/>
  <c r="AA4" i="2" s="1"/>
  <c r="V13" i="2" l="1"/>
  <c r="V27" i="2" s="1"/>
  <c r="AA19" i="2"/>
  <c r="AA24" i="2"/>
  <c r="AA17" i="2"/>
  <c r="Z8" i="2"/>
  <c r="Z9" i="2" s="1"/>
  <c r="Z20" i="2" s="1"/>
  <c r="Z18" i="2"/>
  <c r="V14" i="2" l="1"/>
  <c r="V22" i="2"/>
  <c r="AA8" i="2"/>
  <c r="AA9" i="2" s="1"/>
  <c r="AA20" i="2" s="1"/>
  <c r="AA18" i="2"/>
  <c r="W10" i="2" l="1"/>
  <c r="W11" i="2" s="1"/>
  <c r="W12" i="2" l="1"/>
  <c r="W21" i="2" s="1"/>
  <c r="W13" i="2" l="1"/>
  <c r="W27" i="2" s="1"/>
  <c r="W14" i="2" l="1"/>
  <c r="W22" i="2"/>
  <c r="X10" i="2" l="1"/>
  <c r="X11" i="2" s="1"/>
  <c r="X12" i="2" l="1"/>
  <c r="X21" i="2" s="1"/>
  <c r="X13" i="2" l="1"/>
  <c r="X27" i="2" s="1"/>
  <c r="X22" i="2" l="1"/>
  <c r="X14" i="2"/>
  <c r="Y10" i="2" l="1"/>
  <c r="Y11" i="2" s="1"/>
  <c r="Y12" i="2" l="1"/>
  <c r="Y21" i="2" s="1"/>
  <c r="Y13" i="2" l="1"/>
  <c r="Y27" i="2" s="1"/>
  <c r="Y14" i="2" l="1"/>
  <c r="Y22" i="2"/>
  <c r="Z10" i="2" l="1"/>
  <c r="Z11" i="2" s="1"/>
  <c r="Z12" i="2" l="1"/>
  <c r="Z21" i="2" s="1"/>
  <c r="Z13" i="2" l="1"/>
  <c r="Z27" i="2" l="1"/>
  <c r="AA10" i="2" s="1"/>
  <c r="AA11" i="2" s="1"/>
  <c r="Z22" i="2"/>
  <c r="Z14" i="2"/>
  <c r="AA12" i="2" l="1"/>
  <c r="AA21" i="2" s="1"/>
  <c r="AA13" i="2" l="1"/>
  <c r="AA27" i="2" l="1"/>
  <c r="AA14" i="2"/>
  <c r="AA22" i="2"/>
  <c r="O8" i="2" l="1"/>
  <c r="O9" i="2" s="1"/>
  <c r="O11" i="2" s="1"/>
</calcChain>
</file>

<file path=xl/sharedStrings.xml><?xml version="1.0" encoding="utf-8"?>
<sst xmlns="http://schemas.openxmlformats.org/spreadsheetml/2006/main" count="129" uniqueCount="97">
  <si>
    <t>NVDA</t>
  </si>
  <si>
    <t xml:space="preserve">price </t>
  </si>
  <si>
    <t>shares</t>
  </si>
  <si>
    <t>MC</t>
  </si>
  <si>
    <t xml:space="preserve"> </t>
  </si>
  <si>
    <t>Cash</t>
  </si>
  <si>
    <t>Debt</t>
  </si>
  <si>
    <t>EV</t>
  </si>
  <si>
    <t>Q122</t>
  </si>
  <si>
    <t>Q222</t>
  </si>
  <si>
    <t>Q322</t>
  </si>
  <si>
    <t>Q422</t>
  </si>
  <si>
    <t>Q123</t>
  </si>
  <si>
    <t>Q223</t>
  </si>
  <si>
    <t>Q323</t>
  </si>
  <si>
    <t>Q423</t>
  </si>
  <si>
    <t>Q124</t>
  </si>
  <si>
    <t>Q224</t>
  </si>
  <si>
    <t>Q324</t>
  </si>
  <si>
    <t xml:space="preserve">revenue </t>
  </si>
  <si>
    <t>COGS</t>
  </si>
  <si>
    <t>ROIC</t>
  </si>
  <si>
    <t>Gross Profit</t>
  </si>
  <si>
    <t>MR</t>
  </si>
  <si>
    <t>RD</t>
  </si>
  <si>
    <t>DR</t>
  </si>
  <si>
    <t>SGA</t>
  </si>
  <si>
    <t>NPV</t>
  </si>
  <si>
    <t>Acquisition Cost</t>
  </si>
  <si>
    <t>NC</t>
  </si>
  <si>
    <t>OPEX</t>
  </si>
  <si>
    <t>Total value</t>
  </si>
  <si>
    <t>Operating Income</t>
  </si>
  <si>
    <t>Per Share</t>
  </si>
  <si>
    <t>Interest income</t>
  </si>
  <si>
    <t>Current</t>
  </si>
  <si>
    <t>Pretaxe</t>
  </si>
  <si>
    <t>Ratio</t>
  </si>
  <si>
    <t>Taxes</t>
  </si>
  <si>
    <t>Net Income</t>
  </si>
  <si>
    <t>EPS</t>
  </si>
  <si>
    <t>Shares</t>
  </si>
  <si>
    <t>Gross Margin</t>
  </si>
  <si>
    <t>RD %</t>
  </si>
  <si>
    <t>SGD%</t>
  </si>
  <si>
    <t>Operaing Margin</t>
  </si>
  <si>
    <t>Taxe Rate</t>
  </si>
  <si>
    <t>Net Margin</t>
  </si>
  <si>
    <t>revenue y/y</t>
  </si>
  <si>
    <t xml:space="preserve">   </t>
  </si>
  <si>
    <t>Yield</t>
  </si>
  <si>
    <t>Net Cash</t>
  </si>
  <si>
    <t>A/R</t>
  </si>
  <si>
    <t>Inventory</t>
  </si>
  <si>
    <t>OCA</t>
  </si>
  <si>
    <t>PPE</t>
  </si>
  <si>
    <t>OLA</t>
  </si>
  <si>
    <t>Intangible</t>
  </si>
  <si>
    <t>DT</t>
  </si>
  <si>
    <t>ONCA</t>
  </si>
  <si>
    <t>Assets</t>
  </si>
  <si>
    <t>A/P</t>
  </si>
  <si>
    <t>OCL</t>
  </si>
  <si>
    <t>ONCL</t>
  </si>
  <si>
    <t>OLL</t>
  </si>
  <si>
    <t>Liabilities</t>
  </si>
  <si>
    <t>S/E</t>
  </si>
  <si>
    <t xml:space="preserve">       </t>
  </si>
  <si>
    <t>Liabilities + S/E</t>
  </si>
  <si>
    <t xml:space="preserve">  </t>
  </si>
  <si>
    <t>ROA</t>
  </si>
  <si>
    <t>ROE</t>
  </si>
  <si>
    <t>SBC</t>
  </si>
  <si>
    <t>DA</t>
  </si>
  <si>
    <t>Other</t>
  </si>
  <si>
    <t>AR</t>
  </si>
  <si>
    <t>Invetories</t>
  </si>
  <si>
    <t>Prepaid expenses</t>
  </si>
  <si>
    <t>AP</t>
  </si>
  <si>
    <t xml:space="preserve">Accued </t>
  </si>
  <si>
    <t>Other liabilites</t>
  </si>
  <si>
    <t xml:space="preserve">CFFO </t>
  </si>
  <si>
    <t>Reported NI</t>
  </si>
  <si>
    <t>Model NI</t>
  </si>
  <si>
    <t>Marktable securities</t>
  </si>
  <si>
    <t>Acquiditions</t>
  </si>
  <si>
    <t>Investments</t>
  </si>
  <si>
    <t>CFFF</t>
  </si>
  <si>
    <t>Employee stock</t>
  </si>
  <si>
    <t>Repurchases</t>
  </si>
  <si>
    <t>Repayment</t>
  </si>
  <si>
    <t>restricted stock taxes</t>
  </si>
  <si>
    <t>Dividend paid</t>
  </si>
  <si>
    <t xml:space="preserve">Principal PPE </t>
  </si>
  <si>
    <t>CFFI</t>
  </si>
  <si>
    <t>CaPex</t>
  </si>
  <si>
    <t>FCF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</si>
</sst>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#,##0.00\ &quot;€&quot;;[Red]\-#,##0.00\ &quot;€&quot;"/>
    <numFmt numFmtId="164" formatCode="#,##0.000"/>
    <numFmt numFmtId="165" formatCode="0.000"/>
  </numFmts>
  <fonts count="6" x14ac:knownFonts="1">
    <font>
      <sz val="11"/>
      <color theme="1"/>
      <name val="Arial"/>
      <scheme val="minor"/>
    </font>
    <font>
      <sz val="11"/>
      <color theme="1"/>
      <name val="Arial"/>
      <family val="2"/>
    </font>
    <font>
      <sz val="11"/>
      <color theme="1"/>
      <name val="Arial"/>
      <family val="2"/>
    </font>
    <font>
      <b/>
      <u/>
      <sz val="11"/>
      <color theme="1"/>
      <name val="Arial"/>
      <family val="2"/>
    </font>
    <font>
      <sz val="11"/>
      <color theme="1"/>
      <name val="Arial"/>
      <family val="2"/>
      <scheme val="minor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3" fontId="5" fillId="0" borderId="0" xfId="0" applyNumberFormat="1" applyFont="1"/>
    <xf numFmtId="3" fontId="2" fillId="0" borderId="0" xfId="0" applyNumberFormat="1" applyFont="1"/>
    <xf numFmtId="1" fontId="2" fillId="0" borderId="0" xfId="0" applyNumberFormat="1" applyFont="1"/>
    <xf numFmtId="0" fontId="2" fillId="0" borderId="0" xfId="0" applyFont="1"/>
    <xf numFmtId="9" fontId="2" fillId="0" borderId="0" xfId="0" applyNumberFormat="1" applyFont="1"/>
    <xf numFmtId="8" fontId="2" fillId="0" borderId="0" xfId="0" applyNumberFormat="1" applyFont="1"/>
    <xf numFmtId="164" fontId="2" fillId="0" borderId="0" xfId="0" applyNumberFormat="1" applyFont="1"/>
    <xf numFmtId="165" fontId="2" fillId="0" borderId="0" xfId="0" applyNumberFormat="1" applyFont="1"/>
    <xf numFmtId="4" fontId="2" fillId="0" borderId="0" xfId="0" applyNumberFormat="1" applyFont="1"/>
    <xf numFmtId="0" fontId="1" fillId="0" borderId="0" xfId="0" applyFon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-19050</xdr:colOff>
      <xdr:row>0</xdr:row>
      <xdr:rowOff>9525</xdr:rowOff>
    </xdr:from>
    <xdr:ext cx="38100" cy="5391150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pSpPr/>
      </xdr:nvGrpSpPr>
      <xdr:grpSpPr>
        <a:xfrm>
          <a:off x="7620000" y="9525"/>
          <a:ext cx="38100" cy="5391150"/>
          <a:chOff x="5346000" y="1084425"/>
          <a:chExt cx="0" cy="5391150"/>
        </a:xfrm>
      </xdr:grpSpPr>
      <xdr:cxnSp macro="">
        <xdr:nvCxnSpPr>
          <xdr:cNvPr id="3" name="Shape 3">
            <a:extLst>
              <a:ext uri="{FF2B5EF4-FFF2-40B4-BE49-F238E27FC236}">
                <a16:creationId xmlns:a16="http://schemas.microsoft.com/office/drawing/2014/main" id="{00000000-0008-0000-0100-000003000000}"/>
              </a:ext>
            </a:extLst>
          </xdr:cNvPr>
          <xdr:cNvCxnSpPr/>
        </xdr:nvCxnSpPr>
        <xdr:spPr>
          <a:xfrm>
            <a:off x="5346000" y="1084425"/>
            <a:ext cx="0" cy="5391150"/>
          </a:xfrm>
          <a:prstGeom prst="straightConnector1">
            <a:avLst/>
          </a:prstGeom>
          <a:noFill/>
          <a:ln w="19050" cap="flat" cmpd="sng">
            <a:solidFill>
              <a:schemeClr val="accent1"/>
            </a:solidFill>
            <a:prstDash val="solid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19</xdr:col>
      <xdr:colOff>-9525</xdr:colOff>
      <xdr:row>0</xdr:row>
      <xdr:rowOff>38100</xdr:rowOff>
    </xdr:from>
    <xdr:ext cx="38100" cy="5391150"/>
    <xdr:grpSp>
      <xdr:nvGrpSpPr>
        <xdr:cNvPr id="6" name="Shape 2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pSpPr/>
      </xdr:nvGrpSpPr>
      <xdr:grpSpPr>
        <a:xfrm>
          <a:off x="14363700" y="38100"/>
          <a:ext cx="38100" cy="5391150"/>
          <a:chOff x="5346000" y="1084425"/>
          <a:chExt cx="0" cy="5391150"/>
        </a:xfrm>
      </xdr:grpSpPr>
      <xdr:cxnSp macro="">
        <xdr:nvCxnSpPr>
          <xdr:cNvPr id="7" name="Shape 4">
            <a:extLst>
              <a:ext uri="{FF2B5EF4-FFF2-40B4-BE49-F238E27FC236}">
                <a16:creationId xmlns:a16="http://schemas.microsoft.com/office/drawing/2014/main" id="{00000000-0008-0000-0100-000007000000}"/>
              </a:ext>
            </a:extLst>
          </xdr:cNvPr>
          <xdr:cNvCxnSpPr/>
        </xdr:nvCxnSpPr>
        <xdr:spPr>
          <a:xfrm>
            <a:off x="5346000" y="1084425"/>
            <a:ext cx="0" cy="5391150"/>
          </a:xfrm>
          <a:prstGeom prst="straightConnector1">
            <a:avLst/>
          </a:prstGeom>
          <a:noFill/>
          <a:ln w="19050" cap="flat" cmpd="sng">
            <a:solidFill>
              <a:schemeClr val="accent1"/>
            </a:solidFill>
            <a:prstDash val="solid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1000"/>
  <sheetViews>
    <sheetView topLeftCell="I1" zoomScale="168" workbookViewId="0">
      <selection activeCell="L12" sqref="L12"/>
    </sheetView>
  </sheetViews>
  <sheetFormatPr defaultColWidth="12.625" defaultRowHeight="15" customHeight="1" x14ac:dyDescent="0.2"/>
  <cols>
    <col min="1" max="12" width="8.625" customWidth="1"/>
    <col min="13" max="13" width="10.875" customWidth="1"/>
    <col min="14" max="26" width="8.625" customWidth="1"/>
  </cols>
  <sheetData>
    <row r="1" spans="2:15" ht="13.5" customHeight="1" x14ac:dyDescent="0.2"/>
    <row r="2" spans="2:15" ht="13.5" customHeight="1" x14ac:dyDescent="0.25">
      <c r="B2" s="1" t="s">
        <v>0</v>
      </c>
    </row>
    <row r="3" spans="2:15" ht="13.5" customHeight="1" x14ac:dyDescent="0.2"/>
    <row r="4" spans="2:15" ht="13.5" customHeight="1" x14ac:dyDescent="0.2"/>
    <row r="5" spans="2:15" ht="13.5" customHeight="1" x14ac:dyDescent="0.2">
      <c r="L5" s="2" t="s">
        <v>1</v>
      </c>
      <c r="M5" s="5">
        <v>130</v>
      </c>
    </row>
    <row r="6" spans="2:15" ht="13.5" customHeight="1" x14ac:dyDescent="0.2">
      <c r="L6" s="2" t="s">
        <v>2</v>
      </c>
      <c r="M6" s="5">
        <v>2460</v>
      </c>
    </row>
    <row r="7" spans="2:15" ht="13.5" customHeight="1" x14ac:dyDescent="0.2">
      <c r="L7" s="2" t="s">
        <v>3</v>
      </c>
      <c r="M7" s="5">
        <f>+M5*M6</f>
        <v>319800</v>
      </c>
      <c r="O7" t="s">
        <v>4</v>
      </c>
    </row>
    <row r="8" spans="2:15" ht="13.5" customHeight="1" x14ac:dyDescent="0.2">
      <c r="L8" s="2" t="s">
        <v>5</v>
      </c>
      <c r="M8" s="2">
        <f>7587+23851</f>
        <v>31438</v>
      </c>
      <c r="N8" t="s">
        <v>4</v>
      </c>
    </row>
    <row r="9" spans="2:15" ht="13.5" customHeight="1" x14ac:dyDescent="0.2">
      <c r="L9" s="2" t="s">
        <v>6</v>
      </c>
      <c r="M9" s="2">
        <f>1250+8460+2966</f>
        <v>12676</v>
      </c>
    </row>
    <row r="10" spans="2:15" ht="13.5" customHeight="1" x14ac:dyDescent="0.2">
      <c r="L10" s="2" t="s">
        <v>7</v>
      </c>
      <c r="M10" s="5">
        <f>+M7-M8+M9</f>
        <v>301038</v>
      </c>
    </row>
    <row r="11" spans="2:15" ht="13.5" customHeight="1" x14ac:dyDescent="0.2"/>
    <row r="12" spans="2:15" ht="13.5" customHeight="1" x14ac:dyDescent="0.2">
      <c r="M12" t="s">
        <v>4</v>
      </c>
    </row>
    <row r="13" spans="2:15" ht="13.5" customHeight="1" x14ac:dyDescent="0.2"/>
    <row r="14" spans="2:15" ht="13.5" customHeight="1" x14ac:dyDescent="0.2"/>
    <row r="15" spans="2:15" ht="13.5" customHeight="1" x14ac:dyDescent="0.2"/>
    <row r="16" spans="2:15" ht="13.5" customHeight="1" x14ac:dyDescent="0.2"/>
    <row r="17" ht="13.5" customHeight="1" x14ac:dyDescent="0.2"/>
    <row r="18" ht="13.5" customHeight="1" x14ac:dyDescent="0.2"/>
    <row r="19" ht="13.5" customHeight="1" x14ac:dyDescent="0.2"/>
    <row r="20" ht="13.5" customHeight="1" x14ac:dyDescent="0.2"/>
    <row r="21" ht="13.5" customHeight="1" x14ac:dyDescent="0.2"/>
    <row r="22" ht="13.5" customHeight="1" x14ac:dyDescent="0.2"/>
    <row r="23" ht="13.5" customHeight="1" x14ac:dyDescent="0.2"/>
    <row r="24" ht="13.5" customHeight="1" x14ac:dyDescent="0.2"/>
    <row r="25" ht="13.5" customHeight="1" x14ac:dyDescent="0.2"/>
    <row r="26" ht="13.5" customHeight="1" x14ac:dyDescent="0.2"/>
    <row r="27" ht="13.5" customHeight="1" x14ac:dyDescent="0.2"/>
    <row r="28" ht="13.5" customHeight="1" x14ac:dyDescent="0.2"/>
    <row r="29" ht="13.5" customHeight="1" x14ac:dyDescent="0.2"/>
    <row r="30" ht="13.5" customHeight="1" x14ac:dyDescent="0.2"/>
    <row r="31" ht="13.5" customHeight="1" x14ac:dyDescent="0.2"/>
    <row r="32" ht="13.5" customHeight="1" x14ac:dyDescent="0.2"/>
    <row r="33" ht="13.5" customHeight="1" x14ac:dyDescent="0.2"/>
    <row r="34" ht="13.5" customHeight="1" x14ac:dyDescent="0.2"/>
    <row r="35" ht="13.5" customHeight="1" x14ac:dyDescent="0.2"/>
    <row r="36" ht="13.5" customHeight="1" x14ac:dyDescent="0.2"/>
    <row r="37" ht="13.5" customHeight="1" x14ac:dyDescent="0.2"/>
    <row r="38" ht="13.5" customHeight="1" x14ac:dyDescent="0.2"/>
    <row r="39" ht="13.5" customHeight="1" x14ac:dyDescent="0.2"/>
    <row r="40" ht="13.5" customHeight="1" x14ac:dyDescent="0.2"/>
    <row r="41" ht="13.5" customHeight="1" x14ac:dyDescent="0.2"/>
    <row r="42" ht="13.5" customHeight="1" x14ac:dyDescent="0.2"/>
    <row r="43" ht="13.5" customHeight="1" x14ac:dyDescent="0.2"/>
    <row r="44" ht="13.5" customHeight="1" x14ac:dyDescent="0.2"/>
    <row r="45" ht="13.5" customHeight="1" x14ac:dyDescent="0.2"/>
    <row r="46" ht="13.5" customHeight="1" x14ac:dyDescent="0.2"/>
    <row r="47" ht="13.5" customHeight="1" x14ac:dyDescent="0.2"/>
    <row r="48" ht="13.5" customHeight="1" x14ac:dyDescent="0.2"/>
    <row r="49" ht="13.5" customHeight="1" x14ac:dyDescent="0.2"/>
    <row r="50" ht="13.5" customHeight="1" x14ac:dyDescent="0.2"/>
    <row r="51" ht="13.5" customHeight="1" x14ac:dyDescent="0.2"/>
    <row r="52" ht="13.5" customHeight="1" x14ac:dyDescent="0.2"/>
    <row r="53" ht="13.5" customHeight="1" x14ac:dyDescent="0.2"/>
    <row r="54" ht="13.5" customHeight="1" x14ac:dyDescent="0.2"/>
    <row r="55" ht="13.5" customHeight="1" x14ac:dyDescent="0.2"/>
    <row r="56" ht="13.5" customHeight="1" x14ac:dyDescent="0.2"/>
    <row r="57" ht="13.5" customHeight="1" x14ac:dyDescent="0.2"/>
    <row r="58" ht="13.5" customHeight="1" x14ac:dyDescent="0.2"/>
    <row r="59" ht="13.5" customHeight="1" x14ac:dyDescent="0.2"/>
    <row r="60" ht="13.5" customHeight="1" x14ac:dyDescent="0.2"/>
    <row r="61" ht="13.5" customHeight="1" x14ac:dyDescent="0.2"/>
    <row r="62" ht="13.5" customHeight="1" x14ac:dyDescent="0.2"/>
    <row r="63" ht="13.5" customHeight="1" x14ac:dyDescent="0.2"/>
    <row r="64" ht="13.5" customHeight="1" x14ac:dyDescent="0.2"/>
    <row r="65" ht="13.5" customHeight="1" x14ac:dyDescent="0.2"/>
    <row r="66" ht="13.5" customHeight="1" x14ac:dyDescent="0.2"/>
    <row r="67" ht="13.5" customHeight="1" x14ac:dyDescent="0.2"/>
    <row r="68" ht="13.5" customHeight="1" x14ac:dyDescent="0.2"/>
    <row r="69" ht="13.5" customHeight="1" x14ac:dyDescent="0.2"/>
    <row r="70" ht="13.5" customHeight="1" x14ac:dyDescent="0.2"/>
    <row r="71" ht="13.5" customHeight="1" x14ac:dyDescent="0.2"/>
    <row r="72" ht="13.5" customHeight="1" x14ac:dyDescent="0.2"/>
    <row r="73" ht="13.5" customHeight="1" x14ac:dyDescent="0.2"/>
    <row r="74" ht="13.5" customHeight="1" x14ac:dyDescent="0.2"/>
    <row r="75" ht="13.5" customHeight="1" x14ac:dyDescent="0.2"/>
    <row r="76" ht="13.5" customHeight="1" x14ac:dyDescent="0.2"/>
    <row r="77" ht="13.5" customHeight="1" x14ac:dyDescent="0.2"/>
    <row r="78" ht="13.5" customHeight="1" x14ac:dyDescent="0.2"/>
    <row r="79" ht="13.5" customHeight="1" x14ac:dyDescent="0.2"/>
    <row r="80" ht="13.5" customHeight="1" x14ac:dyDescent="0.2"/>
    <row r="81" ht="13.5" customHeight="1" x14ac:dyDescent="0.2"/>
    <row r="82" ht="13.5" customHeight="1" x14ac:dyDescent="0.2"/>
    <row r="83" ht="13.5" customHeight="1" x14ac:dyDescent="0.2"/>
    <row r="84" ht="13.5" customHeight="1" x14ac:dyDescent="0.2"/>
    <row r="85" ht="13.5" customHeight="1" x14ac:dyDescent="0.2"/>
    <row r="86" ht="13.5" customHeight="1" x14ac:dyDescent="0.2"/>
    <row r="87" ht="13.5" customHeight="1" x14ac:dyDescent="0.2"/>
    <row r="88" ht="13.5" customHeight="1" x14ac:dyDescent="0.2"/>
    <row r="89" ht="13.5" customHeight="1" x14ac:dyDescent="0.2"/>
    <row r="90" ht="13.5" customHeight="1" x14ac:dyDescent="0.2"/>
    <row r="91" ht="13.5" customHeight="1" x14ac:dyDescent="0.2"/>
    <row r="92" ht="13.5" customHeight="1" x14ac:dyDescent="0.2"/>
    <row r="93" ht="13.5" customHeight="1" x14ac:dyDescent="0.2"/>
    <row r="94" ht="13.5" customHeight="1" x14ac:dyDescent="0.2"/>
    <row r="95" ht="13.5" customHeight="1" x14ac:dyDescent="0.2"/>
    <row r="96" ht="13.5" customHeight="1" x14ac:dyDescent="0.2"/>
    <row r="97" ht="13.5" customHeight="1" x14ac:dyDescent="0.2"/>
    <row r="98" ht="13.5" customHeight="1" x14ac:dyDescent="0.2"/>
    <row r="99" ht="13.5" customHeight="1" x14ac:dyDescent="0.2"/>
    <row r="100" ht="13.5" customHeight="1" x14ac:dyDescent="0.2"/>
    <row r="101" ht="13.5" customHeight="1" x14ac:dyDescent="0.2"/>
    <row r="102" ht="13.5" customHeight="1" x14ac:dyDescent="0.2"/>
    <row r="103" ht="13.5" customHeight="1" x14ac:dyDescent="0.2"/>
    <row r="104" ht="13.5" customHeight="1" x14ac:dyDescent="0.2"/>
    <row r="105" ht="13.5" customHeight="1" x14ac:dyDescent="0.2"/>
    <row r="106" ht="13.5" customHeight="1" x14ac:dyDescent="0.2"/>
    <row r="107" ht="13.5" customHeight="1" x14ac:dyDescent="0.2"/>
    <row r="108" ht="13.5" customHeight="1" x14ac:dyDescent="0.2"/>
    <row r="109" ht="13.5" customHeight="1" x14ac:dyDescent="0.2"/>
    <row r="110" ht="13.5" customHeight="1" x14ac:dyDescent="0.2"/>
    <row r="111" ht="13.5" customHeight="1" x14ac:dyDescent="0.2"/>
    <row r="112" ht="13.5" customHeight="1" x14ac:dyDescent="0.2"/>
    <row r="113" ht="13.5" customHeight="1" x14ac:dyDescent="0.2"/>
    <row r="114" ht="13.5" customHeight="1" x14ac:dyDescent="0.2"/>
    <row r="115" ht="13.5" customHeight="1" x14ac:dyDescent="0.2"/>
    <row r="116" ht="13.5" customHeight="1" x14ac:dyDescent="0.2"/>
    <row r="117" ht="13.5" customHeight="1" x14ac:dyDescent="0.2"/>
    <row r="118" ht="13.5" customHeight="1" x14ac:dyDescent="0.2"/>
    <row r="119" ht="13.5" customHeight="1" x14ac:dyDescent="0.2"/>
    <row r="120" ht="13.5" customHeight="1" x14ac:dyDescent="0.2"/>
    <row r="121" ht="13.5" customHeight="1" x14ac:dyDescent="0.2"/>
    <row r="122" ht="13.5" customHeight="1" x14ac:dyDescent="0.2"/>
    <row r="123" ht="13.5" customHeight="1" x14ac:dyDescent="0.2"/>
    <row r="124" ht="13.5" customHeight="1" x14ac:dyDescent="0.2"/>
    <row r="125" ht="13.5" customHeight="1" x14ac:dyDescent="0.2"/>
    <row r="126" ht="13.5" customHeight="1" x14ac:dyDescent="0.2"/>
    <row r="127" ht="13.5" customHeight="1" x14ac:dyDescent="0.2"/>
    <row r="128" ht="13.5" customHeight="1" x14ac:dyDescent="0.2"/>
    <row r="129" ht="13.5" customHeight="1" x14ac:dyDescent="0.2"/>
    <row r="130" ht="13.5" customHeight="1" x14ac:dyDescent="0.2"/>
    <row r="131" ht="13.5" customHeight="1" x14ac:dyDescent="0.2"/>
    <row r="132" ht="13.5" customHeight="1" x14ac:dyDescent="0.2"/>
    <row r="133" ht="13.5" customHeight="1" x14ac:dyDescent="0.2"/>
    <row r="134" ht="13.5" customHeight="1" x14ac:dyDescent="0.2"/>
    <row r="135" ht="13.5" customHeight="1" x14ac:dyDescent="0.2"/>
    <row r="136" ht="13.5" customHeight="1" x14ac:dyDescent="0.2"/>
    <row r="137" ht="13.5" customHeight="1" x14ac:dyDescent="0.2"/>
    <row r="138" ht="13.5" customHeight="1" x14ac:dyDescent="0.2"/>
    <row r="139" ht="13.5" customHeight="1" x14ac:dyDescent="0.2"/>
    <row r="140" ht="13.5" customHeight="1" x14ac:dyDescent="0.2"/>
    <row r="141" ht="13.5" customHeight="1" x14ac:dyDescent="0.2"/>
    <row r="142" ht="13.5" customHeight="1" x14ac:dyDescent="0.2"/>
    <row r="143" ht="13.5" customHeight="1" x14ac:dyDescent="0.2"/>
    <row r="144" ht="13.5" customHeight="1" x14ac:dyDescent="0.2"/>
    <row r="145" ht="13.5" customHeight="1" x14ac:dyDescent="0.2"/>
    <row r="146" ht="13.5" customHeight="1" x14ac:dyDescent="0.2"/>
    <row r="147" ht="13.5" customHeight="1" x14ac:dyDescent="0.2"/>
    <row r="148" ht="13.5" customHeight="1" x14ac:dyDescent="0.2"/>
    <row r="149" ht="13.5" customHeight="1" x14ac:dyDescent="0.2"/>
    <row r="150" ht="13.5" customHeight="1" x14ac:dyDescent="0.2"/>
    <row r="151" ht="13.5" customHeight="1" x14ac:dyDescent="0.2"/>
    <row r="152" ht="13.5" customHeight="1" x14ac:dyDescent="0.2"/>
    <row r="153" ht="13.5" customHeight="1" x14ac:dyDescent="0.2"/>
    <row r="154" ht="13.5" customHeight="1" x14ac:dyDescent="0.2"/>
    <row r="155" ht="13.5" customHeight="1" x14ac:dyDescent="0.2"/>
    <row r="156" ht="13.5" customHeight="1" x14ac:dyDescent="0.2"/>
    <row r="157" ht="13.5" customHeight="1" x14ac:dyDescent="0.2"/>
    <row r="158" ht="13.5" customHeight="1" x14ac:dyDescent="0.2"/>
    <row r="159" ht="13.5" customHeight="1" x14ac:dyDescent="0.2"/>
    <row r="160" ht="13.5" customHeight="1" x14ac:dyDescent="0.2"/>
    <row r="161" ht="13.5" customHeight="1" x14ac:dyDescent="0.2"/>
    <row r="162" ht="13.5" customHeight="1" x14ac:dyDescent="0.2"/>
    <row r="163" ht="13.5" customHeight="1" x14ac:dyDescent="0.2"/>
    <row r="164" ht="13.5" customHeight="1" x14ac:dyDescent="0.2"/>
    <row r="165" ht="13.5" customHeight="1" x14ac:dyDescent="0.2"/>
    <row r="166" ht="13.5" customHeight="1" x14ac:dyDescent="0.2"/>
    <row r="167" ht="13.5" customHeight="1" x14ac:dyDescent="0.2"/>
    <row r="168" ht="13.5" customHeight="1" x14ac:dyDescent="0.2"/>
    <row r="169" ht="13.5" customHeight="1" x14ac:dyDescent="0.2"/>
    <row r="170" ht="13.5" customHeight="1" x14ac:dyDescent="0.2"/>
    <row r="171" ht="13.5" customHeight="1" x14ac:dyDescent="0.2"/>
    <row r="172" ht="13.5" customHeight="1" x14ac:dyDescent="0.2"/>
    <row r="173" ht="13.5" customHeight="1" x14ac:dyDescent="0.2"/>
    <row r="174" ht="13.5" customHeight="1" x14ac:dyDescent="0.2"/>
    <row r="175" ht="13.5" customHeight="1" x14ac:dyDescent="0.2"/>
    <row r="176" ht="13.5" customHeight="1" x14ac:dyDescent="0.2"/>
    <row r="177" ht="13.5" customHeight="1" x14ac:dyDescent="0.2"/>
    <row r="178" ht="13.5" customHeight="1" x14ac:dyDescent="0.2"/>
    <row r="179" ht="13.5" customHeight="1" x14ac:dyDescent="0.2"/>
    <row r="180" ht="13.5" customHeight="1" x14ac:dyDescent="0.2"/>
    <row r="181" ht="13.5" customHeight="1" x14ac:dyDescent="0.2"/>
    <row r="182" ht="13.5" customHeight="1" x14ac:dyDescent="0.2"/>
    <row r="183" ht="13.5" customHeight="1" x14ac:dyDescent="0.2"/>
    <row r="184" ht="13.5" customHeight="1" x14ac:dyDescent="0.2"/>
    <row r="185" ht="13.5" customHeight="1" x14ac:dyDescent="0.2"/>
    <row r="186" ht="13.5" customHeight="1" x14ac:dyDescent="0.2"/>
    <row r="187" ht="13.5" customHeight="1" x14ac:dyDescent="0.2"/>
    <row r="188" ht="13.5" customHeight="1" x14ac:dyDescent="0.2"/>
    <row r="189" ht="13.5" customHeight="1" x14ac:dyDescent="0.2"/>
    <row r="190" ht="13.5" customHeight="1" x14ac:dyDescent="0.2"/>
    <row r="191" ht="13.5" customHeight="1" x14ac:dyDescent="0.2"/>
    <row r="192" ht="13.5" customHeight="1" x14ac:dyDescent="0.2"/>
    <row r="193" ht="13.5" customHeight="1" x14ac:dyDescent="0.2"/>
    <row r="194" ht="13.5" customHeight="1" x14ac:dyDescent="0.2"/>
    <row r="195" ht="13.5" customHeight="1" x14ac:dyDescent="0.2"/>
    <row r="196" ht="13.5" customHeight="1" x14ac:dyDescent="0.2"/>
    <row r="197" ht="13.5" customHeight="1" x14ac:dyDescent="0.2"/>
    <row r="198" ht="13.5" customHeight="1" x14ac:dyDescent="0.2"/>
    <row r="199" ht="13.5" customHeight="1" x14ac:dyDescent="0.2"/>
    <row r="200" ht="13.5" customHeight="1" x14ac:dyDescent="0.2"/>
    <row r="201" ht="13.5" customHeight="1" x14ac:dyDescent="0.2"/>
    <row r="202" ht="13.5" customHeight="1" x14ac:dyDescent="0.2"/>
    <row r="203" ht="13.5" customHeight="1" x14ac:dyDescent="0.2"/>
    <row r="204" ht="13.5" customHeight="1" x14ac:dyDescent="0.2"/>
    <row r="205" ht="13.5" customHeight="1" x14ac:dyDescent="0.2"/>
    <row r="206" ht="13.5" customHeight="1" x14ac:dyDescent="0.2"/>
    <row r="207" ht="13.5" customHeight="1" x14ac:dyDescent="0.2"/>
    <row r="208" ht="13.5" customHeight="1" x14ac:dyDescent="0.2"/>
    <row r="209" ht="13.5" customHeight="1" x14ac:dyDescent="0.2"/>
    <row r="210" ht="13.5" customHeight="1" x14ac:dyDescent="0.2"/>
    <row r="211" ht="13.5" customHeight="1" x14ac:dyDescent="0.2"/>
    <row r="212" ht="13.5" customHeight="1" x14ac:dyDescent="0.2"/>
    <row r="213" ht="13.5" customHeight="1" x14ac:dyDescent="0.2"/>
    <row r="214" ht="13.5" customHeight="1" x14ac:dyDescent="0.2"/>
    <row r="215" ht="13.5" customHeight="1" x14ac:dyDescent="0.2"/>
    <row r="216" ht="13.5" customHeight="1" x14ac:dyDescent="0.2"/>
    <row r="217" ht="13.5" customHeight="1" x14ac:dyDescent="0.2"/>
    <row r="218" ht="13.5" customHeight="1" x14ac:dyDescent="0.2"/>
    <row r="219" ht="13.5" customHeight="1" x14ac:dyDescent="0.2"/>
    <row r="220" ht="13.5" customHeight="1" x14ac:dyDescent="0.2"/>
    <row r="221" ht="13.5" customHeight="1" x14ac:dyDescent="0.2"/>
    <row r="222" ht="13.5" customHeight="1" x14ac:dyDescent="0.2"/>
    <row r="223" ht="13.5" customHeight="1" x14ac:dyDescent="0.2"/>
    <row r="224" ht="13.5" customHeight="1" x14ac:dyDescent="0.2"/>
    <row r="225" ht="13.5" customHeight="1" x14ac:dyDescent="0.2"/>
    <row r="226" ht="13.5" customHeight="1" x14ac:dyDescent="0.2"/>
    <row r="227" ht="13.5" customHeight="1" x14ac:dyDescent="0.2"/>
    <row r="228" ht="13.5" customHeight="1" x14ac:dyDescent="0.2"/>
    <row r="229" ht="13.5" customHeight="1" x14ac:dyDescent="0.2"/>
    <row r="230" ht="13.5" customHeight="1" x14ac:dyDescent="0.2"/>
    <row r="231" ht="13.5" customHeight="1" x14ac:dyDescent="0.2"/>
    <row r="232" ht="13.5" customHeight="1" x14ac:dyDescent="0.2"/>
    <row r="233" ht="13.5" customHeight="1" x14ac:dyDescent="0.2"/>
    <row r="234" ht="13.5" customHeight="1" x14ac:dyDescent="0.2"/>
    <row r="235" ht="13.5" customHeight="1" x14ac:dyDescent="0.2"/>
    <row r="236" ht="13.5" customHeight="1" x14ac:dyDescent="0.2"/>
    <row r="237" ht="13.5" customHeight="1" x14ac:dyDescent="0.2"/>
    <row r="238" ht="13.5" customHeight="1" x14ac:dyDescent="0.2"/>
    <row r="239" ht="13.5" customHeight="1" x14ac:dyDescent="0.2"/>
    <row r="240" ht="13.5" customHeight="1" x14ac:dyDescent="0.2"/>
    <row r="241" ht="13.5" customHeight="1" x14ac:dyDescent="0.2"/>
    <row r="242" ht="13.5" customHeight="1" x14ac:dyDescent="0.2"/>
    <row r="243" ht="13.5" customHeight="1" x14ac:dyDescent="0.2"/>
    <row r="244" ht="13.5" customHeight="1" x14ac:dyDescent="0.2"/>
    <row r="245" ht="13.5" customHeight="1" x14ac:dyDescent="0.2"/>
    <row r="246" ht="13.5" customHeight="1" x14ac:dyDescent="0.2"/>
    <row r="247" ht="13.5" customHeight="1" x14ac:dyDescent="0.2"/>
    <row r="248" ht="13.5" customHeight="1" x14ac:dyDescent="0.2"/>
    <row r="249" ht="13.5" customHeight="1" x14ac:dyDescent="0.2"/>
    <row r="250" ht="13.5" customHeight="1" x14ac:dyDescent="0.2"/>
    <row r="251" ht="13.5" customHeight="1" x14ac:dyDescent="0.2"/>
    <row r="252" ht="13.5" customHeight="1" x14ac:dyDescent="0.2"/>
    <row r="253" ht="13.5" customHeight="1" x14ac:dyDescent="0.2"/>
    <row r="254" ht="13.5" customHeight="1" x14ac:dyDescent="0.2"/>
    <row r="255" ht="13.5" customHeight="1" x14ac:dyDescent="0.2"/>
    <row r="256" ht="13.5" customHeight="1" x14ac:dyDescent="0.2"/>
    <row r="257" ht="13.5" customHeight="1" x14ac:dyDescent="0.2"/>
    <row r="258" ht="13.5" customHeight="1" x14ac:dyDescent="0.2"/>
    <row r="259" ht="13.5" customHeight="1" x14ac:dyDescent="0.2"/>
    <row r="260" ht="13.5" customHeight="1" x14ac:dyDescent="0.2"/>
    <row r="261" ht="13.5" customHeight="1" x14ac:dyDescent="0.2"/>
    <row r="262" ht="13.5" customHeight="1" x14ac:dyDescent="0.2"/>
    <row r="263" ht="13.5" customHeight="1" x14ac:dyDescent="0.2"/>
    <row r="264" ht="13.5" customHeight="1" x14ac:dyDescent="0.2"/>
    <row r="265" ht="13.5" customHeight="1" x14ac:dyDescent="0.2"/>
    <row r="266" ht="13.5" customHeight="1" x14ac:dyDescent="0.2"/>
    <row r="267" ht="13.5" customHeight="1" x14ac:dyDescent="0.2"/>
    <row r="268" ht="13.5" customHeight="1" x14ac:dyDescent="0.2"/>
    <row r="269" ht="13.5" customHeight="1" x14ac:dyDescent="0.2"/>
    <row r="270" ht="13.5" customHeight="1" x14ac:dyDescent="0.2"/>
    <row r="271" ht="13.5" customHeight="1" x14ac:dyDescent="0.2"/>
    <row r="272" ht="13.5" customHeight="1" x14ac:dyDescent="0.2"/>
    <row r="273" ht="13.5" customHeight="1" x14ac:dyDescent="0.2"/>
    <row r="274" ht="13.5" customHeight="1" x14ac:dyDescent="0.2"/>
    <row r="275" ht="13.5" customHeight="1" x14ac:dyDescent="0.2"/>
    <row r="276" ht="13.5" customHeight="1" x14ac:dyDescent="0.2"/>
    <row r="277" ht="13.5" customHeight="1" x14ac:dyDescent="0.2"/>
    <row r="278" ht="13.5" customHeight="1" x14ac:dyDescent="0.2"/>
    <row r="279" ht="13.5" customHeight="1" x14ac:dyDescent="0.2"/>
    <row r="280" ht="13.5" customHeight="1" x14ac:dyDescent="0.2"/>
    <row r="281" ht="13.5" customHeight="1" x14ac:dyDescent="0.2"/>
    <row r="282" ht="13.5" customHeight="1" x14ac:dyDescent="0.2"/>
    <row r="283" ht="13.5" customHeight="1" x14ac:dyDescent="0.2"/>
    <row r="284" ht="13.5" customHeight="1" x14ac:dyDescent="0.2"/>
    <row r="285" ht="13.5" customHeight="1" x14ac:dyDescent="0.2"/>
    <row r="286" ht="13.5" customHeight="1" x14ac:dyDescent="0.2"/>
    <row r="287" ht="13.5" customHeight="1" x14ac:dyDescent="0.2"/>
    <row r="288" ht="13.5" customHeight="1" x14ac:dyDescent="0.2"/>
    <row r="289" ht="13.5" customHeight="1" x14ac:dyDescent="0.2"/>
    <row r="290" ht="13.5" customHeight="1" x14ac:dyDescent="0.2"/>
    <row r="291" ht="13.5" customHeight="1" x14ac:dyDescent="0.2"/>
    <row r="292" ht="13.5" customHeight="1" x14ac:dyDescent="0.2"/>
    <row r="293" ht="13.5" customHeight="1" x14ac:dyDescent="0.2"/>
    <row r="294" ht="13.5" customHeight="1" x14ac:dyDescent="0.2"/>
    <row r="295" ht="13.5" customHeight="1" x14ac:dyDescent="0.2"/>
    <row r="296" ht="13.5" customHeight="1" x14ac:dyDescent="0.2"/>
    <row r="297" ht="13.5" customHeight="1" x14ac:dyDescent="0.2"/>
    <row r="298" ht="13.5" customHeight="1" x14ac:dyDescent="0.2"/>
    <row r="299" ht="13.5" customHeight="1" x14ac:dyDescent="0.2"/>
    <row r="300" ht="13.5" customHeight="1" x14ac:dyDescent="0.2"/>
    <row r="301" ht="13.5" customHeight="1" x14ac:dyDescent="0.2"/>
    <row r="302" ht="13.5" customHeight="1" x14ac:dyDescent="0.2"/>
    <row r="303" ht="13.5" customHeight="1" x14ac:dyDescent="0.2"/>
    <row r="304" ht="13.5" customHeight="1" x14ac:dyDescent="0.2"/>
    <row r="305" ht="13.5" customHeight="1" x14ac:dyDescent="0.2"/>
    <row r="306" ht="13.5" customHeight="1" x14ac:dyDescent="0.2"/>
    <row r="307" ht="13.5" customHeight="1" x14ac:dyDescent="0.2"/>
    <row r="308" ht="13.5" customHeight="1" x14ac:dyDescent="0.2"/>
    <row r="309" ht="13.5" customHeight="1" x14ac:dyDescent="0.2"/>
    <row r="310" ht="13.5" customHeight="1" x14ac:dyDescent="0.2"/>
    <row r="311" ht="13.5" customHeight="1" x14ac:dyDescent="0.2"/>
    <row r="312" ht="13.5" customHeight="1" x14ac:dyDescent="0.2"/>
    <row r="313" ht="13.5" customHeight="1" x14ac:dyDescent="0.2"/>
    <row r="314" ht="13.5" customHeight="1" x14ac:dyDescent="0.2"/>
    <row r="315" ht="13.5" customHeight="1" x14ac:dyDescent="0.2"/>
    <row r="316" ht="13.5" customHeight="1" x14ac:dyDescent="0.2"/>
    <row r="317" ht="13.5" customHeight="1" x14ac:dyDescent="0.2"/>
    <row r="318" ht="13.5" customHeight="1" x14ac:dyDescent="0.2"/>
    <row r="319" ht="13.5" customHeight="1" x14ac:dyDescent="0.2"/>
    <row r="320" ht="13.5" customHeight="1" x14ac:dyDescent="0.2"/>
    <row r="321" ht="13.5" customHeight="1" x14ac:dyDescent="0.2"/>
    <row r="322" ht="13.5" customHeight="1" x14ac:dyDescent="0.2"/>
    <row r="323" ht="13.5" customHeight="1" x14ac:dyDescent="0.2"/>
    <row r="324" ht="13.5" customHeight="1" x14ac:dyDescent="0.2"/>
    <row r="325" ht="13.5" customHeight="1" x14ac:dyDescent="0.2"/>
    <row r="326" ht="13.5" customHeight="1" x14ac:dyDescent="0.2"/>
    <row r="327" ht="13.5" customHeight="1" x14ac:dyDescent="0.2"/>
    <row r="328" ht="13.5" customHeight="1" x14ac:dyDescent="0.2"/>
    <row r="329" ht="13.5" customHeight="1" x14ac:dyDescent="0.2"/>
    <row r="330" ht="13.5" customHeight="1" x14ac:dyDescent="0.2"/>
    <row r="331" ht="13.5" customHeight="1" x14ac:dyDescent="0.2"/>
    <row r="332" ht="13.5" customHeight="1" x14ac:dyDescent="0.2"/>
    <row r="333" ht="13.5" customHeight="1" x14ac:dyDescent="0.2"/>
    <row r="334" ht="13.5" customHeight="1" x14ac:dyDescent="0.2"/>
    <row r="335" ht="13.5" customHeight="1" x14ac:dyDescent="0.2"/>
    <row r="336" ht="13.5" customHeight="1" x14ac:dyDescent="0.2"/>
    <row r="337" ht="13.5" customHeight="1" x14ac:dyDescent="0.2"/>
    <row r="338" ht="13.5" customHeight="1" x14ac:dyDescent="0.2"/>
    <row r="339" ht="13.5" customHeight="1" x14ac:dyDescent="0.2"/>
    <row r="340" ht="13.5" customHeight="1" x14ac:dyDescent="0.2"/>
    <row r="341" ht="13.5" customHeight="1" x14ac:dyDescent="0.2"/>
    <row r="342" ht="13.5" customHeight="1" x14ac:dyDescent="0.2"/>
    <row r="343" ht="13.5" customHeight="1" x14ac:dyDescent="0.2"/>
    <row r="344" ht="13.5" customHeight="1" x14ac:dyDescent="0.2"/>
    <row r="345" ht="13.5" customHeight="1" x14ac:dyDescent="0.2"/>
    <row r="346" ht="13.5" customHeight="1" x14ac:dyDescent="0.2"/>
    <row r="347" ht="13.5" customHeight="1" x14ac:dyDescent="0.2"/>
    <row r="348" ht="13.5" customHeight="1" x14ac:dyDescent="0.2"/>
    <row r="349" ht="13.5" customHeight="1" x14ac:dyDescent="0.2"/>
    <row r="350" ht="13.5" customHeight="1" x14ac:dyDescent="0.2"/>
    <row r="351" ht="13.5" customHeight="1" x14ac:dyDescent="0.2"/>
    <row r="352" ht="13.5" customHeight="1" x14ac:dyDescent="0.2"/>
    <row r="353" ht="13.5" customHeight="1" x14ac:dyDescent="0.2"/>
    <row r="354" ht="13.5" customHeight="1" x14ac:dyDescent="0.2"/>
    <row r="355" ht="13.5" customHeight="1" x14ac:dyDescent="0.2"/>
    <row r="356" ht="13.5" customHeight="1" x14ac:dyDescent="0.2"/>
    <row r="357" ht="13.5" customHeight="1" x14ac:dyDescent="0.2"/>
    <row r="358" ht="13.5" customHeight="1" x14ac:dyDescent="0.2"/>
    <row r="359" ht="13.5" customHeight="1" x14ac:dyDescent="0.2"/>
    <row r="360" ht="13.5" customHeight="1" x14ac:dyDescent="0.2"/>
    <row r="361" ht="13.5" customHeight="1" x14ac:dyDescent="0.2"/>
    <row r="362" ht="13.5" customHeight="1" x14ac:dyDescent="0.2"/>
    <row r="363" ht="13.5" customHeight="1" x14ac:dyDescent="0.2"/>
    <row r="364" ht="13.5" customHeight="1" x14ac:dyDescent="0.2"/>
    <row r="365" ht="13.5" customHeight="1" x14ac:dyDescent="0.2"/>
    <row r="366" ht="13.5" customHeight="1" x14ac:dyDescent="0.2"/>
    <row r="367" ht="13.5" customHeight="1" x14ac:dyDescent="0.2"/>
    <row r="368" ht="13.5" customHeight="1" x14ac:dyDescent="0.2"/>
    <row r="369" ht="13.5" customHeight="1" x14ac:dyDescent="0.2"/>
    <row r="370" ht="13.5" customHeight="1" x14ac:dyDescent="0.2"/>
    <row r="371" ht="13.5" customHeight="1" x14ac:dyDescent="0.2"/>
    <row r="372" ht="13.5" customHeight="1" x14ac:dyDescent="0.2"/>
    <row r="373" ht="13.5" customHeight="1" x14ac:dyDescent="0.2"/>
    <row r="374" ht="13.5" customHeight="1" x14ac:dyDescent="0.2"/>
    <row r="375" ht="13.5" customHeight="1" x14ac:dyDescent="0.2"/>
    <row r="376" ht="13.5" customHeight="1" x14ac:dyDescent="0.2"/>
    <row r="377" ht="13.5" customHeight="1" x14ac:dyDescent="0.2"/>
    <row r="378" ht="13.5" customHeight="1" x14ac:dyDescent="0.2"/>
    <row r="379" ht="13.5" customHeight="1" x14ac:dyDescent="0.2"/>
    <row r="380" ht="13.5" customHeight="1" x14ac:dyDescent="0.2"/>
    <row r="381" ht="13.5" customHeight="1" x14ac:dyDescent="0.2"/>
    <row r="382" ht="13.5" customHeight="1" x14ac:dyDescent="0.2"/>
    <row r="383" ht="13.5" customHeight="1" x14ac:dyDescent="0.2"/>
    <row r="384" ht="13.5" customHeight="1" x14ac:dyDescent="0.2"/>
    <row r="385" ht="13.5" customHeight="1" x14ac:dyDescent="0.2"/>
    <row r="386" ht="13.5" customHeight="1" x14ac:dyDescent="0.2"/>
    <row r="387" ht="13.5" customHeight="1" x14ac:dyDescent="0.2"/>
    <row r="388" ht="13.5" customHeight="1" x14ac:dyDescent="0.2"/>
    <row r="389" ht="13.5" customHeight="1" x14ac:dyDescent="0.2"/>
    <row r="390" ht="13.5" customHeight="1" x14ac:dyDescent="0.2"/>
    <row r="391" ht="13.5" customHeight="1" x14ac:dyDescent="0.2"/>
    <row r="392" ht="13.5" customHeight="1" x14ac:dyDescent="0.2"/>
    <row r="393" ht="13.5" customHeight="1" x14ac:dyDescent="0.2"/>
    <row r="394" ht="13.5" customHeight="1" x14ac:dyDescent="0.2"/>
    <row r="395" ht="13.5" customHeight="1" x14ac:dyDescent="0.2"/>
    <row r="396" ht="13.5" customHeight="1" x14ac:dyDescent="0.2"/>
    <row r="397" ht="13.5" customHeight="1" x14ac:dyDescent="0.2"/>
    <row r="398" ht="13.5" customHeight="1" x14ac:dyDescent="0.2"/>
    <row r="399" ht="13.5" customHeight="1" x14ac:dyDescent="0.2"/>
    <row r="400" ht="13.5" customHeight="1" x14ac:dyDescent="0.2"/>
    <row r="401" ht="13.5" customHeight="1" x14ac:dyDescent="0.2"/>
    <row r="402" ht="13.5" customHeight="1" x14ac:dyDescent="0.2"/>
    <row r="403" ht="13.5" customHeight="1" x14ac:dyDescent="0.2"/>
    <row r="404" ht="13.5" customHeight="1" x14ac:dyDescent="0.2"/>
    <row r="405" ht="13.5" customHeight="1" x14ac:dyDescent="0.2"/>
    <row r="406" ht="13.5" customHeight="1" x14ac:dyDescent="0.2"/>
    <row r="407" ht="13.5" customHeight="1" x14ac:dyDescent="0.2"/>
    <row r="408" ht="13.5" customHeight="1" x14ac:dyDescent="0.2"/>
    <row r="409" ht="13.5" customHeight="1" x14ac:dyDescent="0.2"/>
    <row r="410" ht="13.5" customHeight="1" x14ac:dyDescent="0.2"/>
    <row r="411" ht="13.5" customHeight="1" x14ac:dyDescent="0.2"/>
    <row r="412" ht="13.5" customHeight="1" x14ac:dyDescent="0.2"/>
    <row r="413" ht="13.5" customHeight="1" x14ac:dyDescent="0.2"/>
    <row r="414" ht="13.5" customHeight="1" x14ac:dyDescent="0.2"/>
    <row r="415" ht="13.5" customHeight="1" x14ac:dyDescent="0.2"/>
    <row r="416" ht="13.5" customHeight="1" x14ac:dyDescent="0.2"/>
    <row r="417" ht="13.5" customHeight="1" x14ac:dyDescent="0.2"/>
    <row r="418" ht="13.5" customHeight="1" x14ac:dyDescent="0.2"/>
    <row r="419" ht="13.5" customHeight="1" x14ac:dyDescent="0.2"/>
    <row r="420" ht="13.5" customHeight="1" x14ac:dyDescent="0.2"/>
    <row r="421" ht="13.5" customHeight="1" x14ac:dyDescent="0.2"/>
    <row r="422" ht="13.5" customHeight="1" x14ac:dyDescent="0.2"/>
    <row r="423" ht="13.5" customHeight="1" x14ac:dyDescent="0.2"/>
    <row r="424" ht="13.5" customHeight="1" x14ac:dyDescent="0.2"/>
    <row r="425" ht="13.5" customHeight="1" x14ac:dyDescent="0.2"/>
    <row r="426" ht="13.5" customHeight="1" x14ac:dyDescent="0.2"/>
    <row r="427" ht="13.5" customHeight="1" x14ac:dyDescent="0.2"/>
    <row r="428" ht="13.5" customHeight="1" x14ac:dyDescent="0.2"/>
    <row r="429" ht="13.5" customHeight="1" x14ac:dyDescent="0.2"/>
    <row r="430" ht="13.5" customHeight="1" x14ac:dyDescent="0.2"/>
    <row r="431" ht="13.5" customHeight="1" x14ac:dyDescent="0.2"/>
    <row r="432" ht="13.5" customHeight="1" x14ac:dyDescent="0.2"/>
    <row r="433" ht="13.5" customHeight="1" x14ac:dyDescent="0.2"/>
    <row r="434" ht="13.5" customHeight="1" x14ac:dyDescent="0.2"/>
    <row r="435" ht="13.5" customHeight="1" x14ac:dyDescent="0.2"/>
    <row r="436" ht="13.5" customHeight="1" x14ac:dyDescent="0.2"/>
    <row r="437" ht="13.5" customHeight="1" x14ac:dyDescent="0.2"/>
    <row r="438" ht="13.5" customHeight="1" x14ac:dyDescent="0.2"/>
    <row r="439" ht="13.5" customHeight="1" x14ac:dyDescent="0.2"/>
    <row r="440" ht="13.5" customHeight="1" x14ac:dyDescent="0.2"/>
    <row r="441" ht="13.5" customHeight="1" x14ac:dyDescent="0.2"/>
    <row r="442" ht="13.5" customHeight="1" x14ac:dyDescent="0.2"/>
    <row r="443" ht="13.5" customHeight="1" x14ac:dyDescent="0.2"/>
    <row r="444" ht="13.5" customHeight="1" x14ac:dyDescent="0.2"/>
    <row r="445" ht="13.5" customHeight="1" x14ac:dyDescent="0.2"/>
    <row r="446" ht="13.5" customHeight="1" x14ac:dyDescent="0.2"/>
    <row r="447" ht="13.5" customHeight="1" x14ac:dyDescent="0.2"/>
    <row r="448" ht="13.5" customHeight="1" x14ac:dyDescent="0.2"/>
    <row r="449" ht="13.5" customHeight="1" x14ac:dyDescent="0.2"/>
    <row r="450" ht="13.5" customHeight="1" x14ac:dyDescent="0.2"/>
    <row r="451" ht="13.5" customHeight="1" x14ac:dyDescent="0.2"/>
    <row r="452" ht="13.5" customHeight="1" x14ac:dyDescent="0.2"/>
    <row r="453" ht="13.5" customHeight="1" x14ac:dyDescent="0.2"/>
    <row r="454" ht="13.5" customHeight="1" x14ac:dyDescent="0.2"/>
    <row r="455" ht="13.5" customHeight="1" x14ac:dyDescent="0.2"/>
    <row r="456" ht="13.5" customHeight="1" x14ac:dyDescent="0.2"/>
    <row r="457" ht="13.5" customHeight="1" x14ac:dyDescent="0.2"/>
    <row r="458" ht="13.5" customHeight="1" x14ac:dyDescent="0.2"/>
    <row r="459" ht="13.5" customHeight="1" x14ac:dyDescent="0.2"/>
    <row r="460" ht="13.5" customHeight="1" x14ac:dyDescent="0.2"/>
    <row r="461" ht="13.5" customHeight="1" x14ac:dyDescent="0.2"/>
    <row r="462" ht="13.5" customHeight="1" x14ac:dyDescent="0.2"/>
    <row r="463" ht="13.5" customHeight="1" x14ac:dyDescent="0.2"/>
    <row r="464" ht="13.5" customHeight="1" x14ac:dyDescent="0.2"/>
    <row r="465" ht="13.5" customHeight="1" x14ac:dyDescent="0.2"/>
    <row r="466" ht="13.5" customHeight="1" x14ac:dyDescent="0.2"/>
    <row r="467" ht="13.5" customHeight="1" x14ac:dyDescent="0.2"/>
    <row r="468" ht="13.5" customHeight="1" x14ac:dyDescent="0.2"/>
    <row r="469" ht="13.5" customHeight="1" x14ac:dyDescent="0.2"/>
    <row r="470" ht="13.5" customHeight="1" x14ac:dyDescent="0.2"/>
    <row r="471" ht="13.5" customHeight="1" x14ac:dyDescent="0.2"/>
    <row r="472" ht="13.5" customHeight="1" x14ac:dyDescent="0.2"/>
    <row r="473" ht="13.5" customHeight="1" x14ac:dyDescent="0.2"/>
    <row r="474" ht="13.5" customHeight="1" x14ac:dyDescent="0.2"/>
    <row r="475" ht="13.5" customHeight="1" x14ac:dyDescent="0.2"/>
    <row r="476" ht="13.5" customHeight="1" x14ac:dyDescent="0.2"/>
    <row r="477" ht="13.5" customHeight="1" x14ac:dyDescent="0.2"/>
    <row r="478" ht="13.5" customHeight="1" x14ac:dyDescent="0.2"/>
    <row r="479" ht="13.5" customHeight="1" x14ac:dyDescent="0.2"/>
    <row r="480" ht="13.5" customHeight="1" x14ac:dyDescent="0.2"/>
    <row r="481" ht="13.5" customHeight="1" x14ac:dyDescent="0.2"/>
    <row r="482" ht="13.5" customHeight="1" x14ac:dyDescent="0.2"/>
    <row r="483" ht="13.5" customHeight="1" x14ac:dyDescent="0.2"/>
    <row r="484" ht="13.5" customHeight="1" x14ac:dyDescent="0.2"/>
    <row r="485" ht="13.5" customHeight="1" x14ac:dyDescent="0.2"/>
    <row r="486" ht="13.5" customHeight="1" x14ac:dyDescent="0.2"/>
    <row r="487" ht="13.5" customHeight="1" x14ac:dyDescent="0.2"/>
    <row r="488" ht="13.5" customHeight="1" x14ac:dyDescent="0.2"/>
    <row r="489" ht="13.5" customHeight="1" x14ac:dyDescent="0.2"/>
    <row r="490" ht="13.5" customHeight="1" x14ac:dyDescent="0.2"/>
    <row r="491" ht="13.5" customHeight="1" x14ac:dyDescent="0.2"/>
    <row r="492" ht="13.5" customHeight="1" x14ac:dyDescent="0.2"/>
    <row r="493" ht="13.5" customHeight="1" x14ac:dyDescent="0.2"/>
    <row r="494" ht="13.5" customHeight="1" x14ac:dyDescent="0.2"/>
    <row r="495" ht="13.5" customHeight="1" x14ac:dyDescent="0.2"/>
    <row r="496" ht="13.5" customHeight="1" x14ac:dyDescent="0.2"/>
    <row r="497" ht="13.5" customHeight="1" x14ac:dyDescent="0.2"/>
    <row r="498" ht="13.5" customHeight="1" x14ac:dyDescent="0.2"/>
    <row r="499" ht="13.5" customHeight="1" x14ac:dyDescent="0.2"/>
    <row r="500" ht="13.5" customHeight="1" x14ac:dyDescent="0.2"/>
    <row r="501" ht="13.5" customHeight="1" x14ac:dyDescent="0.2"/>
    <row r="502" ht="13.5" customHeight="1" x14ac:dyDescent="0.2"/>
    <row r="503" ht="13.5" customHeight="1" x14ac:dyDescent="0.2"/>
    <row r="504" ht="13.5" customHeight="1" x14ac:dyDescent="0.2"/>
    <row r="505" ht="13.5" customHeight="1" x14ac:dyDescent="0.2"/>
    <row r="506" ht="13.5" customHeight="1" x14ac:dyDescent="0.2"/>
    <row r="507" ht="13.5" customHeight="1" x14ac:dyDescent="0.2"/>
    <row r="508" ht="13.5" customHeight="1" x14ac:dyDescent="0.2"/>
    <row r="509" ht="13.5" customHeight="1" x14ac:dyDescent="0.2"/>
    <row r="510" ht="13.5" customHeight="1" x14ac:dyDescent="0.2"/>
    <row r="511" ht="13.5" customHeight="1" x14ac:dyDescent="0.2"/>
    <row r="512" ht="13.5" customHeight="1" x14ac:dyDescent="0.2"/>
    <row r="513" ht="13.5" customHeight="1" x14ac:dyDescent="0.2"/>
    <row r="514" ht="13.5" customHeight="1" x14ac:dyDescent="0.2"/>
    <row r="515" ht="13.5" customHeight="1" x14ac:dyDescent="0.2"/>
    <row r="516" ht="13.5" customHeight="1" x14ac:dyDescent="0.2"/>
    <row r="517" ht="13.5" customHeight="1" x14ac:dyDescent="0.2"/>
    <row r="518" ht="13.5" customHeight="1" x14ac:dyDescent="0.2"/>
    <row r="519" ht="13.5" customHeight="1" x14ac:dyDescent="0.2"/>
    <row r="520" ht="13.5" customHeight="1" x14ac:dyDescent="0.2"/>
    <row r="521" ht="13.5" customHeight="1" x14ac:dyDescent="0.2"/>
    <row r="522" ht="13.5" customHeight="1" x14ac:dyDescent="0.2"/>
    <row r="523" ht="13.5" customHeight="1" x14ac:dyDescent="0.2"/>
    <row r="524" ht="13.5" customHeight="1" x14ac:dyDescent="0.2"/>
    <row r="525" ht="13.5" customHeight="1" x14ac:dyDescent="0.2"/>
    <row r="526" ht="13.5" customHeight="1" x14ac:dyDescent="0.2"/>
    <row r="527" ht="13.5" customHeight="1" x14ac:dyDescent="0.2"/>
    <row r="528" ht="13.5" customHeight="1" x14ac:dyDescent="0.2"/>
    <row r="529" ht="13.5" customHeight="1" x14ac:dyDescent="0.2"/>
    <row r="530" ht="13.5" customHeight="1" x14ac:dyDescent="0.2"/>
    <row r="531" ht="13.5" customHeight="1" x14ac:dyDescent="0.2"/>
    <row r="532" ht="13.5" customHeight="1" x14ac:dyDescent="0.2"/>
    <row r="533" ht="13.5" customHeight="1" x14ac:dyDescent="0.2"/>
    <row r="534" ht="13.5" customHeight="1" x14ac:dyDescent="0.2"/>
    <row r="535" ht="13.5" customHeight="1" x14ac:dyDescent="0.2"/>
    <row r="536" ht="13.5" customHeight="1" x14ac:dyDescent="0.2"/>
    <row r="537" ht="13.5" customHeight="1" x14ac:dyDescent="0.2"/>
    <row r="538" ht="13.5" customHeight="1" x14ac:dyDescent="0.2"/>
    <row r="539" ht="13.5" customHeight="1" x14ac:dyDescent="0.2"/>
    <row r="540" ht="13.5" customHeight="1" x14ac:dyDescent="0.2"/>
    <row r="541" ht="13.5" customHeight="1" x14ac:dyDescent="0.2"/>
    <row r="542" ht="13.5" customHeight="1" x14ac:dyDescent="0.2"/>
    <row r="543" ht="13.5" customHeight="1" x14ac:dyDescent="0.2"/>
    <row r="544" ht="13.5" customHeight="1" x14ac:dyDescent="0.2"/>
    <row r="545" ht="13.5" customHeight="1" x14ac:dyDescent="0.2"/>
    <row r="546" ht="13.5" customHeight="1" x14ac:dyDescent="0.2"/>
    <row r="547" ht="13.5" customHeight="1" x14ac:dyDescent="0.2"/>
    <row r="548" ht="13.5" customHeight="1" x14ac:dyDescent="0.2"/>
    <row r="549" ht="13.5" customHeight="1" x14ac:dyDescent="0.2"/>
    <row r="550" ht="13.5" customHeight="1" x14ac:dyDescent="0.2"/>
    <row r="551" ht="13.5" customHeight="1" x14ac:dyDescent="0.2"/>
    <row r="552" ht="13.5" customHeight="1" x14ac:dyDescent="0.2"/>
    <row r="553" ht="13.5" customHeight="1" x14ac:dyDescent="0.2"/>
    <row r="554" ht="13.5" customHeight="1" x14ac:dyDescent="0.2"/>
    <row r="555" ht="13.5" customHeight="1" x14ac:dyDescent="0.2"/>
    <row r="556" ht="13.5" customHeight="1" x14ac:dyDescent="0.2"/>
    <row r="557" ht="13.5" customHeight="1" x14ac:dyDescent="0.2"/>
    <row r="558" ht="13.5" customHeight="1" x14ac:dyDescent="0.2"/>
    <row r="559" ht="13.5" customHeight="1" x14ac:dyDescent="0.2"/>
    <row r="560" ht="13.5" customHeight="1" x14ac:dyDescent="0.2"/>
    <row r="561" ht="13.5" customHeight="1" x14ac:dyDescent="0.2"/>
    <row r="562" ht="13.5" customHeight="1" x14ac:dyDescent="0.2"/>
    <row r="563" ht="13.5" customHeight="1" x14ac:dyDescent="0.2"/>
    <row r="564" ht="13.5" customHeight="1" x14ac:dyDescent="0.2"/>
    <row r="565" ht="13.5" customHeight="1" x14ac:dyDescent="0.2"/>
    <row r="566" ht="13.5" customHeight="1" x14ac:dyDescent="0.2"/>
    <row r="567" ht="13.5" customHeight="1" x14ac:dyDescent="0.2"/>
    <row r="568" ht="13.5" customHeight="1" x14ac:dyDescent="0.2"/>
    <row r="569" ht="13.5" customHeight="1" x14ac:dyDescent="0.2"/>
    <row r="570" ht="13.5" customHeight="1" x14ac:dyDescent="0.2"/>
    <row r="571" ht="13.5" customHeight="1" x14ac:dyDescent="0.2"/>
    <row r="572" ht="13.5" customHeight="1" x14ac:dyDescent="0.2"/>
    <row r="573" ht="13.5" customHeight="1" x14ac:dyDescent="0.2"/>
    <row r="574" ht="13.5" customHeight="1" x14ac:dyDescent="0.2"/>
    <row r="575" ht="13.5" customHeight="1" x14ac:dyDescent="0.2"/>
    <row r="576" ht="13.5" customHeight="1" x14ac:dyDescent="0.2"/>
    <row r="577" ht="13.5" customHeight="1" x14ac:dyDescent="0.2"/>
    <row r="578" ht="13.5" customHeight="1" x14ac:dyDescent="0.2"/>
    <row r="579" ht="13.5" customHeight="1" x14ac:dyDescent="0.2"/>
    <row r="580" ht="13.5" customHeight="1" x14ac:dyDescent="0.2"/>
    <row r="581" ht="13.5" customHeight="1" x14ac:dyDescent="0.2"/>
    <row r="582" ht="13.5" customHeight="1" x14ac:dyDescent="0.2"/>
    <row r="583" ht="13.5" customHeight="1" x14ac:dyDescent="0.2"/>
    <row r="584" ht="13.5" customHeight="1" x14ac:dyDescent="0.2"/>
    <row r="585" ht="13.5" customHeight="1" x14ac:dyDescent="0.2"/>
    <row r="586" ht="13.5" customHeight="1" x14ac:dyDescent="0.2"/>
    <row r="587" ht="13.5" customHeight="1" x14ac:dyDescent="0.2"/>
    <row r="588" ht="13.5" customHeight="1" x14ac:dyDescent="0.2"/>
    <row r="589" ht="13.5" customHeight="1" x14ac:dyDescent="0.2"/>
    <row r="590" ht="13.5" customHeight="1" x14ac:dyDescent="0.2"/>
    <row r="591" ht="13.5" customHeight="1" x14ac:dyDescent="0.2"/>
    <row r="592" ht="13.5" customHeight="1" x14ac:dyDescent="0.2"/>
    <row r="593" ht="13.5" customHeight="1" x14ac:dyDescent="0.2"/>
    <row r="594" ht="13.5" customHeight="1" x14ac:dyDescent="0.2"/>
    <row r="595" ht="13.5" customHeight="1" x14ac:dyDescent="0.2"/>
    <row r="596" ht="13.5" customHeight="1" x14ac:dyDescent="0.2"/>
    <row r="597" ht="13.5" customHeight="1" x14ac:dyDescent="0.2"/>
    <row r="598" ht="13.5" customHeight="1" x14ac:dyDescent="0.2"/>
    <row r="599" ht="13.5" customHeight="1" x14ac:dyDescent="0.2"/>
    <row r="600" ht="13.5" customHeight="1" x14ac:dyDescent="0.2"/>
    <row r="601" ht="13.5" customHeight="1" x14ac:dyDescent="0.2"/>
    <row r="602" ht="13.5" customHeight="1" x14ac:dyDescent="0.2"/>
    <row r="603" ht="13.5" customHeight="1" x14ac:dyDescent="0.2"/>
    <row r="604" ht="13.5" customHeight="1" x14ac:dyDescent="0.2"/>
    <row r="605" ht="13.5" customHeight="1" x14ac:dyDescent="0.2"/>
    <row r="606" ht="13.5" customHeight="1" x14ac:dyDescent="0.2"/>
    <row r="607" ht="13.5" customHeight="1" x14ac:dyDescent="0.2"/>
    <row r="608" ht="13.5" customHeight="1" x14ac:dyDescent="0.2"/>
    <row r="609" ht="13.5" customHeight="1" x14ac:dyDescent="0.2"/>
    <row r="610" ht="13.5" customHeight="1" x14ac:dyDescent="0.2"/>
    <row r="611" ht="13.5" customHeight="1" x14ac:dyDescent="0.2"/>
    <row r="612" ht="13.5" customHeight="1" x14ac:dyDescent="0.2"/>
    <row r="613" ht="13.5" customHeight="1" x14ac:dyDescent="0.2"/>
    <row r="614" ht="13.5" customHeight="1" x14ac:dyDescent="0.2"/>
    <row r="615" ht="13.5" customHeight="1" x14ac:dyDescent="0.2"/>
    <row r="616" ht="13.5" customHeight="1" x14ac:dyDescent="0.2"/>
    <row r="617" ht="13.5" customHeight="1" x14ac:dyDescent="0.2"/>
    <row r="618" ht="13.5" customHeight="1" x14ac:dyDescent="0.2"/>
    <row r="619" ht="13.5" customHeight="1" x14ac:dyDescent="0.2"/>
    <row r="620" ht="13.5" customHeight="1" x14ac:dyDescent="0.2"/>
    <row r="621" ht="13.5" customHeight="1" x14ac:dyDescent="0.2"/>
    <row r="622" ht="13.5" customHeight="1" x14ac:dyDescent="0.2"/>
    <row r="623" ht="13.5" customHeight="1" x14ac:dyDescent="0.2"/>
    <row r="624" ht="13.5" customHeight="1" x14ac:dyDescent="0.2"/>
    <row r="625" ht="13.5" customHeight="1" x14ac:dyDescent="0.2"/>
    <row r="626" ht="13.5" customHeight="1" x14ac:dyDescent="0.2"/>
    <row r="627" ht="13.5" customHeight="1" x14ac:dyDescent="0.2"/>
    <row r="628" ht="13.5" customHeight="1" x14ac:dyDescent="0.2"/>
    <row r="629" ht="13.5" customHeight="1" x14ac:dyDescent="0.2"/>
    <row r="630" ht="13.5" customHeight="1" x14ac:dyDescent="0.2"/>
    <row r="631" ht="13.5" customHeight="1" x14ac:dyDescent="0.2"/>
    <row r="632" ht="13.5" customHeight="1" x14ac:dyDescent="0.2"/>
    <row r="633" ht="13.5" customHeight="1" x14ac:dyDescent="0.2"/>
    <row r="634" ht="13.5" customHeight="1" x14ac:dyDescent="0.2"/>
    <row r="635" ht="13.5" customHeight="1" x14ac:dyDescent="0.2"/>
    <row r="636" ht="13.5" customHeight="1" x14ac:dyDescent="0.2"/>
    <row r="637" ht="13.5" customHeight="1" x14ac:dyDescent="0.2"/>
    <row r="638" ht="13.5" customHeight="1" x14ac:dyDescent="0.2"/>
    <row r="639" ht="13.5" customHeight="1" x14ac:dyDescent="0.2"/>
    <row r="640" ht="13.5" customHeight="1" x14ac:dyDescent="0.2"/>
    <row r="641" ht="13.5" customHeight="1" x14ac:dyDescent="0.2"/>
    <row r="642" ht="13.5" customHeight="1" x14ac:dyDescent="0.2"/>
    <row r="643" ht="13.5" customHeight="1" x14ac:dyDescent="0.2"/>
    <row r="644" ht="13.5" customHeight="1" x14ac:dyDescent="0.2"/>
    <row r="645" ht="13.5" customHeight="1" x14ac:dyDescent="0.2"/>
    <row r="646" ht="13.5" customHeight="1" x14ac:dyDescent="0.2"/>
    <row r="647" ht="13.5" customHeight="1" x14ac:dyDescent="0.2"/>
    <row r="648" ht="13.5" customHeight="1" x14ac:dyDescent="0.2"/>
    <row r="649" ht="13.5" customHeight="1" x14ac:dyDescent="0.2"/>
    <row r="650" ht="13.5" customHeight="1" x14ac:dyDescent="0.2"/>
    <row r="651" ht="13.5" customHeight="1" x14ac:dyDescent="0.2"/>
    <row r="652" ht="13.5" customHeight="1" x14ac:dyDescent="0.2"/>
    <row r="653" ht="13.5" customHeight="1" x14ac:dyDescent="0.2"/>
    <row r="654" ht="13.5" customHeight="1" x14ac:dyDescent="0.2"/>
    <row r="655" ht="13.5" customHeight="1" x14ac:dyDescent="0.2"/>
    <row r="656" ht="13.5" customHeight="1" x14ac:dyDescent="0.2"/>
    <row r="657" ht="13.5" customHeight="1" x14ac:dyDescent="0.2"/>
    <row r="658" ht="13.5" customHeight="1" x14ac:dyDescent="0.2"/>
    <row r="659" ht="13.5" customHeight="1" x14ac:dyDescent="0.2"/>
    <row r="660" ht="13.5" customHeight="1" x14ac:dyDescent="0.2"/>
    <row r="661" ht="13.5" customHeight="1" x14ac:dyDescent="0.2"/>
    <row r="662" ht="13.5" customHeight="1" x14ac:dyDescent="0.2"/>
    <row r="663" ht="13.5" customHeight="1" x14ac:dyDescent="0.2"/>
    <row r="664" ht="13.5" customHeight="1" x14ac:dyDescent="0.2"/>
    <row r="665" ht="13.5" customHeight="1" x14ac:dyDescent="0.2"/>
    <row r="666" ht="13.5" customHeight="1" x14ac:dyDescent="0.2"/>
    <row r="667" ht="13.5" customHeight="1" x14ac:dyDescent="0.2"/>
    <row r="668" ht="13.5" customHeight="1" x14ac:dyDescent="0.2"/>
    <row r="669" ht="13.5" customHeight="1" x14ac:dyDescent="0.2"/>
    <row r="670" ht="13.5" customHeight="1" x14ac:dyDescent="0.2"/>
    <row r="671" ht="13.5" customHeight="1" x14ac:dyDescent="0.2"/>
    <row r="672" ht="13.5" customHeight="1" x14ac:dyDescent="0.2"/>
    <row r="673" ht="13.5" customHeight="1" x14ac:dyDescent="0.2"/>
    <row r="674" ht="13.5" customHeight="1" x14ac:dyDescent="0.2"/>
    <row r="675" ht="13.5" customHeight="1" x14ac:dyDescent="0.2"/>
    <row r="676" ht="13.5" customHeight="1" x14ac:dyDescent="0.2"/>
    <row r="677" ht="13.5" customHeight="1" x14ac:dyDescent="0.2"/>
    <row r="678" ht="13.5" customHeight="1" x14ac:dyDescent="0.2"/>
    <row r="679" ht="13.5" customHeight="1" x14ac:dyDescent="0.2"/>
    <row r="680" ht="13.5" customHeight="1" x14ac:dyDescent="0.2"/>
    <row r="681" ht="13.5" customHeight="1" x14ac:dyDescent="0.2"/>
    <row r="682" ht="13.5" customHeight="1" x14ac:dyDescent="0.2"/>
    <row r="683" ht="13.5" customHeight="1" x14ac:dyDescent="0.2"/>
    <row r="684" ht="13.5" customHeight="1" x14ac:dyDescent="0.2"/>
    <row r="685" ht="13.5" customHeight="1" x14ac:dyDescent="0.2"/>
    <row r="686" ht="13.5" customHeight="1" x14ac:dyDescent="0.2"/>
    <row r="687" ht="13.5" customHeight="1" x14ac:dyDescent="0.2"/>
    <row r="688" ht="13.5" customHeight="1" x14ac:dyDescent="0.2"/>
    <row r="689" ht="13.5" customHeight="1" x14ac:dyDescent="0.2"/>
    <row r="690" ht="13.5" customHeight="1" x14ac:dyDescent="0.2"/>
    <row r="691" ht="13.5" customHeight="1" x14ac:dyDescent="0.2"/>
    <row r="692" ht="13.5" customHeight="1" x14ac:dyDescent="0.2"/>
    <row r="693" ht="13.5" customHeight="1" x14ac:dyDescent="0.2"/>
    <row r="694" ht="13.5" customHeight="1" x14ac:dyDescent="0.2"/>
    <row r="695" ht="13.5" customHeight="1" x14ac:dyDescent="0.2"/>
    <row r="696" ht="13.5" customHeight="1" x14ac:dyDescent="0.2"/>
    <row r="697" ht="13.5" customHeight="1" x14ac:dyDescent="0.2"/>
    <row r="698" ht="13.5" customHeight="1" x14ac:dyDescent="0.2"/>
    <row r="699" ht="13.5" customHeight="1" x14ac:dyDescent="0.2"/>
    <row r="700" ht="13.5" customHeight="1" x14ac:dyDescent="0.2"/>
    <row r="701" ht="13.5" customHeight="1" x14ac:dyDescent="0.2"/>
    <row r="702" ht="13.5" customHeight="1" x14ac:dyDescent="0.2"/>
    <row r="703" ht="13.5" customHeight="1" x14ac:dyDescent="0.2"/>
    <row r="704" ht="13.5" customHeight="1" x14ac:dyDescent="0.2"/>
    <row r="705" ht="13.5" customHeight="1" x14ac:dyDescent="0.2"/>
    <row r="706" ht="13.5" customHeight="1" x14ac:dyDescent="0.2"/>
    <row r="707" ht="13.5" customHeight="1" x14ac:dyDescent="0.2"/>
    <row r="708" ht="13.5" customHeight="1" x14ac:dyDescent="0.2"/>
    <row r="709" ht="13.5" customHeight="1" x14ac:dyDescent="0.2"/>
    <row r="710" ht="13.5" customHeight="1" x14ac:dyDescent="0.2"/>
    <row r="711" ht="13.5" customHeight="1" x14ac:dyDescent="0.2"/>
    <row r="712" ht="13.5" customHeight="1" x14ac:dyDescent="0.2"/>
    <row r="713" ht="13.5" customHeight="1" x14ac:dyDescent="0.2"/>
    <row r="714" ht="13.5" customHeight="1" x14ac:dyDescent="0.2"/>
    <row r="715" ht="13.5" customHeight="1" x14ac:dyDescent="0.2"/>
    <row r="716" ht="13.5" customHeight="1" x14ac:dyDescent="0.2"/>
    <row r="717" ht="13.5" customHeight="1" x14ac:dyDescent="0.2"/>
    <row r="718" ht="13.5" customHeight="1" x14ac:dyDescent="0.2"/>
    <row r="719" ht="13.5" customHeight="1" x14ac:dyDescent="0.2"/>
    <row r="720" ht="13.5" customHeight="1" x14ac:dyDescent="0.2"/>
    <row r="721" ht="13.5" customHeight="1" x14ac:dyDescent="0.2"/>
    <row r="722" ht="13.5" customHeight="1" x14ac:dyDescent="0.2"/>
    <row r="723" ht="13.5" customHeight="1" x14ac:dyDescent="0.2"/>
    <row r="724" ht="13.5" customHeight="1" x14ac:dyDescent="0.2"/>
    <row r="725" ht="13.5" customHeight="1" x14ac:dyDescent="0.2"/>
    <row r="726" ht="13.5" customHeight="1" x14ac:dyDescent="0.2"/>
    <row r="727" ht="13.5" customHeight="1" x14ac:dyDescent="0.2"/>
    <row r="728" ht="13.5" customHeight="1" x14ac:dyDescent="0.2"/>
    <row r="729" ht="13.5" customHeight="1" x14ac:dyDescent="0.2"/>
    <row r="730" ht="13.5" customHeight="1" x14ac:dyDescent="0.2"/>
    <row r="731" ht="13.5" customHeight="1" x14ac:dyDescent="0.2"/>
    <row r="732" ht="13.5" customHeight="1" x14ac:dyDescent="0.2"/>
    <row r="733" ht="13.5" customHeight="1" x14ac:dyDescent="0.2"/>
    <row r="734" ht="13.5" customHeight="1" x14ac:dyDescent="0.2"/>
    <row r="735" ht="13.5" customHeight="1" x14ac:dyDescent="0.2"/>
    <row r="736" ht="13.5" customHeight="1" x14ac:dyDescent="0.2"/>
    <row r="737" ht="13.5" customHeight="1" x14ac:dyDescent="0.2"/>
    <row r="738" ht="13.5" customHeight="1" x14ac:dyDescent="0.2"/>
    <row r="739" ht="13.5" customHeight="1" x14ac:dyDescent="0.2"/>
    <row r="740" ht="13.5" customHeight="1" x14ac:dyDescent="0.2"/>
    <row r="741" ht="13.5" customHeight="1" x14ac:dyDescent="0.2"/>
    <row r="742" ht="13.5" customHeight="1" x14ac:dyDescent="0.2"/>
    <row r="743" ht="13.5" customHeight="1" x14ac:dyDescent="0.2"/>
    <row r="744" ht="13.5" customHeight="1" x14ac:dyDescent="0.2"/>
    <row r="745" ht="13.5" customHeight="1" x14ac:dyDescent="0.2"/>
    <row r="746" ht="13.5" customHeight="1" x14ac:dyDescent="0.2"/>
    <row r="747" ht="13.5" customHeight="1" x14ac:dyDescent="0.2"/>
    <row r="748" ht="13.5" customHeight="1" x14ac:dyDescent="0.2"/>
    <row r="749" ht="13.5" customHeight="1" x14ac:dyDescent="0.2"/>
    <row r="750" ht="13.5" customHeight="1" x14ac:dyDescent="0.2"/>
    <row r="751" ht="13.5" customHeight="1" x14ac:dyDescent="0.2"/>
    <row r="752" ht="13.5" customHeight="1" x14ac:dyDescent="0.2"/>
    <row r="753" ht="13.5" customHeight="1" x14ac:dyDescent="0.2"/>
    <row r="754" ht="13.5" customHeight="1" x14ac:dyDescent="0.2"/>
    <row r="755" ht="13.5" customHeight="1" x14ac:dyDescent="0.2"/>
    <row r="756" ht="13.5" customHeight="1" x14ac:dyDescent="0.2"/>
    <row r="757" ht="13.5" customHeight="1" x14ac:dyDescent="0.2"/>
    <row r="758" ht="13.5" customHeight="1" x14ac:dyDescent="0.2"/>
    <row r="759" ht="13.5" customHeight="1" x14ac:dyDescent="0.2"/>
    <row r="760" ht="13.5" customHeight="1" x14ac:dyDescent="0.2"/>
    <row r="761" ht="13.5" customHeight="1" x14ac:dyDescent="0.2"/>
    <row r="762" ht="13.5" customHeight="1" x14ac:dyDescent="0.2"/>
    <row r="763" ht="13.5" customHeight="1" x14ac:dyDescent="0.2"/>
    <row r="764" ht="13.5" customHeight="1" x14ac:dyDescent="0.2"/>
    <row r="765" ht="13.5" customHeight="1" x14ac:dyDescent="0.2"/>
    <row r="766" ht="13.5" customHeight="1" x14ac:dyDescent="0.2"/>
    <row r="767" ht="13.5" customHeight="1" x14ac:dyDescent="0.2"/>
    <row r="768" ht="13.5" customHeight="1" x14ac:dyDescent="0.2"/>
    <row r="769" ht="13.5" customHeight="1" x14ac:dyDescent="0.2"/>
    <row r="770" ht="13.5" customHeight="1" x14ac:dyDescent="0.2"/>
    <row r="771" ht="13.5" customHeight="1" x14ac:dyDescent="0.2"/>
    <row r="772" ht="13.5" customHeight="1" x14ac:dyDescent="0.2"/>
    <row r="773" ht="13.5" customHeight="1" x14ac:dyDescent="0.2"/>
    <row r="774" ht="13.5" customHeight="1" x14ac:dyDescent="0.2"/>
    <row r="775" ht="13.5" customHeight="1" x14ac:dyDescent="0.2"/>
    <row r="776" ht="13.5" customHeight="1" x14ac:dyDescent="0.2"/>
    <row r="777" ht="13.5" customHeight="1" x14ac:dyDescent="0.2"/>
    <row r="778" ht="13.5" customHeight="1" x14ac:dyDescent="0.2"/>
    <row r="779" ht="13.5" customHeight="1" x14ac:dyDescent="0.2"/>
    <row r="780" ht="13.5" customHeight="1" x14ac:dyDescent="0.2"/>
    <row r="781" ht="13.5" customHeight="1" x14ac:dyDescent="0.2"/>
    <row r="782" ht="13.5" customHeight="1" x14ac:dyDescent="0.2"/>
    <row r="783" ht="13.5" customHeight="1" x14ac:dyDescent="0.2"/>
    <row r="784" ht="13.5" customHeight="1" x14ac:dyDescent="0.2"/>
    <row r="785" ht="13.5" customHeight="1" x14ac:dyDescent="0.2"/>
    <row r="786" ht="13.5" customHeight="1" x14ac:dyDescent="0.2"/>
    <row r="787" ht="13.5" customHeight="1" x14ac:dyDescent="0.2"/>
    <row r="788" ht="13.5" customHeight="1" x14ac:dyDescent="0.2"/>
    <row r="789" ht="13.5" customHeight="1" x14ac:dyDescent="0.2"/>
    <row r="790" ht="13.5" customHeight="1" x14ac:dyDescent="0.2"/>
    <row r="791" ht="13.5" customHeight="1" x14ac:dyDescent="0.2"/>
    <row r="792" ht="13.5" customHeight="1" x14ac:dyDescent="0.2"/>
    <row r="793" ht="13.5" customHeight="1" x14ac:dyDescent="0.2"/>
    <row r="794" ht="13.5" customHeight="1" x14ac:dyDescent="0.2"/>
    <row r="795" ht="13.5" customHeight="1" x14ac:dyDescent="0.2"/>
    <row r="796" ht="13.5" customHeight="1" x14ac:dyDescent="0.2"/>
    <row r="797" ht="13.5" customHeight="1" x14ac:dyDescent="0.2"/>
    <row r="798" ht="13.5" customHeight="1" x14ac:dyDescent="0.2"/>
    <row r="799" ht="13.5" customHeight="1" x14ac:dyDescent="0.2"/>
    <row r="800" ht="13.5" customHeight="1" x14ac:dyDescent="0.2"/>
    <row r="801" ht="13.5" customHeight="1" x14ac:dyDescent="0.2"/>
    <row r="802" ht="13.5" customHeight="1" x14ac:dyDescent="0.2"/>
    <row r="803" ht="13.5" customHeight="1" x14ac:dyDescent="0.2"/>
    <row r="804" ht="13.5" customHeight="1" x14ac:dyDescent="0.2"/>
    <row r="805" ht="13.5" customHeight="1" x14ac:dyDescent="0.2"/>
    <row r="806" ht="13.5" customHeight="1" x14ac:dyDescent="0.2"/>
    <row r="807" ht="13.5" customHeight="1" x14ac:dyDescent="0.2"/>
    <row r="808" ht="13.5" customHeight="1" x14ac:dyDescent="0.2"/>
    <row r="809" ht="13.5" customHeight="1" x14ac:dyDescent="0.2"/>
    <row r="810" ht="13.5" customHeight="1" x14ac:dyDescent="0.2"/>
    <row r="811" ht="13.5" customHeight="1" x14ac:dyDescent="0.2"/>
    <row r="812" ht="13.5" customHeight="1" x14ac:dyDescent="0.2"/>
    <row r="813" ht="13.5" customHeight="1" x14ac:dyDescent="0.2"/>
    <row r="814" ht="13.5" customHeight="1" x14ac:dyDescent="0.2"/>
    <row r="815" ht="13.5" customHeight="1" x14ac:dyDescent="0.2"/>
    <row r="816" ht="13.5" customHeight="1" x14ac:dyDescent="0.2"/>
    <row r="817" ht="13.5" customHeight="1" x14ac:dyDescent="0.2"/>
    <row r="818" ht="13.5" customHeight="1" x14ac:dyDescent="0.2"/>
    <row r="819" ht="13.5" customHeight="1" x14ac:dyDescent="0.2"/>
    <row r="820" ht="13.5" customHeight="1" x14ac:dyDescent="0.2"/>
    <row r="821" ht="13.5" customHeight="1" x14ac:dyDescent="0.2"/>
    <row r="822" ht="13.5" customHeight="1" x14ac:dyDescent="0.2"/>
    <row r="823" ht="13.5" customHeight="1" x14ac:dyDescent="0.2"/>
    <row r="824" ht="13.5" customHeight="1" x14ac:dyDescent="0.2"/>
    <row r="825" ht="13.5" customHeight="1" x14ac:dyDescent="0.2"/>
    <row r="826" ht="13.5" customHeight="1" x14ac:dyDescent="0.2"/>
    <row r="827" ht="13.5" customHeight="1" x14ac:dyDescent="0.2"/>
    <row r="828" ht="13.5" customHeight="1" x14ac:dyDescent="0.2"/>
    <row r="829" ht="13.5" customHeight="1" x14ac:dyDescent="0.2"/>
    <row r="830" ht="13.5" customHeight="1" x14ac:dyDescent="0.2"/>
    <row r="831" ht="13.5" customHeight="1" x14ac:dyDescent="0.2"/>
    <row r="832" ht="13.5" customHeight="1" x14ac:dyDescent="0.2"/>
    <row r="833" ht="13.5" customHeight="1" x14ac:dyDescent="0.2"/>
    <row r="834" ht="13.5" customHeight="1" x14ac:dyDescent="0.2"/>
    <row r="835" ht="13.5" customHeight="1" x14ac:dyDescent="0.2"/>
    <row r="836" ht="13.5" customHeight="1" x14ac:dyDescent="0.2"/>
    <row r="837" ht="13.5" customHeight="1" x14ac:dyDescent="0.2"/>
    <row r="838" ht="13.5" customHeight="1" x14ac:dyDescent="0.2"/>
    <row r="839" ht="13.5" customHeight="1" x14ac:dyDescent="0.2"/>
    <row r="840" ht="13.5" customHeight="1" x14ac:dyDescent="0.2"/>
    <row r="841" ht="13.5" customHeight="1" x14ac:dyDescent="0.2"/>
    <row r="842" ht="13.5" customHeight="1" x14ac:dyDescent="0.2"/>
    <row r="843" ht="13.5" customHeight="1" x14ac:dyDescent="0.2"/>
    <row r="844" ht="13.5" customHeight="1" x14ac:dyDescent="0.2"/>
    <row r="845" ht="13.5" customHeight="1" x14ac:dyDescent="0.2"/>
    <row r="846" ht="13.5" customHeight="1" x14ac:dyDescent="0.2"/>
    <row r="847" ht="13.5" customHeight="1" x14ac:dyDescent="0.2"/>
    <row r="848" ht="13.5" customHeight="1" x14ac:dyDescent="0.2"/>
    <row r="849" ht="13.5" customHeight="1" x14ac:dyDescent="0.2"/>
    <row r="850" ht="13.5" customHeight="1" x14ac:dyDescent="0.2"/>
    <row r="851" ht="13.5" customHeight="1" x14ac:dyDescent="0.2"/>
    <row r="852" ht="13.5" customHeight="1" x14ac:dyDescent="0.2"/>
    <row r="853" ht="13.5" customHeight="1" x14ac:dyDescent="0.2"/>
    <row r="854" ht="13.5" customHeight="1" x14ac:dyDescent="0.2"/>
    <row r="855" ht="13.5" customHeight="1" x14ac:dyDescent="0.2"/>
    <row r="856" ht="13.5" customHeight="1" x14ac:dyDescent="0.2"/>
    <row r="857" ht="13.5" customHeight="1" x14ac:dyDescent="0.2"/>
    <row r="858" ht="13.5" customHeight="1" x14ac:dyDescent="0.2"/>
    <row r="859" ht="13.5" customHeight="1" x14ac:dyDescent="0.2"/>
    <row r="860" ht="13.5" customHeight="1" x14ac:dyDescent="0.2"/>
    <row r="861" ht="13.5" customHeight="1" x14ac:dyDescent="0.2"/>
    <row r="862" ht="13.5" customHeight="1" x14ac:dyDescent="0.2"/>
    <row r="863" ht="13.5" customHeight="1" x14ac:dyDescent="0.2"/>
    <row r="864" ht="13.5" customHeight="1" x14ac:dyDescent="0.2"/>
    <row r="865" ht="13.5" customHeight="1" x14ac:dyDescent="0.2"/>
    <row r="866" ht="13.5" customHeight="1" x14ac:dyDescent="0.2"/>
    <row r="867" ht="13.5" customHeight="1" x14ac:dyDescent="0.2"/>
    <row r="868" ht="13.5" customHeight="1" x14ac:dyDescent="0.2"/>
    <row r="869" ht="13.5" customHeight="1" x14ac:dyDescent="0.2"/>
    <row r="870" ht="13.5" customHeight="1" x14ac:dyDescent="0.2"/>
    <row r="871" ht="13.5" customHeight="1" x14ac:dyDescent="0.2"/>
    <row r="872" ht="13.5" customHeight="1" x14ac:dyDescent="0.2"/>
    <row r="873" ht="13.5" customHeight="1" x14ac:dyDescent="0.2"/>
    <row r="874" ht="13.5" customHeight="1" x14ac:dyDescent="0.2"/>
    <row r="875" ht="13.5" customHeight="1" x14ac:dyDescent="0.2"/>
    <row r="876" ht="13.5" customHeight="1" x14ac:dyDescent="0.2"/>
    <row r="877" ht="13.5" customHeight="1" x14ac:dyDescent="0.2"/>
    <row r="878" ht="13.5" customHeight="1" x14ac:dyDescent="0.2"/>
    <row r="879" ht="13.5" customHeight="1" x14ac:dyDescent="0.2"/>
    <row r="880" ht="13.5" customHeight="1" x14ac:dyDescent="0.2"/>
    <row r="881" ht="13.5" customHeight="1" x14ac:dyDescent="0.2"/>
    <row r="882" ht="13.5" customHeight="1" x14ac:dyDescent="0.2"/>
    <row r="883" ht="13.5" customHeight="1" x14ac:dyDescent="0.2"/>
    <row r="884" ht="13.5" customHeight="1" x14ac:dyDescent="0.2"/>
    <row r="885" ht="13.5" customHeight="1" x14ac:dyDescent="0.2"/>
    <row r="886" ht="13.5" customHeight="1" x14ac:dyDescent="0.2"/>
    <row r="887" ht="13.5" customHeight="1" x14ac:dyDescent="0.2"/>
    <row r="888" ht="13.5" customHeight="1" x14ac:dyDescent="0.2"/>
    <row r="889" ht="13.5" customHeight="1" x14ac:dyDescent="0.2"/>
    <row r="890" ht="13.5" customHeight="1" x14ac:dyDescent="0.2"/>
    <row r="891" ht="13.5" customHeight="1" x14ac:dyDescent="0.2"/>
    <row r="892" ht="13.5" customHeight="1" x14ac:dyDescent="0.2"/>
    <row r="893" ht="13.5" customHeight="1" x14ac:dyDescent="0.2"/>
    <row r="894" ht="13.5" customHeight="1" x14ac:dyDescent="0.2"/>
    <row r="895" ht="13.5" customHeight="1" x14ac:dyDescent="0.2"/>
    <row r="896" ht="13.5" customHeight="1" x14ac:dyDescent="0.2"/>
    <row r="897" ht="13.5" customHeight="1" x14ac:dyDescent="0.2"/>
    <row r="898" ht="13.5" customHeight="1" x14ac:dyDescent="0.2"/>
    <row r="899" ht="13.5" customHeight="1" x14ac:dyDescent="0.2"/>
    <row r="900" ht="13.5" customHeight="1" x14ac:dyDescent="0.2"/>
    <row r="901" ht="13.5" customHeight="1" x14ac:dyDescent="0.2"/>
    <row r="902" ht="13.5" customHeight="1" x14ac:dyDescent="0.2"/>
    <row r="903" ht="13.5" customHeight="1" x14ac:dyDescent="0.2"/>
    <row r="904" ht="13.5" customHeight="1" x14ac:dyDescent="0.2"/>
    <row r="905" ht="13.5" customHeight="1" x14ac:dyDescent="0.2"/>
    <row r="906" ht="13.5" customHeight="1" x14ac:dyDescent="0.2"/>
    <row r="907" ht="13.5" customHeight="1" x14ac:dyDescent="0.2"/>
    <row r="908" ht="13.5" customHeight="1" x14ac:dyDescent="0.2"/>
    <row r="909" ht="13.5" customHeight="1" x14ac:dyDescent="0.2"/>
    <row r="910" ht="13.5" customHeight="1" x14ac:dyDescent="0.2"/>
    <row r="911" ht="13.5" customHeight="1" x14ac:dyDescent="0.2"/>
    <row r="912" ht="13.5" customHeight="1" x14ac:dyDescent="0.2"/>
    <row r="913" ht="13.5" customHeight="1" x14ac:dyDescent="0.2"/>
    <row r="914" ht="13.5" customHeight="1" x14ac:dyDescent="0.2"/>
    <row r="915" ht="13.5" customHeight="1" x14ac:dyDescent="0.2"/>
    <row r="916" ht="13.5" customHeight="1" x14ac:dyDescent="0.2"/>
    <row r="917" ht="13.5" customHeight="1" x14ac:dyDescent="0.2"/>
    <row r="918" ht="13.5" customHeight="1" x14ac:dyDescent="0.2"/>
    <row r="919" ht="13.5" customHeight="1" x14ac:dyDescent="0.2"/>
    <row r="920" ht="13.5" customHeight="1" x14ac:dyDescent="0.2"/>
    <row r="921" ht="13.5" customHeight="1" x14ac:dyDescent="0.2"/>
    <row r="922" ht="13.5" customHeight="1" x14ac:dyDescent="0.2"/>
    <row r="923" ht="13.5" customHeight="1" x14ac:dyDescent="0.2"/>
    <row r="924" ht="13.5" customHeight="1" x14ac:dyDescent="0.2"/>
    <row r="925" ht="13.5" customHeight="1" x14ac:dyDescent="0.2"/>
    <row r="926" ht="13.5" customHeight="1" x14ac:dyDescent="0.2"/>
    <row r="927" ht="13.5" customHeight="1" x14ac:dyDescent="0.2"/>
    <row r="928" ht="13.5" customHeight="1" x14ac:dyDescent="0.2"/>
    <row r="929" ht="13.5" customHeight="1" x14ac:dyDescent="0.2"/>
    <row r="930" ht="13.5" customHeight="1" x14ac:dyDescent="0.2"/>
    <row r="931" ht="13.5" customHeight="1" x14ac:dyDescent="0.2"/>
    <row r="932" ht="13.5" customHeight="1" x14ac:dyDescent="0.2"/>
    <row r="933" ht="13.5" customHeight="1" x14ac:dyDescent="0.2"/>
    <row r="934" ht="13.5" customHeight="1" x14ac:dyDescent="0.2"/>
    <row r="935" ht="13.5" customHeight="1" x14ac:dyDescent="0.2"/>
    <row r="936" ht="13.5" customHeight="1" x14ac:dyDescent="0.2"/>
    <row r="937" ht="13.5" customHeight="1" x14ac:dyDescent="0.2"/>
    <row r="938" ht="13.5" customHeight="1" x14ac:dyDescent="0.2"/>
    <row r="939" ht="13.5" customHeight="1" x14ac:dyDescent="0.2"/>
    <row r="940" ht="13.5" customHeight="1" x14ac:dyDescent="0.2"/>
    <row r="941" ht="13.5" customHeight="1" x14ac:dyDescent="0.2"/>
    <row r="942" ht="13.5" customHeight="1" x14ac:dyDescent="0.2"/>
    <row r="943" ht="13.5" customHeight="1" x14ac:dyDescent="0.2"/>
    <row r="944" ht="13.5" customHeight="1" x14ac:dyDescent="0.2"/>
    <row r="945" ht="13.5" customHeight="1" x14ac:dyDescent="0.2"/>
    <row r="946" ht="13.5" customHeight="1" x14ac:dyDescent="0.2"/>
    <row r="947" ht="13.5" customHeight="1" x14ac:dyDescent="0.2"/>
    <row r="948" ht="13.5" customHeight="1" x14ac:dyDescent="0.2"/>
    <row r="949" ht="13.5" customHeight="1" x14ac:dyDescent="0.2"/>
    <row r="950" ht="13.5" customHeight="1" x14ac:dyDescent="0.2"/>
    <row r="951" ht="13.5" customHeight="1" x14ac:dyDescent="0.2"/>
    <row r="952" ht="13.5" customHeight="1" x14ac:dyDescent="0.2"/>
    <row r="953" ht="13.5" customHeight="1" x14ac:dyDescent="0.2"/>
    <row r="954" ht="13.5" customHeight="1" x14ac:dyDescent="0.2"/>
    <row r="955" ht="13.5" customHeight="1" x14ac:dyDescent="0.2"/>
    <row r="956" ht="13.5" customHeight="1" x14ac:dyDescent="0.2"/>
    <row r="957" ht="13.5" customHeight="1" x14ac:dyDescent="0.2"/>
    <row r="958" ht="13.5" customHeight="1" x14ac:dyDescent="0.2"/>
    <row r="959" ht="13.5" customHeight="1" x14ac:dyDescent="0.2"/>
    <row r="960" ht="13.5" customHeight="1" x14ac:dyDescent="0.2"/>
    <row r="961" ht="13.5" customHeight="1" x14ac:dyDescent="0.2"/>
    <row r="962" ht="13.5" customHeight="1" x14ac:dyDescent="0.2"/>
    <row r="963" ht="13.5" customHeight="1" x14ac:dyDescent="0.2"/>
    <row r="964" ht="13.5" customHeight="1" x14ac:dyDescent="0.2"/>
    <row r="965" ht="13.5" customHeight="1" x14ac:dyDescent="0.2"/>
    <row r="966" ht="13.5" customHeight="1" x14ac:dyDescent="0.2"/>
    <row r="967" ht="13.5" customHeight="1" x14ac:dyDescent="0.2"/>
    <row r="968" ht="13.5" customHeight="1" x14ac:dyDescent="0.2"/>
    <row r="969" ht="13.5" customHeight="1" x14ac:dyDescent="0.2"/>
    <row r="970" ht="13.5" customHeight="1" x14ac:dyDescent="0.2"/>
    <row r="971" ht="13.5" customHeight="1" x14ac:dyDescent="0.2"/>
    <row r="972" ht="13.5" customHeight="1" x14ac:dyDescent="0.2"/>
    <row r="973" ht="13.5" customHeight="1" x14ac:dyDescent="0.2"/>
    <row r="974" ht="13.5" customHeight="1" x14ac:dyDescent="0.2"/>
    <row r="975" ht="13.5" customHeight="1" x14ac:dyDescent="0.2"/>
    <row r="976" ht="13.5" customHeight="1" x14ac:dyDescent="0.2"/>
    <row r="977" ht="13.5" customHeight="1" x14ac:dyDescent="0.2"/>
    <row r="978" ht="13.5" customHeight="1" x14ac:dyDescent="0.2"/>
    <row r="979" ht="13.5" customHeight="1" x14ac:dyDescent="0.2"/>
    <row r="980" ht="13.5" customHeight="1" x14ac:dyDescent="0.2"/>
    <row r="981" ht="13.5" customHeight="1" x14ac:dyDescent="0.2"/>
    <row r="982" ht="13.5" customHeight="1" x14ac:dyDescent="0.2"/>
    <row r="983" ht="13.5" customHeight="1" x14ac:dyDescent="0.2"/>
    <row r="984" ht="13.5" customHeight="1" x14ac:dyDescent="0.2"/>
    <row r="985" ht="13.5" customHeight="1" x14ac:dyDescent="0.2"/>
    <row r="986" ht="13.5" customHeight="1" x14ac:dyDescent="0.2"/>
    <row r="987" ht="13.5" customHeight="1" x14ac:dyDescent="0.2"/>
    <row r="988" ht="13.5" customHeight="1" x14ac:dyDescent="0.2"/>
    <row r="989" ht="13.5" customHeight="1" x14ac:dyDescent="0.2"/>
    <row r="990" ht="13.5" customHeight="1" x14ac:dyDescent="0.2"/>
    <row r="991" ht="13.5" customHeight="1" x14ac:dyDescent="0.2"/>
    <row r="992" ht="13.5" customHeight="1" x14ac:dyDescent="0.2"/>
    <row r="993" ht="13.5" customHeight="1" x14ac:dyDescent="0.2"/>
    <row r="994" ht="13.5" customHeight="1" x14ac:dyDescent="0.2"/>
    <row r="995" ht="13.5" customHeight="1" x14ac:dyDescent="0.2"/>
    <row r="996" ht="13.5" customHeight="1" x14ac:dyDescent="0.2"/>
    <row r="997" ht="13.5" customHeight="1" x14ac:dyDescent="0.2"/>
    <row r="998" ht="13.5" customHeight="1" x14ac:dyDescent="0.2"/>
    <row r="999" ht="13.5" customHeight="1" x14ac:dyDescent="0.2"/>
    <row r="1000" ht="13.5" customHeight="1" x14ac:dyDescent="0.2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E1002"/>
  <sheetViews>
    <sheetView tabSelected="1" workbookViewId="0">
      <pane xSplit="1" ySplit="1" topLeftCell="N2" activePane="bottomRight" state="frozen"/>
      <selection pane="topRight" activeCell="B1" sqref="B1"/>
      <selection pane="bottomLeft" activeCell="A2" sqref="A2"/>
      <selection pane="bottomRight" activeCell="Q18" sqref="Q18"/>
    </sheetView>
  </sheetViews>
  <sheetFormatPr defaultColWidth="12.625" defaultRowHeight="15" customHeight="1" x14ac:dyDescent="0.2"/>
  <cols>
    <col min="1" max="2" width="15.625" customWidth="1"/>
    <col min="3" max="11" width="8.625" customWidth="1"/>
    <col min="12" max="13" width="11.25" customWidth="1"/>
    <col min="14" max="14" width="11.375" customWidth="1"/>
    <col min="15" max="15" width="11.375" bestFit="1" customWidth="1"/>
    <col min="16" max="27" width="8.625" customWidth="1"/>
  </cols>
  <sheetData>
    <row r="1" spans="1:57" ht="13.5" customHeight="1" x14ac:dyDescent="0.2">
      <c r="B1" s="5" t="s">
        <v>8</v>
      </c>
      <c r="C1" s="5" t="s">
        <v>9</v>
      </c>
      <c r="D1" s="5" t="s">
        <v>10</v>
      </c>
      <c r="E1" s="5" t="s">
        <v>11</v>
      </c>
      <c r="F1" s="5" t="s">
        <v>12</v>
      </c>
      <c r="G1" s="5" t="s">
        <v>13</v>
      </c>
      <c r="H1" s="5" t="s">
        <v>14</v>
      </c>
      <c r="I1" s="5" t="s">
        <v>15</v>
      </c>
      <c r="J1" s="5" t="s">
        <v>16</v>
      </c>
      <c r="K1" s="5" t="s">
        <v>17</v>
      </c>
      <c r="L1" s="5" t="s">
        <v>18</v>
      </c>
      <c r="M1" s="5"/>
      <c r="N1" s="5"/>
      <c r="O1" s="5" t="s">
        <v>4</v>
      </c>
      <c r="P1" s="5"/>
      <c r="Q1" s="5"/>
      <c r="R1" s="6">
        <v>2022</v>
      </c>
      <c r="S1" s="6">
        <f t="shared" ref="S1:AA1" si="0">+R1+1</f>
        <v>2023</v>
      </c>
      <c r="T1" s="6">
        <f t="shared" si="0"/>
        <v>2024</v>
      </c>
      <c r="U1" s="6">
        <f t="shared" si="0"/>
        <v>2025</v>
      </c>
      <c r="V1" s="6">
        <f t="shared" si="0"/>
        <v>2026</v>
      </c>
      <c r="W1" s="6">
        <f t="shared" si="0"/>
        <v>2027</v>
      </c>
      <c r="X1" s="6">
        <f t="shared" si="0"/>
        <v>2028</v>
      </c>
      <c r="Y1" s="6">
        <f t="shared" si="0"/>
        <v>2029</v>
      </c>
      <c r="Z1" s="6">
        <f t="shared" si="0"/>
        <v>2030</v>
      </c>
      <c r="AA1" s="6">
        <f t="shared" si="0"/>
        <v>2031</v>
      </c>
    </row>
    <row r="2" spans="1:57" ht="13.5" customHeight="1" x14ac:dyDescent="0.25">
      <c r="A2" s="3" t="s">
        <v>19</v>
      </c>
      <c r="B2" s="4">
        <v>8288</v>
      </c>
      <c r="C2" s="4">
        <v>6704</v>
      </c>
      <c r="D2" s="4">
        <v>5931</v>
      </c>
      <c r="E2" s="4">
        <v>6051</v>
      </c>
      <c r="F2" s="4">
        <v>7192</v>
      </c>
      <c r="G2" s="4">
        <v>13507</v>
      </c>
      <c r="H2" s="4">
        <v>18120</v>
      </c>
      <c r="I2" s="4">
        <v>22103</v>
      </c>
      <c r="J2" s="4">
        <v>26044</v>
      </c>
      <c r="K2" s="4">
        <v>30040</v>
      </c>
      <c r="L2" s="4">
        <v>35000</v>
      </c>
      <c r="M2" s="4"/>
      <c r="N2" s="4" t="s">
        <v>0</v>
      </c>
      <c r="O2" s="4"/>
      <c r="P2" s="4"/>
      <c r="Q2" s="4"/>
      <c r="R2" s="4">
        <f t="shared" ref="R2:R3" si="1">SUM(B2:E2)</f>
        <v>26974</v>
      </c>
      <c r="S2" s="4">
        <f t="shared" ref="S2:S3" si="2">SUM(F2:I2)</f>
        <v>60922</v>
      </c>
      <c r="T2" s="4">
        <f t="shared" ref="T2:AA2" si="3">+S2*(1-$O$4)</f>
        <v>67014.200000000012</v>
      </c>
      <c r="U2" s="4">
        <f t="shared" si="3"/>
        <v>73715.620000000024</v>
      </c>
      <c r="V2" s="4">
        <f t="shared" si="3"/>
        <v>81087.18200000003</v>
      </c>
      <c r="W2" s="4">
        <f t="shared" si="3"/>
        <v>89195.900200000033</v>
      </c>
      <c r="X2" s="4">
        <f t="shared" si="3"/>
        <v>98115.490220000051</v>
      </c>
      <c r="Y2" s="4">
        <f t="shared" si="3"/>
        <v>107927.03924200006</v>
      </c>
      <c r="Z2" s="4">
        <f t="shared" si="3"/>
        <v>118719.74316620007</v>
      </c>
      <c r="AA2" s="4">
        <f t="shared" si="3"/>
        <v>130591.7174828201</v>
      </c>
    </row>
    <row r="3" spans="1:57" ht="13.5" customHeight="1" x14ac:dyDescent="0.2">
      <c r="A3" s="2" t="s">
        <v>20</v>
      </c>
      <c r="B3" s="5">
        <v>2857</v>
      </c>
      <c r="C3" s="5">
        <v>3789</v>
      </c>
      <c r="D3" s="5">
        <v>2754</v>
      </c>
      <c r="E3" s="5">
        <v>2218</v>
      </c>
      <c r="F3" s="5">
        <v>2544</v>
      </c>
      <c r="G3" s="5">
        <v>4045</v>
      </c>
      <c r="H3" s="5">
        <v>4720</v>
      </c>
      <c r="I3" s="5">
        <v>5312</v>
      </c>
      <c r="J3" s="5">
        <v>5638</v>
      </c>
      <c r="K3" s="5">
        <v>7466</v>
      </c>
      <c r="L3" s="5">
        <v>7466</v>
      </c>
      <c r="M3" s="5"/>
      <c r="N3" s="7" t="s">
        <v>21</v>
      </c>
      <c r="O3" s="8">
        <v>0.01</v>
      </c>
      <c r="P3" s="8"/>
      <c r="Q3" s="5"/>
      <c r="R3" s="5">
        <f t="shared" si="1"/>
        <v>11618</v>
      </c>
      <c r="S3" s="5">
        <f t="shared" si="2"/>
        <v>16621</v>
      </c>
      <c r="T3" s="5">
        <f>+S3*1.08</f>
        <v>17950.68</v>
      </c>
      <c r="U3" s="5">
        <f t="shared" ref="U3:AA3" si="4">+T3*1.08</f>
        <v>19386.734400000001</v>
      </c>
      <c r="V3" s="5">
        <f t="shared" si="4"/>
        <v>20937.673152000003</v>
      </c>
      <c r="W3" s="5">
        <f t="shared" si="4"/>
        <v>22612.687004160005</v>
      </c>
      <c r="X3" s="5">
        <f t="shared" si="4"/>
        <v>24421.701964492808</v>
      </c>
      <c r="Y3" s="5">
        <f t="shared" si="4"/>
        <v>26375.438121652234</v>
      </c>
      <c r="Z3" s="5">
        <f t="shared" si="4"/>
        <v>28485.473171384416</v>
      </c>
      <c r="AA3" s="5">
        <f t="shared" si="4"/>
        <v>30764.311025095172</v>
      </c>
    </row>
    <row r="4" spans="1:57" ht="13.5" customHeight="1" x14ac:dyDescent="0.25">
      <c r="A4" s="3" t="s">
        <v>22</v>
      </c>
      <c r="B4" s="4">
        <f t="shared" ref="B4:K4" si="5">+B2-B3</f>
        <v>5431</v>
      </c>
      <c r="C4" s="4">
        <f t="shared" si="5"/>
        <v>2915</v>
      </c>
      <c r="D4" s="4">
        <f t="shared" si="5"/>
        <v>3177</v>
      </c>
      <c r="E4" s="4">
        <f t="shared" si="5"/>
        <v>3833</v>
      </c>
      <c r="F4" s="4">
        <f t="shared" si="5"/>
        <v>4648</v>
      </c>
      <c r="G4" s="4">
        <f t="shared" si="5"/>
        <v>9462</v>
      </c>
      <c r="H4" s="4">
        <f t="shared" si="5"/>
        <v>13400</v>
      </c>
      <c r="I4" s="4">
        <f t="shared" si="5"/>
        <v>16791</v>
      </c>
      <c r="J4" s="4">
        <f t="shared" si="5"/>
        <v>20406</v>
      </c>
      <c r="K4" s="4">
        <f t="shared" si="5"/>
        <v>22574</v>
      </c>
      <c r="L4" s="4">
        <f>+L2-L3</f>
        <v>27534</v>
      </c>
      <c r="M4" s="4"/>
      <c r="N4" s="7" t="s">
        <v>23</v>
      </c>
      <c r="O4" s="8">
        <v>-0.1</v>
      </c>
      <c r="P4" s="8"/>
      <c r="Q4" s="4"/>
      <c r="R4" s="4">
        <f t="shared" ref="R4:S4" si="6">+R2-R3</f>
        <v>15356</v>
      </c>
      <c r="S4" s="4">
        <f t="shared" si="6"/>
        <v>44301</v>
      </c>
      <c r="T4" s="4">
        <f>+T2-T3</f>
        <v>49063.520000000011</v>
      </c>
      <c r="U4" s="4">
        <f t="shared" ref="U4:AA4" si="7">+U2-U3</f>
        <v>54328.885600000023</v>
      </c>
      <c r="V4" s="4">
        <f t="shared" si="7"/>
        <v>60149.508848000027</v>
      </c>
      <c r="W4" s="4">
        <f t="shared" si="7"/>
        <v>66583.213195840028</v>
      </c>
      <c r="X4" s="4">
        <f t="shared" si="7"/>
        <v>73693.788255507243</v>
      </c>
      <c r="Y4" s="4">
        <f t="shared" si="7"/>
        <v>81551.601120347827</v>
      </c>
      <c r="Z4" s="4">
        <f t="shared" si="7"/>
        <v>90234.269994815666</v>
      </c>
      <c r="AA4" s="4">
        <f t="shared" si="7"/>
        <v>99827.406457724923</v>
      </c>
    </row>
    <row r="5" spans="1:57" ht="13.5" customHeight="1" x14ac:dyDescent="0.2">
      <c r="A5" s="2" t="s">
        <v>24</v>
      </c>
      <c r="B5" s="5">
        <v>1618</v>
      </c>
      <c r="C5" s="5">
        <v>1824</v>
      </c>
      <c r="D5" s="5">
        <v>1945</v>
      </c>
      <c r="E5" s="5">
        <v>1951</v>
      </c>
      <c r="F5" s="5">
        <v>1875</v>
      </c>
      <c r="G5" s="5">
        <v>2040</v>
      </c>
      <c r="H5" s="5">
        <v>2294</v>
      </c>
      <c r="I5" s="5">
        <v>2465</v>
      </c>
      <c r="J5" s="5">
        <v>2720</v>
      </c>
      <c r="K5" s="5">
        <v>3090</v>
      </c>
      <c r="L5" s="5">
        <v>3090</v>
      </c>
      <c r="M5" s="5"/>
      <c r="N5" s="7" t="s">
        <v>25</v>
      </c>
      <c r="O5" s="8">
        <v>7.4999999999999997E-2</v>
      </c>
      <c r="P5" s="8"/>
      <c r="Q5" s="5"/>
      <c r="R5" s="5">
        <f t="shared" ref="R5:R7" si="8">SUM(B5:E5)</f>
        <v>7338</v>
      </c>
      <c r="S5" s="5">
        <f t="shared" ref="S5:S7" si="9">SUM(F5:I5)</f>
        <v>8674</v>
      </c>
      <c r="T5" s="5">
        <f>+S5*1.08</f>
        <v>9367.92</v>
      </c>
      <c r="U5" s="5">
        <f t="shared" ref="U5:AA5" si="10">+T5*1.08</f>
        <v>10117.3536</v>
      </c>
      <c r="V5" s="5">
        <f t="shared" si="10"/>
        <v>10926.741888</v>
      </c>
      <c r="W5" s="5">
        <f t="shared" si="10"/>
        <v>11800.881239040002</v>
      </c>
      <c r="X5" s="5">
        <f t="shared" si="10"/>
        <v>12744.951738163203</v>
      </c>
      <c r="Y5" s="5">
        <f t="shared" si="10"/>
        <v>13764.547877216261</v>
      </c>
      <c r="Z5" s="5">
        <f t="shared" si="10"/>
        <v>14865.711707393562</v>
      </c>
      <c r="AA5" s="5">
        <f t="shared" si="10"/>
        <v>16054.968643985048</v>
      </c>
    </row>
    <row r="6" spans="1:57" ht="13.5" customHeight="1" x14ac:dyDescent="0.2">
      <c r="A6" s="2" t="s">
        <v>26</v>
      </c>
      <c r="B6" s="5">
        <v>592</v>
      </c>
      <c r="C6" s="5">
        <v>592</v>
      </c>
      <c r="D6" s="5">
        <v>631</v>
      </c>
      <c r="E6" s="5">
        <v>625</v>
      </c>
      <c r="F6" s="5">
        <v>633</v>
      </c>
      <c r="G6" s="5">
        <v>622</v>
      </c>
      <c r="H6" s="5">
        <v>689</v>
      </c>
      <c r="I6" s="5">
        <v>711</v>
      </c>
      <c r="J6" s="5">
        <v>777</v>
      </c>
      <c r="K6" s="5">
        <v>842</v>
      </c>
      <c r="L6" s="5">
        <v>842</v>
      </c>
      <c r="M6" s="5"/>
      <c r="N6" s="7" t="s">
        <v>27</v>
      </c>
      <c r="O6" s="9">
        <f>+NPV(O5,U13:BE13)</f>
        <v>727786.98397850525</v>
      </c>
      <c r="P6" s="9"/>
      <c r="Q6" s="5" t="s">
        <v>4</v>
      </c>
      <c r="R6" s="5">
        <f t="shared" si="8"/>
        <v>2440</v>
      </c>
      <c r="S6" s="5">
        <f t="shared" si="9"/>
        <v>2655</v>
      </c>
      <c r="T6" s="5">
        <f>+S6*1.05</f>
        <v>2787.75</v>
      </c>
      <c r="U6" s="5">
        <f t="shared" ref="U6:AA6" si="11">+T6*1.05</f>
        <v>2927.1375000000003</v>
      </c>
      <c r="V6" s="5">
        <f t="shared" si="11"/>
        <v>3073.4943750000002</v>
      </c>
      <c r="W6" s="5">
        <f t="shared" si="11"/>
        <v>3227.1690937500002</v>
      </c>
      <c r="X6" s="5">
        <f t="shared" si="11"/>
        <v>3388.5275484375002</v>
      </c>
      <c r="Y6" s="5">
        <f t="shared" si="11"/>
        <v>3557.9539258593754</v>
      </c>
      <c r="Z6" s="5">
        <f t="shared" si="11"/>
        <v>3735.8516221523441</v>
      </c>
      <c r="AA6" s="5">
        <f t="shared" si="11"/>
        <v>3922.6442032599616</v>
      </c>
    </row>
    <row r="7" spans="1:57" ht="13.5" customHeight="1" x14ac:dyDescent="0.2">
      <c r="A7" s="2" t="s">
        <v>28</v>
      </c>
      <c r="B7" s="5">
        <v>1353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/>
      <c r="N7" s="7" t="s">
        <v>29</v>
      </c>
      <c r="O7" s="5">
        <f>+J27</f>
        <v>18762</v>
      </c>
      <c r="P7" s="5"/>
      <c r="Q7" s="5"/>
      <c r="R7" s="5">
        <f t="shared" si="8"/>
        <v>1353</v>
      </c>
      <c r="S7" s="5">
        <f t="shared" si="9"/>
        <v>0</v>
      </c>
      <c r="T7" s="5">
        <f t="shared" ref="T7:AA7" si="12">+S7</f>
        <v>0</v>
      </c>
      <c r="U7" s="5">
        <f t="shared" si="12"/>
        <v>0</v>
      </c>
      <c r="V7" s="5">
        <f t="shared" si="12"/>
        <v>0</v>
      </c>
      <c r="W7" s="5">
        <f t="shared" si="12"/>
        <v>0</v>
      </c>
      <c r="X7" s="5">
        <f t="shared" si="12"/>
        <v>0</v>
      </c>
      <c r="Y7" s="5">
        <f t="shared" si="12"/>
        <v>0</v>
      </c>
      <c r="Z7" s="5">
        <f t="shared" si="12"/>
        <v>0</v>
      </c>
      <c r="AA7" s="5">
        <f t="shared" si="12"/>
        <v>0</v>
      </c>
    </row>
    <row r="8" spans="1:57" ht="13.5" customHeight="1" x14ac:dyDescent="0.2">
      <c r="A8" s="2" t="s">
        <v>30</v>
      </c>
      <c r="B8" s="5">
        <f>+B5+B6+B7</f>
        <v>3563</v>
      </c>
      <c r="C8" s="5">
        <f t="shared" ref="C8:K8" si="13">+C5+C6</f>
        <v>2416</v>
      </c>
      <c r="D8" s="5">
        <f t="shared" si="13"/>
        <v>2576</v>
      </c>
      <c r="E8" s="5">
        <f t="shared" si="13"/>
        <v>2576</v>
      </c>
      <c r="F8" s="5">
        <f t="shared" si="13"/>
        <v>2508</v>
      </c>
      <c r="G8" s="5">
        <f t="shared" si="13"/>
        <v>2662</v>
      </c>
      <c r="H8" s="5">
        <f t="shared" si="13"/>
        <v>2983</v>
      </c>
      <c r="I8" s="5">
        <f t="shared" si="13"/>
        <v>3176</v>
      </c>
      <c r="J8" s="5">
        <f t="shared" si="13"/>
        <v>3497</v>
      </c>
      <c r="K8" s="5">
        <f t="shared" si="13"/>
        <v>3932</v>
      </c>
      <c r="L8" s="5">
        <v>4287</v>
      </c>
      <c r="M8" s="5"/>
      <c r="N8" s="7" t="s">
        <v>31</v>
      </c>
      <c r="O8" s="10">
        <f>+O6+O7</f>
        <v>746548.98397850525</v>
      </c>
      <c r="P8" s="10"/>
      <c r="Q8" s="5"/>
      <c r="R8" s="5">
        <f t="shared" ref="R8:AA8" si="14">+R5+R6+R7</f>
        <v>11131</v>
      </c>
      <c r="S8" s="5">
        <f t="shared" si="14"/>
        <v>11329</v>
      </c>
      <c r="T8" s="5">
        <f t="shared" si="14"/>
        <v>12155.67</v>
      </c>
      <c r="U8" s="5">
        <f t="shared" si="14"/>
        <v>13044.491100000001</v>
      </c>
      <c r="V8" s="5">
        <f t="shared" si="14"/>
        <v>14000.236263000001</v>
      </c>
      <c r="W8" s="5">
        <f t="shared" si="14"/>
        <v>15028.050332790002</v>
      </c>
      <c r="X8" s="5">
        <f t="shared" si="14"/>
        <v>16133.479286600703</v>
      </c>
      <c r="Y8" s="5">
        <f t="shared" si="14"/>
        <v>17322.501803075636</v>
      </c>
      <c r="Z8" s="5">
        <f t="shared" si="14"/>
        <v>18601.563329545905</v>
      </c>
      <c r="AA8" s="5">
        <f t="shared" si="14"/>
        <v>19977.612847245011</v>
      </c>
    </row>
    <row r="9" spans="1:57" ht="13.5" customHeight="1" x14ac:dyDescent="0.25">
      <c r="A9" s="3" t="s">
        <v>32</v>
      </c>
      <c r="B9" s="4">
        <f t="shared" ref="B9:K9" si="15">+B4-B8</f>
        <v>1868</v>
      </c>
      <c r="C9" s="4">
        <f t="shared" si="15"/>
        <v>499</v>
      </c>
      <c r="D9" s="4">
        <f t="shared" si="15"/>
        <v>601</v>
      </c>
      <c r="E9" s="4">
        <f t="shared" si="15"/>
        <v>1257</v>
      </c>
      <c r="F9" s="4">
        <f t="shared" si="15"/>
        <v>2140</v>
      </c>
      <c r="G9" s="4">
        <f t="shared" si="15"/>
        <v>6800</v>
      </c>
      <c r="H9" s="4">
        <f t="shared" si="15"/>
        <v>10417</v>
      </c>
      <c r="I9" s="4">
        <f t="shared" si="15"/>
        <v>13615</v>
      </c>
      <c r="J9" s="4">
        <f t="shared" si="15"/>
        <v>16909</v>
      </c>
      <c r="K9" s="4">
        <f t="shared" si="15"/>
        <v>18642</v>
      </c>
      <c r="L9" s="4">
        <f t="shared" ref="L9" si="16">+L4-L8</f>
        <v>23247</v>
      </c>
      <c r="M9" s="4"/>
      <c r="N9" s="7" t="s">
        <v>33</v>
      </c>
      <c r="O9" s="11">
        <f>+O8/main!M6</f>
        <v>303.47519673922977</v>
      </c>
      <c r="P9" s="11"/>
      <c r="Q9" s="4" t="s">
        <v>4</v>
      </c>
      <c r="R9" s="4">
        <f t="shared" ref="R9:AA9" si="17">+R4-R8</f>
        <v>4225</v>
      </c>
      <c r="S9" s="4">
        <f t="shared" si="17"/>
        <v>32972</v>
      </c>
      <c r="T9" s="4">
        <f t="shared" si="17"/>
        <v>36907.850000000013</v>
      </c>
      <c r="U9" s="4">
        <f t="shared" si="17"/>
        <v>41284.394500000024</v>
      </c>
      <c r="V9" s="4">
        <f t="shared" si="17"/>
        <v>46149.272585000028</v>
      </c>
      <c r="W9" s="4">
        <f t="shared" si="17"/>
        <v>51555.162863050027</v>
      </c>
      <c r="X9" s="4">
        <f t="shared" si="17"/>
        <v>57560.308968906538</v>
      </c>
      <c r="Y9" s="4">
        <f t="shared" si="17"/>
        <v>64229.099317272194</v>
      </c>
      <c r="Z9" s="4">
        <f t="shared" si="17"/>
        <v>71632.706665269769</v>
      </c>
      <c r="AA9" s="4">
        <f t="shared" si="17"/>
        <v>79849.793610479916</v>
      </c>
    </row>
    <row r="10" spans="1:57" ht="13.5" customHeight="1" x14ac:dyDescent="0.2">
      <c r="A10" s="2" t="s">
        <v>34</v>
      </c>
      <c r="B10" s="5">
        <f>18-68-13</f>
        <v>-63</v>
      </c>
      <c r="C10" s="5">
        <f>46-65-5</f>
        <v>-24</v>
      </c>
      <c r="D10" s="5">
        <f>88-65-11</f>
        <v>12</v>
      </c>
      <c r="E10" s="5">
        <f>115-65-18</f>
        <v>32</v>
      </c>
      <c r="F10" s="5">
        <f>150-66-15</f>
        <v>69</v>
      </c>
      <c r="G10" s="5">
        <f>187-65+59</f>
        <v>181</v>
      </c>
      <c r="H10" s="5">
        <f>234-63-66</f>
        <v>105</v>
      </c>
      <c r="I10" s="5">
        <f>294-63+260</f>
        <v>491</v>
      </c>
      <c r="J10" s="5">
        <f>359-64+75</f>
        <v>370</v>
      </c>
      <c r="K10" s="5">
        <f>444-61+189</f>
        <v>572</v>
      </c>
      <c r="L10" s="5">
        <f>444-61+189</f>
        <v>572</v>
      </c>
      <c r="M10" s="5"/>
      <c r="N10" s="7" t="s">
        <v>35</v>
      </c>
      <c r="O10" s="5">
        <f>+main!M5</f>
        <v>130</v>
      </c>
      <c r="P10" s="5"/>
      <c r="Q10" s="5" t="s">
        <v>4</v>
      </c>
      <c r="R10" s="5">
        <f>SUM(B10:E10)</f>
        <v>-43</v>
      </c>
      <c r="S10" s="5">
        <f>SUM(F10:I10)</f>
        <v>846</v>
      </c>
      <c r="T10" s="5">
        <f>+S27*$O$3</f>
        <v>162.75</v>
      </c>
      <c r="U10" s="5">
        <f t="shared" ref="U10:AA10" si="18">+T27*$O$3</f>
        <v>481.55716000000018</v>
      </c>
      <c r="V10" s="5">
        <f t="shared" si="18"/>
        <v>840.74434427600033</v>
      </c>
      <c r="W10" s="5">
        <f t="shared" si="18"/>
        <v>1244.8584898677743</v>
      </c>
      <c r="X10" s="5">
        <f t="shared" si="18"/>
        <v>1698.9386735028672</v>
      </c>
      <c r="Y10" s="5">
        <f t="shared" si="18"/>
        <v>2208.5682032275881</v>
      </c>
      <c r="Z10" s="5">
        <f t="shared" si="18"/>
        <v>2779.9321439038863</v>
      </c>
      <c r="AA10" s="5">
        <f t="shared" si="18"/>
        <v>3419.8808376627799</v>
      </c>
    </row>
    <row r="11" spans="1:57" ht="13.5" customHeight="1" x14ac:dyDescent="0.2">
      <c r="A11" s="2" t="s">
        <v>36</v>
      </c>
      <c r="B11" s="5">
        <f t="shared" ref="B11:K11" si="19">+B9+B10</f>
        <v>1805</v>
      </c>
      <c r="C11" s="5">
        <f t="shared" si="19"/>
        <v>475</v>
      </c>
      <c r="D11" s="5">
        <f t="shared" si="19"/>
        <v>613</v>
      </c>
      <c r="E11" s="5">
        <f t="shared" si="19"/>
        <v>1289</v>
      </c>
      <c r="F11" s="5">
        <f t="shared" si="19"/>
        <v>2209</v>
      </c>
      <c r="G11" s="5">
        <f t="shared" si="19"/>
        <v>6981</v>
      </c>
      <c r="H11" s="5">
        <f t="shared" si="19"/>
        <v>10522</v>
      </c>
      <c r="I11" s="5">
        <f t="shared" si="19"/>
        <v>14106</v>
      </c>
      <c r="J11" s="5">
        <f t="shared" si="19"/>
        <v>17279</v>
      </c>
      <c r="K11" s="5">
        <f t="shared" si="19"/>
        <v>19214</v>
      </c>
      <c r="L11" s="5">
        <f t="shared" ref="L11" si="20">+L9+L10</f>
        <v>23819</v>
      </c>
      <c r="M11" s="5"/>
      <c r="N11" s="7" t="s">
        <v>37</v>
      </c>
      <c r="O11" s="8">
        <f>+O9/O10-1</f>
        <v>1.3344245903017673</v>
      </c>
      <c r="P11" s="8"/>
      <c r="Q11" s="5"/>
      <c r="R11" s="5">
        <f t="shared" ref="R11:S11" si="21">+R9+R10</f>
        <v>4182</v>
      </c>
      <c r="S11" s="5">
        <f t="shared" si="21"/>
        <v>33818</v>
      </c>
      <c r="T11" s="5">
        <f>+T9+T10</f>
        <v>37070.600000000013</v>
      </c>
      <c r="U11" s="5">
        <f t="shared" ref="U11:AA11" si="22">+U9+U10</f>
        <v>41765.951660000021</v>
      </c>
      <c r="V11" s="5">
        <f t="shared" si="22"/>
        <v>46990.016929276026</v>
      </c>
      <c r="W11" s="5">
        <f t="shared" si="22"/>
        <v>52800.0213529178</v>
      </c>
      <c r="X11" s="5">
        <f t="shared" si="22"/>
        <v>59259.247642409406</v>
      </c>
      <c r="Y11" s="5">
        <f t="shared" si="22"/>
        <v>66437.667520499788</v>
      </c>
      <c r="Z11" s="5">
        <f t="shared" si="22"/>
        <v>74412.638809173659</v>
      </c>
      <c r="AA11" s="5">
        <f t="shared" si="22"/>
        <v>83269.674448142701</v>
      </c>
    </row>
    <row r="12" spans="1:57" ht="13.5" customHeight="1" x14ac:dyDescent="0.2">
      <c r="A12" s="2" t="s">
        <v>38</v>
      </c>
      <c r="B12" s="5">
        <v>187</v>
      </c>
      <c r="C12" s="5">
        <v>-181</v>
      </c>
      <c r="D12" s="5">
        <v>-67</v>
      </c>
      <c r="E12" s="5">
        <v>-125</v>
      </c>
      <c r="F12" s="5">
        <v>166</v>
      </c>
      <c r="G12" s="5">
        <v>793</v>
      </c>
      <c r="H12" s="5">
        <v>1279</v>
      </c>
      <c r="I12" s="5">
        <v>1821</v>
      </c>
      <c r="J12" s="5">
        <v>2398</v>
      </c>
      <c r="K12" s="5">
        <v>2615</v>
      </c>
      <c r="L12" s="5">
        <v>2615</v>
      </c>
      <c r="M12" s="5"/>
      <c r="N12" s="5"/>
      <c r="O12" s="5"/>
      <c r="P12" s="5"/>
      <c r="Q12" s="5"/>
      <c r="R12" s="5">
        <f>SUM(B12:E12)</f>
        <v>-186</v>
      </c>
      <c r="S12" s="5">
        <f>SUM(F12:I12)</f>
        <v>4059</v>
      </c>
      <c r="T12" s="5">
        <f t="shared" ref="T12" si="23">+T11*0.14</f>
        <v>5189.8840000000027</v>
      </c>
      <c r="U12" s="5">
        <f t="shared" ref="U12:AA12" si="24">+U11*0.14</f>
        <v>5847.2332324000035</v>
      </c>
      <c r="V12" s="5">
        <f t="shared" si="24"/>
        <v>6578.6023700986443</v>
      </c>
      <c r="W12" s="5">
        <f t="shared" si="24"/>
        <v>7392.0029894084928</v>
      </c>
      <c r="X12" s="5">
        <f t="shared" si="24"/>
        <v>8296.2946699373169</v>
      </c>
      <c r="Y12" s="5">
        <f t="shared" si="24"/>
        <v>9301.2734528699712</v>
      </c>
      <c r="Z12" s="5">
        <f t="shared" si="24"/>
        <v>10417.769433284313</v>
      </c>
      <c r="AA12" s="5">
        <f t="shared" si="24"/>
        <v>11657.754422739979</v>
      </c>
    </row>
    <row r="13" spans="1:57" ht="13.5" customHeight="1" x14ac:dyDescent="0.25">
      <c r="A13" s="3" t="s">
        <v>39</v>
      </c>
      <c r="B13" s="4">
        <f t="shared" ref="B13:K13" si="25">+B11-B12</f>
        <v>1618</v>
      </c>
      <c r="C13" s="4">
        <f t="shared" si="25"/>
        <v>656</v>
      </c>
      <c r="D13" s="4">
        <f t="shared" si="25"/>
        <v>680</v>
      </c>
      <c r="E13" s="4">
        <f t="shared" si="25"/>
        <v>1414</v>
      </c>
      <c r="F13" s="4">
        <f t="shared" si="25"/>
        <v>2043</v>
      </c>
      <c r="G13" s="4">
        <f t="shared" si="25"/>
        <v>6188</v>
      </c>
      <c r="H13" s="4">
        <f t="shared" si="25"/>
        <v>9243</v>
      </c>
      <c r="I13" s="4">
        <f t="shared" si="25"/>
        <v>12285</v>
      </c>
      <c r="J13" s="4">
        <f t="shared" si="25"/>
        <v>14881</v>
      </c>
      <c r="K13" s="4">
        <f t="shared" si="25"/>
        <v>16599</v>
      </c>
      <c r="L13" s="4">
        <v>19309</v>
      </c>
      <c r="M13" s="4"/>
      <c r="N13" s="4"/>
      <c r="O13" s="4"/>
      <c r="P13" s="4" t="s">
        <v>4</v>
      </c>
      <c r="Q13" s="4"/>
      <c r="R13" s="4">
        <f t="shared" ref="R13:T13" si="26">+R11-R12</f>
        <v>4368</v>
      </c>
      <c r="S13" s="4">
        <f t="shared" si="26"/>
        <v>29759</v>
      </c>
      <c r="T13" s="4">
        <f t="shared" si="26"/>
        <v>31880.716000000011</v>
      </c>
      <c r="U13" s="4">
        <f t="shared" ref="U13:AA13" si="27">+U11-U12</f>
        <v>35918.718427600019</v>
      </c>
      <c r="V13" s="4">
        <f t="shared" si="27"/>
        <v>40411.414559177385</v>
      </c>
      <c r="W13" s="4">
        <f t="shared" si="27"/>
        <v>45408.018363509305</v>
      </c>
      <c r="X13" s="4">
        <f t="shared" si="27"/>
        <v>50962.952972472092</v>
      </c>
      <c r="Y13" s="4">
        <f t="shared" si="27"/>
        <v>57136.394067629815</v>
      </c>
      <c r="Z13" s="4">
        <f t="shared" si="27"/>
        <v>63994.86937588935</v>
      </c>
      <c r="AA13" s="4">
        <f t="shared" si="27"/>
        <v>71611.920025402724</v>
      </c>
      <c r="AB13" s="4">
        <f>+AA13*0.99</f>
        <v>70895.80082514869</v>
      </c>
      <c r="AC13" s="4">
        <f t="shared" ref="AC13:BE13" si="28">+AB13*0.99</f>
        <v>70186.842816897202</v>
      </c>
      <c r="AD13" s="4">
        <f t="shared" si="28"/>
        <v>69484.974388728224</v>
      </c>
      <c r="AE13" s="4">
        <f t="shared" si="28"/>
        <v>68790.124644840937</v>
      </c>
      <c r="AF13" s="4">
        <f t="shared" si="28"/>
        <v>68102.223398392525</v>
      </c>
      <c r="AG13" s="4">
        <f t="shared" si="28"/>
        <v>67421.201164408601</v>
      </c>
      <c r="AH13" s="4">
        <f t="shared" si="28"/>
        <v>66746.989152764509</v>
      </c>
      <c r="AI13" s="4">
        <f t="shared" si="28"/>
        <v>66079.51926123687</v>
      </c>
      <c r="AJ13" s="4">
        <f t="shared" si="28"/>
        <v>65418.724068624499</v>
      </c>
      <c r="AK13" s="4">
        <f t="shared" si="28"/>
        <v>64764.536827938253</v>
      </c>
      <c r="AL13" s="4">
        <f t="shared" si="28"/>
        <v>64116.891459658873</v>
      </c>
      <c r="AM13" s="4">
        <f t="shared" si="28"/>
        <v>63475.722545062286</v>
      </c>
      <c r="AN13" s="4">
        <f t="shared" si="28"/>
        <v>62840.965319611663</v>
      </c>
      <c r="AO13" s="4">
        <f t="shared" si="28"/>
        <v>62212.555666415545</v>
      </c>
      <c r="AP13" s="4">
        <f t="shared" si="28"/>
        <v>61590.430109751389</v>
      </c>
      <c r="AQ13" s="4">
        <f t="shared" si="28"/>
        <v>60974.525808653874</v>
      </c>
      <c r="AR13" s="4">
        <f t="shared" si="28"/>
        <v>60364.780550567331</v>
      </c>
      <c r="AS13" s="4">
        <f t="shared" si="28"/>
        <v>59761.132745061659</v>
      </c>
      <c r="AT13" s="4">
        <f t="shared" si="28"/>
        <v>59163.521417611038</v>
      </c>
      <c r="AU13" s="4">
        <f t="shared" si="28"/>
        <v>58571.886203434929</v>
      </c>
      <c r="AV13" s="4">
        <f t="shared" si="28"/>
        <v>57986.167341400578</v>
      </c>
      <c r="AW13" s="4">
        <f t="shared" si="28"/>
        <v>57406.305667986569</v>
      </c>
      <c r="AX13" s="4">
        <f t="shared" si="28"/>
        <v>56832.242611306705</v>
      </c>
      <c r="AY13" s="4">
        <f t="shared" si="28"/>
        <v>56263.920185193638</v>
      </c>
      <c r="AZ13" s="4">
        <f t="shared" si="28"/>
        <v>55701.280983341698</v>
      </c>
      <c r="BA13" s="4">
        <f t="shared" si="28"/>
        <v>55144.268173508281</v>
      </c>
      <c r="BB13" s="4">
        <f t="shared" si="28"/>
        <v>54592.825491773197</v>
      </c>
      <c r="BC13" s="4">
        <f t="shared" si="28"/>
        <v>54046.897236855468</v>
      </c>
      <c r="BD13" s="4">
        <f t="shared" si="28"/>
        <v>53506.428264486909</v>
      </c>
      <c r="BE13" s="4">
        <f t="shared" si="28"/>
        <v>52971.363981842042</v>
      </c>
    </row>
    <row r="14" spans="1:57" ht="13.5" customHeight="1" x14ac:dyDescent="0.2">
      <c r="A14" s="2" t="s">
        <v>40</v>
      </c>
      <c r="B14" s="12">
        <f t="shared" ref="B14:K14" si="29">+B13/B15</f>
        <v>0.64565043894652829</v>
      </c>
      <c r="C14" s="12">
        <f t="shared" si="29"/>
        <v>0.26292585170340682</v>
      </c>
      <c r="D14" s="12">
        <f t="shared" si="29"/>
        <v>0.27386226339105918</v>
      </c>
      <c r="E14" s="12">
        <f t="shared" si="29"/>
        <v>0.57386363636363635</v>
      </c>
      <c r="F14" s="12">
        <f t="shared" si="29"/>
        <v>0.82712550607287449</v>
      </c>
      <c r="G14" s="12">
        <f t="shared" si="29"/>
        <v>2.5022240194096241</v>
      </c>
      <c r="H14" s="12">
        <f t="shared" si="29"/>
        <v>3.7451377633711509</v>
      </c>
      <c r="I14" s="12">
        <f t="shared" si="29"/>
        <v>4.9817518248175183</v>
      </c>
      <c r="J14" s="12">
        <f t="shared" si="29"/>
        <v>6.0442729488220959</v>
      </c>
      <c r="K14" s="12">
        <f t="shared" si="29"/>
        <v>0.67536007811864274</v>
      </c>
      <c r="L14" s="12">
        <f t="shared" ref="L14" si="30">+L13/L15</f>
        <v>0.78562128733013259</v>
      </c>
      <c r="M14" s="12"/>
      <c r="N14" s="5"/>
      <c r="O14" s="5"/>
      <c r="P14" s="5"/>
      <c r="Q14" s="5"/>
      <c r="R14" s="12">
        <f t="shared" ref="R14:AA14" si="31">+R13/R15</f>
        <v>1.7563329312424607</v>
      </c>
      <c r="S14" s="12">
        <f t="shared" si="31"/>
        <v>12.051837602510885</v>
      </c>
      <c r="T14" s="12">
        <f t="shared" si="31"/>
        <v>12.911092841956064</v>
      </c>
      <c r="U14" s="12">
        <f t="shared" si="31"/>
        <v>14.546408191799136</v>
      </c>
      <c r="V14" s="12">
        <f t="shared" si="31"/>
        <v>16.365865975165491</v>
      </c>
      <c r="W14" s="12">
        <f t="shared" si="31"/>
        <v>18.389396927613365</v>
      </c>
      <c r="X14" s="12">
        <f t="shared" si="31"/>
        <v>20.639041398186531</v>
      </c>
      <c r="Y14" s="12">
        <f t="shared" si="31"/>
        <v>23.139169410804826</v>
      </c>
      <c r="Z14" s="12">
        <f t="shared" si="31"/>
        <v>25.916723448775681</v>
      </c>
      <c r="AA14" s="12">
        <f t="shared" si="31"/>
        <v>29.001486291547121</v>
      </c>
    </row>
    <row r="15" spans="1:57" ht="13.5" customHeight="1" x14ac:dyDescent="0.2">
      <c r="A15" s="2" t="s">
        <v>41</v>
      </c>
      <c r="B15" s="5">
        <v>2506</v>
      </c>
      <c r="C15" s="5">
        <v>2495</v>
      </c>
      <c r="D15" s="5">
        <v>2483</v>
      </c>
      <c r="E15" s="5">
        <v>2464</v>
      </c>
      <c r="F15" s="5">
        <v>2470</v>
      </c>
      <c r="G15" s="5">
        <v>2473</v>
      </c>
      <c r="H15" s="5">
        <v>2468</v>
      </c>
      <c r="I15" s="5">
        <v>2466</v>
      </c>
      <c r="J15" s="5">
        <v>2462</v>
      </c>
      <c r="K15" s="5">
        <v>24578</v>
      </c>
      <c r="L15" s="5">
        <v>24578</v>
      </c>
      <c r="M15" s="5"/>
      <c r="N15" s="5"/>
      <c r="O15" s="5"/>
      <c r="P15" s="5"/>
      <c r="Q15" s="5"/>
      <c r="R15" s="5">
        <f>AVERAGE(B15:E15)</f>
        <v>2487</v>
      </c>
      <c r="S15" s="5">
        <f>AVERAGE(F15:I15)</f>
        <v>2469.25</v>
      </c>
      <c r="T15" s="5">
        <f t="shared" ref="T15:AA15" si="32">+S15</f>
        <v>2469.25</v>
      </c>
      <c r="U15" s="5">
        <f t="shared" si="32"/>
        <v>2469.25</v>
      </c>
      <c r="V15" s="5">
        <f t="shared" si="32"/>
        <v>2469.25</v>
      </c>
      <c r="W15" s="5">
        <f t="shared" si="32"/>
        <v>2469.25</v>
      </c>
      <c r="X15" s="5">
        <f t="shared" si="32"/>
        <v>2469.25</v>
      </c>
      <c r="Y15" s="5">
        <f t="shared" si="32"/>
        <v>2469.25</v>
      </c>
      <c r="Z15" s="5">
        <f t="shared" si="32"/>
        <v>2469.25</v>
      </c>
      <c r="AA15" s="5">
        <f t="shared" si="32"/>
        <v>2469.25</v>
      </c>
    </row>
    <row r="16" spans="1:57" ht="13.5" customHeight="1" x14ac:dyDescent="0.2">
      <c r="T16" t="s">
        <v>4</v>
      </c>
    </row>
    <row r="17" spans="1:27" ht="13.5" customHeight="1" x14ac:dyDescent="0.2">
      <c r="A17" s="2" t="s">
        <v>42</v>
      </c>
      <c r="B17" s="8">
        <f t="shared" ref="B17:K17" si="33">+B4/B2</f>
        <v>0.65528474903474898</v>
      </c>
      <c r="C17" s="8">
        <f t="shared" si="33"/>
        <v>0.43481503579952269</v>
      </c>
      <c r="D17" s="8">
        <f t="shared" si="33"/>
        <v>0.53566009104704093</v>
      </c>
      <c r="E17" s="8">
        <f t="shared" si="33"/>
        <v>0.63344901669145592</v>
      </c>
      <c r="F17" s="8">
        <f t="shared" si="33"/>
        <v>0.64627363737486099</v>
      </c>
      <c r="G17" s="8">
        <f t="shared" si="33"/>
        <v>0.7005256533649219</v>
      </c>
      <c r="H17" s="8">
        <f t="shared" si="33"/>
        <v>0.73951434878587197</v>
      </c>
      <c r="I17" s="8">
        <f t="shared" si="33"/>
        <v>0.75967063294575399</v>
      </c>
      <c r="J17" s="8">
        <f t="shared" si="33"/>
        <v>0.78352019659038552</v>
      </c>
      <c r="K17" s="8">
        <f t="shared" si="33"/>
        <v>0.75146471371504664</v>
      </c>
      <c r="L17" s="8">
        <f t="shared" ref="L17" si="34">+L4/L2</f>
        <v>0.78668571428571432</v>
      </c>
      <c r="M17" s="8"/>
      <c r="R17" s="8">
        <f t="shared" ref="R17:AA17" si="35">+R4/R2</f>
        <v>0.56928894490991322</v>
      </c>
      <c r="S17" s="8">
        <f t="shared" si="35"/>
        <v>0.72717573290436954</v>
      </c>
      <c r="T17" s="8">
        <f t="shared" si="35"/>
        <v>0.73213617412429011</v>
      </c>
      <c r="U17" s="8">
        <f t="shared" si="35"/>
        <v>0.73700642550384854</v>
      </c>
      <c r="V17" s="8">
        <f t="shared" si="35"/>
        <v>0.74178812685832396</v>
      </c>
      <c r="W17" s="8">
        <f t="shared" si="35"/>
        <v>0.74648288818817266</v>
      </c>
      <c r="X17" s="8">
        <f t="shared" si="35"/>
        <v>0.7510922902211149</v>
      </c>
      <c r="Y17" s="8">
        <f t="shared" si="35"/>
        <v>0.75561788494436744</v>
      </c>
      <c r="Z17" s="8">
        <f t="shared" si="35"/>
        <v>0.76006119612719714</v>
      </c>
      <c r="AA17" s="8">
        <f t="shared" si="35"/>
        <v>0.76442371983397528</v>
      </c>
    </row>
    <row r="18" spans="1:27" ht="13.5" customHeight="1" x14ac:dyDescent="0.2">
      <c r="A18" s="2" t="s">
        <v>43</v>
      </c>
      <c r="B18" s="8">
        <f t="shared" ref="B18:K18" si="36">+B5/B2</f>
        <v>0.19522200772200773</v>
      </c>
      <c r="C18" s="8">
        <f t="shared" si="36"/>
        <v>0.27207637231503579</v>
      </c>
      <c r="D18" s="8">
        <f t="shared" si="36"/>
        <v>0.32793795312763446</v>
      </c>
      <c r="E18" s="8">
        <f t="shared" si="36"/>
        <v>0.3224260452817716</v>
      </c>
      <c r="F18" s="8">
        <f t="shared" si="36"/>
        <v>0.26070634037819801</v>
      </c>
      <c r="G18" s="8">
        <f t="shared" si="36"/>
        <v>0.15103279780854373</v>
      </c>
      <c r="H18" s="8">
        <f t="shared" si="36"/>
        <v>0.12660044150110375</v>
      </c>
      <c r="I18" s="8">
        <f t="shared" si="36"/>
        <v>0.11152332262588789</v>
      </c>
      <c r="J18" s="8">
        <f t="shared" si="36"/>
        <v>0.10443864229765012</v>
      </c>
      <c r="K18" s="8">
        <f t="shared" si="36"/>
        <v>0.10286284953395473</v>
      </c>
      <c r="L18" s="8">
        <f t="shared" ref="L18" si="37">+L5/L2</f>
        <v>8.8285714285714287E-2</v>
      </c>
      <c r="M18" s="8"/>
      <c r="R18" s="8">
        <f t="shared" ref="R18:AA18" si="38">+R5/R2</f>
        <v>0.27203974197375252</v>
      </c>
      <c r="S18" s="8">
        <f t="shared" si="38"/>
        <v>0.14237877942286858</v>
      </c>
      <c r="T18" s="8">
        <f t="shared" si="38"/>
        <v>0.13979007434245277</v>
      </c>
      <c r="U18" s="8">
        <f t="shared" si="38"/>
        <v>0.13724843662713543</v>
      </c>
      <c r="V18" s="8">
        <f t="shared" si="38"/>
        <v>0.13475301050664207</v>
      </c>
      <c r="W18" s="8">
        <f t="shared" si="38"/>
        <v>0.13230295577015766</v>
      </c>
      <c r="X18" s="8">
        <f t="shared" si="38"/>
        <v>0.12989744748342752</v>
      </c>
      <c r="Y18" s="8">
        <f t="shared" si="38"/>
        <v>0.12753567571100158</v>
      </c>
      <c r="Z18" s="8">
        <f t="shared" si="38"/>
        <v>0.12521684524352883</v>
      </c>
      <c r="AA18" s="8">
        <f t="shared" si="38"/>
        <v>0.1229401753300101</v>
      </c>
    </row>
    <row r="19" spans="1:27" ht="13.5" customHeight="1" x14ac:dyDescent="0.2">
      <c r="A19" s="2" t="s">
        <v>44</v>
      </c>
      <c r="B19" s="8">
        <f t="shared" ref="B19:K19" si="39">+B6/B2</f>
        <v>7.1428571428571425E-2</v>
      </c>
      <c r="C19" s="8">
        <f t="shared" si="39"/>
        <v>8.83054892601432E-2</v>
      </c>
      <c r="D19" s="8">
        <f t="shared" si="39"/>
        <v>0.1063901534311246</v>
      </c>
      <c r="E19" s="8">
        <f t="shared" si="39"/>
        <v>0.10328871260948604</v>
      </c>
      <c r="F19" s="8">
        <f t="shared" si="39"/>
        <v>8.8014460511679646E-2</v>
      </c>
      <c r="G19" s="8">
        <f t="shared" si="39"/>
        <v>4.6050196194565782E-2</v>
      </c>
      <c r="H19" s="8">
        <f t="shared" si="39"/>
        <v>3.8024282560706404E-2</v>
      </c>
      <c r="I19" s="8">
        <f t="shared" si="39"/>
        <v>3.2167579061665834E-2</v>
      </c>
      <c r="J19" s="8">
        <f t="shared" si="39"/>
        <v>2.9834126862233145E-2</v>
      </c>
      <c r="K19" s="8">
        <f t="shared" si="39"/>
        <v>2.8029294274300932E-2</v>
      </c>
      <c r="L19" s="8">
        <f t="shared" ref="L19" si="40">+L6/L2</f>
        <v>2.4057142857142857E-2</v>
      </c>
      <c r="M19" s="8"/>
      <c r="R19" s="8">
        <f t="shared" ref="R19:AA19" si="41">+R6/R2</f>
        <v>9.0457477570994288E-2</v>
      </c>
      <c r="S19" s="8">
        <f t="shared" si="41"/>
        <v>4.3580315813663374E-2</v>
      </c>
      <c r="T19" s="8">
        <f t="shared" si="41"/>
        <v>4.1599392367587758E-2</v>
      </c>
      <c r="U19" s="8">
        <f t="shared" si="41"/>
        <v>3.9708510896333767E-2</v>
      </c>
      <c r="V19" s="8">
        <f t="shared" si="41"/>
        <v>3.7903578582864049E-2</v>
      </c>
      <c r="W19" s="8">
        <f t="shared" si="41"/>
        <v>3.6180688647279316E-2</v>
      </c>
      <c r="X19" s="8">
        <f t="shared" si="41"/>
        <v>3.4536111890584795E-2</v>
      </c>
      <c r="Y19" s="8">
        <f t="shared" si="41"/>
        <v>3.2966288622830943E-2</v>
      </c>
      <c r="Z19" s="8">
        <f t="shared" si="41"/>
        <v>3.1467820958156804E-2</v>
      </c>
      <c r="AA19" s="8">
        <f t="shared" si="41"/>
        <v>3.0037465460058772E-2</v>
      </c>
    </row>
    <row r="20" spans="1:27" ht="13.5" customHeight="1" x14ac:dyDescent="0.2">
      <c r="A20" s="2" t="s">
        <v>45</v>
      </c>
      <c r="B20" s="8">
        <f t="shared" ref="B20:K20" si="42">+B9/B2</f>
        <v>0.22538610038610038</v>
      </c>
      <c r="C20" s="8">
        <f t="shared" si="42"/>
        <v>7.4433174224343673E-2</v>
      </c>
      <c r="D20" s="8">
        <f t="shared" si="42"/>
        <v>0.10133198448828191</v>
      </c>
      <c r="E20" s="8">
        <f t="shared" si="42"/>
        <v>0.2077342588001983</v>
      </c>
      <c r="F20" s="8">
        <f t="shared" si="42"/>
        <v>0.29755283648498332</v>
      </c>
      <c r="G20" s="8">
        <f t="shared" si="42"/>
        <v>0.50344265936181243</v>
      </c>
      <c r="H20" s="8">
        <f t="shared" si="42"/>
        <v>0.5748896247240618</v>
      </c>
      <c r="I20" s="8">
        <f t="shared" si="42"/>
        <v>0.61597973125820027</v>
      </c>
      <c r="J20" s="8">
        <f t="shared" si="42"/>
        <v>0.64924742743050223</v>
      </c>
      <c r="K20" s="8">
        <f t="shared" si="42"/>
        <v>0.62057256990679099</v>
      </c>
      <c r="L20" s="8">
        <f t="shared" ref="L20" si="43">+L9/L2</f>
        <v>0.66420000000000001</v>
      </c>
      <c r="M20" s="8"/>
      <c r="R20" s="8">
        <f t="shared" ref="R20:AA20" si="44">+R9/R2</f>
        <v>0.15663231259731594</v>
      </c>
      <c r="S20" s="8">
        <f t="shared" si="44"/>
        <v>0.54121663766783756</v>
      </c>
      <c r="T20" s="8">
        <f t="shared" si="44"/>
        <v>0.55074670741424958</v>
      </c>
      <c r="U20" s="8">
        <f t="shared" si="44"/>
        <v>0.5600494779803793</v>
      </c>
      <c r="V20" s="8">
        <f t="shared" si="44"/>
        <v>0.56913153776881786</v>
      </c>
      <c r="W20" s="8">
        <f t="shared" si="44"/>
        <v>0.57799924377073564</v>
      </c>
      <c r="X20" s="8">
        <f t="shared" si="44"/>
        <v>0.58665873084710263</v>
      </c>
      <c r="Y20" s="8">
        <f t="shared" si="44"/>
        <v>0.59511592061053498</v>
      </c>
      <c r="Z20" s="8">
        <f t="shared" si="44"/>
        <v>0.60337652992551161</v>
      </c>
      <c r="AA20" s="8">
        <f t="shared" si="44"/>
        <v>0.61144607904390647</v>
      </c>
    </row>
    <row r="21" spans="1:27" ht="13.5" customHeight="1" x14ac:dyDescent="0.2">
      <c r="A21" s="2" t="s">
        <v>46</v>
      </c>
      <c r="B21" s="8">
        <f t="shared" ref="B21:K21" si="45">+B12/B11</f>
        <v>0.10360110803324099</v>
      </c>
      <c r="C21" s="8">
        <f t="shared" si="45"/>
        <v>-0.38105263157894737</v>
      </c>
      <c r="D21" s="8">
        <f t="shared" si="45"/>
        <v>-0.10929853181076672</v>
      </c>
      <c r="E21" s="8">
        <f t="shared" si="45"/>
        <v>-9.6974398758727695E-2</v>
      </c>
      <c r="F21" s="8">
        <f t="shared" si="45"/>
        <v>7.5147125396106837E-2</v>
      </c>
      <c r="G21" s="8">
        <f t="shared" si="45"/>
        <v>0.11359404096834265</v>
      </c>
      <c r="H21" s="8">
        <f t="shared" si="45"/>
        <v>0.12155483748336818</v>
      </c>
      <c r="I21" s="8">
        <f t="shared" si="45"/>
        <v>0.12909400255210549</v>
      </c>
      <c r="J21" s="8">
        <f t="shared" si="45"/>
        <v>0.13878117946640431</v>
      </c>
      <c r="K21" s="8">
        <f t="shared" si="45"/>
        <v>0.1360986780472572</v>
      </c>
      <c r="L21" s="8">
        <f t="shared" ref="L21" si="46">+L12/L11</f>
        <v>0.10978630505058987</v>
      </c>
      <c r="M21" s="8"/>
      <c r="R21" s="8">
        <f t="shared" ref="R21:AA21" si="47">+R12/R11</f>
        <v>-4.4476327116212341E-2</v>
      </c>
      <c r="S21" s="8">
        <f t="shared" si="47"/>
        <v>0.12002483884321959</v>
      </c>
      <c r="T21" s="8">
        <f t="shared" si="47"/>
        <v>0.14000000000000001</v>
      </c>
      <c r="U21" s="8">
        <f t="shared" si="47"/>
        <v>0.14000000000000001</v>
      </c>
      <c r="V21" s="8">
        <f t="shared" si="47"/>
        <v>0.14000000000000001</v>
      </c>
      <c r="W21" s="8">
        <f t="shared" si="47"/>
        <v>0.14000000000000001</v>
      </c>
      <c r="X21" s="8">
        <f t="shared" si="47"/>
        <v>0.14000000000000001</v>
      </c>
      <c r="Y21" s="8">
        <f t="shared" si="47"/>
        <v>0.14000000000000001</v>
      </c>
      <c r="Z21" s="8">
        <f t="shared" si="47"/>
        <v>0.14000000000000001</v>
      </c>
      <c r="AA21" s="8">
        <f t="shared" si="47"/>
        <v>0.14000000000000001</v>
      </c>
    </row>
    <row r="22" spans="1:27" ht="13.5" customHeight="1" x14ac:dyDescent="0.2">
      <c r="A22" s="2" t="s">
        <v>47</v>
      </c>
      <c r="B22" s="8">
        <f t="shared" ref="B22:K22" si="48">+B13/B4</f>
        <v>0.29791935186890073</v>
      </c>
      <c r="C22" s="8">
        <f t="shared" si="48"/>
        <v>0.22504288164665523</v>
      </c>
      <c r="D22" s="8">
        <f t="shared" si="48"/>
        <v>0.21403840100723953</v>
      </c>
      <c r="E22" s="8">
        <f t="shared" si="48"/>
        <v>0.36890164362118444</v>
      </c>
      <c r="F22" s="8">
        <f t="shared" si="48"/>
        <v>0.43954388984509468</v>
      </c>
      <c r="G22" s="8">
        <f t="shared" si="48"/>
        <v>0.65398435848657788</v>
      </c>
      <c r="H22" s="8">
        <f t="shared" si="48"/>
        <v>0.68977611940298511</v>
      </c>
      <c r="I22" s="8">
        <f t="shared" si="48"/>
        <v>0.7316419510452028</v>
      </c>
      <c r="J22" s="8">
        <f t="shared" si="48"/>
        <v>0.72924630010781144</v>
      </c>
      <c r="K22" s="8">
        <f t="shared" si="48"/>
        <v>0.73531496411801189</v>
      </c>
      <c r="L22" s="8">
        <f t="shared" ref="L22" si="49">+L13/L4</f>
        <v>0.70127841940873104</v>
      </c>
      <c r="M22" s="8"/>
      <c r="R22" s="8">
        <f t="shared" ref="R22:AA22" si="50">+R13/R4</f>
        <v>0.28444907528002084</v>
      </c>
      <c r="S22" s="8">
        <f t="shared" si="50"/>
        <v>0.67174555879099795</v>
      </c>
      <c r="T22" s="8">
        <f>+T10/T4</f>
        <v>3.3171284897618425E-3</v>
      </c>
      <c r="U22" s="8">
        <f t="shared" si="50"/>
        <v>0.66113482783456912</v>
      </c>
      <c r="V22" s="8">
        <f t="shared" si="50"/>
        <v>0.67184945202625812</v>
      </c>
      <c r="W22" s="8">
        <f t="shared" si="50"/>
        <v>0.68197397187713826</v>
      </c>
      <c r="X22" s="8">
        <f t="shared" si="50"/>
        <v>0.69155018596378859</v>
      </c>
      <c r="Y22" s="8">
        <f t="shared" si="50"/>
        <v>0.70061645979595355</v>
      </c>
      <c r="Z22" s="8">
        <f t="shared" si="50"/>
        <v>0.70920803570047297</v>
      </c>
      <c r="AA22" s="8">
        <f t="shared" si="50"/>
        <v>0.71735731265070035</v>
      </c>
    </row>
    <row r="23" spans="1:27" ht="13.5" customHeight="1" x14ac:dyDescent="0.2"/>
    <row r="24" spans="1:27" ht="13.5" customHeight="1" x14ac:dyDescent="0.2">
      <c r="A24" s="2" t="s">
        <v>48</v>
      </c>
      <c r="D24" s="2" t="s">
        <v>4</v>
      </c>
      <c r="F24" s="8">
        <f t="shared" ref="F24:K24" si="51">+F2/B2-1</f>
        <v>-0.13223938223938225</v>
      </c>
      <c r="G24" s="8">
        <f t="shared" si="51"/>
        <v>1.0147673031026252</v>
      </c>
      <c r="H24" s="8">
        <f t="shared" si="51"/>
        <v>2.0551340414769852</v>
      </c>
      <c r="I24" s="8">
        <f t="shared" si="51"/>
        <v>2.6527846636919516</v>
      </c>
      <c r="J24" s="8">
        <f t="shared" si="51"/>
        <v>2.6212458286985538</v>
      </c>
      <c r="K24" s="8">
        <f t="shared" si="51"/>
        <v>1.2240319834160065</v>
      </c>
      <c r="N24" s="2" t="s">
        <v>4</v>
      </c>
      <c r="O24" s="2" t="s">
        <v>49</v>
      </c>
      <c r="P24" s="2"/>
      <c r="Q24" s="2" t="s">
        <v>4</v>
      </c>
      <c r="S24" s="8">
        <f t="shared" ref="S24:AA24" si="52">+S2/R2-1</f>
        <v>1.2585452658115224</v>
      </c>
      <c r="T24" s="8">
        <f t="shared" si="52"/>
        <v>0.10000000000000009</v>
      </c>
      <c r="U24" s="8">
        <f t="shared" si="52"/>
        <v>0.10000000000000009</v>
      </c>
      <c r="V24" s="8">
        <f t="shared" si="52"/>
        <v>0.10000000000000009</v>
      </c>
      <c r="W24" s="8">
        <f t="shared" si="52"/>
        <v>0.10000000000000009</v>
      </c>
      <c r="X24" s="8">
        <f t="shared" si="52"/>
        <v>0.10000000000000009</v>
      </c>
      <c r="Y24" s="8">
        <f t="shared" si="52"/>
        <v>0.10000000000000009</v>
      </c>
      <c r="Z24" s="8">
        <f t="shared" si="52"/>
        <v>0.10000000000000009</v>
      </c>
      <c r="AA24" s="8">
        <f t="shared" si="52"/>
        <v>0.10000000000000009</v>
      </c>
    </row>
    <row r="25" spans="1:27" ht="13.5" customHeight="1" x14ac:dyDescent="0.2"/>
    <row r="26" spans="1:27" ht="13.5" customHeight="1" x14ac:dyDescent="0.2">
      <c r="A26" s="2" t="s">
        <v>50</v>
      </c>
      <c r="E26" s="8">
        <f t="shared" ref="E26:J26" si="53">+E13/E27</f>
        <v>0.60349978659837811</v>
      </c>
      <c r="F26" s="8">
        <f t="shared" si="53"/>
        <v>0.45653631284916202</v>
      </c>
      <c r="G26" s="8">
        <f t="shared" si="53"/>
        <v>1.0975523235189784</v>
      </c>
      <c r="H26" s="8">
        <f t="shared" si="53"/>
        <v>1.241671144545943</v>
      </c>
      <c r="I26" s="8">
        <f t="shared" si="53"/>
        <v>0.75483870967741939</v>
      </c>
      <c r="J26" s="8">
        <f t="shared" si="53"/>
        <v>0.79314572007248696</v>
      </c>
      <c r="R26" s="2" t="s">
        <v>4</v>
      </c>
    </row>
    <row r="27" spans="1:27" ht="13.5" customHeight="1" x14ac:dyDescent="0.25">
      <c r="A27" s="3" t="s">
        <v>51</v>
      </c>
      <c r="B27" s="3"/>
      <c r="C27" s="3"/>
      <c r="D27" s="3"/>
      <c r="E27" s="4">
        <f t="shared" ref="E27:J27" si="54">+E29-E40</f>
        <v>2343</v>
      </c>
      <c r="F27" s="4">
        <f t="shared" si="54"/>
        <v>4475</v>
      </c>
      <c r="G27" s="4">
        <f t="shared" si="54"/>
        <v>5638</v>
      </c>
      <c r="H27" s="4">
        <f t="shared" si="54"/>
        <v>7444</v>
      </c>
      <c r="I27" s="4">
        <f t="shared" si="54"/>
        <v>16275</v>
      </c>
      <c r="J27" s="4">
        <f t="shared" si="54"/>
        <v>18762</v>
      </c>
      <c r="K27" s="3"/>
      <c r="L27" s="3"/>
      <c r="M27" s="3"/>
      <c r="N27" s="3"/>
      <c r="O27" s="3" t="s">
        <v>4</v>
      </c>
      <c r="P27" s="3"/>
      <c r="Q27" s="3"/>
      <c r="R27" s="4">
        <f>+E27</f>
        <v>2343</v>
      </c>
      <c r="S27" s="4">
        <f>+I27</f>
        <v>16275</v>
      </c>
      <c r="T27" s="4">
        <f>+S27+T13</f>
        <v>48155.716000000015</v>
      </c>
      <c r="U27" s="4">
        <f t="shared" ref="U27:AA27" si="55">+T27+U13</f>
        <v>84074.434427600034</v>
      </c>
      <c r="V27" s="4">
        <f t="shared" si="55"/>
        <v>124485.84898677742</v>
      </c>
      <c r="W27" s="4">
        <f t="shared" si="55"/>
        <v>169893.86735028672</v>
      </c>
      <c r="X27" s="4">
        <f t="shared" si="55"/>
        <v>220856.82032275881</v>
      </c>
      <c r="Y27" s="4">
        <f t="shared" si="55"/>
        <v>277993.21439038863</v>
      </c>
      <c r="Z27" s="4">
        <f t="shared" si="55"/>
        <v>341988.083766278</v>
      </c>
      <c r="AA27" s="4">
        <f t="shared" si="55"/>
        <v>413600.00379168073</v>
      </c>
    </row>
    <row r="28" spans="1:27" ht="13.5" customHeight="1" x14ac:dyDescent="0.2">
      <c r="F28" s="2" t="s">
        <v>4</v>
      </c>
      <c r="J28" s="5"/>
      <c r="R28" s="2" t="s">
        <v>4</v>
      </c>
      <c r="T28" s="5" t="s">
        <v>4</v>
      </c>
    </row>
    <row r="29" spans="1:27" ht="13.5" customHeight="1" x14ac:dyDescent="0.2">
      <c r="A29" s="2" t="s">
        <v>5</v>
      </c>
      <c r="E29" s="2">
        <f>3389+9907</f>
        <v>13296</v>
      </c>
      <c r="F29" s="2">
        <v>15320</v>
      </c>
      <c r="G29" s="2">
        <v>16023</v>
      </c>
      <c r="H29" s="2">
        <v>18281</v>
      </c>
      <c r="I29" s="2">
        <f>7280+18704</f>
        <v>25984</v>
      </c>
      <c r="J29" s="5">
        <v>31438</v>
      </c>
    </row>
    <row r="30" spans="1:27" ht="13.5" customHeight="1" x14ac:dyDescent="0.2">
      <c r="A30" s="2" t="s">
        <v>52</v>
      </c>
      <c r="E30" s="2">
        <v>3827</v>
      </c>
      <c r="F30" s="2">
        <v>4080</v>
      </c>
      <c r="G30" s="2">
        <v>7066</v>
      </c>
      <c r="H30" s="2">
        <v>8309</v>
      </c>
      <c r="I30" s="2">
        <v>9999</v>
      </c>
      <c r="J30" s="5">
        <v>12365</v>
      </c>
      <c r="R30" s="2" t="s">
        <v>4</v>
      </c>
    </row>
    <row r="31" spans="1:27" ht="13.5" customHeight="1" x14ac:dyDescent="0.2">
      <c r="A31" s="2" t="s">
        <v>53</v>
      </c>
      <c r="E31" s="2">
        <v>5199</v>
      </c>
      <c r="F31" s="2">
        <v>4611</v>
      </c>
      <c r="G31" s="2">
        <v>4319</v>
      </c>
      <c r="H31" s="2">
        <v>4779</v>
      </c>
      <c r="I31" s="2">
        <v>5282</v>
      </c>
      <c r="J31" s="5">
        <v>5864</v>
      </c>
    </row>
    <row r="32" spans="1:27" ht="13.5" customHeight="1" x14ac:dyDescent="0.2">
      <c r="A32" s="2" t="s">
        <v>54</v>
      </c>
      <c r="E32" s="2">
        <v>719</v>
      </c>
      <c r="F32" s="2">
        <v>872</v>
      </c>
      <c r="G32" s="2">
        <v>1389</v>
      </c>
      <c r="H32" s="2">
        <v>1289</v>
      </c>
      <c r="I32" s="2">
        <v>3080</v>
      </c>
      <c r="J32" s="5">
        <v>4062</v>
      </c>
    </row>
    <row r="33" spans="1:19" ht="13.5" customHeight="1" x14ac:dyDescent="0.2">
      <c r="A33" s="2" t="s">
        <v>55</v>
      </c>
      <c r="E33" s="2">
        <v>3807</v>
      </c>
      <c r="F33" s="2">
        <v>3740</v>
      </c>
      <c r="G33" s="2">
        <v>3799</v>
      </c>
      <c r="H33" s="2">
        <v>3844</v>
      </c>
      <c r="I33" s="2">
        <v>3914</v>
      </c>
      <c r="J33" s="5">
        <v>4006</v>
      </c>
    </row>
    <row r="34" spans="1:19" ht="13.5" customHeight="1" x14ac:dyDescent="0.2">
      <c r="A34" s="2" t="s">
        <v>56</v>
      </c>
      <c r="E34" s="2">
        <v>1038</v>
      </c>
      <c r="F34" s="2">
        <v>1094</v>
      </c>
      <c r="G34" s="2">
        <v>1235</v>
      </c>
      <c r="H34" s="2">
        <v>1316</v>
      </c>
      <c r="I34" s="2">
        <v>1346</v>
      </c>
      <c r="J34" s="5">
        <v>1532</v>
      </c>
    </row>
    <row r="35" spans="1:19" ht="13.5" customHeight="1" x14ac:dyDescent="0.2">
      <c r="A35" s="2" t="s">
        <v>57</v>
      </c>
      <c r="E35" s="2">
        <f>4372+1676</f>
        <v>6048</v>
      </c>
      <c r="F35" s="2">
        <f>4430+1541</f>
        <v>5971</v>
      </c>
      <c r="G35" s="2">
        <f>4430+1395</f>
        <v>5825</v>
      </c>
      <c r="H35" s="2">
        <f>4430+1251</f>
        <v>5681</v>
      </c>
      <c r="I35" s="2">
        <f>4430+1112</f>
        <v>5542</v>
      </c>
      <c r="J35" s="5">
        <f>4453+986</f>
        <v>5439</v>
      </c>
    </row>
    <row r="36" spans="1:19" ht="13.5" customHeight="1" x14ac:dyDescent="0.2">
      <c r="A36" s="2" t="s">
        <v>58</v>
      </c>
      <c r="E36" s="2">
        <v>3396</v>
      </c>
      <c r="F36" s="2">
        <v>4568</v>
      </c>
      <c r="G36" s="2">
        <v>5398</v>
      </c>
      <c r="H36" s="2">
        <v>5982</v>
      </c>
      <c r="I36" s="2">
        <v>6081</v>
      </c>
      <c r="J36" s="5">
        <v>7798</v>
      </c>
    </row>
    <row r="37" spans="1:19" ht="13.5" customHeight="1" x14ac:dyDescent="0.2">
      <c r="A37" s="2" t="s">
        <v>59</v>
      </c>
      <c r="E37" s="2">
        <v>3820</v>
      </c>
      <c r="F37" s="2">
        <v>4204</v>
      </c>
      <c r="G37" s="2">
        <v>4501</v>
      </c>
      <c r="H37" s="2">
        <v>4667</v>
      </c>
      <c r="I37" s="2">
        <v>4500</v>
      </c>
      <c r="J37" s="5">
        <v>4568</v>
      </c>
    </row>
    <row r="38" spans="1:19" ht="13.5" customHeight="1" x14ac:dyDescent="0.25">
      <c r="A38" s="3" t="s">
        <v>60</v>
      </c>
      <c r="B38" s="3"/>
      <c r="C38" s="3"/>
      <c r="D38" s="3"/>
      <c r="E38" s="4">
        <f t="shared" ref="E38:J38" si="56">SUM(E29:E37)</f>
        <v>41150</v>
      </c>
      <c r="F38" s="4">
        <f t="shared" si="56"/>
        <v>44460</v>
      </c>
      <c r="G38" s="4">
        <f t="shared" si="56"/>
        <v>49555</v>
      </c>
      <c r="H38" s="4">
        <f t="shared" si="56"/>
        <v>54148</v>
      </c>
      <c r="I38" s="4">
        <f t="shared" si="56"/>
        <v>65728</v>
      </c>
      <c r="J38" s="4">
        <f t="shared" si="56"/>
        <v>77072</v>
      </c>
      <c r="R38" s="4"/>
      <c r="S38" s="4"/>
    </row>
    <row r="39" spans="1:19" ht="13.5" customHeight="1" x14ac:dyDescent="0.2">
      <c r="F39" s="2" t="s">
        <v>4</v>
      </c>
      <c r="J39" s="5"/>
    </row>
    <row r="40" spans="1:19" ht="13.5" customHeight="1" x14ac:dyDescent="0.2">
      <c r="A40" s="2" t="s">
        <v>6</v>
      </c>
      <c r="E40" s="2">
        <f>1250+9703</f>
        <v>10953</v>
      </c>
      <c r="F40" s="2">
        <f>1141+9704</f>
        <v>10845</v>
      </c>
      <c r="G40" s="2">
        <f>1929+8456</f>
        <v>10385</v>
      </c>
      <c r="H40" s="2">
        <f>2380+8457</f>
        <v>10837</v>
      </c>
      <c r="I40" s="2">
        <f>1250+8459</f>
        <v>9709</v>
      </c>
      <c r="J40" s="5">
        <f>1250+8460+2966</f>
        <v>12676</v>
      </c>
    </row>
    <row r="41" spans="1:19" ht="13.5" customHeight="1" x14ac:dyDescent="0.2">
      <c r="A41" s="2" t="s">
        <v>61</v>
      </c>
      <c r="E41" s="2">
        <v>1193</v>
      </c>
      <c r="F41" s="2">
        <v>4869</v>
      </c>
      <c r="G41" s="2">
        <v>7156</v>
      </c>
      <c r="H41" s="2">
        <v>5472</v>
      </c>
      <c r="I41" s="2">
        <v>2699</v>
      </c>
      <c r="J41" s="5">
        <v>2715</v>
      </c>
    </row>
    <row r="42" spans="1:19" ht="13.5" customHeight="1" x14ac:dyDescent="0.2">
      <c r="A42" s="2" t="s">
        <v>62</v>
      </c>
      <c r="E42" s="2">
        <v>4120</v>
      </c>
      <c r="F42" s="2">
        <v>1250</v>
      </c>
      <c r="G42" s="2">
        <v>1249</v>
      </c>
      <c r="H42" s="2">
        <v>1249</v>
      </c>
      <c r="I42" s="2">
        <v>6682</v>
      </c>
      <c r="J42" s="5">
        <v>11258</v>
      </c>
    </row>
    <row r="43" spans="1:19" ht="13.5" customHeight="1" x14ac:dyDescent="0.2">
      <c r="A43" s="2" t="s">
        <v>63</v>
      </c>
      <c r="E43" s="2">
        <v>1913</v>
      </c>
      <c r="F43" s="2">
        <v>939</v>
      </c>
      <c r="G43" s="2">
        <v>1041</v>
      </c>
      <c r="H43" s="2">
        <v>1091</v>
      </c>
      <c r="I43" s="2">
        <v>1119</v>
      </c>
      <c r="J43" s="5">
        <v>0</v>
      </c>
    </row>
    <row r="44" spans="1:19" ht="13.5" customHeight="1" x14ac:dyDescent="0.2">
      <c r="A44" s="2" t="s">
        <v>64</v>
      </c>
      <c r="E44" s="2">
        <v>902</v>
      </c>
      <c r="F44" s="2">
        <v>2037</v>
      </c>
      <c r="G44" s="2">
        <v>2223</v>
      </c>
      <c r="H44" s="2">
        <v>2234</v>
      </c>
      <c r="I44" s="2">
        <v>2541</v>
      </c>
      <c r="J44" s="5">
        <v>1281</v>
      </c>
    </row>
    <row r="45" spans="1:19" ht="13.5" customHeight="1" x14ac:dyDescent="0.25">
      <c r="A45" s="3" t="s">
        <v>65</v>
      </c>
      <c r="B45" s="3"/>
      <c r="C45" s="3"/>
      <c r="D45" s="3"/>
      <c r="E45" s="4">
        <f t="shared" ref="E45:J45" si="57">SUM(E40:E44)</f>
        <v>19081</v>
      </c>
      <c r="F45" s="4">
        <f t="shared" si="57"/>
        <v>19940</v>
      </c>
      <c r="G45" s="4">
        <f t="shared" si="57"/>
        <v>22054</v>
      </c>
      <c r="H45" s="4">
        <f t="shared" si="57"/>
        <v>20883</v>
      </c>
      <c r="I45" s="4">
        <f t="shared" si="57"/>
        <v>22750</v>
      </c>
      <c r="J45" s="4">
        <f t="shared" si="57"/>
        <v>27930</v>
      </c>
      <c r="R45" s="4"/>
      <c r="S45" s="4"/>
    </row>
    <row r="46" spans="1:19" ht="13.5" customHeight="1" x14ac:dyDescent="0.2">
      <c r="J46" s="5"/>
    </row>
    <row r="47" spans="1:19" ht="13.5" customHeight="1" x14ac:dyDescent="0.25">
      <c r="A47" s="3" t="s">
        <v>66</v>
      </c>
      <c r="B47" s="3"/>
      <c r="C47" s="3"/>
      <c r="D47" s="3"/>
      <c r="E47" s="4">
        <f t="shared" ref="E47:J47" si="58">+E38-E45</f>
        <v>22069</v>
      </c>
      <c r="F47" s="4">
        <f t="shared" si="58"/>
        <v>24520</v>
      </c>
      <c r="G47" s="4">
        <f t="shared" si="58"/>
        <v>27501</v>
      </c>
      <c r="H47" s="4">
        <f t="shared" si="58"/>
        <v>33265</v>
      </c>
      <c r="I47" s="4">
        <f t="shared" si="58"/>
        <v>42978</v>
      </c>
      <c r="J47" s="4">
        <f t="shared" si="58"/>
        <v>49142</v>
      </c>
      <c r="N47" s="2" t="s">
        <v>67</v>
      </c>
      <c r="R47" s="4" t="s">
        <v>4</v>
      </c>
      <c r="S47" s="4"/>
    </row>
    <row r="48" spans="1:19" ht="13.5" customHeight="1" x14ac:dyDescent="0.25">
      <c r="A48" s="3" t="s">
        <v>68</v>
      </c>
      <c r="B48" s="3"/>
      <c r="C48" s="3" t="s">
        <v>4</v>
      </c>
      <c r="D48" s="3"/>
      <c r="E48" s="4">
        <f t="shared" ref="E48:J48" si="59">+E45+E47</f>
        <v>41150</v>
      </c>
      <c r="F48" s="4">
        <f t="shared" si="59"/>
        <v>44460</v>
      </c>
      <c r="G48" s="4">
        <f t="shared" si="59"/>
        <v>49555</v>
      </c>
      <c r="H48" s="4">
        <f t="shared" si="59"/>
        <v>54148</v>
      </c>
      <c r="I48" s="4">
        <f t="shared" si="59"/>
        <v>65728</v>
      </c>
      <c r="J48" s="4">
        <f t="shared" si="59"/>
        <v>77072</v>
      </c>
      <c r="R48" s="4" t="s">
        <v>69</v>
      </c>
      <c r="S48" s="4"/>
    </row>
    <row r="49" spans="1:20" ht="13.5" customHeight="1" x14ac:dyDescent="0.2">
      <c r="T49" s="2" t="s">
        <v>4</v>
      </c>
    </row>
    <row r="50" spans="1:20" ht="13.5" customHeight="1" x14ac:dyDescent="0.25">
      <c r="A50" s="3" t="s">
        <v>70</v>
      </c>
      <c r="E50" s="8">
        <f t="shared" ref="E50:J50" si="60">+E13/E38</f>
        <v>3.4362089914945319E-2</v>
      </c>
      <c r="F50" s="8">
        <f t="shared" si="60"/>
        <v>4.5951417004048582E-2</v>
      </c>
      <c r="G50" s="8">
        <f t="shared" si="60"/>
        <v>0.1248713550600343</v>
      </c>
      <c r="H50" s="8">
        <f t="shared" si="60"/>
        <v>0.17069882544138287</v>
      </c>
      <c r="I50" s="8">
        <f t="shared" si="60"/>
        <v>0.18690664556962025</v>
      </c>
      <c r="J50" s="8">
        <f t="shared" si="60"/>
        <v>0.19307919867137222</v>
      </c>
      <c r="R50" s="8" t="s">
        <v>4</v>
      </c>
      <c r="S50" s="8" t="s">
        <v>4</v>
      </c>
    </row>
    <row r="51" spans="1:20" ht="13.5" customHeight="1" x14ac:dyDescent="0.25">
      <c r="A51" s="3" t="s">
        <v>71</v>
      </c>
      <c r="E51" s="8">
        <f t="shared" ref="E51:J51" si="61">+E13/(E38-E45)</f>
        <v>6.4071774887851735E-2</v>
      </c>
      <c r="F51" s="8">
        <f t="shared" si="61"/>
        <v>8.3319738988580749E-2</v>
      </c>
      <c r="G51" s="8">
        <f t="shared" si="61"/>
        <v>0.22500999963637686</v>
      </c>
      <c r="H51" s="8">
        <f t="shared" si="61"/>
        <v>0.27785961220502031</v>
      </c>
      <c r="I51" s="8">
        <f t="shared" si="61"/>
        <v>0.28584392014519056</v>
      </c>
      <c r="J51" s="8">
        <f t="shared" si="61"/>
        <v>0.30281632819177079</v>
      </c>
      <c r="R51" s="8" t="s">
        <v>4</v>
      </c>
      <c r="S51" s="8" t="s">
        <v>4</v>
      </c>
      <c r="T51" s="2" t="s">
        <v>4</v>
      </c>
    </row>
    <row r="52" spans="1:20" ht="13.5" customHeight="1" x14ac:dyDescent="0.2"/>
    <row r="53" spans="1:20" ht="13.5" customHeight="1" x14ac:dyDescent="0.2">
      <c r="A53" s="13" t="s">
        <v>83</v>
      </c>
      <c r="L53" s="14">
        <f>+L13</f>
        <v>19309</v>
      </c>
    </row>
    <row r="54" spans="1:20" ht="13.5" customHeight="1" x14ac:dyDescent="0.2">
      <c r="A54" s="13" t="s">
        <v>82</v>
      </c>
      <c r="L54">
        <v>19309</v>
      </c>
    </row>
    <row r="55" spans="1:20" ht="13.5" customHeight="1" x14ac:dyDescent="0.2">
      <c r="A55" s="13" t="s">
        <v>72</v>
      </c>
      <c r="L55">
        <v>1252</v>
      </c>
    </row>
    <row r="56" spans="1:20" ht="13.5" customHeight="1" x14ac:dyDescent="0.2">
      <c r="A56" s="2" t="s">
        <v>73</v>
      </c>
      <c r="L56">
        <v>478</v>
      </c>
    </row>
    <row r="57" spans="1:20" ht="13.5" customHeight="1" x14ac:dyDescent="0.2">
      <c r="A57" s="2" t="s">
        <v>58</v>
      </c>
      <c r="L57">
        <v>-602</v>
      </c>
    </row>
    <row r="58" spans="1:20" ht="13.5" customHeight="1" x14ac:dyDescent="0.2">
      <c r="A58" s="2" t="s">
        <v>74</v>
      </c>
      <c r="L58">
        <v>-79</v>
      </c>
    </row>
    <row r="59" spans="1:20" ht="13.5" customHeight="1" x14ac:dyDescent="0.2">
      <c r="A59" s="2" t="s">
        <v>75</v>
      </c>
      <c r="L59">
        <v>-3561</v>
      </c>
    </row>
    <row r="60" spans="1:20" ht="13.5" customHeight="1" x14ac:dyDescent="0.2">
      <c r="A60" s="2" t="s">
        <v>76</v>
      </c>
      <c r="L60">
        <v>-978</v>
      </c>
    </row>
    <row r="61" spans="1:20" ht="13.5" customHeight="1" x14ac:dyDescent="0.2">
      <c r="A61" s="2" t="s">
        <v>77</v>
      </c>
      <c r="L61">
        <v>-714</v>
      </c>
    </row>
    <row r="62" spans="1:20" ht="13.5" customHeight="1" x14ac:dyDescent="0.2">
      <c r="A62" s="2" t="s">
        <v>78</v>
      </c>
      <c r="L62">
        <v>1689</v>
      </c>
    </row>
    <row r="63" spans="1:20" ht="13.5" customHeight="1" x14ac:dyDescent="0.2">
      <c r="A63" s="2" t="s">
        <v>79</v>
      </c>
      <c r="L63">
        <v>606</v>
      </c>
    </row>
    <row r="64" spans="1:20" ht="13.5" customHeight="1" x14ac:dyDescent="0.2">
      <c r="A64" s="2" t="s">
        <v>80</v>
      </c>
      <c r="L64">
        <v>266</v>
      </c>
    </row>
    <row r="65" spans="1:12" ht="13.5" customHeight="1" x14ac:dyDescent="0.2">
      <c r="A65" s="2" t="s">
        <v>81</v>
      </c>
      <c r="L65" s="14">
        <f>+SUM(L54:L64)</f>
        <v>17666</v>
      </c>
    </row>
    <row r="66" spans="1:12" ht="13.5" customHeight="1" x14ac:dyDescent="0.2"/>
    <row r="67" spans="1:12" ht="13.5" customHeight="1" x14ac:dyDescent="0.2">
      <c r="A67" s="2" t="s">
        <v>84</v>
      </c>
      <c r="L67">
        <f>1386+154-4518-813</f>
        <v>-3791</v>
      </c>
    </row>
    <row r="68" spans="1:12" ht="13.5" customHeight="1" x14ac:dyDescent="0.2">
      <c r="A68" s="2" t="s">
        <v>85</v>
      </c>
      <c r="L68">
        <v>-147</v>
      </c>
    </row>
    <row r="69" spans="1:12" ht="13.5" customHeight="1" x14ac:dyDescent="0.2">
      <c r="A69" s="2" t="s">
        <v>86</v>
      </c>
      <c r="L69">
        <f>-473+66</f>
        <v>-407</v>
      </c>
    </row>
    <row r="70" spans="1:12" ht="13.5" customHeight="1" x14ac:dyDescent="0.2">
      <c r="A70" s="2" t="s">
        <v>74</v>
      </c>
      <c r="L70" s="2">
        <v>0</v>
      </c>
    </row>
    <row r="71" spans="1:12" ht="13.5" customHeight="1" x14ac:dyDescent="0.2">
      <c r="A71" s="2" t="s">
        <v>87</v>
      </c>
      <c r="L71">
        <f>+SUM(L67:L70)</f>
        <v>-4345</v>
      </c>
    </row>
    <row r="72" spans="1:12" ht="13.5" customHeight="1" x14ac:dyDescent="0.2"/>
    <row r="73" spans="1:12" ht="13.5" customHeight="1" x14ac:dyDescent="0.2">
      <c r="A73" s="2" t="s">
        <v>88</v>
      </c>
      <c r="L73">
        <v>204</v>
      </c>
    </row>
    <row r="74" spans="1:12" ht="13.5" customHeight="1" x14ac:dyDescent="0.2">
      <c r="A74" s="2" t="s">
        <v>89</v>
      </c>
      <c r="L74">
        <v>-10998</v>
      </c>
    </row>
    <row r="75" spans="1:12" ht="13.5" customHeight="1" x14ac:dyDescent="0.2">
      <c r="A75" s="2" t="s">
        <v>90</v>
      </c>
      <c r="L75">
        <v>0</v>
      </c>
    </row>
    <row r="76" spans="1:12" ht="13.5" customHeight="1" x14ac:dyDescent="0.2">
      <c r="A76" s="2" t="s">
        <v>91</v>
      </c>
      <c r="L76">
        <v>-1680</v>
      </c>
    </row>
    <row r="77" spans="1:12" ht="13.5" customHeight="1" x14ac:dyDescent="0.2">
      <c r="A77" s="2" t="s">
        <v>92</v>
      </c>
      <c r="L77">
        <v>-245</v>
      </c>
    </row>
    <row r="78" spans="1:12" ht="13.5" customHeight="1" x14ac:dyDescent="0.2">
      <c r="A78" s="2" t="s">
        <v>93</v>
      </c>
      <c r="L78">
        <v>-29</v>
      </c>
    </row>
    <row r="79" spans="1:12" ht="13.5" customHeight="1" x14ac:dyDescent="0.2">
      <c r="A79" s="2" t="s">
        <v>74</v>
      </c>
      <c r="L79">
        <v>0</v>
      </c>
    </row>
    <row r="80" spans="1:12" ht="13.5" customHeight="1" x14ac:dyDescent="0.2">
      <c r="A80" s="2" t="s">
        <v>94</v>
      </c>
      <c r="L80">
        <f>+SUM(L73:L79)</f>
        <v>-12748</v>
      </c>
    </row>
    <row r="81" spans="1:12" ht="13.5" customHeight="1" x14ac:dyDescent="0.2"/>
    <row r="82" spans="1:12" ht="13.5" customHeight="1" x14ac:dyDescent="0.2">
      <c r="A82" s="2" t="s">
        <v>95</v>
      </c>
      <c r="L82" s="14">
        <f>+L68</f>
        <v>-147</v>
      </c>
    </row>
    <row r="83" spans="1:12" ht="13.5" customHeight="1" x14ac:dyDescent="0.2">
      <c r="A83" s="2" t="s">
        <v>96</v>
      </c>
      <c r="L83" s="14">
        <f>+L82+L80+L74+L65</f>
        <v>-6227</v>
      </c>
    </row>
    <row r="84" spans="1:12" ht="13.5" customHeight="1" x14ac:dyDescent="0.2"/>
    <row r="85" spans="1:12" ht="13.5" customHeight="1" x14ac:dyDescent="0.2"/>
    <row r="86" spans="1:12" ht="13.5" customHeight="1" x14ac:dyDescent="0.2"/>
    <row r="87" spans="1:12" ht="13.5" customHeight="1" x14ac:dyDescent="0.2"/>
    <row r="88" spans="1:12" ht="13.5" customHeight="1" x14ac:dyDescent="0.2"/>
    <row r="89" spans="1:12" ht="13.5" customHeight="1" x14ac:dyDescent="0.2"/>
    <row r="90" spans="1:12" ht="13.5" customHeight="1" x14ac:dyDescent="0.2"/>
    <row r="91" spans="1:12" ht="13.5" customHeight="1" x14ac:dyDescent="0.2"/>
    <row r="92" spans="1:12" ht="13.5" customHeight="1" x14ac:dyDescent="0.2"/>
    <row r="93" spans="1:12" ht="13.5" customHeight="1" x14ac:dyDescent="0.2"/>
    <row r="94" spans="1:12" ht="13.5" customHeight="1" x14ac:dyDescent="0.2"/>
    <row r="95" spans="1:12" ht="13.5" customHeight="1" x14ac:dyDescent="0.2"/>
    <row r="96" spans="1:12" ht="13.5" customHeight="1" x14ac:dyDescent="0.2"/>
    <row r="97" ht="13.5" customHeight="1" x14ac:dyDescent="0.2"/>
    <row r="98" ht="13.5" customHeight="1" x14ac:dyDescent="0.2"/>
    <row r="99" ht="13.5" customHeight="1" x14ac:dyDescent="0.2"/>
    <row r="100" ht="13.5" customHeight="1" x14ac:dyDescent="0.2"/>
    <row r="101" ht="13.5" customHeight="1" x14ac:dyDescent="0.2"/>
    <row r="102" ht="13.5" customHeight="1" x14ac:dyDescent="0.2"/>
    <row r="103" ht="13.5" customHeight="1" x14ac:dyDescent="0.2"/>
    <row r="104" ht="13.5" customHeight="1" x14ac:dyDescent="0.2"/>
    <row r="105" ht="13.5" customHeight="1" x14ac:dyDescent="0.2"/>
    <row r="106" ht="13.5" customHeight="1" x14ac:dyDescent="0.2"/>
    <row r="107" ht="13.5" customHeight="1" x14ac:dyDescent="0.2"/>
    <row r="108" ht="13.5" customHeight="1" x14ac:dyDescent="0.2"/>
    <row r="109" ht="13.5" customHeight="1" x14ac:dyDescent="0.2"/>
    <row r="110" ht="13.5" customHeight="1" x14ac:dyDescent="0.2"/>
    <row r="111" ht="13.5" customHeight="1" x14ac:dyDescent="0.2"/>
    <row r="112" ht="13.5" customHeight="1" x14ac:dyDescent="0.2"/>
    <row r="113" ht="13.5" customHeight="1" x14ac:dyDescent="0.2"/>
    <row r="114" ht="13.5" customHeight="1" x14ac:dyDescent="0.2"/>
    <row r="115" ht="13.5" customHeight="1" x14ac:dyDescent="0.2"/>
    <row r="116" ht="13.5" customHeight="1" x14ac:dyDescent="0.2"/>
    <row r="117" ht="13.5" customHeight="1" x14ac:dyDescent="0.2"/>
    <row r="118" ht="13.5" customHeight="1" x14ac:dyDescent="0.2"/>
    <row r="119" ht="13.5" customHeight="1" x14ac:dyDescent="0.2"/>
    <row r="120" ht="13.5" customHeight="1" x14ac:dyDescent="0.2"/>
    <row r="121" ht="13.5" customHeight="1" x14ac:dyDescent="0.2"/>
    <row r="122" ht="13.5" customHeight="1" x14ac:dyDescent="0.2"/>
    <row r="123" ht="13.5" customHeight="1" x14ac:dyDescent="0.2"/>
    <row r="124" ht="13.5" customHeight="1" x14ac:dyDescent="0.2"/>
    <row r="125" ht="13.5" customHeight="1" x14ac:dyDescent="0.2"/>
    <row r="126" ht="13.5" customHeight="1" x14ac:dyDescent="0.2"/>
    <row r="127" ht="13.5" customHeight="1" x14ac:dyDescent="0.2"/>
    <row r="128" ht="13.5" customHeight="1" x14ac:dyDescent="0.2"/>
    <row r="129" ht="13.5" customHeight="1" x14ac:dyDescent="0.2"/>
    <row r="130" ht="13.5" customHeight="1" x14ac:dyDescent="0.2"/>
    <row r="131" ht="13.5" customHeight="1" x14ac:dyDescent="0.2"/>
    <row r="132" ht="13.5" customHeight="1" x14ac:dyDescent="0.2"/>
    <row r="133" ht="13.5" customHeight="1" x14ac:dyDescent="0.2"/>
    <row r="134" ht="13.5" customHeight="1" x14ac:dyDescent="0.2"/>
    <row r="135" ht="13.5" customHeight="1" x14ac:dyDescent="0.2"/>
    <row r="136" ht="13.5" customHeight="1" x14ac:dyDescent="0.2"/>
    <row r="137" ht="13.5" customHeight="1" x14ac:dyDescent="0.2"/>
    <row r="138" ht="13.5" customHeight="1" x14ac:dyDescent="0.2"/>
    <row r="139" ht="13.5" customHeight="1" x14ac:dyDescent="0.2"/>
    <row r="140" ht="13.5" customHeight="1" x14ac:dyDescent="0.2"/>
    <row r="141" ht="13.5" customHeight="1" x14ac:dyDescent="0.2"/>
    <row r="142" ht="13.5" customHeight="1" x14ac:dyDescent="0.2"/>
    <row r="143" ht="13.5" customHeight="1" x14ac:dyDescent="0.2"/>
    <row r="144" ht="13.5" customHeight="1" x14ac:dyDescent="0.2"/>
    <row r="145" ht="13.5" customHeight="1" x14ac:dyDescent="0.2"/>
    <row r="146" ht="13.5" customHeight="1" x14ac:dyDescent="0.2"/>
    <row r="147" ht="13.5" customHeight="1" x14ac:dyDescent="0.2"/>
    <row r="148" ht="13.5" customHeight="1" x14ac:dyDescent="0.2"/>
    <row r="149" ht="13.5" customHeight="1" x14ac:dyDescent="0.2"/>
    <row r="150" ht="13.5" customHeight="1" x14ac:dyDescent="0.2"/>
    <row r="151" ht="13.5" customHeight="1" x14ac:dyDescent="0.2"/>
    <row r="152" ht="13.5" customHeight="1" x14ac:dyDescent="0.2"/>
    <row r="153" ht="13.5" customHeight="1" x14ac:dyDescent="0.2"/>
    <row r="154" ht="13.5" customHeight="1" x14ac:dyDescent="0.2"/>
    <row r="155" ht="13.5" customHeight="1" x14ac:dyDescent="0.2"/>
    <row r="156" ht="13.5" customHeight="1" x14ac:dyDescent="0.2"/>
    <row r="157" ht="13.5" customHeight="1" x14ac:dyDescent="0.2"/>
    <row r="158" ht="13.5" customHeight="1" x14ac:dyDescent="0.2"/>
    <row r="159" ht="13.5" customHeight="1" x14ac:dyDescent="0.2"/>
    <row r="160" ht="13.5" customHeight="1" x14ac:dyDescent="0.2"/>
    <row r="161" ht="13.5" customHeight="1" x14ac:dyDescent="0.2"/>
    <row r="162" ht="13.5" customHeight="1" x14ac:dyDescent="0.2"/>
    <row r="163" ht="13.5" customHeight="1" x14ac:dyDescent="0.2"/>
    <row r="164" ht="13.5" customHeight="1" x14ac:dyDescent="0.2"/>
    <row r="165" ht="13.5" customHeight="1" x14ac:dyDescent="0.2"/>
    <row r="166" ht="13.5" customHeight="1" x14ac:dyDescent="0.2"/>
    <row r="167" ht="13.5" customHeight="1" x14ac:dyDescent="0.2"/>
    <row r="168" ht="13.5" customHeight="1" x14ac:dyDescent="0.2"/>
    <row r="169" ht="13.5" customHeight="1" x14ac:dyDescent="0.2"/>
    <row r="170" ht="13.5" customHeight="1" x14ac:dyDescent="0.2"/>
    <row r="171" ht="13.5" customHeight="1" x14ac:dyDescent="0.2"/>
    <row r="172" ht="13.5" customHeight="1" x14ac:dyDescent="0.2"/>
    <row r="173" ht="13.5" customHeight="1" x14ac:dyDescent="0.2"/>
    <row r="174" ht="13.5" customHeight="1" x14ac:dyDescent="0.2"/>
    <row r="175" ht="13.5" customHeight="1" x14ac:dyDescent="0.2"/>
    <row r="176" ht="13.5" customHeight="1" x14ac:dyDescent="0.2"/>
    <row r="177" ht="13.5" customHeight="1" x14ac:dyDescent="0.2"/>
    <row r="178" ht="13.5" customHeight="1" x14ac:dyDescent="0.2"/>
    <row r="179" ht="13.5" customHeight="1" x14ac:dyDescent="0.2"/>
    <row r="180" ht="13.5" customHeight="1" x14ac:dyDescent="0.2"/>
    <row r="181" ht="13.5" customHeight="1" x14ac:dyDescent="0.2"/>
    <row r="182" ht="13.5" customHeight="1" x14ac:dyDescent="0.2"/>
    <row r="183" ht="13.5" customHeight="1" x14ac:dyDescent="0.2"/>
    <row r="184" ht="13.5" customHeight="1" x14ac:dyDescent="0.2"/>
    <row r="185" ht="13.5" customHeight="1" x14ac:dyDescent="0.2"/>
    <row r="186" ht="13.5" customHeight="1" x14ac:dyDescent="0.2"/>
    <row r="187" ht="13.5" customHeight="1" x14ac:dyDescent="0.2"/>
    <row r="188" ht="13.5" customHeight="1" x14ac:dyDescent="0.2"/>
    <row r="189" ht="13.5" customHeight="1" x14ac:dyDescent="0.2"/>
    <row r="190" ht="13.5" customHeight="1" x14ac:dyDescent="0.2"/>
    <row r="191" ht="13.5" customHeight="1" x14ac:dyDescent="0.2"/>
    <row r="192" ht="13.5" customHeight="1" x14ac:dyDescent="0.2"/>
    <row r="193" ht="13.5" customHeight="1" x14ac:dyDescent="0.2"/>
    <row r="194" ht="13.5" customHeight="1" x14ac:dyDescent="0.2"/>
    <row r="195" ht="13.5" customHeight="1" x14ac:dyDescent="0.2"/>
    <row r="196" ht="13.5" customHeight="1" x14ac:dyDescent="0.2"/>
    <row r="197" ht="13.5" customHeight="1" x14ac:dyDescent="0.2"/>
    <row r="198" ht="13.5" customHeight="1" x14ac:dyDescent="0.2"/>
    <row r="199" ht="13.5" customHeight="1" x14ac:dyDescent="0.2"/>
    <row r="200" ht="13.5" customHeight="1" x14ac:dyDescent="0.2"/>
    <row r="201" ht="13.5" customHeight="1" x14ac:dyDescent="0.2"/>
    <row r="202" ht="13.5" customHeight="1" x14ac:dyDescent="0.2"/>
    <row r="203" ht="13.5" customHeight="1" x14ac:dyDescent="0.2"/>
    <row r="204" ht="13.5" customHeight="1" x14ac:dyDescent="0.2"/>
    <row r="205" ht="13.5" customHeight="1" x14ac:dyDescent="0.2"/>
    <row r="206" ht="13.5" customHeight="1" x14ac:dyDescent="0.2"/>
    <row r="207" ht="13.5" customHeight="1" x14ac:dyDescent="0.2"/>
    <row r="208" ht="13.5" customHeight="1" x14ac:dyDescent="0.2"/>
    <row r="209" ht="13.5" customHeight="1" x14ac:dyDescent="0.2"/>
    <row r="210" ht="13.5" customHeight="1" x14ac:dyDescent="0.2"/>
    <row r="211" ht="13.5" customHeight="1" x14ac:dyDescent="0.2"/>
    <row r="212" ht="13.5" customHeight="1" x14ac:dyDescent="0.2"/>
    <row r="213" ht="13.5" customHeight="1" x14ac:dyDescent="0.2"/>
    <row r="214" ht="13.5" customHeight="1" x14ac:dyDescent="0.2"/>
    <row r="215" ht="13.5" customHeight="1" x14ac:dyDescent="0.2"/>
    <row r="216" ht="13.5" customHeight="1" x14ac:dyDescent="0.2"/>
    <row r="217" ht="13.5" customHeight="1" x14ac:dyDescent="0.2"/>
    <row r="218" ht="13.5" customHeight="1" x14ac:dyDescent="0.2"/>
    <row r="219" ht="13.5" customHeight="1" x14ac:dyDescent="0.2"/>
    <row r="220" ht="13.5" customHeight="1" x14ac:dyDescent="0.2"/>
    <row r="221" ht="13.5" customHeight="1" x14ac:dyDescent="0.2"/>
    <row r="222" ht="13.5" customHeight="1" x14ac:dyDescent="0.2"/>
    <row r="223" ht="13.5" customHeight="1" x14ac:dyDescent="0.2"/>
    <row r="224" ht="13.5" customHeight="1" x14ac:dyDescent="0.2"/>
    <row r="225" ht="13.5" customHeight="1" x14ac:dyDescent="0.2"/>
    <row r="226" ht="13.5" customHeight="1" x14ac:dyDescent="0.2"/>
    <row r="227" ht="13.5" customHeight="1" x14ac:dyDescent="0.2"/>
    <row r="228" ht="13.5" customHeight="1" x14ac:dyDescent="0.2"/>
    <row r="229" ht="13.5" customHeight="1" x14ac:dyDescent="0.2"/>
    <row r="230" ht="13.5" customHeight="1" x14ac:dyDescent="0.2"/>
    <row r="231" ht="13.5" customHeight="1" x14ac:dyDescent="0.2"/>
    <row r="232" ht="13.5" customHeight="1" x14ac:dyDescent="0.2"/>
    <row r="233" ht="13.5" customHeight="1" x14ac:dyDescent="0.2"/>
    <row r="234" ht="13.5" customHeight="1" x14ac:dyDescent="0.2"/>
    <row r="235" ht="13.5" customHeight="1" x14ac:dyDescent="0.2"/>
    <row r="236" ht="13.5" customHeight="1" x14ac:dyDescent="0.2"/>
    <row r="237" ht="13.5" customHeight="1" x14ac:dyDescent="0.2"/>
    <row r="238" ht="13.5" customHeight="1" x14ac:dyDescent="0.2"/>
    <row r="239" ht="13.5" customHeight="1" x14ac:dyDescent="0.2"/>
    <row r="240" ht="13.5" customHeight="1" x14ac:dyDescent="0.2"/>
    <row r="241" ht="13.5" customHeight="1" x14ac:dyDescent="0.2"/>
    <row r="242" ht="13.5" customHeight="1" x14ac:dyDescent="0.2"/>
    <row r="243" ht="13.5" customHeight="1" x14ac:dyDescent="0.2"/>
    <row r="244" ht="13.5" customHeight="1" x14ac:dyDescent="0.2"/>
    <row r="245" ht="13.5" customHeight="1" x14ac:dyDescent="0.2"/>
    <row r="246" ht="13.5" customHeight="1" x14ac:dyDescent="0.2"/>
    <row r="247" ht="13.5" customHeight="1" x14ac:dyDescent="0.2"/>
    <row r="248" ht="13.5" customHeight="1" x14ac:dyDescent="0.2"/>
    <row r="249" ht="13.5" customHeight="1" x14ac:dyDescent="0.2"/>
    <row r="250" ht="13.5" customHeight="1" x14ac:dyDescent="0.2"/>
    <row r="251" ht="13.5" customHeight="1" x14ac:dyDescent="0.2"/>
    <row r="252" ht="13.5" customHeight="1" x14ac:dyDescent="0.2"/>
    <row r="253" ht="13.5" customHeight="1" x14ac:dyDescent="0.2"/>
    <row r="254" ht="13.5" customHeight="1" x14ac:dyDescent="0.2"/>
    <row r="255" ht="13.5" customHeight="1" x14ac:dyDescent="0.2"/>
    <row r="256" ht="13.5" customHeight="1" x14ac:dyDescent="0.2"/>
    <row r="257" ht="13.5" customHeight="1" x14ac:dyDescent="0.2"/>
    <row r="258" ht="13.5" customHeight="1" x14ac:dyDescent="0.2"/>
    <row r="259" ht="13.5" customHeight="1" x14ac:dyDescent="0.2"/>
    <row r="260" ht="13.5" customHeight="1" x14ac:dyDescent="0.2"/>
    <row r="261" ht="13.5" customHeight="1" x14ac:dyDescent="0.2"/>
    <row r="262" ht="13.5" customHeight="1" x14ac:dyDescent="0.2"/>
    <row r="263" ht="13.5" customHeight="1" x14ac:dyDescent="0.2"/>
    <row r="264" ht="13.5" customHeight="1" x14ac:dyDescent="0.2"/>
    <row r="265" ht="13.5" customHeight="1" x14ac:dyDescent="0.2"/>
    <row r="266" ht="13.5" customHeight="1" x14ac:dyDescent="0.2"/>
    <row r="267" ht="13.5" customHeight="1" x14ac:dyDescent="0.2"/>
    <row r="268" ht="13.5" customHeight="1" x14ac:dyDescent="0.2"/>
    <row r="269" ht="13.5" customHeight="1" x14ac:dyDescent="0.2"/>
    <row r="270" ht="13.5" customHeight="1" x14ac:dyDescent="0.2"/>
    <row r="271" ht="13.5" customHeight="1" x14ac:dyDescent="0.2"/>
    <row r="272" ht="13.5" customHeight="1" x14ac:dyDescent="0.2"/>
    <row r="273" ht="13.5" customHeight="1" x14ac:dyDescent="0.2"/>
    <row r="274" ht="13.5" customHeight="1" x14ac:dyDescent="0.2"/>
    <row r="275" ht="13.5" customHeight="1" x14ac:dyDescent="0.2"/>
    <row r="276" ht="13.5" customHeight="1" x14ac:dyDescent="0.2"/>
    <row r="277" ht="13.5" customHeight="1" x14ac:dyDescent="0.2"/>
    <row r="278" ht="13.5" customHeight="1" x14ac:dyDescent="0.2"/>
    <row r="279" ht="13.5" customHeight="1" x14ac:dyDescent="0.2"/>
    <row r="280" ht="13.5" customHeight="1" x14ac:dyDescent="0.2"/>
    <row r="281" ht="13.5" customHeight="1" x14ac:dyDescent="0.2"/>
    <row r="282" ht="13.5" customHeight="1" x14ac:dyDescent="0.2"/>
    <row r="283" ht="13.5" customHeight="1" x14ac:dyDescent="0.2"/>
    <row r="284" ht="13.5" customHeight="1" x14ac:dyDescent="0.2"/>
    <row r="285" ht="13.5" customHeight="1" x14ac:dyDescent="0.2"/>
    <row r="286" ht="13.5" customHeight="1" x14ac:dyDescent="0.2"/>
    <row r="287" ht="13.5" customHeight="1" x14ac:dyDescent="0.2"/>
    <row r="288" ht="13.5" customHeight="1" x14ac:dyDescent="0.2"/>
    <row r="289" ht="13.5" customHeight="1" x14ac:dyDescent="0.2"/>
    <row r="290" ht="13.5" customHeight="1" x14ac:dyDescent="0.2"/>
    <row r="291" ht="13.5" customHeight="1" x14ac:dyDescent="0.2"/>
    <row r="292" ht="13.5" customHeight="1" x14ac:dyDescent="0.2"/>
    <row r="293" ht="13.5" customHeight="1" x14ac:dyDescent="0.2"/>
    <row r="294" ht="13.5" customHeight="1" x14ac:dyDescent="0.2"/>
    <row r="295" ht="13.5" customHeight="1" x14ac:dyDescent="0.2"/>
    <row r="296" ht="13.5" customHeight="1" x14ac:dyDescent="0.2"/>
    <row r="297" ht="13.5" customHeight="1" x14ac:dyDescent="0.2"/>
    <row r="298" ht="13.5" customHeight="1" x14ac:dyDescent="0.2"/>
    <row r="299" ht="13.5" customHeight="1" x14ac:dyDescent="0.2"/>
    <row r="300" ht="13.5" customHeight="1" x14ac:dyDescent="0.2"/>
    <row r="301" ht="13.5" customHeight="1" x14ac:dyDescent="0.2"/>
    <row r="302" ht="13.5" customHeight="1" x14ac:dyDescent="0.2"/>
    <row r="303" ht="13.5" customHeight="1" x14ac:dyDescent="0.2"/>
    <row r="304" ht="13.5" customHeight="1" x14ac:dyDescent="0.2"/>
    <row r="305" ht="13.5" customHeight="1" x14ac:dyDescent="0.2"/>
    <row r="306" ht="13.5" customHeight="1" x14ac:dyDescent="0.2"/>
    <row r="307" ht="13.5" customHeight="1" x14ac:dyDescent="0.2"/>
    <row r="308" ht="13.5" customHeight="1" x14ac:dyDescent="0.2"/>
    <row r="309" ht="13.5" customHeight="1" x14ac:dyDescent="0.2"/>
    <row r="310" ht="13.5" customHeight="1" x14ac:dyDescent="0.2"/>
    <row r="311" ht="13.5" customHeight="1" x14ac:dyDescent="0.2"/>
    <row r="312" ht="13.5" customHeight="1" x14ac:dyDescent="0.2"/>
    <row r="313" ht="13.5" customHeight="1" x14ac:dyDescent="0.2"/>
    <row r="314" ht="13.5" customHeight="1" x14ac:dyDescent="0.2"/>
    <row r="315" ht="13.5" customHeight="1" x14ac:dyDescent="0.2"/>
    <row r="316" ht="13.5" customHeight="1" x14ac:dyDescent="0.2"/>
    <row r="317" ht="13.5" customHeight="1" x14ac:dyDescent="0.2"/>
    <row r="318" ht="13.5" customHeight="1" x14ac:dyDescent="0.2"/>
    <row r="319" ht="13.5" customHeight="1" x14ac:dyDescent="0.2"/>
    <row r="320" ht="13.5" customHeight="1" x14ac:dyDescent="0.2"/>
    <row r="321" ht="13.5" customHeight="1" x14ac:dyDescent="0.2"/>
    <row r="322" ht="13.5" customHeight="1" x14ac:dyDescent="0.2"/>
    <row r="323" ht="13.5" customHeight="1" x14ac:dyDescent="0.2"/>
    <row r="324" ht="13.5" customHeight="1" x14ac:dyDescent="0.2"/>
    <row r="325" ht="13.5" customHeight="1" x14ac:dyDescent="0.2"/>
    <row r="326" ht="13.5" customHeight="1" x14ac:dyDescent="0.2"/>
    <row r="327" ht="13.5" customHeight="1" x14ac:dyDescent="0.2"/>
    <row r="328" ht="13.5" customHeight="1" x14ac:dyDescent="0.2"/>
    <row r="329" ht="13.5" customHeight="1" x14ac:dyDescent="0.2"/>
    <row r="330" ht="13.5" customHeight="1" x14ac:dyDescent="0.2"/>
    <row r="331" ht="13.5" customHeight="1" x14ac:dyDescent="0.2"/>
    <row r="332" ht="13.5" customHeight="1" x14ac:dyDescent="0.2"/>
    <row r="333" ht="13.5" customHeight="1" x14ac:dyDescent="0.2"/>
    <row r="334" ht="13.5" customHeight="1" x14ac:dyDescent="0.2"/>
    <row r="335" ht="13.5" customHeight="1" x14ac:dyDescent="0.2"/>
    <row r="336" ht="13.5" customHeight="1" x14ac:dyDescent="0.2"/>
    <row r="337" ht="13.5" customHeight="1" x14ac:dyDescent="0.2"/>
    <row r="338" ht="13.5" customHeight="1" x14ac:dyDescent="0.2"/>
    <row r="339" ht="13.5" customHeight="1" x14ac:dyDescent="0.2"/>
    <row r="340" ht="13.5" customHeight="1" x14ac:dyDescent="0.2"/>
    <row r="341" ht="13.5" customHeight="1" x14ac:dyDescent="0.2"/>
    <row r="342" ht="13.5" customHeight="1" x14ac:dyDescent="0.2"/>
    <row r="343" ht="13.5" customHeight="1" x14ac:dyDescent="0.2"/>
    <row r="344" ht="13.5" customHeight="1" x14ac:dyDescent="0.2"/>
    <row r="345" ht="13.5" customHeight="1" x14ac:dyDescent="0.2"/>
    <row r="346" ht="13.5" customHeight="1" x14ac:dyDescent="0.2"/>
    <row r="347" ht="13.5" customHeight="1" x14ac:dyDescent="0.2"/>
    <row r="348" ht="13.5" customHeight="1" x14ac:dyDescent="0.2"/>
    <row r="349" ht="13.5" customHeight="1" x14ac:dyDescent="0.2"/>
    <row r="350" ht="13.5" customHeight="1" x14ac:dyDescent="0.2"/>
    <row r="351" ht="13.5" customHeight="1" x14ac:dyDescent="0.2"/>
    <row r="352" ht="13.5" customHeight="1" x14ac:dyDescent="0.2"/>
    <row r="353" ht="13.5" customHeight="1" x14ac:dyDescent="0.2"/>
    <row r="354" ht="13.5" customHeight="1" x14ac:dyDescent="0.2"/>
    <row r="355" ht="13.5" customHeight="1" x14ac:dyDescent="0.2"/>
    <row r="356" ht="13.5" customHeight="1" x14ac:dyDescent="0.2"/>
    <row r="357" ht="13.5" customHeight="1" x14ac:dyDescent="0.2"/>
    <row r="358" ht="13.5" customHeight="1" x14ac:dyDescent="0.2"/>
    <row r="359" ht="13.5" customHeight="1" x14ac:dyDescent="0.2"/>
    <row r="360" ht="13.5" customHeight="1" x14ac:dyDescent="0.2"/>
    <row r="361" ht="13.5" customHeight="1" x14ac:dyDescent="0.2"/>
    <row r="362" ht="13.5" customHeight="1" x14ac:dyDescent="0.2"/>
    <row r="363" ht="13.5" customHeight="1" x14ac:dyDescent="0.2"/>
    <row r="364" ht="13.5" customHeight="1" x14ac:dyDescent="0.2"/>
    <row r="365" ht="13.5" customHeight="1" x14ac:dyDescent="0.2"/>
    <row r="366" ht="13.5" customHeight="1" x14ac:dyDescent="0.2"/>
    <row r="367" ht="13.5" customHeight="1" x14ac:dyDescent="0.2"/>
    <row r="368" ht="13.5" customHeight="1" x14ac:dyDescent="0.2"/>
    <row r="369" ht="13.5" customHeight="1" x14ac:dyDescent="0.2"/>
    <row r="370" ht="13.5" customHeight="1" x14ac:dyDescent="0.2"/>
    <row r="371" ht="13.5" customHeight="1" x14ac:dyDescent="0.2"/>
    <row r="372" ht="13.5" customHeight="1" x14ac:dyDescent="0.2"/>
    <row r="373" ht="13.5" customHeight="1" x14ac:dyDescent="0.2"/>
    <row r="374" ht="13.5" customHeight="1" x14ac:dyDescent="0.2"/>
    <row r="375" ht="13.5" customHeight="1" x14ac:dyDescent="0.2"/>
    <row r="376" ht="13.5" customHeight="1" x14ac:dyDescent="0.2"/>
    <row r="377" ht="13.5" customHeight="1" x14ac:dyDescent="0.2"/>
    <row r="378" ht="13.5" customHeight="1" x14ac:dyDescent="0.2"/>
    <row r="379" ht="13.5" customHeight="1" x14ac:dyDescent="0.2"/>
    <row r="380" ht="13.5" customHeight="1" x14ac:dyDescent="0.2"/>
    <row r="381" ht="13.5" customHeight="1" x14ac:dyDescent="0.2"/>
    <row r="382" ht="13.5" customHeight="1" x14ac:dyDescent="0.2"/>
    <row r="383" ht="13.5" customHeight="1" x14ac:dyDescent="0.2"/>
    <row r="384" ht="13.5" customHeight="1" x14ac:dyDescent="0.2"/>
    <row r="385" ht="13.5" customHeight="1" x14ac:dyDescent="0.2"/>
    <row r="386" ht="13.5" customHeight="1" x14ac:dyDescent="0.2"/>
    <row r="387" ht="13.5" customHeight="1" x14ac:dyDescent="0.2"/>
    <row r="388" ht="13.5" customHeight="1" x14ac:dyDescent="0.2"/>
    <row r="389" ht="13.5" customHeight="1" x14ac:dyDescent="0.2"/>
    <row r="390" ht="13.5" customHeight="1" x14ac:dyDescent="0.2"/>
    <row r="391" ht="13.5" customHeight="1" x14ac:dyDescent="0.2"/>
    <row r="392" ht="13.5" customHeight="1" x14ac:dyDescent="0.2"/>
    <row r="393" ht="13.5" customHeight="1" x14ac:dyDescent="0.2"/>
    <row r="394" ht="13.5" customHeight="1" x14ac:dyDescent="0.2"/>
    <row r="395" ht="13.5" customHeight="1" x14ac:dyDescent="0.2"/>
    <row r="396" ht="13.5" customHeight="1" x14ac:dyDescent="0.2"/>
    <row r="397" ht="13.5" customHeight="1" x14ac:dyDescent="0.2"/>
    <row r="398" ht="13.5" customHeight="1" x14ac:dyDescent="0.2"/>
    <row r="399" ht="13.5" customHeight="1" x14ac:dyDescent="0.2"/>
    <row r="400" ht="13.5" customHeight="1" x14ac:dyDescent="0.2"/>
    <row r="401" ht="13.5" customHeight="1" x14ac:dyDescent="0.2"/>
    <row r="402" ht="13.5" customHeight="1" x14ac:dyDescent="0.2"/>
    <row r="403" ht="13.5" customHeight="1" x14ac:dyDescent="0.2"/>
    <row r="404" ht="13.5" customHeight="1" x14ac:dyDescent="0.2"/>
    <row r="405" ht="13.5" customHeight="1" x14ac:dyDescent="0.2"/>
    <row r="406" ht="13.5" customHeight="1" x14ac:dyDescent="0.2"/>
    <row r="407" ht="13.5" customHeight="1" x14ac:dyDescent="0.2"/>
    <row r="408" ht="13.5" customHeight="1" x14ac:dyDescent="0.2"/>
    <row r="409" ht="13.5" customHeight="1" x14ac:dyDescent="0.2"/>
    <row r="410" ht="13.5" customHeight="1" x14ac:dyDescent="0.2"/>
    <row r="411" ht="13.5" customHeight="1" x14ac:dyDescent="0.2"/>
    <row r="412" ht="13.5" customHeight="1" x14ac:dyDescent="0.2"/>
    <row r="413" ht="13.5" customHeight="1" x14ac:dyDescent="0.2"/>
    <row r="414" ht="13.5" customHeight="1" x14ac:dyDescent="0.2"/>
    <row r="415" ht="13.5" customHeight="1" x14ac:dyDescent="0.2"/>
    <row r="416" ht="13.5" customHeight="1" x14ac:dyDescent="0.2"/>
    <row r="417" ht="13.5" customHeight="1" x14ac:dyDescent="0.2"/>
    <row r="418" ht="13.5" customHeight="1" x14ac:dyDescent="0.2"/>
    <row r="419" ht="13.5" customHeight="1" x14ac:dyDescent="0.2"/>
    <row r="420" ht="13.5" customHeight="1" x14ac:dyDescent="0.2"/>
    <row r="421" ht="13.5" customHeight="1" x14ac:dyDescent="0.2"/>
    <row r="422" ht="13.5" customHeight="1" x14ac:dyDescent="0.2"/>
    <row r="423" ht="13.5" customHeight="1" x14ac:dyDescent="0.2"/>
    <row r="424" ht="13.5" customHeight="1" x14ac:dyDescent="0.2"/>
    <row r="425" ht="13.5" customHeight="1" x14ac:dyDescent="0.2"/>
    <row r="426" ht="13.5" customHeight="1" x14ac:dyDescent="0.2"/>
    <row r="427" ht="13.5" customHeight="1" x14ac:dyDescent="0.2"/>
    <row r="428" ht="13.5" customHeight="1" x14ac:dyDescent="0.2"/>
    <row r="429" ht="13.5" customHeight="1" x14ac:dyDescent="0.2"/>
    <row r="430" ht="13.5" customHeight="1" x14ac:dyDescent="0.2"/>
    <row r="431" ht="13.5" customHeight="1" x14ac:dyDescent="0.2"/>
    <row r="432" ht="13.5" customHeight="1" x14ac:dyDescent="0.2"/>
    <row r="433" ht="13.5" customHeight="1" x14ac:dyDescent="0.2"/>
    <row r="434" ht="13.5" customHeight="1" x14ac:dyDescent="0.2"/>
    <row r="435" ht="13.5" customHeight="1" x14ac:dyDescent="0.2"/>
    <row r="436" ht="13.5" customHeight="1" x14ac:dyDescent="0.2"/>
    <row r="437" ht="13.5" customHeight="1" x14ac:dyDescent="0.2"/>
    <row r="438" ht="13.5" customHeight="1" x14ac:dyDescent="0.2"/>
    <row r="439" ht="13.5" customHeight="1" x14ac:dyDescent="0.2"/>
    <row r="440" ht="13.5" customHeight="1" x14ac:dyDescent="0.2"/>
    <row r="441" ht="13.5" customHeight="1" x14ac:dyDescent="0.2"/>
    <row r="442" ht="13.5" customHeight="1" x14ac:dyDescent="0.2"/>
    <row r="443" ht="13.5" customHeight="1" x14ac:dyDescent="0.2"/>
    <row r="444" ht="13.5" customHeight="1" x14ac:dyDescent="0.2"/>
    <row r="445" ht="13.5" customHeight="1" x14ac:dyDescent="0.2"/>
    <row r="446" ht="13.5" customHeight="1" x14ac:dyDescent="0.2"/>
    <row r="447" ht="13.5" customHeight="1" x14ac:dyDescent="0.2"/>
    <row r="448" ht="13.5" customHeight="1" x14ac:dyDescent="0.2"/>
    <row r="449" ht="13.5" customHeight="1" x14ac:dyDescent="0.2"/>
    <row r="450" ht="13.5" customHeight="1" x14ac:dyDescent="0.2"/>
    <row r="451" ht="13.5" customHeight="1" x14ac:dyDescent="0.2"/>
    <row r="452" ht="13.5" customHeight="1" x14ac:dyDescent="0.2"/>
    <row r="453" ht="13.5" customHeight="1" x14ac:dyDescent="0.2"/>
    <row r="454" ht="13.5" customHeight="1" x14ac:dyDescent="0.2"/>
    <row r="455" ht="13.5" customHeight="1" x14ac:dyDescent="0.2"/>
    <row r="456" ht="13.5" customHeight="1" x14ac:dyDescent="0.2"/>
    <row r="457" ht="13.5" customHeight="1" x14ac:dyDescent="0.2"/>
    <row r="458" ht="13.5" customHeight="1" x14ac:dyDescent="0.2"/>
    <row r="459" ht="13.5" customHeight="1" x14ac:dyDescent="0.2"/>
    <row r="460" ht="13.5" customHeight="1" x14ac:dyDescent="0.2"/>
    <row r="461" ht="13.5" customHeight="1" x14ac:dyDescent="0.2"/>
    <row r="462" ht="13.5" customHeight="1" x14ac:dyDescent="0.2"/>
    <row r="463" ht="13.5" customHeight="1" x14ac:dyDescent="0.2"/>
    <row r="464" ht="13.5" customHeight="1" x14ac:dyDescent="0.2"/>
    <row r="465" ht="13.5" customHeight="1" x14ac:dyDescent="0.2"/>
    <row r="466" ht="13.5" customHeight="1" x14ac:dyDescent="0.2"/>
    <row r="467" ht="13.5" customHeight="1" x14ac:dyDescent="0.2"/>
    <row r="468" ht="13.5" customHeight="1" x14ac:dyDescent="0.2"/>
    <row r="469" ht="13.5" customHeight="1" x14ac:dyDescent="0.2"/>
    <row r="470" ht="13.5" customHeight="1" x14ac:dyDescent="0.2"/>
    <row r="471" ht="13.5" customHeight="1" x14ac:dyDescent="0.2"/>
    <row r="472" ht="13.5" customHeight="1" x14ac:dyDescent="0.2"/>
    <row r="473" ht="13.5" customHeight="1" x14ac:dyDescent="0.2"/>
    <row r="474" ht="13.5" customHeight="1" x14ac:dyDescent="0.2"/>
    <row r="475" ht="13.5" customHeight="1" x14ac:dyDescent="0.2"/>
    <row r="476" ht="13.5" customHeight="1" x14ac:dyDescent="0.2"/>
    <row r="477" ht="13.5" customHeight="1" x14ac:dyDescent="0.2"/>
    <row r="478" ht="13.5" customHeight="1" x14ac:dyDescent="0.2"/>
    <row r="479" ht="13.5" customHeight="1" x14ac:dyDescent="0.2"/>
    <row r="480" ht="13.5" customHeight="1" x14ac:dyDescent="0.2"/>
    <row r="481" ht="13.5" customHeight="1" x14ac:dyDescent="0.2"/>
    <row r="482" ht="13.5" customHeight="1" x14ac:dyDescent="0.2"/>
    <row r="483" ht="13.5" customHeight="1" x14ac:dyDescent="0.2"/>
    <row r="484" ht="13.5" customHeight="1" x14ac:dyDescent="0.2"/>
    <row r="485" ht="13.5" customHeight="1" x14ac:dyDescent="0.2"/>
    <row r="486" ht="13.5" customHeight="1" x14ac:dyDescent="0.2"/>
    <row r="487" ht="13.5" customHeight="1" x14ac:dyDescent="0.2"/>
    <row r="488" ht="13.5" customHeight="1" x14ac:dyDescent="0.2"/>
    <row r="489" ht="13.5" customHeight="1" x14ac:dyDescent="0.2"/>
    <row r="490" ht="13.5" customHeight="1" x14ac:dyDescent="0.2"/>
    <row r="491" ht="13.5" customHeight="1" x14ac:dyDescent="0.2"/>
    <row r="492" ht="13.5" customHeight="1" x14ac:dyDescent="0.2"/>
    <row r="493" ht="13.5" customHeight="1" x14ac:dyDescent="0.2"/>
    <row r="494" ht="13.5" customHeight="1" x14ac:dyDescent="0.2"/>
    <row r="495" ht="13.5" customHeight="1" x14ac:dyDescent="0.2"/>
    <row r="496" ht="13.5" customHeight="1" x14ac:dyDescent="0.2"/>
    <row r="497" ht="13.5" customHeight="1" x14ac:dyDescent="0.2"/>
    <row r="498" ht="13.5" customHeight="1" x14ac:dyDescent="0.2"/>
    <row r="499" ht="13.5" customHeight="1" x14ac:dyDescent="0.2"/>
    <row r="500" ht="13.5" customHeight="1" x14ac:dyDescent="0.2"/>
    <row r="501" ht="13.5" customHeight="1" x14ac:dyDescent="0.2"/>
    <row r="502" ht="13.5" customHeight="1" x14ac:dyDescent="0.2"/>
    <row r="503" ht="13.5" customHeight="1" x14ac:dyDescent="0.2"/>
    <row r="504" ht="13.5" customHeight="1" x14ac:dyDescent="0.2"/>
    <row r="505" ht="13.5" customHeight="1" x14ac:dyDescent="0.2"/>
    <row r="506" ht="13.5" customHeight="1" x14ac:dyDescent="0.2"/>
    <row r="507" ht="13.5" customHeight="1" x14ac:dyDescent="0.2"/>
    <row r="508" ht="13.5" customHeight="1" x14ac:dyDescent="0.2"/>
    <row r="509" ht="13.5" customHeight="1" x14ac:dyDescent="0.2"/>
    <row r="510" ht="13.5" customHeight="1" x14ac:dyDescent="0.2"/>
    <row r="511" ht="13.5" customHeight="1" x14ac:dyDescent="0.2"/>
    <row r="512" ht="13.5" customHeight="1" x14ac:dyDescent="0.2"/>
    <row r="513" ht="13.5" customHeight="1" x14ac:dyDescent="0.2"/>
    <row r="514" ht="13.5" customHeight="1" x14ac:dyDescent="0.2"/>
    <row r="515" ht="13.5" customHeight="1" x14ac:dyDescent="0.2"/>
    <row r="516" ht="13.5" customHeight="1" x14ac:dyDescent="0.2"/>
    <row r="517" ht="13.5" customHeight="1" x14ac:dyDescent="0.2"/>
    <row r="518" ht="13.5" customHeight="1" x14ac:dyDescent="0.2"/>
    <row r="519" ht="13.5" customHeight="1" x14ac:dyDescent="0.2"/>
    <row r="520" ht="13.5" customHeight="1" x14ac:dyDescent="0.2"/>
    <row r="521" ht="13.5" customHeight="1" x14ac:dyDescent="0.2"/>
    <row r="522" ht="13.5" customHeight="1" x14ac:dyDescent="0.2"/>
    <row r="523" ht="13.5" customHeight="1" x14ac:dyDescent="0.2"/>
    <row r="524" ht="13.5" customHeight="1" x14ac:dyDescent="0.2"/>
    <row r="525" ht="13.5" customHeight="1" x14ac:dyDescent="0.2"/>
    <row r="526" ht="13.5" customHeight="1" x14ac:dyDescent="0.2"/>
    <row r="527" ht="13.5" customHeight="1" x14ac:dyDescent="0.2"/>
    <row r="528" ht="13.5" customHeight="1" x14ac:dyDescent="0.2"/>
    <row r="529" ht="13.5" customHeight="1" x14ac:dyDescent="0.2"/>
    <row r="530" ht="13.5" customHeight="1" x14ac:dyDescent="0.2"/>
    <row r="531" ht="13.5" customHeight="1" x14ac:dyDescent="0.2"/>
    <row r="532" ht="13.5" customHeight="1" x14ac:dyDescent="0.2"/>
    <row r="533" ht="13.5" customHeight="1" x14ac:dyDescent="0.2"/>
    <row r="534" ht="13.5" customHeight="1" x14ac:dyDescent="0.2"/>
    <row r="535" ht="13.5" customHeight="1" x14ac:dyDescent="0.2"/>
    <row r="536" ht="13.5" customHeight="1" x14ac:dyDescent="0.2"/>
    <row r="537" ht="13.5" customHeight="1" x14ac:dyDescent="0.2"/>
    <row r="538" ht="13.5" customHeight="1" x14ac:dyDescent="0.2"/>
    <row r="539" ht="13.5" customHeight="1" x14ac:dyDescent="0.2"/>
    <row r="540" ht="13.5" customHeight="1" x14ac:dyDescent="0.2"/>
    <row r="541" ht="13.5" customHeight="1" x14ac:dyDescent="0.2"/>
    <row r="542" ht="13.5" customHeight="1" x14ac:dyDescent="0.2"/>
    <row r="543" ht="13.5" customHeight="1" x14ac:dyDescent="0.2"/>
    <row r="544" ht="13.5" customHeight="1" x14ac:dyDescent="0.2"/>
    <row r="545" ht="13.5" customHeight="1" x14ac:dyDescent="0.2"/>
    <row r="546" ht="13.5" customHeight="1" x14ac:dyDescent="0.2"/>
    <row r="547" ht="13.5" customHeight="1" x14ac:dyDescent="0.2"/>
    <row r="548" ht="13.5" customHeight="1" x14ac:dyDescent="0.2"/>
    <row r="549" ht="13.5" customHeight="1" x14ac:dyDescent="0.2"/>
    <row r="550" ht="13.5" customHeight="1" x14ac:dyDescent="0.2"/>
    <row r="551" ht="13.5" customHeight="1" x14ac:dyDescent="0.2"/>
    <row r="552" ht="13.5" customHeight="1" x14ac:dyDescent="0.2"/>
    <row r="553" ht="13.5" customHeight="1" x14ac:dyDescent="0.2"/>
    <row r="554" ht="13.5" customHeight="1" x14ac:dyDescent="0.2"/>
    <row r="555" ht="13.5" customHeight="1" x14ac:dyDescent="0.2"/>
    <row r="556" ht="13.5" customHeight="1" x14ac:dyDescent="0.2"/>
    <row r="557" ht="13.5" customHeight="1" x14ac:dyDescent="0.2"/>
    <row r="558" ht="13.5" customHeight="1" x14ac:dyDescent="0.2"/>
    <row r="559" ht="13.5" customHeight="1" x14ac:dyDescent="0.2"/>
    <row r="560" ht="13.5" customHeight="1" x14ac:dyDescent="0.2"/>
    <row r="561" ht="13.5" customHeight="1" x14ac:dyDescent="0.2"/>
    <row r="562" ht="13.5" customHeight="1" x14ac:dyDescent="0.2"/>
    <row r="563" ht="13.5" customHeight="1" x14ac:dyDescent="0.2"/>
    <row r="564" ht="13.5" customHeight="1" x14ac:dyDescent="0.2"/>
    <row r="565" ht="13.5" customHeight="1" x14ac:dyDescent="0.2"/>
    <row r="566" ht="13.5" customHeight="1" x14ac:dyDescent="0.2"/>
    <row r="567" ht="13.5" customHeight="1" x14ac:dyDescent="0.2"/>
    <row r="568" ht="13.5" customHeight="1" x14ac:dyDescent="0.2"/>
    <row r="569" ht="13.5" customHeight="1" x14ac:dyDescent="0.2"/>
    <row r="570" ht="13.5" customHeight="1" x14ac:dyDescent="0.2"/>
    <row r="571" ht="13.5" customHeight="1" x14ac:dyDescent="0.2"/>
    <row r="572" ht="13.5" customHeight="1" x14ac:dyDescent="0.2"/>
    <row r="573" ht="13.5" customHeight="1" x14ac:dyDescent="0.2"/>
    <row r="574" ht="13.5" customHeight="1" x14ac:dyDescent="0.2"/>
    <row r="575" ht="13.5" customHeight="1" x14ac:dyDescent="0.2"/>
    <row r="576" ht="13.5" customHeight="1" x14ac:dyDescent="0.2"/>
    <row r="577" ht="13.5" customHeight="1" x14ac:dyDescent="0.2"/>
    <row r="578" ht="13.5" customHeight="1" x14ac:dyDescent="0.2"/>
    <row r="579" ht="13.5" customHeight="1" x14ac:dyDescent="0.2"/>
    <row r="580" ht="13.5" customHeight="1" x14ac:dyDescent="0.2"/>
    <row r="581" ht="13.5" customHeight="1" x14ac:dyDescent="0.2"/>
    <row r="582" ht="13.5" customHeight="1" x14ac:dyDescent="0.2"/>
    <row r="583" ht="13.5" customHeight="1" x14ac:dyDescent="0.2"/>
    <row r="584" ht="13.5" customHeight="1" x14ac:dyDescent="0.2"/>
    <row r="585" ht="13.5" customHeight="1" x14ac:dyDescent="0.2"/>
    <row r="586" ht="13.5" customHeight="1" x14ac:dyDescent="0.2"/>
    <row r="587" ht="13.5" customHeight="1" x14ac:dyDescent="0.2"/>
    <row r="588" ht="13.5" customHeight="1" x14ac:dyDescent="0.2"/>
    <row r="589" ht="13.5" customHeight="1" x14ac:dyDescent="0.2"/>
    <row r="590" ht="13.5" customHeight="1" x14ac:dyDescent="0.2"/>
    <row r="591" ht="13.5" customHeight="1" x14ac:dyDescent="0.2"/>
    <row r="592" ht="13.5" customHeight="1" x14ac:dyDescent="0.2"/>
    <row r="593" ht="13.5" customHeight="1" x14ac:dyDescent="0.2"/>
    <row r="594" ht="13.5" customHeight="1" x14ac:dyDescent="0.2"/>
    <row r="595" ht="13.5" customHeight="1" x14ac:dyDescent="0.2"/>
    <row r="596" ht="13.5" customHeight="1" x14ac:dyDescent="0.2"/>
    <row r="597" ht="13.5" customHeight="1" x14ac:dyDescent="0.2"/>
    <row r="598" ht="13.5" customHeight="1" x14ac:dyDescent="0.2"/>
    <row r="599" ht="13.5" customHeight="1" x14ac:dyDescent="0.2"/>
    <row r="600" ht="13.5" customHeight="1" x14ac:dyDescent="0.2"/>
    <row r="601" ht="13.5" customHeight="1" x14ac:dyDescent="0.2"/>
    <row r="602" ht="13.5" customHeight="1" x14ac:dyDescent="0.2"/>
    <row r="603" ht="13.5" customHeight="1" x14ac:dyDescent="0.2"/>
    <row r="604" ht="13.5" customHeight="1" x14ac:dyDescent="0.2"/>
    <row r="605" ht="13.5" customHeight="1" x14ac:dyDescent="0.2"/>
    <row r="606" ht="13.5" customHeight="1" x14ac:dyDescent="0.2"/>
    <row r="607" ht="13.5" customHeight="1" x14ac:dyDescent="0.2"/>
    <row r="608" ht="13.5" customHeight="1" x14ac:dyDescent="0.2"/>
    <row r="609" ht="13.5" customHeight="1" x14ac:dyDescent="0.2"/>
    <row r="610" ht="13.5" customHeight="1" x14ac:dyDescent="0.2"/>
    <row r="611" ht="13.5" customHeight="1" x14ac:dyDescent="0.2"/>
    <row r="612" ht="13.5" customHeight="1" x14ac:dyDescent="0.2"/>
    <row r="613" ht="13.5" customHeight="1" x14ac:dyDescent="0.2"/>
    <row r="614" ht="13.5" customHeight="1" x14ac:dyDescent="0.2"/>
    <row r="615" ht="13.5" customHeight="1" x14ac:dyDescent="0.2"/>
    <row r="616" ht="13.5" customHeight="1" x14ac:dyDescent="0.2"/>
    <row r="617" ht="13.5" customHeight="1" x14ac:dyDescent="0.2"/>
    <row r="618" ht="13.5" customHeight="1" x14ac:dyDescent="0.2"/>
    <row r="619" ht="13.5" customHeight="1" x14ac:dyDescent="0.2"/>
    <row r="620" ht="13.5" customHeight="1" x14ac:dyDescent="0.2"/>
    <row r="621" ht="13.5" customHeight="1" x14ac:dyDescent="0.2"/>
    <row r="622" ht="13.5" customHeight="1" x14ac:dyDescent="0.2"/>
    <row r="623" ht="13.5" customHeight="1" x14ac:dyDescent="0.2"/>
    <row r="624" ht="13.5" customHeight="1" x14ac:dyDescent="0.2"/>
    <row r="625" ht="13.5" customHeight="1" x14ac:dyDescent="0.2"/>
    <row r="626" ht="13.5" customHeight="1" x14ac:dyDescent="0.2"/>
    <row r="627" ht="13.5" customHeight="1" x14ac:dyDescent="0.2"/>
    <row r="628" ht="13.5" customHeight="1" x14ac:dyDescent="0.2"/>
    <row r="629" ht="13.5" customHeight="1" x14ac:dyDescent="0.2"/>
    <row r="630" ht="13.5" customHeight="1" x14ac:dyDescent="0.2"/>
    <row r="631" ht="13.5" customHeight="1" x14ac:dyDescent="0.2"/>
    <row r="632" ht="13.5" customHeight="1" x14ac:dyDescent="0.2"/>
    <row r="633" ht="13.5" customHeight="1" x14ac:dyDescent="0.2"/>
    <row r="634" ht="13.5" customHeight="1" x14ac:dyDescent="0.2"/>
    <row r="635" ht="13.5" customHeight="1" x14ac:dyDescent="0.2"/>
    <row r="636" ht="13.5" customHeight="1" x14ac:dyDescent="0.2"/>
    <row r="637" ht="13.5" customHeight="1" x14ac:dyDescent="0.2"/>
    <row r="638" ht="13.5" customHeight="1" x14ac:dyDescent="0.2"/>
    <row r="639" ht="13.5" customHeight="1" x14ac:dyDescent="0.2"/>
    <row r="640" ht="13.5" customHeight="1" x14ac:dyDescent="0.2"/>
    <row r="641" ht="13.5" customHeight="1" x14ac:dyDescent="0.2"/>
    <row r="642" ht="13.5" customHeight="1" x14ac:dyDescent="0.2"/>
    <row r="643" ht="13.5" customHeight="1" x14ac:dyDescent="0.2"/>
    <row r="644" ht="13.5" customHeight="1" x14ac:dyDescent="0.2"/>
    <row r="645" ht="13.5" customHeight="1" x14ac:dyDescent="0.2"/>
    <row r="646" ht="13.5" customHeight="1" x14ac:dyDescent="0.2"/>
    <row r="647" ht="13.5" customHeight="1" x14ac:dyDescent="0.2"/>
    <row r="648" ht="13.5" customHeight="1" x14ac:dyDescent="0.2"/>
    <row r="649" ht="13.5" customHeight="1" x14ac:dyDescent="0.2"/>
    <row r="650" ht="13.5" customHeight="1" x14ac:dyDescent="0.2"/>
    <row r="651" ht="13.5" customHeight="1" x14ac:dyDescent="0.2"/>
    <row r="652" ht="13.5" customHeight="1" x14ac:dyDescent="0.2"/>
    <row r="653" ht="13.5" customHeight="1" x14ac:dyDescent="0.2"/>
    <row r="654" ht="13.5" customHeight="1" x14ac:dyDescent="0.2"/>
    <row r="655" ht="13.5" customHeight="1" x14ac:dyDescent="0.2"/>
    <row r="656" ht="13.5" customHeight="1" x14ac:dyDescent="0.2"/>
    <row r="657" ht="13.5" customHeight="1" x14ac:dyDescent="0.2"/>
    <row r="658" ht="13.5" customHeight="1" x14ac:dyDescent="0.2"/>
    <row r="659" ht="13.5" customHeight="1" x14ac:dyDescent="0.2"/>
    <row r="660" ht="13.5" customHeight="1" x14ac:dyDescent="0.2"/>
    <row r="661" ht="13.5" customHeight="1" x14ac:dyDescent="0.2"/>
    <row r="662" ht="13.5" customHeight="1" x14ac:dyDescent="0.2"/>
    <row r="663" ht="13.5" customHeight="1" x14ac:dyDescent="0.2"/>
    <row r="664" ht="13.5" customHeight="1" x14ac:dyDescent="0.2"/>
    <row r="665" ht="13.5" customHeight="1" x14ac:dyDescent="0.2"/>
    <row r="666" ht="13.5" customHeight="1" x14ac:dyDescent="0.2"/>
    <row r="667" ht="13.5" customHeight="1" x14ac:dyDescent="0.2"/>
    <row r="668" ht="13.5" customHeight="1" x14ac:dyDescent="0.2"/>
    <row r="669" ht="13.5" customHeight="1" x14ac:dyDescent="0.2"/>
    <row r="670" ht="13.5" customHeight="1" x14ac:dyDescent="0.2"/>
    <row r="671" ht="13.5" customHeight="1" x14ac:dyDescent="0.2"/>
    <row r="672" ht="13.5" customHeight="1" x14ac:dyDescent="0.2"/>
    <row r="673" ht="13.5" customHeight="1" x14ac:dyDescent="0.2"/>
    <row r="674" ht="13.5" customHeight="1" x14ac:dyDescent="0.2"/>
    <row r="675" ht="13.5" customHeight="1" x14ac:dyDescent="0.2"/>
    <row r="676" ht="13.5" customHeight="1" x14ac:dyDescent="0.2"/>
    <row r="677" ht="13.5" customHeight="1" x14ac:dyDescent="0.2"/>
    <row r="678" ht="13.5" customHeight="1" x14ac:dyDescent="0.2"/>
    <row r="679" ht="13.5" customHeight="1" x14ac:dyDescent="0.2"/>
    <row r="680" ht="13.5" customHeight="1" x14ac:dyDescent="0.2"/>
    <row r="681" ht="13.5" customHeight="1" x14ac:dyDescent="0.2"/>
    <row r="682" ht="13.5" customHeight="1" x14ac:dyDescent="0.2"/>
    <row r="683" ht="13.5" customHeight="1" x14ac:dyDescent="0.2"/>
    <row r="684" ht="13.5" customHeight="1" x14ac:dyDescent="0.2"/>
    <row r="685" ht="13.5" customHeight="1" x14ac:dyDescent="0.2"/>
    <row r="686" ht="13.5" customHeight="1" x14ac:dyDescent="0.2"/>
    <row r="687" ht="13.5" customHeight="1" x14ac:dyDescent="0.2"/>
    <row r="688" ht="13.5" customHeight="1" x14ac:dyDescent="0.2"/>
    <row r="689" ht="13.5" customHeight="1" x14ac:dyDescent="0.2"/>
    <row r="690" ht="13.5" customHeight="1" x14ac:dyDescent="0.2"/>
    <row r="691" ht="13.5" customHeight="1" x14ac:dyDescent="0.2"/>
    <row r="692" ht="13.5" customHeight="1" x14ac:dyDescent="0.2"/>
    <row r="693" ht="13.5" customHeight="1" x14ac:dyDescent="0.2"/>
    <row r="694" ht="13.5" customHeight="1" x14ac:dyDescent="0.2"/>
    <row r="695" ht="13.5" customHeight="1" x14ac:dyDescent="0.2"/>
    <row r="696" ht="13.5" customHeight="1" x14ac:dyDescent="0.2"/>
    <row r="697" ht="13.5" customHeight="1" x14ac:dyDescent="0.2"/>
    <row r="698" ht="13.5" customHeight="1" x14ac:dyDescent="0.2"/>
    <row r="699" ht="13.5" customHeight="1" x14ac:dyDescent="0.2"/>
    <row r="700" ht="13.5" customHeight="1" x14ac:dyDescent="0.2"/>
    <row r="701" ht="13.5" customHeight="1" x14ac:dyDescent="0.2"/>
    <row r="702" ht="13.5" customHeight="1" x14ac:dyDescent="0.2"/>
    <row r="703" ht="13.5" customHeight="1" x14ac:dyDescent="0.2"/>
    <row r="704" ht="13.5" customHeight="1" x14ac:dyDescent="0.2"/>
    <row r="705" ht="13.5" customHeight="1" x14ac:dyDescent="0.2"/>
    <row r="706" ht="13.5" customHeight="1" x14ac:dyDescent="0.2"/>
    <row r="707" ht="13.5" customHeight="1" x14ac:dyDescent="0.2"/>
    <row r="708" ht="13.5" customHeight="1" x14ac:dyDescent="0.2"/>
    <row r="709" ht="13.5" customHeight="1" x14ac:dyDescent="0.2"/>
    <row r="710" ht="13.5" customHeight="1" x14ac:dyDescent="0.2"/>
    <row r="711" ht="13.5" customHeight="1" x14ac:dyDescent="0.2"/>
    <row r="712" ht="13.5" customHeight="1" x14ac:dyDescent="0.2"/>
    <row r="713" ht="13.5" customHeight="1" x14ac:dyDescent="0.2"/>
    <row r="714" ht="13.5" customHeight="1" x14ac:dyDescent="0.2"/>
    <row r="715" ht="13.5" customHeight="1" x14ac:dyDescent="0.2"/>
    <row r="716" ht="13.5" customHeight="1" x14ac:dyDescent="0.2"/>
    <row r="717" ht="13.5" customHeight="1" x14ac:dyDescent="0.2"/>
    <row r="718" ht="13.5" customHeight="1" x14ac:dyDescent="0.2"/>
    <row r="719" ht="13.5" customHeight="1" x14ac:dyDescent="0.2"/>
    <row r="720" ht="13.5" customHeight="1" x14ac:dyDescent="0.2"/>
    <row r="721" ht="13.5" customHeight="1" x14ac:dyDescent="0.2"/>
    <row r="722" ht="13.5" customHeight="1" x14ac:dyDescent="0.2"/>
    <row r="723" ht="13.5" customHeight="1" x14ac:dyDescent="0.2"/>
    <row r="724" ht="13.5" customHeight="1" x14ac:dyDescent="0.2"/>
    <row r="725" ht="13.5" customHeight="1" x14ac:dyDescent="0.2"/>
    <row r="726" ht="13.5" customHeight="1" x14ac:dyDescent="0.2"/>
    <row r="727" ht="13.5" customHeight="1" x14ac:dyDescent="0.2"/>
    <row r="728" ht="13.5" customHeight="1" x14ac:dyDescent="0.2"/>
    <row r="729" ht="13.5" customHeight="1" x14ac:dyDescent="0.2"/>
    <row r="730" ht="13.5" customHeight="1" x14ac:dyDescent="0.2"/>
    <row r="731" ht="13.5" customHeight="1" x14ac:dyDescent="0.2"/>
    <row r="732" ht="13.5" customHeight="1" x14ac:dyDescent="0.2"/>
    <row r="733" ht="13.5" customHeight="1" x14ac:dyDescent="0.2"/>
    <row r="734" ht="13.5" customHeight="1" x14ac:dyDescent="0.2"/>
    <row r="735" ht="13.5" customHeight="1" x14ac:dyDescent="0.2"/>
    <row r="736" ht="13.5" customHeight="1" x14ac:dyDescent="0.2"/>
    <row r="737" ht="13.5" customHeight="1" x14ac:dyDescent="0.2"/>
    <row r="738" ht="13.5" customHeight="1" x14ac:dyDescent="0.2"/>
    <row r="739" ht="13.5" customHeight="1" x14ac:dyDescent="0.2"/>
    <row r="740" ht="13.5" customHeight="1" x14ac:dyDescent="0.2"/>
    <row r="741" ht="13.5" customHeight="1" x14ac:dyDescent="0.2"/>
    <row r="742" ht="13.5" customHeight="1" x14ac:dyDescent="0.2"/>
    <row r="743" ht="13.5" customHeight="1" x14ac:dyDescent="0.2"/>
    <row r="744" ht="13.5" customHeight="1" x14ac:dyDescent="0.2"/>
    <row r="745" ht="13.5" customHeight="1" x14ac:dyDescent="0.2"/>
    <row r="746" ht="13.5" customHeight="1" x14ac:dyDescent="0.2"/>
    <row r="747" ht="13.5" customHeight="1" x14ac:dyDescent="0.2"/>
    <row r="748" ht="13.5" customHeight="1" x14ac:dyDescent="0.2"/>
    <row r="749" ht="13.5" customHeight="1" x14ac:dyDescent="0.2"/>
    <row r="750" ht="13.5" customHeight="1" x14ac:dyDescent="0.2"/>
    <row r="751" ht="13.5" customHeight="1" x14ac:dyDescent="0.2"/>
    <row r="752" ht="13.5" customHeight="1" x14ac:dyDescent="0.2"/>
    <row r="753" ht="13.5" customHeight="1" x14ac:dyDescent="0.2"/>
    <row r="754" ht="13.5" customHeight="1" x14ac:dyDescent="0.2"/>
    <row r="755" ht="13.5" customHeight="1" x14ac:dyDescent="0.2"/>
    <row r="756" ht="13.5" customHeight="1" x14ac:dyDescent="0.2"/>
    <row r="757" ht="13.5" customHeight="1" x14ac:dyDescent="0.2"/>
    <row r="758" ht="13.5" customHeight="1" x14ac:dyDescent="0.2"/>
    <row r="759" ht="13.5" customHeight="1" x14ac:dyDescent="0.2"/>
    <row r="760" ht="13.5" customHeight="1" x14ac:dyDescent="0.2"/>
    <row r="761" ht="13.5" customHeight="1" x14ac:dyDescent="0.2"/>
    <row r="762" ht="13.5" customHeight="1" x14ac:dyDescent="0.2"/>
    <row r="763" ht="13.5" customHeight="1" x14ac:dyDescent="0.2"/>
    <row r="764" ht="13.5" customHeight="1" x14ac:dyDescent="0.2"/>
    <row r="765" ht="13.5" customHeight="1" x14ac:dyDescent="0.2"/>
    <row r="766" ht="13.5" customHeight="1" x14ac:dyDescent="0.2"/>
    <row r="767" ht="13.5" customHeight="1" x14ac:dyDescent="0.2"/>
    <row r="768" ht="13.5" customHeight="1" x14ac:dyDescent="0.2"/>
    <row r="769" ht="13.5" customHeight="1" x14ac:dyDescent="0.2"/>
    <row r="770" ht="13.5" customHeight="1" x14ac:dyDescent="0.2"/>
    <row r="771" ht="13.5" customHeight="1" x14ac:dyDescent="0.2"/>
    <row r="772" ht="13.5" customHeight="1" x14ac:dyDescent="0.2"/>
    <row r="773" ht="13.5" customHeight="1" x14ac:dyDescent="0.2"/>
    <row r="774" ht="13.5" customHeight="1" x14ac:dyDescent="0.2"/>
    <row r="775" ht="13.5" customHeight="1" x14ac:dyDescent="0.2"/>
    <row r="776" ht="13.5" customHeight="1" x14ac:dyDescent="0.2"/>
    <row r="777" ht="13.5" customHeight="1" x14ac:dyDescent="0.2"/>
    <row r="778" ht="13.5" customHeight="1" x14ac:dyDescent="0.2"/>
    <row r="779" ht="13.5" customHeight="1" x14ac:dyDescent="0.2"/>
    <row r="780" ht="13.5" customHeight="1" x14ac:dyDescent="0.2"/>
    <row r="781" ht="13.5" customHeight="1" x14ac:dyDescent="0.2"/>
    <row r="782" ht="13.5" customHeight="1" x14ac:dyDescent="0.2"/>
    <row r="783" ht="13.5" customHeight="1" x14ac:dyDescent="0.2"/>
    <row r="784" ht="13.5" customHeight="1" x14ac:dyDescent="0.2"/>
    <row r="785" ht="13.5" customHeight="1" x14ac:dyDescent="0.2"/>
    <row r="786" ht="13.5" customHeight="1" x14ac:dyDescent="0.2"/>
    <row r="787" ht="13.5" customHeight="1" x14ac:dyDescent="0.2"/>
    <row r="788" ht="13.5" customHeight="1" x14ac:dyDescent="0.2"/>
    <row r="789" ht="13.5" customHeight="1" x14ac:dyDescent="0.2"/>
    <row r="790" ht="13.5" customHeight="1" x14ac:dyDescent="0.2"/>
    <row r="791" ht="13.5" customHeight="1" x14ac:dyDescent="0.2"/>
    <row r="792" ht="13.5" customHeight="1" x14ac:dyDescent="0.2"/>
    <row r="793" ht="13.5" customHeight="1" x14ac:dyDescent="0.2"/>
    <row r="794" ht="13.5" customHeight="1" x14ac:dyDescent="0.2"/>
    <row r="795" ht="13.5" customHeight="1" x14ac:dyDescent="0.2"/>
    <row r="796" ht="13.5" customHeight="1" x14ac:dyDescent="0.2"/>
    <row r="797" ht="13.5" customHeight="1" x14ac:dyDescent="0.2"/>
    <row r="798" ht="13.5" customHeight="1" x14ac:dyDescent="0.2"/>
    <row r="799" ht="13.5" customHeight="1" x14ac:dyDescent="0.2"/>
    <row r="800" ht="13.5" customHeight="1" x14ac:dyDescent="0.2"/>
    <row r="801" ht="13.5" customHeight="1" x14ac:dyDescent="0.2"/>
    <row r="802" ht="13.5" customHeight="1" x14ac:dyDescent="0.2"/>
    <row r="803" ht="13.5" customHeight="1" x14ac:dyDescent="0.2"/>
    <row r="804" ht="13.5" customHeight="1" x14ac:dyDescent="0.2"/>
    <row r="805" ht="13.5" customHeight="1" x14ac:dyDescent="0.2"/>
    <row r="806" ht="13.5" customHeight="1" x14ac:dyDescent="0.2"/>
    <row r="807" ht="13.5" customHeight="1" x14ac:dyDescent="0.2"/>
    <row r="808" ht="13.5" customHeight="1" x14ac:dyDescent="0.2"/>
    <row r="809" ht="13.5" customHeight="1" x14ac:dyDescent="0.2"/>
    <row r="810" ht="13.5" customHeight="1" x14ac:dyDescent="0.2"/>
    <row r="811" ht="13.5" customHeight="1" x14ac:dyDescent="0.2"/>
    <row r="812" ht="13.5" customHeight="1" x14ac:dyDescent="0.2"/>
    <row r="813" ht="13.5" customHeight="1" x14ac:dyDescent="0.2"/>
    <row r="814" ht="13.5" customHeight="1" x14ac:dyDescent="0.2"/>
    <row r="815" ht="13.5" customHeight="1" x14ac:dyDescent="0.2"/>
    <row r="816" ht="13.5" customHeight="1" x14ac:dyDescent="0.2"/>
    <row r="817" ht="13.5" customHeight="1" x14ac:dyDescent="0.2"/>
    <row r="818" ht="13.5" customHeight="1" x14ac:dyDescent="0.2"/>
    <row r="819" ht="13.5" customHeight="1" x14ac:dyDescent="0.2"/>
    <row r="820" ht="13.5" customHeight="1" x14ac:dyDescent="0.2"/>
    <row r="821" ht="13.5" customHeight="1" x14ac:dyDescent="0.2"/>
    <row r="822" ht="13.5" customHeight="1" x14ac:dyDescent="0.2"/>
    <row r="823" ht="13.5" customHeight="1" x14ac:dyDescent="0.2"/>
    <row r="824" ht="13.5" customHeight="1" x14ac:dyDescent="0.2"/>
    <row r="825" ht="13.5" customHeight="1" x14ac:dyDescent="0.2"/>
    <row r="826" ht="13.5" customHeight="1" x14ac:dyDescent="0.2"/>
    <row r="827" ht="13.5" customHeight="1" x14ac:dyDescent="0.2"/>
    <row r="828" ht="13.5" customHeight="1" x14ac:dyDescent="0.2"/>
    <row r="829" ht="13.5" customHeight="1" x14ac:dyDescent="0.2"/>
    <row r="830" ht="13.5" customHeight="1" x14ac:dyDescent="0.2"/>
    <row r="831" ht="13.5" customHeight="1" x14ac:dyDescent="0.2"/>
    <row r="832" ht="13.5" customHeight="1" x14ac:dyDescent="0.2"/>
    <row r="833" ht="13.5" customHeight="1" x14ac:dyDescent="0.2"/>
    <row r="834" ht="13.5" customHeight="1" x14ac:dyDescent="0.2"/>
    <row r="835" ht="13.5" customHeight="1" x14ac:dyDescent="0.2"/>
    <row r="836" ht="13.5" customHeight="1" x14ac:dyDescent="0.2"/>
    <row r="837" ht="13.5" customHeight="1" x14ac:dyDescent="0.2"/>
    <row r="838" ht="13.5" customHeight="1" x14ac:dyDescent="0.2"/>
    <row r="839" ht="13.5" customHeight="1" x14ac:dyDescent="0.2"/>
    <row r="840" ht="13.5" customHeight="1" x14ac:dyDescent="0.2"/>
    <row r="841" ht="13.5" customHeight="1" x14ac:dyDescent="0.2"/>
    <row r="842" ht="13.5" customHeight="1" x14ac:dyDescent="0.2"/>
    <row r="843" ht="13.5" customHeight="1" x14ac:dyDescent="0.2"/>
    <row r="844" ht="13.5" customHeight="1" x14ac:dyDescent="0.2"/>
    <row r="845" ht="13.5" customHeight="1" x14ac:dyDescent="0.2"/>
    <row r="846" ht="13.5" customHeight="1" x14ac:dyDescent="0.2"/>
    <row r="847" ht="13.5" customHeight="1" x14ac:dyDescent="0.2"/>
    <row r="848" ht="13.5" customHeight="1" x14ac:dyDescent="0.2"/>
    <row r="849" ht="13.5" customHeight="1" x14ac:dyDescent="0.2"/>
    <row r="850" ht="13.5" customHeight="1" x14ac:dyDescent="0.2"/>
    <row r="851" ht="13.5" customHeight="1" x14ac:dyDescent="0.2"/>
    <row r="852" ht="13.5" customHeight="1" x14ac:dyDescent="0.2"/>
    <row r="853" ht="13.5" customHeight="1" x14ac:dyDescent="0.2"/>
    <row r="854" ht="13.5" customHeight="1" x14ac:dyDescent="0.2"/>
    <row r="855" ht="13.5" customHeight="1" x14ac:dyDescent="0.2"/>
    <row r="856" ht="13.5" customHeight="1" x14ac:dyDescent="0.2"/>
    <row r="857" ht="13.5" customHeight="1" x14ac:dyDescent="0.2"/>
    <row r="858" ht="13.5" customHeight="1" x14ac:dyDescent="0.2"/>
    <row r="859" ht="13.5" customHeight="1" x14ac:dyDescent="0.2"/>
    <row r="860" ht="13.5" customHeight="1" x14ac:dyDescent="0.2"/>
    <row r="861" ht="13.5" customHeight="1" x14ac:dyDescent="0.2"/>
    <row r="862" ht="13.5" customHeight="1" x14ac:dyDescent="0.2"/>
    <row r="863" ht="13.5" customHeight="1" x14ac:dyDescent="0.2"/>
    <row r="864" ht="13.5" customHeight="1" x14ac:dyDescent="0.2"/>
    <row r="865" ht="13.5" customHeight="1" x14ac:dyDescent="0.2"/>
    <row r="866" ht="13.5" customHeight="1" x14ac:dyDescent="0.2"/>
    <row r="867" ht="13.5" customHeight="1" x14ac:dyDescent="0.2"/>
    <row r="868" ht="13.5" customHeight="1" x14ac:dyDescent="0.2"/>
    <row r="869" ht="13.5" customHeight="1" x14ac:dyDescent="0.2"/>
    <row r="870" ht="13.5" customHeight="1" x14ac:dyDescent="0.2"/>
    <row r="871" ht="13.5" customHeight="1" x14ac:dyDescent="0.2"/>
    <row r="872" ht="13.5" customHeight="1" x14ac:dyDescent="0.2"/>
    <row r="873" ht="13.5" customHeight="1" x14ac:dyDescent="0.2"/>
    <row r="874" ht="13.5" customHeight="1" x14ac:dyDescent="0.2"/>
    <row r="875" ht="13.5" customHeight="1" x14ac:dyDescent="0.2"/>
    <row r="876" ht="13.5" customHeight="1" x14ac:dyDescent="0.2"/>
    <row r="877" ht="13.5" customHeight="1" x14ac:dyDescent="0.2"/>
    <row r="878" ht="13.5" customHeight="1" x14ac:dyDescent="0.2"/>
    <row r="879" ht="13.5" customHeight="1" x14ac:dyDescent="0.2"/>
    <row r="880" ht="13.5" customHeight="1" x14ac:dyDescent="0.2"/>
    <row r="881" ht="13.5" customHeight="1" x14ac:dyDescent="0.2"/>
    <row r="882" ht="13.5" customHeight="1" x14ac:dyDescent="0.2"/>
    <row r="883" ht="13.5" customHeight="1" x14ac:dyDescent="0.2"/>
    <row r="884" ht="13.5" customHeight="1" x14ac:dyDescent="0.2"/>
    <row r="885" ht="13.5" customHeight="1" x14ac:dyDescent="0.2"/>
    <row r="886" ht="13.5" customHeight="1" x14ac:dyDescent="0.2"/>
    <row r="887" ht="13.5" customHeight="1" x14ac:dyDescent="0.2"/>
    <row r="888" ht="13.5" customHeight="1" x14ac:dyDescent="0.2"/>
    <row r="889" ht="13.5" customHeight="1" x14ac:dyDescent="0.2"/>
    <row r="890" ht="13.5" customHeight="1" x14ac:dyDescent="0.2"/>
    <row r="891" ht="13.5" customHeight="1" x14ac:dyDescent="0.2"/>
    <row r="892" ht="13.5" customHeight="1" x14ac:dyDescent="0.2"/>
    <row r="893" ht="13.5" customHeight="1" x14ac:dyDescent="0.2"/>
    <row r="894" ht="13.5" customHeight="1" x14ac:dyDescent="0.2"/>
    <row r="895" ht="13.5" customHeight="1" x14ac:dyDescent="0.2"/>
    <row r="896" ht="13.5" customHeight="1" x14ac:dyDescent="0.2"/>
    <row r="897" ht="13.5" customHeight="1" x14ac:dyDescent="0.2"/>
    <row r="898" ht="13.5" customHeight="1" x14ac:dyDescent="0.2"/>
    <row r="899" ht="13.5" customHeight="1" x14ac:dyDescent="0.2"/>
    <row r="900" ht="13.5" customHeight="1" x14ac:dyDescent="0.2"/>
    <row r="901" ht="13.5" customHeight="1" x14ac:dyDescent="0.2"/>
    <row r="902" ht="13.5" customHeight="1" x14ac:dyDescent="0.2"/>
    <row r="903" ht="13.5" customHeight="1" x14ac:dyDescent="0.2"/>
    <row r="904" ht="13.5" customHeight="1" x14ac:dyDescent="0.2"/>
    <row r="905" ht="13.5" customHeight="1" x14ac:dyDescent="0.2"/>
    <row r="906" ht="13.5" customHeight="1" x14ac:dyDescent="0.2"/>
    <row r="907" ht="13.5" customHeight="1" x14ac:dyDescent="0.2"/>
    <row r="908" ht="13.5" customHeight="1" x14ac:dyDescent="0.2"/>
    <row r="909" ht="13.5" customHeight="1" x14ac:dyDescent="0.2"/>
    <row r="910" ht="13.5" customHeight="1" x14ac:dyDescent="0.2"/>
    <row r="911" ht="13.5" customHeight="1" x14ac:dyDescent="0.2"/>
    <row r="912" ht="13.5" customHeight="1" x14ac:dyDescent="0.2"/>
    <row r="913" ht="13.5" customHeight="1" x14ac:dyDescent="0.2"/>
    <row r="914" ht="13.5" customHeight="1" x14ac:dyDescent="0.2"/>
    <row r="915" ht="13.5" customHeight="1" x14ac:dyDescent="0.2"/>
    <row r="916" ht="13.5" customHeight="1" x14ac:dyDescent="0.2"/>
    <row r="917" ht="13.5" customHeight="1" x14ac:dyDescent="0.2"/>
    <row r="918" ht="13.5" customHeight="1" x14ac:dyDescent="0.2"/>
    <row r="919" ht="13.5" customHeight="1" x14ac:dyDescent="0.2"/>
    <row r="920" ht="13.5" customHeight="1" x14ac:dyDescent="0.2"/>
    <row r="921" ht="13.5" customHeight="1" x14ac:dyDescent="0.2"/>
    <row r="922" ht="13.5" customHeight="1" x14ac:dyDescent="0.2"/>
    <row r="923" ht="13.5" customHeight="1" x14ac:dyDescent="0.2"/>
    <row r="924" ht="13.5" customHeight="1" x14ac:dyDescent="0.2"/>
    <row r="925" ht="13.5" customHeight="1" x14ac:dyDescent="0.2"/>
    <row r="926" ht="13.5" customHeight="1" x14ac:dyDescent="0.2"/>
    <row r="927" ht="13.5" customHeight="1" x14ac:dyDescent="0.2"/>
    <row r="928" ht="13.5" customHeight="1" x14ac:dyDescent="0.2"/>
    <row r="929" ht="13.5" customHeight="1" x14ac:dyDescent="0.2"/>
    <row r="930" ht="13.5" customHeight="1" x14ac:dyDescent="0.2"/>
    <row r="931" ht="13.5" customHeight="1" x14ac:dyDescent="0.2"/>
    <row r="932" ht="13.5" customHeight="1" x14ac:dyDescent="0.2"/>
    <row r="933" ht="13.5" customHeight="1" x14ac:dyDescent="0.2"/>
    <row r="934" ht="13.5" customHeight="1" x14ac:dyDescent="0.2"/>
    <row r="935" ht="13.5" customHeight="1" x14ac:dyDescent="0.2"/>
    <row r="936" ht="13.5" customHeight="1" x14ac:dyDescent="0.2"/>
    <row r="937" ht="13.5" customHeight="1" x14ac:dyDescent="0.2"/>
    <row r="938" ht="13.5" customHeight="1" x14ac:dyDescent="0.2"/>
    <row r="939" ht="13.5" customHeight="1" x14ac:dyDescent="0.2"/>
    <row r="940" ht="13.5" customHeight="1" x14ac:dyDescent="0.2"/>
    <row r="941" ht="13.5" customHeight="1" x14ac:dyDescent="0.2"/>
    <row r="942" ht="13.5" customHeight="1" x14ac:dyDescent="0.2"/>
    <row r="943" ht="13.5" customHeight="1" x14ac:dyDescent="0.2"/>
    <row r="944" ht="13.5" customHeight="1" x14ac:dyDescent="0.2"/>
    <row r="945" ht="13.5" customHeight="1" x14ac:dyDescent="0.2"/>
    <row r="946" ht="13.5" customHeight="1" x14ac:dyDescent="0.2"/>
    <row r="947" ht="13.5" customHeight="1" x14ac:dyDescent="0.2"/>
    <row r="948" ht="13.5" customHeight="1" x14ac:dyDescent="0.2"/>
    <row r="949" ht="13.5" customHeight="1" x14ac:dyDescent="0.2"/>
    <row r="950" ht="13.5" customHeight="1" x14ac:dyDescent="0.2"/>
    <row r="951" ht="13.5" customHeight="1" x14ac:dyDescent="0.2"/>
    <row r="952" ht="13.5" customHeight="1" x14ac:dyDescent="0.2"/>
    <row r="953" ht="13.5" customHeight="1" x14ac:dyDescent="0.2"/>
    <row r="954" ht="13.5" customHeight="1" x14ac:dyDescent="0.2"/>
    <row r="955" ht="13.5" customHeight="1" x14ac:dyDescent="0.2"/>
    <row r="956" ht="13.5" customHeight="1" x14ac:dyDescent="0.2"/>
    <row r="957" ht="13.5" customHeight="1" x14ac:dyDescent="0.2"/>
    <row r="958" ht="13.5" customHeight="1" x14ac:dyDescent="0.2"/>
    <row r="959" ht="13.5" customHeight="1" x14ac:dyDescent="0.2"/>
    <row r="960" ht="13.5" customHeight="1" x14ac:dyDescent="0.2"/>
    <row r="961" ht="13.5" customHeight="1" x14ac:dyDescent="0.2"/>
    <row r="962" ht="13.5" customHeight="1" x14ac:dyDescent="0.2"/>
    <row r="963" ht="13.5" customHeight="1" x14ac:dyDescent="0.2"/>
    <row r="964" ht="13.5" customHeight="1" x14ac:dyDescent="0.2"/>
    <row r="965" ht="13.5" customHeight="1" x14ac:dyDescent="0.2"/>
    <row r="966" ht="13.5" customHeight="1" x14ac:dyDescent="0.2"/>
    <row r="967" ht="13.5" customHeight="1" x14ac:dyDescent="0.2"/>
    <row r="968" ht="13.5" customHeight="1" x14ac:dyDescent="0.2"/>
    <row r="969" ht="13.5" customHeight="1" x14ac:dyDescent="0.2"/>
    <row r="970" ht="13.5" customHeight="1" x14ac:dyDescent="0.2"/>
    <row r="971" ht="13.5" customHeight="1" x14ac:dyDescent="0.2"/>
    <row r="972" ht="13.5" customHeight="1" x14ac:dyDescent="0.2"/>
    <row r="973" ht="13.5" customHeight="1" x14ac:dyDescent="0.2"/>
    <row r="974" ht="13.5" customHeight="1" x14ac:dyDescent="0.2"/>
    <row r="975" ht="13.5" customHeight="1" x14ac:dyDescent="0.2"/>
    <row r="976" ht="13.5" customHeight="1" x14ac:dyDescent="0.2"/>
    <row r="977" ht="13.5" customHeight="1" x14ac:dyDescent="0.2"/>
    <row r="978" ht="13.5" customHeight="1" x14ac:dyDescent="0.2"/>
    <row r="979" ht="13.5" customHeight="1" x14ac:dyDescent="0.2"/>
    <row r="980" ht="13.5" customHeight="1" x14ac:dyDescent="0.2"/>
    <row r="981" ht="13.5" customHeight="1" x14ac:dyDescent="0.2"/>
    <row r="982" ht="13.5" customHeight="1" x14ac:dyDescent="0.2"/>
    <row r="983" ht="13.5" customHeight="1" x14ac:dyDescent="0.2"/>
    <row r="984" ht="13.5" customHeight="1" x14ac:dyDescent="0.2"/>
    <row r="985" ht="13.5" customHeight="1" x14ac:dyDescent="0.2"/>
    <row r="986" ht="13.5" customHeight="1" x14ac:dyDescent="0.2"/>
    <row r="987" ht="13.5" customHeight="1" x14ac:dyDescent="0.2"/>
    <row r="988" ht="13.5" customHeight="1" x14ac:dyDescent="0.2"/>
    <row r="989" ht="13.5" customHeight="1" x14ac:dyDescent="0.2"/>
    <row r="990" ht="13.5" customHeight="1" x14ac:dyDescent="0.2"/>
    <row r="991" ht="13.5" customHeight="1" x14ac:dyDescent="0.2"/>
    <row r="992" ht="13.5" customHeight="1" x14ac:dyDescent="0.2"/>
    <row r="993" ht="13.5" customHeight="1" x14ac:dyDescent="0.2"/>
    <row r="994" ht="13.5" customHeight="1" x14ac:dyDescent="0.2"/>
    <row r="995" ht="13.5" customHeight="1" x14ac:dyDescent="0.2"/>
    <row r="996" ht="13.5" customHeight="1" x14ac:dyDescent="0.2"/>
    <row r="997" ht="13.5" customHeight="1" x14ac:dyDescent="0.2"/>
    <row r="998" ht="13.5" customHeight="1" x14ac:dyDescent="0.2"/>
    <row r="999" ht="13.5" customHeight="1" x14ac:dyDescent="0.2"/>
    <row r="1000" ht="13.5" customHeight="1" x14ac:dyDescent="0.2"/>
    <row r="1001" ht="13.5" customHeight="1" x14ac:dyDescent="0.2"/>
    <row r="1002" ht="13.5" customHeight="1" x14ac:dyDescent="0.2"/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Simão Clemente</dc:creator>
  <cp:keywords/>
  <dc:description/>
  <cp:lastModifiedBy>Simão Clemente</cp:lastModifiedBy>
  <cp:revision/>
  <dcterms:created xsi:type="dcterms:W3CDTF">2024-08-26T10:38:04Z</dcterms:created>
  <dcterms:modified xsi:type="dcterms:W3CDTF">2025-08-27T21:50:44Z</dcterms:modified>
  <cp:category/>
  <cp:contentStatus/>
</cp:coreProperties>
</file>