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242" documentId="11_F25DC773A252ABDACC1048FC995B449E5BDE58EC" xr6:coauthVersionLast="47" xr6:coauthVersionMax="47" xr10:uidLastSave="{5770F5C3-5039-43BC-989D-705753828007}"/>
  <bookViews>
    <workbookView xWindow="-105" yWindow="0" windowWidth="14610" windowHeight="15585" activeTab="1" xr2:uid="{17977FB0-2AA0-4472-9E20-FAF4C138918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2" l="1"/>
  <c r="AA15" i="2"/>
  <c r="Z15" i="2"/>
  <c r="Y15" i="2"/>
  <c r="X15" i="2"/>
  <c r="W15" i="2"/>
  <c r="V15" i="2"/>
  <c r="T24" i="2"/>
  <c r="T23" i="2"/>
  <c r="U24" i="2"/>
  <c r="U23" i="2"/>
  <c r="T27" i="2"/>
  <c r="T28" i="2"/>
  <c r="T37" i="2"/>
  <c r="U37" i="2"/>
  <c r="U28" i="2"/>
  <c r="T16" i="2"/>
  <c r="T14" i="2"/>
  <c r="T8" i="2"/>
  <c r="T5" i="2"/>
  <c r="T9" i="2" s="1"/>
  <c r="U16" i="2"/>
  <c r="U14" i="2"/>
  <c r="U8" i="2"/>
  <c r="V8" i="2" s="1"/>
  <c r="W8" i="2" s="1"/>
  <c r="X8" i="2" s="1"/>
  <c r="Y8" i="2" s="1"/>
  <c r="Z8" i="2" s="1"/>
  <c r="AA8" i="2" s="1"/>
  <c r="U5" i="2"/>
  <c r="V5" i="2" s="1"/>
  <c r="T2" i="2"/>
  <c r="U2" i="2" s="1"/>
  <c r="V2" i="2" s="1"/>
  <c r="W2" i="2" s="1"/>
  <c r="X2" i="2" s="1"/>
  <c r="Y2" i="2" s="1"/>
  <c r="Z2" i="2" s="1"/>
  <c r="AA2" i="2" s="1"/>
  <c r="C6" i="1"/>
  <c r="C5" i="1"/>
  <c r="C4" i="1"/>
  <c r="C7" i="1" s="1"/>
  <c r="V16" i="2" l="1"/>
  <c r="T15" i="2"/>
  <c r="T17" i="2" s="1"/>
  <c r="T19" i="2" s="1"/>
  <c r="T20" i="2" s="1"/>
  <c r="U9" i="2"/>
  <c r="U15" i="2" s="1"/>
  <c r="U17" i="2" s="1"/>
  <c r="U19" i="2" s="1"/>
  <c r="V9" i="2"/>
  <c r="W5" i="2"/>
  <c r="X5" i="2" s="1"/>
  <c r="Y5" i="2" s="1"/>
  <c r="Z5" i="2" s="1"/>
  <c r="AA5" i="2" s="1"/>
  <c r="Y9" i="2" l="1"/>
  <c r="V17" i="2"/>
  <c r="V18" i="2" s="1"/>
  <c r="V19" i="2" s="1"/>
  <c r="V27" i="2"/>
  <c r="W16" i="2" s="1"/>
  <c r="W17" i="2" s="1"/>
  <c r="W27" i="2" s="1"/>
  <c r="X9" i="2"/>
  <c r="W9" i="2"/>
  <c r="AA9" i="2"/>
  <c r="Z9" i="2"/>
  <c r="U20" i="2"/>
  <c r="X16" i="2" l="1"/>
  <c r="X17" i="2" s="1"/>
  <c r="X27" i="2" s="1"/>
  <c r="W18" i="2"/>
  <c r="W19" i="2" s="1"/>
  <c r="Y16" i="2" l="1"/>
  <c r="Y17" i="2" s="1"/>
  <c r="Y27" i="2" s="1"/>
  <c r="X18" i="2"/>
  <c r="X19" i="2" s="1"/>
  <c r="Z16" i="2" l="1"/>
  <c r="Z17" i="2" s="1"/>
  <c r="Z27" i="2" s="1"/>
  <c r="Y18" i="2"/>
  <c r="Y19" i="2" s="1"/>
  <c r="AA16" i="2" l="1"/>
  <c r="AA17" i="2" s="1"/>
  <c r="AA27" i="2" s="1"/>
  <c r="AB27" i="2" s="1"/>
  <c r="AC27" i="2" s="1"/>
  <c r="AD27" i="2" s="1"/>
  <c r="Z18" i="2"/>
  <c r="Z19" i="2" s="1"/>
  <c r="AA18" i="2" l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L16" i="2" s="1"/>
  <c r="L17" i="2" s="1"/>
  <c r="L18" i="2" s="1"/>
</calcChain>
</file>

<file path=xl/sharedStrings.xml><?xml version="1.0" encoding="utf-8"?>
<sst xmlns="http://schemas.openxmlformats.org/spreadsheetml/2006/main" count="62" uniqueCount="54">
  <si>
    <t>Price</t>
  </si>
  <si>
    <t>Shares</t>
  </si>
  <si>
    <t>MC</t>
  </si>
  <si>
    <t>Cash</t>
  </si>
  <si>
    <t>Debt</t>
  </si>
  <si>
    <t>EV</t>
  </si>
  <si>
    <t>Q323</t>
  </si>
  <si>
    <t>Q423</t>
  </si>
  <si>
    <t>Q124</t>
  </si>
  <si>
    <t>Q224</t>
  </si>
  <si>
    <t>Q324</t>
  </si>
  <si>
    <t>Q424</t>
  </si>
  <si>
    <t>Q125</t>
  </si>
  <si>
    <t>Q123</t>
  </si>
  <si>
    <t>Q223</t>
  </si>
  <si>
    <t>Energy and others</t>
  </si>
  <si>
    <t>Revenue</t>
  </si>
  <si>
    <t>Full and energy purchases</t>
  </si>
  <si>
    <t xml:space="preserve">Nuclear fuel amortization </t>
  </si>
  <si>
    <t>GA</t>
  </si>
  <si>
    <t>DA</t>
  </si>
  <si>
    <t>Other</t>
  </si>
  <si>
    <t>OPEX</t>
  </si>
  <si>
    <t xml:space="preserve">Interest Income </t>
  </si>
  <si>
    <t>PRETAX</t>
  </si>
  <si>
    <t>TAXES</t>
  </si>
  <si>
    <t>NI</t>
  </si>
  <si>
    <t>EPS</t>
  </si>
  <si>
    <t>Capacity rev</t>
  </si>
  <si>
    <t xml:space="preserve"> </t>
  </si>
  <si>
    <t>Energy Costs</t>
  </si>
  <si>
    <t>OMD</t>
  </si>
  <si>
    <t xml:space="preserve">Gross Profit </t>
  </si>
  <si>
    <t xml:space="preserve">Operating Profit </t>
  </si>
  <si>
    <t>NC</t>
  </si>
  <si>
    <t>AR</t>
  </si>
  <si>
    <t>Inventory</t>
  </si>
  <si>
    <t>OCA</t>
  </si>
  <si>
    <t>PPE</t>
  </si>
  <si>
    <t>Nuclear trust funds</t>
  </si>
  <si>
    <t>Derivative Instruments</t>
  </si>
  <si>
    <t>ONCA</t>
  </si>
  <si>
    <t>AI</t>
  </si>
  <si>
    <t>AP</t>
  </si>
  <si>
    <t>OCL</t>
  </si>
  <si>
    <t>Obligations</t>
  </si>
  <si>
    <t>DT</t>
  </si>
  <si>
    <t>ONCL</t>
  </si>
  <si>
    <t>Liabilites</t>
  </si>
  <si>
    <t>NPV</t>
  </si>
  <si>
    <t>Gross %</t>
  </si>
  <si>
    <t>Operating %</t>
  </si>
  <si>
    <t>Per 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</si>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</sst>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8" fontId="0" fillId="0" borderId="0" xfId="0" applyNumberFormat="1"/>
    <xf numFmtId="9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workbookViewId="0"/>
  </sheetViews>
  <sheetFormatPr defaultRowHeight="15" x14ac:dyDescent="0.25"/>
  <sheetData>
    <row r="2" spans="2:3" x14ac:dyDescent="0.25">
      <c r="B2" t="s">
        <v>0</v>
      </c>
      <c r="C2" s="1">
        <v>202</v>
      </c>
    </row>
    <row r="3" spans="2:3" x14ac:dyDescent="0.25">
      <c r="B3" t="s">
        <v>1</v>
      </c>
      <c r="C3" s="1">
        <v>46</v>
      </c>
    </row>
    <row r="4" spans="2:3" x14ac:dyDescent="0.25">
      <c r="B4" t="s">
        <v>2</v>
      </c>
      <c r="C4" s="1">
        <f>+C3*C2</f>
        <v>9292</v>
      </c>
    </row>
    <row r="5" spans="2:3" x14ac:dyDescent="0.25">
      <c r="B5" t="s">
        <v>3</v>
      </c>
      <c r="C5" s="1">
        <f>328+37</f>
        <v>365</v>
      </c>
    </row>
    <row r="6" spans="2:3" x14ac:dyDescent="0.25">
      <c r="B6" t="s">
        <v>4</v>
      </c>
      <c r="C6" s="1">
        <f>17+2987</f>
        <v>3004</v>
      </c>
    </row>
    <row r="7" spans="2:3" x14ac:dyDescent="0.25">
      <c r="B7" t="s">
        <v>5</v>
      </c>
      <c r="C7" s="1">
        <f>+C4-C5+C6</f>
        <v>11931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C5D5-7417-4B09-949D-B6A86B957DF9}">
  <dimension ref="A2:AQ4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3" sqref="U3"/>
    </sheetView>
  </sheetViews>
  <sheetFormatPr defaultRowHeight="15" x14ac:dyDescent="0.25"/>
  <cols>
    <col min="1" max="1" width="24.42578125" bestFit="1" customWidth="1"/>
    <col min="12" max="12" width="10.42578125" bestFit="1" customWidth="1"/>
  </cols>
  <sheetData>
    <row r="2" spans="1:27" x14ac:dyDescent="0.25">
      <c r="B2" t="s">
        <v>13</v>
      </c>
      <c r="C2" t="s">
        <v>14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S2">
        <v>2022</v>
      </c>
      <c r="T2">
        <f>+S2+1</f>
        <v>2023</v>
      </c>
      <c r="U2">
        <f t="shared" ref="U2:AA2" si="0">+T2+1</f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</row>
    <row r="3" spans="1:27" x14ac:dyDescent="0.25">
      <c r="A3" t="s">
        <v>28</v>
      </c>
      <c r="B3" t="s">
        <v>29</v>
      </c>
      <c r="C3" t="s">
        <v>29</v>
      </c>
      <c r="D3" t="s">
        <v>29</v>
      </c>
      <c r="E3" t="s">
        <v>29</v>
      </c>
      <c r="T3">
        <v>133</v>
      </c>
      <c r="U3">
        <v>192</v>
      </c>
    </row>
    <row r="4" spans="1:27" x14ac:dyDescent="0.25">
      <c r="A4" t="s">
        <v>15</v>
      </c>
      <c r="C4" t="s">
        <v>29</v>
      </c>
      <c r="T4">
        <v>1156</v>
      </c>
      <c r="U4">
        <v>1881</v>
      </c>
    </row>
    <row r="5" spans="1:27" s="4" customFormat="1" x14ac:dyDescent="0.25">
      <c r="A5" s="4" t="s">
        <v>16</v>
      </c>
      <c r="T5" s="4">
        <f>+T4+T3</f>
        <v>1289</v>
      </c>
      <c r="U5" s="4">
        <f>+U4+U3</f>
        <v>2073</v>
      </c>
      <c r="V5" s="4">
        <f>+U5*1.25</f>
        <v>2591.25</v>
      </c>
      <c r="W5" s="4">
        <f t="shared" ref="W5:AA5" si="1">+V5*1.25</f>
        <v>3239.0625</v>
      </c>
      <c r="X5" s="4">
        <f t="shared" si="1"/>
        <v>4048.828125</v>
      </c>
      <c r="Y5" s="4">
        <f t="shared" si="1"/>
        <v>5061.03515625</v>
      </c>
      <c r="Z5" s="4">
        <f t="shared" si="1"/>
        <v>6326.2939453125</v>
      </c>
      <c r="AA5" s="4">
        <f t="shared" si="1"/>
        <v>7907.867431640625</v>
      </c>
    </row>
    <row r="6" spans="1:27" x14ac:dyDescent="0.25">
      <c r="A6" t="s">
        <v>17</v>
      </c>
      <c r="T6">
        <v>-424</v>
      </c>
      <c r="U6">
        <v>-694</v>
      </c>
    </row>
    <row r="7" spans="1:27" x14ac:dyDescent="0.25">
      <c r="A7" t="s">
        <v>18</v>
      </c>
      <c r="T7">
        <v>-108</v>
      </c>
      <c r="U7">
        <v>-123</v>
      </c>
    </row>
    <row r="8" spans="1:27" x14ac:dyDescent="0.25">
      <c r="A8" t="s">
        <v>30</v>
      </c>
      <c r="T8">
        <f>+SUM(T6:T7)</f>
        <v>-532</v>
      </c>
      <c r="U8">
        <f>+SUM(U6:U7)</f>
        <v>-817</v>
      </c>
      <c r="V8">
        <f>+U8*1.25</f>
        <v>-1021.25</v>
      </c>
      <c r="W8">
        <f t="shared" ref="W8:AA8" si="2">+V8*1.25</f>
        <v>-1276.5625</v>
      </c>
      <c r="X8">
        <f t="shared" si="2"/>
        <v>-1595.703125</v>
      </c>
      <c r="Y8">
        <f t="shared" si="2"/>
        <v>-1994.62890625</v>
      </c>
      <c r="Z8">
        <f t="shared" si="2"/>
        <v>-2493.2861328125</v>
      </c>
      <c r="AA8">
        <f t="shared" si="2"/>
        <v>-3116.607666015625</v>
      </c>
    </row>
    <row r="9" spans="1:27" s="4" customFormat="1" x14ac:dyDescent="0.25">
      <c r="A9" s="4" t="s">
        <v>32</v>
      </c>
      <c r="T9" s="4">
        <f>+T5+T8</f>
        <v>757</v>
      </c>
      <c r="U9" s="4">
        <f>+U5+U8</f>
        <v>1256</v>
      </c>
      <c r="V9" s="4">
        <f t="shared" ref="V9:AA9" si="3">+V5+V8</f>
        <v>1570</v>
      </c>
      <c r="W9" s="4">
        <f t="shared" si="3"/>
        <v>1962.5</v>
      </c>
      <c r="X9" s="4">
        <f t="shared" si="3"/>
        <v>2453.125</v>
      </c>
      <c r="Y9" s="4">
        <f t="shared" si="3"/>
        <v>3066.40625</v>
      </c>
      <c r="Z9" s="4">
        <f t="shared" si="3"/>
        <v>3833.0078125</v>
      </c>
      <c r="AA9" s="4">
        <f t="shared" si="3"/>
        <v>4791.259765625</v>
      </c>
    </row>
    <row r="10" spans="1:27" x14ac:dyDescent="0.25">
      <c r="A10" t="s">
        <v>31</v>
      </c>
      <c r="T10">
        <v>-358</v>
      </c>
      <c r="U10">
        <v>-592</v>
      </c>
    </row>
    <row r="11" spans="1:27" x14ac:dyDescent="0.25">
      <c r="A11" t="s">
        <v>19</v>
      </c>
      <c r="T11">
        <v>-93</v>
      </c>
      <c r="U11">
        <v>-163</v>
      </c>
    </row>
    <row r="12" spans="1:27" x14ac:dyDescent="0.25">
      <c r="A12" t="s">
        <v>20</v>
      </c>
      <c r="T12">
        <v>-165</v>
      </c>
      <c r="U12">
        <v>-298</v>
      </c>
    </row>
    <row r="13" spans="1:27" x14ac:dyDescent="0.25">
      <c r="A13" t="s">
        <v>21</v>
      </c>
      <c r="T13">
        <v>-30</v>
      </c>
      <c r="U13">
        <v>-38</v>
      </c>
    </row>
    <row r="14" spans="1:27" x14ac:dyDescent="0.25">
      <c r="A14" t="s">
        <v>22</v>
      </c>
      <c r="T14">
        <f>+SUM(T10:T13)</f>
        <v>-646</v>
      </c>
      <c r="U14">
        <f>+SUM(U10:U13)</f>
        <v>-1091</v>
      </c>
    </row>
    <row r="15" spans="1:27" s="4" customFormat="1" x14ac:dyDescent="0.25">
      <c r="A15" s="4" t="s">
        <v>33</v>
      </c>
      <c r="T15" s="4">
        <f>+T9+T14</f>
        <v>111</v>
      </c>
      <c r="U15" s="4">
        <f>+U9+U14</f>
        <v>165</v>
      </c>
      <c r="V15" s="4">
        <f>+V5*0.1</f>
        <v>259.125</v>
      </c>
      <c r="W15" s="4">
        <f t="shared" ref="W15:AA15" si="4">+W5*0.1</f>
        <v>323.90625</v>
      </c>
      <c r="X15" s="4">
        <f t="shared" si="4"/>
        <v>404.8828125</v>
      </c>
      <c r="Y15" s="4">
        <f t="shared" si="4"/>
        <v>506.103515625</v>
      </c>
      <c r="Z15" s="4">
        <f t="shared" si="4"/>
        <v>632.62939453125</v>
      </c>
      <c r="AA15" s="4">
        <f t="shared" si="4"/>
        <v>790.7867431640625</v>
      </c>
    </row>
    <row r="16" spans="1:27" x14ac:dyDescent="0.25">
      <c r="A16" t="s">
        <v>23</v>
      </c>
      <c r="K16" t="s">
        <v>49</v>
      </c>
      <c r="L16" s="2">
        <f>+NPV(0.095,V19:AQ19)-main!C5+main!C6</f>
        <v>8388.2984522905645</v>
      </c>
      <c r="T16">
        <f>108-176+95</f>
        <v>27</v>
      </c>
      <c r="U16">
        <f>178-238+61</f>
        <v>1</v>
      </c>
      <c r="V16">
        <f>+U27*0.05</f>
        <v>-131.95000000000002</v>
      </c>
      <c r="W16">
        <f t="shared" ref="W16:AA16" si="5">+V27*0.05</f>
        <v>-125.59125</v>
      </c>
      <c r="X16">
        <f t="shared" si="5"/>
        <v>-115.6755</v>
      </c>
      <c r="Y16">
        <f t="shared" si="5"/>
        <v>-101.21513437499999</v>
      </c>
      <c r="Z16">
        <f t="shared" si="5"/>
        <v>-80.970715312499991</v>
      </c>
      <c r="AA16">
        <f t="shared" si="5"/>
        <v>-53.387781351562495</v>
      </c>
    </row>
    <row r="17" spans="1:43" x14ac:dyDescent="0.25">
      <c r="A17" t="s">
        <v>24</v>
      </c>
      <c r="K17" t="s">
        <v>52</v>
      </c>
      <c r="L17">
        <f>+L16/main!C3</f>
        <v>182.35431418022966</v>
      </c>
      <c r="T17">
        <f>+T15+T16</f>
        <v>138</v>
      </c>
      <c r="U17">
        <f>+U15+U16</f>
        <v>166</v>
      </c>
      <c r="V17">
        <f t="shared" ref="V17:AA17" si="6">+V15+V16</f>
        <v>127.17499999999998</v>
      </c>
      <c r="W17">
        <f t="shared" si="6"/>
        <v>198.315</v>
      </c>
      <c r="X17">
        <f t="shared" si="6"/>
        <v>289.2073125</v>
      </c>
      <c r="Y17">
        <f t="shared" si="6"/>
        <v>404.88838125000001</v>
      </c>
      <c r="Z17">
        <f t="shared" si="6"/>
        <v>551.65867921874997</v>
      </c>
      <c r="AA17">
        <f t="shared" si="6"/>
        <v>737.39896181250003</v>
      </c>
    </row>
    <row r="18" spans="1:43" x14ac:dyDescent="0.25">
      <c r="A18" t="s">
        <v>25</v>
      </c>
      <c r="K18" s="4" t="s">
        <v>53</v>
      </c>
      <c r="L18" s="5">
        <f>+L17/main!C2-1</f>
        <v>-9.7255870394902688E-2</v>
      </c>
      <c r="T18">
        <v>-51</v>
      </c>
      <c r="U18">
        <v>-98</v>
      </c>
      <c r="V18">
        <f>+V17*0.2</f>
        <v>25.434999999999999</v>
      </c>
      <c r="W18">
        <f t="shared" ref="W18:AA18" si="7">+W17*0.2</f>
        <v>39.663000000000004</v>
      </c>
      <c r="X18">
        <f t="shared" si="7"/>
        <v>57.841462500000006</v>
      </c>
      <c r="Y18">
        <f t="shared" si="7"/>
        <v>80.977676250000002</v>
      </c>
      <c r="Z18">
        <f t="shared" si="7"/>
        <v>110.33173584375</v>
      </c>
      <c r="AA18">
        <f t="shared" si="7"/>
        <v>147.47979236250001</v>
      </c>
    </row>
    <row r="19" spans="1:43" s="4" customFormat="1" x14ac:dyDescent="0.25">
      <c r="A19" s="4" t="s">
        <v>26</v>
      </c>
      <c r="T19" s="4">
        <f>+T17+T18</f>
        <v>87</v>
      </c>
      <c r="U19" s="4">
        <f>+U17+U18</f>
        <v>68</v>
      </c>
      <c r="V19" s="4">
        <f t="shared" ref="V19:AA19" si="8">+V17+V18</f>
        <v>152.60999999999999</v>
      </c>
      <c r="W19" s="4">
        <f t="shared" si="8"/>
        <v>237.97800000000001</v>
      </c>
      <c r="X19" s="4">
        <f t="shared" si="8"/>
        <v>347.04877499999998</v>
      </c>
      <c r="Y19" s="4">
        <f t="shared" si="8"/>
        <v>485.86605750000001</v>
      </c>
      <c r="Z19" s="4">
        <f t="shared" si="8"/>
        <v>661.99041506250001</v>
      </c>
      <c r="AA19" s="4">
        <f t="shared" si="8"/>
        <v>884.87875417500004</v>
      </c>
      <c r="AB19" s="4">
        <f>+AA19*0.99</f>
        <v>876.02996663325007</v>
      </c>
      <c r="AC19" s="4">
        <f t="shared" ref="AC19:AQ19" si="9">+AB19*0.99</f>
        <v>867.26966696691761</v>
      </c>
      <c r="AD19" s="4">
        <f t="shared" si="9"/>
        <v>858.59697029724839</v>
      </c>
      <c r="AE19" s="4">
        <f t="shared" si="9"/>
        <v>850.01100059427586</v>
      </c>
      <c r="AF19" s="4">
        <f t="shared" si="9"/>
        <v>841.51089058833304</v>
      </c>
      <c r="AG19" s="4">
        <f t="shared" si="9"/>
        <v>833.09578168244968</v>
      </c>
      <c r="AH19" s="4">
        <f t="shared" si="9"/>
        <v>824.7648238656252</v>
      </c>
      <c r="AI19" s="4">
        <f t="shared" si="9"/>
        <v>816.51717562696899</v>
      </c>
      <c r="AJ19" s="4">
        <f t="shared" si="9"/>
        <v>808.35200387069926</v>
      </c>
      <c r="AK19" s="4">
        <f t="shared" si="9"/>
        <v>800.26848383199228</v>
      </c>
      <c r="AL19" s="4">
        <f t="shared" si="9"/>
        <v>792.26579899367232</v>
      </c>
      <c r="AM19" s="4">
        <f t="shared" si="9"/>
        <v>784.34314100373558</v>
      </c>
      <c r="AN19" s="4">
        <f t="shared" si="9"/>
        <v>776.49970959369819</v>
      </c>
      <c r="AO19" s="4">
        <f t="shared" si="9"/>
        <v>768.73471249776117</v>
      </c>
      <c r="AP19" s="4">
        <f t="shared" si="9"/>
        <v>761.04736537278359</v>
      </c>
      <c r="AQ19" s="4">
        <f t="shared" si="9"/>
        <v>753.43689171905578</v>
      </c>
    </row>
    <row r="20" spans="1:43" x14ac:dyDescent="0.25">
      <c r="A20" t="s">
        <v>27</v>
      </c>
      <c r="T20">
        <f>+T19/T21</f>
        <v>1.473851835538464</v>
      </c>
      <c r="U20">
        <f>+U19/U21</f>
        <v>1.2533638072768829</v>
      </c>
    </row>
    <row r="21" spans="1:43" x14ac:dyDescent="0.25">
      <c r="A21" t="s">
        <v>1</v>
      </c>
      <c r="T21">
        <v>59.029000000000003</v>
      </c>
      <c r="U21">
        <v>54.253999999999998</v>
      </c>
    </row>
    <row r="23" spans="1:43" x14ac:dyDescent="0.25">
      <c r="A23" t="s">
        <v>50</v>
      </c>
      <c r="T23" s="3">
        <f>+T9/T5</f>
        <v>0.58727695888285492</v>
      </c>
      <c r="U23" s="3">
        <f>+U9/U5</f>
        <v>0.6058851905451037</v>
      </c>
    </row>
    <row r="24" spans="1:43" x14ac:dyDescent="0.25">
      <c r="A24" t="s">
        <v>51</v>
      </c>
      <c r="T24" s="3">
        <f>+T15/T5</f>
        <v>8.6113266097750191E-2</v>
      </c>
      <c r="U24" s="3">
        <f>+U15/U5</f>
        <v>7.9594790159189577E-2</v>
      </c>
    </row>
    <row r="27" spans="1:43" s="4" customFormat="1" x14ac:dyDescent="0.25">
      <c r="A27" s="4" t="s">
        <v>34</v>
      </c>
      <c r="T27" s="4">
        <f>+T28-T37</f>
        <v>-1919</v>
      </c>
      <c r="U27" s="4">
        <f>+U28-U37</f>
        <v>-2639</v>
      </c>
      <c r="V27" s="4">
        <f>+U27+V17</f>
        <v>-2511.8249999999998</v>
      </c>
      <c r="W27" s="4">
        <f t="shared" ref="W27:AD27" si="10">+V27+W17</f>
        <v>-2313.5099999999998</v>
      </c>
      <c r="X27" s="4">
        <f t="shared" si="10"/>
        <v>-2024.3026874999998</v>
      </c>
      <c r="Y27" s="4">
        <f t="shared" si="10"/>
        <v>-1619.4143062499998</v>
      </c>
      <c r="Z27" s="4">
        <f t="shared" si="10"/>
        <v>-1067.7556270312498</v>
      </c>
      <c r="AA27" s="4">
        <f t="shared" si="10"/>
        <v>-330.35666521874975</v>
      </c>
      <c r="AB27" s="4">
        <f t="shared" si="10"/>
        <v>-330.35666521874975</v>
      </c>
      <c r="AC27" s="4">
        <f t="shared" si="10"/>
        <v>-330.35666521874975</v>
      </c>
      <c r="AD27" s="4">
        <f t="shared" si="10"/>
        <v>-330.35666521874975</v>
      </c>
    </row>
    <row r="28" spans="1:43" x14ac:dyDescent="0.25">
      <c r="A28" t="s">
        <v>3</v>
      </c>
      <c r="T28">
        <f>400+501</f>
        <v>901</v>
      </c>
      <c r="U28">
        <f>328+37</f>
        <v>365</v>
      </c>
    </row>
    <row r="29" spans="1:43" x14ac:dyDescent="0.25">
      <c r="A29" t="s">
        <v>35</v>
      </c>
    </row>
    <row r="30" spans="1:43" x14ac:dyDescent="0.25">
      <c r="A30" t="s">
        <v>36</v>
      </c>
    </row>
    <row r="31" spans="1:43" x14ac:dyDescent="0.25">
      <c r="A31" t="s">
        <v>37</v>
      </c>
    </row>
    <row r="32" spans="1:43" x14ac:dyDescent="0.25">
      <c r="A32" t="s">
        <v>38</v>
      </c>
    </row>
    <row r="33" spans="1:21" x14ac:dyDescent="0.25">
      <c r="A33" t="s">
        <v>39</v>
      </c>
    </row>
    <row r="34" spans="1:21" x14ac:dyDescent="0.25">
      <c r="A34" t="s">
        <v>40</v>
      </c>
    </row>
    <row r="35" spans="1:21" x14ac:dyDescent="0.25">
      <c r="A35" t="s">
        <v>41</v>
      </c>
    </row>
    <row r="37" spans="1:21" x14ac:dyDescent="0.25">
      <c r="A37" t="s">
        <v>4</v>
      </c>
      <c r="T37">
        <f>9+2811</f>
        <v>2820</v>
      </c>
      <c r="U37">
        <f>17+2987</f>
        <v>3004</v>
      </c>
    </row>
    <row r="38" spans="1:21" x14ac:dyDescent="0.25">
      <c r="A38" t="s">
        <v>42</v>
      </c>
    </row>
    <row r="39" spans="1:21" x14ac:dyDescent="0.25">
      <c r="A39" t="s">
        <v>43</v>
      </c>
    </row>
    <row r="40" spans="1:21" x14ac:dyDescent="0.25">
      <c r="A40" t="s">
        <v>40</v>
      </c>
    </row>
    <row r="41" spans="1:21" x14ac:dyDescent="0.25">
      <c r="A41" t="s">
        <v>44</v>
      </c>
    </row>
    <row r="42" spans="1:21" x14ac:dyDescent="0.25">
      <c r="A42" t="s">
        <v>45</v>
      </c>
    </row>
    <row r="43" spans="1:21" x14ac:dyDescent="0.25">
      <c r="A43" t="s">
        <v>46</v>
      </c>
    </row>
    <row r="44" spans="1:21" x14ac:dyDescent="0.25">
      <c r="A44" t="s">
        <v>47</v>
      </c>
    </row>
    <row r="45" spans="1:21" x14ac:dyDescent="0.25">
      <c r="A4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2015-06-05T18:17:20Z</dcterms:created>
  <dcterms:modified xsi:type="dcterms:W3CDTF">2025-04-18T22:04:40Z</dcterms:modified>
</cp:coreProperties>
</file>