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214" documentId="11_FE4855BF84DCCE436F107A399131F45B7AFB1D1F" xr6:coauthVersionLast="47" xr6:coauthVersionMax="47" xr10:uidLastSave="{0809CA38-1A8C-40A1-80D7-48F2EFA3551B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5" i="2" l="1"/>
  <c r="G25" i="2"/>
  <c r="H25" i="2"/>
  <c r="L25" i="2"/>
  <c r="K25" i="2"/>
  <c r="I25" i="2"/>
  <c r="E25" i="2"/>
  <c r="D25" i="2"/>
  <c r="C25" i="2"/>
  <c r="Z25" i="2"/>
  <c r="M5" i="1"/>
  <c r="M4" i="1"/>
  <c r="M7" i="1" s="1"/>
  <c r="Y97" i="2"/>
  <c r="Y100" i="2" s="1"/>
  <c r="Y88" i="2"/>
  <c r="Y92" i="2" s="1"/>
  <c r="Y70" i="2"/>
  <c r="M16" i="2"/>
  <c r="E36" i="2" s="1"/>
  <c r="D16" i="2"/>
  <c r="D18" i="2" s="1"/>
  <c r="E16" i="2"/>
  <c r="E18" i="2" s="1"/>
  <c r="F16" i="2"/>
  <c r="G16" i="2"/>
  <c r="G18" i="2" s="1"/>
  <c r="H16" i="2"/>
  <c r="H18" i="2" s="1"/>
  <c r="I16" i="2"/>
  <c r="I18" i="2" s="1"/>
  <c r="J16" i="2"/>
  <c r="J18" i="2" s="1"/>
  <c r="K16" i="2"/>
  <c r="K18" i="2" s="1"/>
  <c r="L16" i="2"/>
  <c r="L18" i="2" s="1"/>
  <c r="L32" i="2" s="1"/>
  <c r="F17" i="2"/>
  <c r="F18" i="2" s="1"/>
  <c r="J17" i="2"/>
  <c r="Y17" i="2" s="1"/>
  <c r="Z17" i="2" s="1"/>
  <c r="AA17" i="2" s="1"/>
  <c r="AB17" i="2" s="1"/>
  <c r="AC17" i="2" s="1"/>
  <c r="AD17" i="2" s="1"/>
  <c r="AE17" i="2" s="1"/>
  <c r="AF17" i="2" s="1"/>
  <c r="C18" i="2"/>
  <c r="C32" i="2" s="1"/>
  <c r="F19" i="2"/>
  <c r="J19" i="2"/>
  <c r="J33" i="2" s="1"/>
  <c r="F20" i="2"/>
  <c r="J20" i="2"/>
  <c r="F21" i="2"/>
  <c r="J21" i="2"/>
  <c r="F22" i="2"/>
  <c r="J22" i="2"/>
  <c r="C23" i="2"/>
  <c r="D23" i="2"/>
  <c r="E23" i="2"/>
  <c r="G23" i="2"/>
  <c r="H23" i="2"/>
  <c r="I23" i="2"/>
  <c r="K23" i="2"/>
  <c r="L23" i="2"/>
  <c r="M23" i="2"/>
  <c r="F27" i="2"/>
  <c r="J27" i="2"/>
  <c r="M10" i="2"/>
  <c r="L10" i="2"/>
  <c r="K10" i="2"/>
  <c r="J10" i="2"/>
  <c r="M9" i="2"/>
  <c r="L9" i="2"/>
  <c r="K9" i="2"/>
  <c r="J9" i="2"/>
  <c r="L8" i="2"/>
  <c r="K8" i="2"/>
  <c r="J8" i="2"/>
  <c r="M8" i="2"/>
  <c r="W97" i="2"/>
  <c r="W100" i="2" s="1"/>
  <c r="X97" i="2"/>
  <c r="W88" i="2"/>
  <c r="W92" i="2" s="1"/>
  <c r="X88" i="2"/>
  <c r="X92" i="2" s="1"/>
  <c r="W70" i="2"/>
  <c r="W85" i="2" s="1"/>
  <c r="X70" i="2"/>
  <c r="X72" i="2"/>
  <c r="Y57" i="2"/>
  <c r="Y56" i="2"/>
  <c r="Y46" i="2"/>
  <c r="Y43" i="2"/>
  <c r="Y49" i="2"/>
  <c r="L36" i="2"/>
  <c r="K36" i="2"/>
  <c r="G36" i="2"/>
  <c r="C36" i="2"/>
  <c r="L35" i="2"/>
  <c r="K35" i="2"/>
  <c r="H35" i="2"/>
  <c r="G35" i="2"/>
  <c r="D35" i="2"/>
  <c r="C35" i="2"/>
  <c r="G34" i="2"/>
  <c r="D34" i="2"/>
  <c r="C34" i="2"/>
  <c r="K33" i="2"/>
  <c r="I33" i="2"/>
  <c r="G33" i="2"/>
  <c r="E33" i="2"/>
  <c r="M36" i="2"/>
  <c r="M35" i="2"/>
  <c r="M34" i="2"/>
  <c r="M33" i="2"/>
  <c r="Y30" i="2"/>
  <c r="Z30" i="2" s="1"/>
  <c r="AA30" i="2" s="1"/>
  <c r="AB30" i="2" s="1"/>
  <c r="AC30" i="2" s="1"/>
  <c r="AD30" i="2" s="1"/>
  <c r="AE30" i="2" s="1"/>
  <c r="AF30" i="2" s="1"/>
  <c r="X30" i="2"/>
  <c r="Y2" i="2"/>
  <c r="Z2" i="2" s="1"/>
  <c r="AA2" i="2" s="1"/>
  <c r="AB2" i="2" s="1"/>
  <c r="AC2" i="2" s="1"/>
  <c r="AD2" i="2" s="1"/>
  <c r="AE2" i="2" s="1"/>
  <c r="AF2" i="2" s="1"/>
  <c r="H24" i="2" l="1"/>
  <c r="H26" i="2" s="1"/>
  <c r="H28" i="2" s="1"/>
  <c r="H29" i="2" s="1"/>
  <c r="G24" i="2"/>
  <c r="G26" i="2" s="1"/>
  <c r="F25" i="2"/>
  <c r="X25" i="2" s="1"/>
  <c r="E34" i="2"/>
  <c r="K24" i="2"/>
  <c r="K26" i="2" s="1"/>
  <c r="K28" i="2" s="1"/>
  <c r="K29" i="2" s="1"/>
  <c r="L24" i="2"/>
  <c r="L26" i="2" s="1"/>
  <c r="L28" i="2" s="1"/>
  <c r="L29" i="2" s="1"/>
  <c r="F23" i="2"/>
  <c r="C33" i="2"/>
  <c r="H34" i="2"/>
  <c r="H36" i="2"/>
  <c r="D33" i="2"/>
  <c r="L34" i="2"/>
  <c r="I36" i="2"/>
  <c r="C24" i="2"/>
  <c r="C26" i="2" s="1"/>
  <c r="C28" i="2" s="1"/>
  <c r="C29" i="2" s="1"/>
  <c r="I24" i="2"/>
  <c r="I26" i="2" s="1"/>
  <c r="I28" i="2" s="1"/>
  <c r="I29" i="2" s="1"/>
  <c r="X17" i="2"/>
  <c r="H33" i="2"/>
  <c r="E35" i="2"/>
  <c r="Y51" i="2"/>
  <c r="J25" i="2"/>
  <c r="D24" i="2"/>
  <c r="J23" i="2"/>
  <c r="J24" i="2" s="1"/>
  <c r="L33" i="2"/>
  <c r="I35" i="2"/>
  <c r="E32" i="2"/>
  <c r="E24" i="2"/>
  <c r="F24" i="2"/>
  <c r="G28" i="2"/>
  <c r="G29" i="2" s="1"/>
  <c r="W102" i="2"/>
  <c r="W104" i="2" s="1"/>
  <c r="I32" i="2"/>
  <c r="Y59" i="2"/>
  <c r="I34" i="2"/>
  <c r="D36" i="2"/>
  <c r="M18" i="2"/>
  <c r="M24" i="2" s="1"/>
  <c r="K34" i="2"/>
  <c r="X100" i="2"/>
  <c r="M14" i="2"/>
  <c r="L14" i="2"/>
  <c r="K14" i="2"/>
  <c r="J14" i="2"/>
  <c r="H14" i="2"/>
  <c r="G14" i="2"/>
  <c r="F14" i="2"/>
  <c r="E14" i="2"/>
  <c r="D14" i="2"/>
  <c r="C14" i="2"/>
  <c r="M13" i="2"/>
  <c r="L13" i="2"/>
  <c r="K13" i="2"/>
  <c r="J13" i="2"/>
  <c r="H13" i="2"/>
  <c r="G13" i="2"/>
  <c r="F13" i="2"/>
  <c r="E13" i="2"/>
  <c r="D13" i="2"/>
  <c r="C13" i="2"/>
  <c r="M12" i="2"/>
  <c r="L12" i="2"/>
  <c r="K12" i="2"/>
  <c r="J12" i="2"/>
  <c r="H12" i="2"/>
  <c r="G12" i="2"/>
  <c r="F12" i="2"/>
  <c r="E12" i="2"/>
  <c r="D12" i="2"/>
  <c r="C12" i="2"/>
  <c r="I14" i="2"/>
  <c r="I13" i="2"/>
  <c r="I12" i="2"/>
  <c r="G32" i="2"/>
  <c r="H32" i="2"/>
  <c r="K32" i="2"/>
  <c r="Y20" i="2"/>
  <c r="Z20" i="2" s="1"/>
  <c r="AA20" i="2" s="1"/>
  <c r="AB20" i="2" s="1"/>
  <c r="AC20" i="2" s="1"/>
  <c r="AD20" i="2" s="1"/>
  <c r="AE20" i="2" s="1"/>
  <c r="AF20" i="2" s="1"/>
  <c r="J34" i="2"/>
  <c r="Y21" i="2"/>
  <c r="Z21" i="2" s="1"/>
  <c r="AA21" i="2" s="1"/>
  <c r="AB21" i="2" s="1"/>
  <c r="AC21" i="2" s="1"/>
  <c r="AD21" i="2" s="1"/>
  <c r="AE21" i="2" s="1"/>
  <c r="AF21" i="2" s="1"/>
  <c r="J35" i="2"/>
  <c r="Y22" i="2"/>
  <c r="Z22" i="2" s="1"/>
  <c r="AA22" i="2" s="1"/>
  <c r="AB22" i="2" s="1"/>
  <c r="AC22" i="2" s="1"/>
  <c r="AD22" i="2" s="1"/>
  <c r="AE22" i="2" s="1"/>
  <c r="AF22" i="2" s="1"/>
  <c r="J36" i="2"/>
  <c r="Y27" i="2"/>
  <c r="D32" i="2"/>
  <c r="X19" i="2"/>
  <c r="F33" i="2"/>
  <c r="X20" i="2"/>
  <c r="X34" i="2" s="1"/>
  <c r="F34" i="2"/>
  <c r="X21" i="2"/>
  <c r="X35" i="2" s="1"/>
  <c r="F35" i="2"/>
  <c r="X22" i="2"/>
  <c r="X36" i="2" s="1"/>
  <c r="F36" i="2"/>
  <c r="X27" i="2"/>
  <c r="J32" i="2"/>
  <c r="Y16" i="2"/>
  <c r="Z16" i="2" s="1"/>
  <c r="Y19" i="2"/>
  <c r="X16" i="2"/>
  <c r="Y60" i="2" l="1"/>
  <c r="Y61" i="2" s="1"/>
  <c r="X18" i="2"/>
  <c r="X32" i="2" s="1"/>
  <c r="E26" i="2"/>
  <c r="E28" i="2" s="1"/>
  <c r="E29" i="2" s="1"/>
  <c r="M26" i="2"/>
  <c r="M28" i="2" s="1"/>
  <c r="M29" i="2" s="1"/>
  <c r="D26" i="2"/>
  <c r="D28" i="2" s="1"/>
  <c r="D29" i="2" s="1"/>
  <c r="J26" i="2"/>
  <c r="J28" i="2" s="1"/>
  <c r="J29" i="2" s="1"/>
  <c r="F26" i="2"/>
  <c r="F28" i="2" s="1"/>
  <c r="F29" i="2" s="1"/>
  <c r="M32" i="2"/>
  <c r="Z19" i="2"/>
  <c r="Y23" i="2"/>
  <c r="AA16" i="2"/>
  <c r="Z18" i="2"/>
  <c r="Y25" i="2"/>
  <c r="E37" i="2"/>
  <c r="L37" i="2"/>
  <c r="I37" i="2"/>
  <c r="C37" i="2"/>
  <c r="F32" i="2"/>
  <c r="Y33" i="2"/>
  <c r="Y18" i="2"/>
  <c r="Y32" i="2" s="1"/>
  <c r="X23" i="2"/>
  <c r="X33" i="2"/>
  <c r="D37" i="2"/>
  <c r="Y36" i="2"/>
  <c r="Y35" i="2"/>
  <c r="Y34" i="2"/>
  <c r="K37" i="2"/>
  <c r="H37" i="2"/>
  <c r="G37" i="2"/>
  <c r="M37" i="2"/>
  <c r="X24" i="2" l="1"/>
  <c r="X26" i="2" s="1"/>
  <c r="Y24" i="2"/>
  <c r="Y26" i="2" s="1"/>
  <c r="Y28" i="2" s="1"/>
  <c r="AB16" i="2"/>
  <c r="AA18" i="2"/>
  <c r="AA19" i="2"/>
  <c r="Z23" i="2"/>
  <c r="Z24" i="2" s="1"/>
  <c r="Z26" i="2" s="1"/>
  <c r="J37" i="2"/>
  <c r="M38" i="2"/>
  <c r="G38" i="2"/>
  <c r="H38" i="2"/>
  <c r="K38" i="2"/>
  <c r="Z34" i="2"/>
  <c r="Z35" i="2"/>
  <c r="Z36" i="2"/>
  <c r="D38" i="2"/>
  <c r="Z33" i="2"/>
  <c r="F37" i="2"/>
  <c r="C38" i="2"/>
  <c r="I38" i="2"/>
  <c r="L38" i="2"/>
  <c r="E38" i="2"/>
  <c r="Y37" i="2" l="1"/>
  <c r="X37" i="2"/>
  <c r="AB19" i="2"/>
  <c r="AA23" i="2"/>
  <c r="AA24" i="2" s="1"/>
  <c r="AC16" i="2"/>
  <c r="AB18" i="2"/>
  <c r="L39" i="2"/>
  <c r="I39" i="2"/>
  <c r="F38" i="2"/>
  <c r="AA33" i="2"/>
  <c r="Z32" i="2"/>
  <c r="X28" i="2"/>
  <c r="X38" i="2"/>
  <c r="AA36" i="2"/>
  <c r="AA35" i="2"/>
  <c r="AA34" i="2"/>
  <c r="K39" i="2"/>
  <c r="H39" i="2"/>
  <c r="G39" i="2"/>
  <c r="M39" i="2"/>
  <c r="Y38" i="2"/>
  <c r="J38" i="2"/>
  <c r="AC19" i="2" l="1"/>
  <c r="AB23" i="2"/>
  <c r="AB24" i="2" s="1"/>
  <c r="AC18" i="2"/>
  <c r="AD16" i="2"/>
  <c r="Z27" i="2"/>
  <c r="Z28" i="2" s="1"/>
  <c r="Z41" i="2" s="1"/>
  <c r="AA25" i="2" s="1"/>
  <c r="AA26" i="2" s="1"/>
  <c r="Y66" i="2"/>
  <c r="Y85" i="2" s="1"/>
  <c r="Y102" i="2" s="1"/>
  <c r="Y104" i="2" s="1"/>
  <c r="X29" i="2"/>
  <c r="X66" i="2"/>
  <c r="X85" i="2" s="1"/>
  <c r="X102" i="2" s="1"/>
  <c r="Y64" i="2"/>
  <c r="Y63" i="2"/>
  <c r="J39" i="2"/>
  <c r="Y29" i="2"/>
  <c r="Z29" i="2" s="1"/>
  <c r="AA29" i="2" s="1"/>
  <c r="AB29" i="2" s="1"/>
  <c r="AC29" i="2" s="1"/>
  <c r="AD29" i="2" s="1"/>
  <c r="AE29" i="2" s="1"/>
  <c r="AF29" i="2" s="1"/>
  <c r="Y39" i="2"/>
  <c r="AB34" i="2"/>
  <c r="AB35" i="2"/>
  <c r="AB36" i="2"/>
  <c r="AA32" i="2"/>
  <c r="Z37" i="2"/>
  <c r="AB33" i="2"/>
  <c r="AE16" i="2" l="1"/>
  <c r="AD18" i="2"/>
  <c r="AD19" i="2"/>
  <c r="AC23" i="2"/>
  <c r="AC24" i="2" s="1"/>
  <c r="X103" i="2"/>
  <c r="X104" i="2"/>
  <c r="Y103" i="2"/>
  <c r="AA27" i="2"/>
  <c r="AA28" i="2"/>
  <c r="AC33" i="2"/>
  <c r="Z38" i="2"/>
  <c r="AA37" i="2"/>
  <c r="AB32" i="2"/>
  <c r="AC36" i="2"/>
  <c r="AC35" i="2"/>
  <c r="AC34" i="2"/>
  <c r="AE19" i="2" l="1"/>
  <c r="AD23" i="2"/>
  <c r="AD24" i="2" s="1"/>
  <c r="AF16" i="2"/>
  <c r="AF18" i="2" s="1"/>
  <c r="AE18" i="2"/>
  <c r="AD34" i="2"/>
  <c r="AD35" i="2"/>
  <c r="AD36" i="2"/>
  <c r="AB37" i="2"/>
  <c r="AC32" i="2"/>
  <c r="AC37" i="2"/>
  <c r="AA38" i="2"/>
  <c r="Z39" i="2"/>
  <c r="AA41" i="2"/>
  <c r="AB25" i="2" s="1"/>
  <c r="AB26" i="2" s="1"/>
  <c r="AD33" i="2"/>
  <c r="AF19" i="2" l="1"/>
  <c r="AF23" i="2" s="1"/>
  <c r="AF24" i="2" s="1"/>
  <c r="AE23" i="2"/>
  <c r="AE24" i="2" s="1"/>
  <c r="AB27" i="2"/>
  <c r="AB28" i="2" s="1"/>
  <c r="AE33" i="2"/>
  <c r="AB41" i="2"/>
  <c r="AC25" i="2" s="1"/>
  <c r="AC26" i="2" s="1"/>
  <c r="AA39" i="2"/>
  <c r="AD37" i="2"/>
  <c r="AD32" i="2"/>
  <c r="AE36" i="2"/>
  <c r="AE35" i="2"/>
  <c r="AE34" i="2"/>
  <c r="AC27" i="2" l="1"/>
  <c r="AC28" i="2" s="1"/>
  <c r="AF34" i="2"/>
  <c r="AF35" i="2"/>
  <c r="AF36" i="2"/>
  <c r="AE32" i="2"/>
  <c r="AE37" i="2"/>
  <c r="AB38" i="2"/>
  <c r="AF33" i="2"/>
  <c r="AB39" i="2" l="1"/>
  <c r="AC41" i="2"/>
  <c r="AD25" i="2" s="1"/>
  <c r="AD26" i="2" s="1"/>
  <c r="AC38" i="2"/>
  <c r="AF37" i="2"/>
  <c r="AF32" i="2"/>
  <c r="AD27" i="2" l="1"/>
  <c r="AD28" i="2" s="1"/>
  <c r="AC39" i="2"/>
  <c r="AD41" i="2"/>
  <c r="AE25" i="2" s="1"/>
  <c r="AE26" i="2" s="1"/>
  <c r="AE27" i="2" l="1"/>
  <c r="AE28" i="2" s="1"/>
  <c r="AD38" i="2"/>
  <c r="AE41" i="2"/>
  <c r="AF25" i="2" s="1"/>
  <c r="AF26" i="2" s="1"/>
  <c r="AF27" i="2" l="1"/>
  <c r="AF28" i="2" s="1"/>
  <c r="AE38" i="2"/>
  <c r="AF41" i="2"/>
  <c r="AD39" i="2"/>
  <c r="AG28" i="2" l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U29" i="2" s="1"/>
  <c r="U30" i="2" s="1"/>
  <c r="AF38" i="2"/>
  <c r="AE39" i="2"/>
  <c r="AF39" i="2" l="1"/>
</calcChain>
</file>

<file path=xl/sharedStrings.xml><?xml version="1.0" encoding="utf-8"?>
<sst xmlns="http://schemas.openxmlformats.org/spreadsheetml/2006/main" count="144" uniqueCount="110">
  <si>
    <t>UBER</t>
  </si>
  <si>
    <t>Price</t>
  </si>
  <si>
    <t>Uber Technologies</t>
  </si>
  <si>
    <t>Shares</t>
  </si>
  <si>
    <t>MC</t>
  </si>
  <si>
    <t>Cash</t>
  </si>
  <si>
    <t xml:space="preserve"> </t>
  </si>
  <si>
    <t>Debt</t>
  </si>
  <si>
    <t>EV</t>
  </si>
  <si>
    <t>Acquisitions</t>
  </si>
  <si>
    <t>Bill Ackman</t>
  </si>
  <si>
    <t>30,3M Shares</t>
  </si>
  <si>
    <t xml:space="preserve">Partnerships </t>
  </si>
  <si>
    <t>Waymo</t>
  </si>
  <si>
    <t>Thousands</t>
  </si>
  <si>
    <t>Q1222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</si>
  <si>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</si>
  <si>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</si>
  <si>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</si>
  <si>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</si>
  <si>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</si>
  <si>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</si>
  <si>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</si>
  <si>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</si>
  <si>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</si>
  <si>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</si>
  <si>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</si>
  <si>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Mobility</t>
  </si>
  <si>
    <t>Delivery</t>
  </si>
  <si>
    <t>Freight</t>
  </si>
  <si>
    <t>Mobility y/y</t>
  </si>
  <si>
    <t>Delivery y/y</t>
  </si>
  <si>
    <t>Freight y/y</t>
  </si>
  <si>
    <t>Mobility %</t>
  </si>
  <si>
    <t>Delivery %</t>
  </si>
  <si>
    <t>Freight %</t>
  </si>
  <si>
    <t>Revenue</t>
  </si>
  <si>
    <t>COGS</t>
  </si>
  <si>
    <t>Gross Profit</t>
  </si>
  <si>
    <t>Suport</t>
  </si>
  <si>
    <t>SM</t>
  </si>
  <si>
    <t>RD</t>
  </si>
  <si>
    <t>GA</t>
  </si>
  <si>
    <t>OPEX</t>
  </si>
  <si>
    <t>Operating income</t>
  </si>
  <si>
    <t>Interest Income</t>
  </si>
  <si>
    <t>Other</t>
  </si>
  <si>
    <t>Pretax</t>
  </si>
  <si>
    <t>Taxes</t>
  </si>
  <si>
    <t>NI</t>
  </si>
  <si>
    <t>EPS</t>
  </si>
  <si>
    <t>Gross %</t>
  </si>
  <si>
    <t>NPV</t>
  </si>
  <si>
    <t>Sup %</t>
  </si>
  <si>
    <t>Share</t>
  </si>
  <si>
    <t>SM %</t>
  </si>
  <si>
    <t>RD%</t>
  </si>
  <si>
    <t>Operating %</t>
  </si>
  <si>
    <t>Tax rate</t>
  </si>
  <si>
    <t>NI y/y</t>
  </si>
  <si>
    <t>Net Cash</t>
  </si>
  <si>
    <t xml:space="preserve">Cash </t>
  </si>
  <si>
    <t>AR</t>
  </si>
  <si>
    <t>OCA</t>
  </si>
  <si>
    <t>Restricted</t>
  </si>
  <si>
    <t>PPE</t>
  </si>
  <si>
    <t>OLA</t>
  </si>
  <si>
    <t>Intangibles</t>
  </si>
  <si>
    <t>Assets</t>
  </si>
  <si>
    <t>AP</t>
  </si>
  <si>
    <t>Accrued</t>
  </si>
  <si>
    <t>Insurance</t>
  </si>
  <si>
    <t>OLL</t>
  </si>
  <si>
    <t>LTL</t>
  </si>
  <si>
    <t>Liabilities</t>
  </si>
  <si>
    <t>S/E</t>
  </si>
  <si>
    <t>L+S/E</t>
  </si>
  <si>
    <t>ROE</t>
  </si>
  <si>
    <t>ROA</t>
  </si>
  <si>
    <t>Model NI</t>
  </si>
  <si>
    <t>Reported NI</t>
  </si>
  <si>
    <t>DA</t>
  </si>
  <si>
    <t>SBC</t>
  </si>
  <si>
    <t>Investments</t>
  </si>
  <si>
    <t>DT</t>
  </si>
  <si>
    <t>Imparements</t>
  </si>
  <si>
    <t>Losses</t>
  </si>
  <si>
    <t>Unrealized</t>
  </si>
  <si>
    <t>Foreign</t>
  </si>
  <si>
    <t>OA</t>
  </si>
  <si>
    <t>Colateral</t>
  </si>
  <si>
    <t>Operating Assets</t>
  </si>
  <si>
    <t>Reserves</t>
  </si>
  <si>
    <t>AE</t>
  </si>
  <si>
    <t>Leases</t>
  </si>
  <si>
    <t>CFFO</t>
  </si>
  <si>
    <t>Securities</t>
  </si>
  <si>
    <t>Notes Receiveble</t>
  </si>
  <si>
    <t>CFFI</t>
  </si>
  <si>
    <t>Insuance</t>
  </si>
  <si>
    <t>Buyback</t>
  </si>
  <si>
    <t>Term loan</t>
  </si>
  <si>
    <t>Repayments</t>
  </si>
  <si>
    <t>CFFF</t>
  </si>
  <si>
    <t>FCF</t>
  </si>
  <si>
    <t>P/FCF</t>
  </si>
  <si>
    <t>DR</t>
  </si>
  <si>
    <t>Q125</t>
  </si>
  <si>
    <t>,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</si>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</sst>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workbookViewId="0">
      <selection activeCell="M7" sqref="M7"/>
    </sheetView>
  </sheetViews>
  <sheetFormatPr defaultRowHeight="15" x14ac:dyDescent="0.25"/>
  <cols>
    <col min="2" max="2" width="11.7109375" bestFit="1" customWidth="1"/>
    <col min="13" max="13" width="10.85546875" bestFit="1" customWidth="1"/>
  </cols>
  <sheetData>
    <row r="2" spans="2:14" x14ac:dyDescent="0.25">
      <c r="B2" t="s">
        <v>0</v>
      </c>
      <c r="L2" t="s">
        <v>1</v>
      </c>
      <c r="M2" s="2">
        <v>87</v>
      </c>
    </row>
    <row r="3" spans="2:14" x14ac:dyDescent="0.25">
      <c r="B3" t="s">
        <v>2</v>
      </c>
      <c r="L3" t="s">
        <v>3</v>
      </c>
      <c r="M3" s="2">
        <v>2078.4670000000001</v>
      </c>
      <c r="N3" t="s">
        <v>107</v>
      </c>
    </row>
    <row r="4" spans="2:14" x14ac:dyDescent="0.25">
      <c r="L4" t="s">
        <v>4</v>
      </c>
      <c r="M4" s="2">
        <f>+M3*M2</f>
        <v>180826.62900000002</v>
      </c>
    </row>
    <row r="5" spans="2:14" x14ac:dyDescent="0.25">
      <c r="L5" t="s">
        <v>5</v>
      </c>
      <c r="M5" s="2">
        <f>5893+1084+8460+302</f>
        <v>15739</v>
      </c>
      <c r="N5" s="1" t="s">
        <v>107</v>
      </c>
    </row>
    <row r="6" spans="2:14" x14ac:dyDescent="0.25">
      <c r="L6" t="s">
        <v>7</v>
      </c>
      <c r="M6" s="2">
        <v>8347</v>
      </c>
      <c r="N6" s="1" t="s">
        <v>107</v>
      </c>
    </row>
    <row r="7" spans="2:14" x14ac:dyDescent="0.25">
      <c r="L7" t="s">
        <v>8</v>
      </c>
      <c r="M7" s="2">
        <f>+M4-M5+M6</f>
        <v>173434.62900000002</v>
      </c>
    </row>
    <row r="13" spans="2:14" x14ac:dyDescent="0.25">
      <c r="B13" t="s">
        <v>9</v>
      </c>
      <c r="C13" t="s">
        <v>10</v>
      </c>
      <c r="D13" t="s">
        <v>11</v>
      </c>
    </row>
    <row r="14" spans="2:14" x14ac:dyDescent="0.25">
      <c r="B14" t="s">
        <v>12</v>
      </c>
      <c r="C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BB6E-43CF-47D0-9718-00A15F7D8A3D}">
  <dimension ref="B2:CC104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K3" sqref="K3"/>
    </sheetView>
  </sheetViews>
  <sheetFormatPr defaultRowHeight="14.25" x14ac:dyDescent="0.2"/>
  <cols>
    <col min="1" max="1" width="9.140625" style="3"/>
    <col min="2" max="2" width="16.5703125" style="3" bestFit="1" customWidth="1"/>
    <col min="3" max="6" width="9.28515625" style="3" bestFit="1" customWidth="1"/>
    <col min="7" max="7" width="9.140625" style="3"/>
    <col min="8" max="12" width="9.28515625" style="3" bestFit="1" customWidth="1"/>
    <col min="13" max="13" width="9.7109375" style="3" bestFit="1" customWidth="1"/>
    <col min="14" max="15" width="9.140625" style="3"/>
    <col min="16" max="16" width="12.5703125" style="3" bestFit="1" customWidth="1"/>
    <col min="17" max="18" width="12.5703125" style="3" customWidth="1"/>
    <col min="19" max="16384" width="9.140625" style="3"/>
  </cols>
  <sheetData>
    <row r="2" spans="2:32" x14ac:dyDescent="0.2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107</v>
      </c>
      <c r="P2" s="3" t="s">
        <v>109</v>
      </c>
      <c r="Q2" s="3">
        <v>0</v>
      </c>
      <c r="V2" s="3">
        <v>2020</v>
      </c>
      <c r="W2" s="3">
        <v>2021</v>
      </c>
      <c r="X2" s="3">
        <v>2022</v>
      </c>
      <c r="Y2" s="3">
        <f>+X2+1</f>
        <v>2023</v>
      </c>
      <c r="Z2" s="3">
        <f t="shared" ref="Z2:AF2" si="0">+Y2+1</f>
        <v>2024</v>
      </c>
      <c r="AA2" s="3">
        <f t="shared" si="0"/>
        <v>2025</v>
      </c>
      <c r="AB2" s="3">
        <f t="shared" si="0"/>
        <v>2026</v>
      </c>
      <c r="AC2" s="3">
        <f t="shared" si="0"/>
        <v>2027</v>
      </c>
      <c r="AD2" s="3">
        <f t="shared" si="0"/>
        <v>2028</v>
      </c>
      <c r="AE2" s="3">
        <f t="shared" si="0"/>
        <v>2029</v>
      </c>
      <c r="AF2" s="3">
        <f t="shared" si="0"/>
        <v>2030</v>
      </c>
    </row>
    <row r="4" spans="2:32" x14ac:dyDescent="0.2">
      <c r="B4" s="3" t="s">
        <v>27</v>
      </c>
      <c r="D4" s="3">
        <v>3553</v>
      </c>
      <c r="E4" s="3">
        <v>3822</v>
      </c>
      <c r="F4" s="3">
        <v>4136</v>
      </c>
      <c r="G4" s="3">
        <v>4330</v>
      </c>
      <c r="H4" s="3">
        <v>4894</v>
      </c>
      <c r="I4" s="3">
        <v>5071</v>
      </c>
      <c r="J4" s="3">
        <v>5537</v>
      </c>
      <c r="K4" s="3">
        <v>5633</v>
      </c>
      <c r="L4" s="3">
        <v>6134</v>
      </c>
      <c r="M4" s="3">
        <v>6409</v>
      </c>
      <c r="O4" s="3">
        <v>5.633</v>
      </c>
    </row>
    <row r="5" spans="2:32" x14ac:dyDescent="0.2">
      <c r="B5" s="3" t="s">
        <v>28</v>
      </c>
      <c r="D5" s="3">
        <v>2688</v>
      </c>
      <c r="E5" s="3">
        <v>2770</v>
      </c>
      <c r="F5" s="3">
        <v>2931</v>
      </c>
      <c r="G5" s="3">
        <v>3093</v>
      </c>
      <c r="H5" s="3">
        <v>3057</v>
      </c>
      <c r="I5" s="3">
        <v>2935</v>
      </c>
      <c r="J5" s="3">
        <v>3119</v>
      </c>
      <c r="K5" s="3">
        <v>3214</v>
      </c>
      <c r="L5" s="3">
        <v>3293</v>
      </c>
      <c r="M5" s="3">
        <v>3470</v>
      </c>
    </row>
    <row r="6" spans="2:32" x14ac:dyDescent="0.2">
      <c r="B6" s="3" t="s">
        <v>29</v>
      </c>
      <c r="D6" s="3">
        <v>1832</v>
      </c>
      <c r="E6" s="3">
        <v>1751</v>
      </c>
      <c r="F6" s="3">
        <v>1540</v>
      </c>
      <c r="G6" s="3">
        <v>1400</v>
      </c>
      <c r="H6" s="3">
        <v>1279</v>
      </c>
      <c r="I6" s="3">
        <v>1286</v>
      </c>
      <c r="J6" s="3">
        <v>1280</v>
      </c>
      <c r="K6" s="3">
        <v>1284</v>
      </c>
      <c r="L6" s="3">
        <v>1273</v>
      </c>
      <c r="M6" s="3">
        <v>1309</v>
      </c>
    </row>
    <row r="8" spans="2:32" x14ac:dyDescent="0.2">
      <c r="B8" s="4" t="s">
        <v>30</v>
      </c>
      <c r="C8" s="4"/>
      <c r="D8" s="4"/>
      <c r="E8" s="4"/>
      <c r="F8" s="4"/>
      <c r="G8" s="4"/>
      <c r="H8" s="4"/>
      <c r="I8" s="4"/>
      <c r="J8" s="4">
        <f t="shared" ref="J8:L8" si="1">+J4/F4-1</f>
        <v>0.33873307543520315</v>
      </c>
      <c r="K8" s="4">
        <f t="shared" si="1"/>
        <v>0.30092378752886839</v>
      </c>
      <c r="L8" s="4">
        <f t="shared" si="1"/>
        <v>0.25337147527584802</v>
      </c>
      <c r="M8" s="4">
        <f>+M4/I4-1</f>
        <v>0.26385328337605984</v>
      </c>
    </row>
    <row r="9" spans="2:32" x14ac:dyDescent="0.2">
      <c r="B9" s="4" t="s">
        <v>31</v>
      </c>
      <c r="C9" s="4"/>
      <c r="D9" s="4"/>
      <c r="E9" s="4"/>
      <c r="F9" s="4"/>
      <c r="G9" s="4"/>
      <c r="H9" s="4"/>
      <c r="I9" s="4"/>
      <c r="J9" s="4">
        <f t="shared" ref="J9:M9" si="2">+J5/F5-1</f>
        <v>6.4141931081542092E-2</v>
      </c>
      <c r="K9" s="4">
        <f t="shared" si="2"/>
        <v>3.9120594891690841E-2</v>
      </c>
      <c r="L9" s="4">
        <f t="shared" si="2"/>
        <v>7.7199869152764222E-2</v>
      </c>
      <c r="M9" s="4">
        <f t="shared" si="2"/>
        <v>0.18228279386712098</v>
      </c>
    </row>
    <row r="10" spans="2:32" x14ac:dyDescent="0.2">
      <c r="B10" s="4" t="s">
        <v>32</v>
      </c>
      <c r="C10" s="4"/>
      <c r="D10" s="4"/>
      <c r="E10" s="4"/>
      <c r="F10" s="4"/>
      <c r="G10" s="4"/>
      <c r="H10" s="4"/>
      <c r="I10" s="4"/>
      <c r="J10" s="4">
        <f t="shared" ref="J10:M10" si="3">+J6/F6-1</f>
        <v>-0.16883116883116878</v>
      </c>
      <c r="K10" s="4">
        <f t="shared" si="3"/>
        <v>-8.2857142857142851E-2</v>
      </c>
      <c r="L10" s="4">
        <f t="shared" si="3"/>
        <v>-4.691164972634887E-3</v>
      </c>
      <c r="M10" s="4">
        <f t="shared" si="3"/>
        <v>1.7884914463452528E-2</v>
      </c>
    </row>
    <row r="11" spans="2:32" x14ac:dyDescent="0.2">
      <c r="B11" s="4"/>
      <c r="C11" s="4"/>
      <c r="D11" s="4"/>
      <c r="E11" s="4"/>
      <c r="F11" s="4" t="s">
        <v>6</v>
      </c>
      <c r="G11" s="4"/>
      <c r="H11" s="4"/>
      <c r="I11" s="4"/>
      <c r="J11" s="4"/>
      <c r="K11" s="4"/>
      <c r="L11" s="4" t="s">
        <v>6</v>
      </c>
      <c r="M11" s="4"/>
    </row>
    <row r="12" spans="2:32" x14ac:dyDescent="0.2">
      <c r="B12" s="4" t="s">
        <v>33</v>
      </c>
      <c r="C12" s="4">
        <f t="shared" ref="C12:M14" si="4">+C4/$I$16</f>
        <v>0</v>
      </c>
      <c r="D12" s="4">
        <f t="shared" si="4"/>
        <v>0.38237193284545845</v>
      </c>
      <c r="E12" s="4">
        <f t="shared" si="4"/>
        <v>0.41132156693930261</v>
      </c>
      <c r="F12" s="4">
        <f t="shared" si="4"/>
        <v>0.44511407662505381</v>
      </c>
      <c r="G12" s="4">
        <f t="shared" si="4"/>
        <v>0.46599225139905293</v>
      </c>
      <c r="H12" s="4">
        <f t="shared" si="4"/>
        <v>0.52668962548428755</v>
      </c>
      <c r="I12" s="4">
        <f>+I4/$I$16</f>
        <v>0.54573826947912185</v>
      </c>
      <c r="J12" s="4">
        <f t="shared" ref="J12:M12" si="5">+J4/$I$16</f>
        <v>0.59588893671975895</v>
      </c>
      <c r="K12" s="4">
        <f t="shared" si="5"/>
        <v>0.6062204046491606</v>
      </c>
      <c r="L12" s="4">
        <f t="shared" si="5"/>
        <v>0.66013775290572541</v>
      </c>
      <c r="M12" s="4">
        <f t="shared" si="5"/>
        <v>0.68973310374515717</v>
      </c>
    </row>
    <row r="13" spans="2:32" x14ac:dyDescent="0.2">
      <c r="B13" s="4" t="s">
        <v>34</v>
      </c>
      <c r="C13" s="4">
        <f t="shared" si="4"/>
        <v>0</v>
      </c>
      <c r="D13" s="4">
        <f t="shared" si="4"/>
        <v>0.28928110202324581</v>
      </c>
      <c r="E13" s="4">
        <f t="shared" si="4"/>
        <v>0.29810589754627637</v>
      </c>
      <c r="F13" s="4">
        <f t="shared" si="4"/>
        <v>0.31543263021954371</v>
      </c>
      <c r="G13" s="4">
        <f t="shared" si="4"/>
        <v>0.33286698235040896</v>
      </c>
      <c r="H13" s="4">
        <f t="shared" si="4"/>
        <v>0.32899268187688335</v>
      </c>
      <c r="I13" s="4">
        <f t="shared" ref="I13:I14" si="6">+I5/$I$16</f>
        <v>0.31586310804993545</v>
      </c>
      <c r="J13" s="4">
        <f t="shared" si="4"/>
        <v>0.33566508824795521</v>
      </c>
      <c r="K13" s="4">
        <f t="shared" si="4"/>
        <v>0.34588893671975895</v>
      </c>
      <c r="L13" s="4">
        <f t="shared" si="4"/>
        <v>0.35439087386999568</v>
      </c>
      <c r="M13" s="4">
        <f t="shared" si="4"/>
        <v>0.37343951786482998</v>
      </c>
    </row>
    <row r="14" spans="2:32" x14ac:dyDescent="0.2">
      <c r="B14" s="4" t="s">
        <v>35</v>
      </c>
      <c r="C14" s="4">
        <f t="shared" si="4"/>
        <v>0</v>
      </c>
      <c r="D14" s="4">
        <f t="shared" si="4"/>
        <v>0.19715884631941455</v>
      </c>
      <c r="E14" s="4">
        <f t="shared" si="4"/>
        <v>0.18844167025398192</v>
      </c>
      <c r="F14" s="4">
        <f t="shared" si="4"/>
        <v>0.16573396470081792</v>
      </c>
      <c r="G14" s="4">
        <f t="shared" si="4"/>
        <v>0.15066724063710718</v>
      </c>
      <c r="H14" s="4">
        <f t="shared" si="4"/>
        <v>0.13764528626775721</v>
      </c>
      <c r="I14" s="4">
        <f t="shared" si="6"/>
        <v>0.13839862247094276</v>
      </c>
      <c r="J14" s="4">
        <f t="shared" si="4"/>
        <v>0.13775290572535515</v>
      </c>
      <c r="K14" s="4">
        <f t="shared" si="4"/>
        <v>0.13818338355574689</v>
      </c>
      <c r="L14" s="4">
        <f t="shared" si="4"/>
        <v>0.1369995695221696</v>
      </c>
      <c r="M14" s="4">
        <f t="shared" si="4"/>
        <v>0.14087386999569523</v>
      </c>
    </row>
    <row r="16" spans="2:32" s="5" customFormat="1" ht="15" x14ac:dyDescent="0.25">
      <c r="B16" s="5" t="s">
        <v>36</v>
      </c>
      <c r="C16" s="5">
        <v>6854</v>
      </c>
      <c r="D16" s="5">
        <f t="shared" ref="D16:L16" si="7">SUM(D4:D6)</f>
        <v>8073</v>
      </c>
      <c r="E16" s="5">
        <f t="shared" si="7"/>
        <v>8343</v>
      </c>
      <c r="F16" s="5">
        <f t="shared" si="7"/>
        <v>8607</v>
      </c>
      <c r="G16" s="5">
        <f t="shared" si="7"/>
        <v>8823</v>
      </c>
      <c r="H16" s="5">
        <f t="shared" si="7"/>
        <v>9230</v>
      </c>
      <c r="I16" s="5">
        <f t="shared" si="7"/>
        <v>9292</v>
      </c>
      <c r="J16" s="5">
        <f t="shared" si="7"/>
        <v>9936</v>
      </c>
      <c r="K16" s="5">
        <f t="shared" si="7"/>
        <v>10131</v>
      </c>
      <c r="L16" s="5">
        <f t="shared" si="7"/>
        <v>10700</v>
      </c>
      <c r="M16" s="5">
        <f>SUM(M4:M6)</f>
        <v>11188</v>
      </c>
      <c r="N16" s="5" t="s">
        <v>6</v>
      </c>
      <c r="O16" s="5" t="s">
        <v>6</v>
      </c>
      <c r="X16" s="5">
        <f>SUM(C16:F16)</f>
        <v>31877</v>
      </c>
      <c r="Y16" s="5">
        <f>SUM(G16:J16)</f>
        <v>37281</v>
      </c>
      <c r="Z16" s="5">
        <f>+Y16*1.3</f>
        <v>48465.3</v>
      </c>
      <c r="AA16" s="5">
        <f>+Z16*1.2</f>
        <v>58158.36</v>
      </c>
      <c r="AB16" s="5">
        <f t="shared" ref="AB16:AF16" si="8">+AA16*1.2</f>
        <v>69790.031999999992</v>
      </c>
      <c r="AC16" s="5">
        <f t="shared" si="8"/>
        <v>83748.03839999999</v>
      </c>
      <c r="AD16" s="5">
        <f t="shared" si="8"/>
        <v>100497.64607999999</v>
      </c>
      <c r="AE16" s="5">
        <f t="shared" si="8"/>
        <v>120597.17529599999</v>
      </c>
      <c r="AF16" s="5">
        <f t="shared" si="8"/>
        <v>144716.61035519998</v>
      </c>
    </row>
    <row r="17" spans="2:81" x14ac:dyDescent="0.2">
      <c r="B17" s="3" t="s">
        <v>37</v>
      </c>
      <c r="C17" s="3">
        <v>4026</v>
      </c>
      <c r="D17" s="3">
        <v>5153</v>
      </c>
      <c r="E17" s="3">
        <v>5173</v>
      </c>
      <c r="F17" s="3">
        <f>19659-E17-D17-C17</f>
        <v>5307</v>
      </c>
      <c r="G17" s="3">
        <v>5259</v>
      </c>
      <c r="H17" s="3">
        <v>5515</v>
      </c>
      <c r="I17" s="3">
        <v>5626</v>
      </c>
      <c r="J17" s="3">
        <f>22457-I17-H17-G17</f>
        <v>6057</v>
      </c>
      <c r="K17" s="3">
        <v>6168</v>
      </c>
      <c r="L17" s="3">
        <v>6488</v>
      </c>
      <c r="M17" s="3">
        <v>6761</v>
      </c>
      <c r="X17" s="3">
        <f>SUM(C17:F17)</f>
        <v>19659</v>
      </c>
      <c r="Y17" s="3">
        <f>SUM(G17:J17)</f>
        <v>22457</v>
      </c>
      <c r="Z17" s="3">
        <f t="shared" ref="Z17:Z30" si="9">+Y17*1.15</f>
        <v>25825.55</v>
      </c>
      <c r="AA17" s="3">
        <f t="shared" ref="AA17:AA29" si="10">+Z17*1.15</f>
        <v>29699.382499999996</v>
      </c>
      <c r="AB17" s="3">
        <f t="shared" ref="AB17:AB29" si="11">+AA17*1.15</f>
        <v>34154.289874999995</v>
      </c>
      <c r="AC17" s="3">
        <f t="shared" ref="AC17:AC29" si="12">+AB17*1.15</f>
        <v>39277.433356249989</v>
      </c>
      <c r="AD17" s="3">
        <f t="shared" ref="AD17:AD29" si="13">+AC17*1.15</f>
        <v>45169.048359687484</v>
      </c>
      <c r="AE17" s="3">
        <f t="shared" ref="AE17:AF17" si="14">+AD17*1.1</f>
        <v>49685.953195656235</v>
      </c>
      <c r="AF17" s="3">
        <f t="shared" si="14"/>
        <v>54654.548515221861</v>
      </c>
    </row>
    <row r="18" spans="2:81" s="5" customFormat="1" ht="15" x14ac:dyDescent="0.25">
      <c r="B18" s="5" t="s">
        <v>38</v>
      </c>
      <c r="C18" s="5">
        <f t="shared" ref="C18:M18" si="15">+C16-C17</f>
        <v>2828</v>
      </c>
      <c r="D18" s="5">
        <f t="shared" si="15"/>
        <v>2920</v>
      </c>
      <c r="E18" s="5">
        <f t="shared" si="15"/>
        <v>3170</v>
      </c>
      <c r="F18" s="5">
        <f t="shared" si="15"/>
        <v>3300</v>
      </c>
      <c r="G18" s="5">
        <f t="shared" si="15"/>
        <v>3564</v>
      </c>
      <c r="H18" s="5">
        <f t="shared" si="15"/>
        <v>3715</v>
      </c>
      <c r="I18" s="5">
        <f t="shared" si="15"/>
        <v>3666</v>
      </c>
      <c r="J18" s="5">
        <f t="shared" si="15"/>
        <v>3879</v>
      </c>
      <c r="K18" s="5">
        <f t="shared" si="15"/>
        <v>3963</v>
      </c>
      <c r="L18" s="5">
        <f t="shared" si="15"/>
        <v>4212</v>
      </c>
      <c r="M18" s="5">
        <f t="shared" si="15"/>
        <v>4427</v>
      </c>
      <c r="X18" s="5">
        <f>+X16-X17</f>
        <v>12218</v>
      </c>
      <c r="Y18" s="5">
        <f>+Y16-Y17</f>
        <v>14824</v>
      </c>
      <c r="Z18" s="5">
        <f t="shared" ref="Z18:AF18" si="16">+Z16-Z17</f>
        <v>22639.750000000004</v>
      </c>
      <c r="AA18" s="5">
        <f t="shared" si="16"/>
        <v>28458.977500000005</v>
      </c>
      <c r="AB18" s="5">
        <f t="shared" si="16"/>
        <v>35635.742124999997</v>
      </c>
      <c r="AC18" s="5">
        <f t="shared" si="16"/>
        <v>44470.605043750002</v>
      </c>
      <c r="AD18" s="5">
        <f t="shared" si="16"/>
        <v>55328.597720312508</v>
      </c>
      <c r="AE18" s="5">
        <f t="shared" si="16"/>
        <v>70911.222100343759</v>
      </c>
      <c r="AF18" s="5">
        <f t="shared" si="16"/>
        <v>90062.061839978123</v>
      </c>
    </row>
    <row r="19" spans="2:81" x14ac:dyDescent="0.2">
      <c r="B19" s="3" t="s">
        <v>39</v>
      </c>
      <c r="C19" s="3">
        <v>574</v>
      </c>
      <c r="D19" s="3">
        <v>617</v>
      </c>
      <c r="E19" s="3">
        <v>617</v>
      </c>
      <c r="F19" s="3">
        <f>2413-E19-D19-C19</f>
        <v>605</v>
      </c>
      <c r="G19" s="3">
        <v>640</v>
      </c>
      <c r="H19" s="3">
        <v>664</v>
      </c>
      <c r="I19" s="3">
        <v>683</v>
      </c>
      <c r="J19" s="3">
        <f>2689-I19-H19-G19</f>
        <v>702</v>
      </c>
      <c r="K19" s="3">
        <v>685</v>
      </c>
      <c r="L19" s="3">
        <v>682</v>
      </c>
      <c r="M19" s="3">
        <v>687</v>
      </c>
      <c r="X19" s="3">
        <f>SUM(C19:F19)</f>
        <v>2413</v>
      </c>
      <c r="Y19" s="3">
        <f t="shared" ref="Y19:Y22" si="17">SUM(G19:J19)</f>
        <v>2689</v>
      </c>
      <c r="Z19" s="3">
        <f t="shared" si="9"/>
        <v>3092.35</v>
      </c>
      <c r="AA19" s="3">
        <f t="shared" si="10"/>
        <v>3556.2024999999994</v>
      </c>
      <c r="AB19" s="3">
        <f t="shared" si="11"/>
        <v>4089.6328749999989</v>
      </c>
      <c r="AC19" s="3">
        <f t="shared" si="12"/>
        <v>4703.0778062499985</v>
      </c>
      <c r="AD19" s="3">
        <f t="shared" si="13"/>
        <v>5408.5394771874981</v>
      </c>
      <c r="AE19" s="3">
        <f t="shared" ref="AE19:AF19" si="18">+AD19*1.1</f>
        <v>5949.3934249062486</v>
      </c>
      <c r="AF19" s="3">
        <f t="shared" si="18"/>
        <v>6544.3327673968743</v>
      </c>
    </row>
    <row r="20" spans="2:81" x14ac:dyDescent="0.2">
      <c r="B20" s="3" t="s">
        <v>40</v>
      </c>
      <c r="C20" s="3">
        <v>1263</v>
      </c>
      <c r="D20" s="3">
        <v>1218</v>
      </c>
      <c r="E20" s="3">
        <v>1153</v>
      </c>
      <c r="F20" s="3">
        <f>4756-E20-D20-C20</f>
        <v>1122</v>
      </c>
      <c r="G20" s="3">
        <v>1262</v>
      </c>
      <c r="H20" s="3">
        <v>1218</v>
      </c>
      <c r="I20" s="3">
        <v>941</v>
      </c>
      <c r="J20" s="3">
        <f>4356-I20-H20-G20</f>
        <v>935</v>
      </c>
      <c r="K20" s="3">
        <v>917</v>
      </c>
      <c r="L20" s="3">
        <v>1115</v>
      </c>
      <c r="M20" s="3">
        <v>1096</v>
      </c>
      <c r="X20" s="3">
        <f>SUM(C20:F20)</f>
        <v>4756</v>
      </c>
      <c r="Y20" s="3">
        <f t="shared" si="17"/>
        <v>4356</v>
      </c>
      <c r="Z20" s="3">
        <f t="shared" si="9"/>
        <v>5009.3999999999996</v>
      </c>
      <c r="AA20" s="3">
        <f t="shared" si="10"/>
        <v>5760.8099999999995</v>
      </c>
      <c r="AB20" s="3">
        <f t="shared" si="11"/>
        <v>6624.9314999999988</v>
      </c>
      <c r="AC20" s="3">
        <f t="shared" si="12"/>
        <v>7618.6712249999982</v>
      </c>
      <c r="AD20" s="3">
        <f t="shared" si="13"/>
        <v>8761.471908749998</v>
      </c>
      <c r="AE20" s="3">
        <f t="shared" ref="AE20:AF20" si="19">+AD20*1.1</f>
        <v>9637.6190996249989</v>
      </c>
      <c r="AF20" s="3">
        <f t="shared" si="19"/>
        <v>10601.3810095875</v>
      </c>
    </row>
    <row r="21" spans="2:81" x14ac:dyDescent="0.2">
      <c r="B21" s="3" t="s">
        <v>41</v>
      </c>
      <c r="C21" s="3">
        <v>587</v>
      </c>
      <c r="D21" s="3">
        <v>704</v>
      </c>
      <c r="E21" s="3">
        <v>760</v>
      </c>
      <c r="F21" s="3">
        <f>2798-E21-D21-C21</f>
        <v>747</v>
      </c>
      <c r="G21" s="3">
        <v>775</v>
      </c>
      <c r="H21" s="3">
        <v>808</v>
      </c>
      <c r="I21" s="3">
        <v>797</v>
      </c>
      <c r="J21" s="3">
        <f>3164-I21-H21-G21</f>
        <v>784</v>
      </c>
      <c r="K21" s="3">
        <v>790</v>
      </c>
      <c r="L21" s="3">
        <v>760</v>
      </c>
      <c r="M21" s="3">
        <v>774</v>
      </c>
      <c r="X21" s="3">
        <f>SUM(C21:F21)</f>
        <v>2798</v>
      </c>
      <c r="Y21" s="3">
        <f t="shared" si="17"/>
        <v>3164</v>
      </c>
      <c r="Z21" s="3">
        <f t="shared" si="9"/>
        <v>3638.6</v>
      </c>
      <c r="AA21" s="3">
        <f t="shared" si="10"/>
        <v>4184.3899999999994</v>
      </c>
      <c r="AB21" s="3">
        <f t="shared" si="11"/>
        <v>4812.048499999999</v>
      </c>
      <c r="AC21" s="3">
        <f t="shared" si="12"/>
        <v>5533.8557749999982</v>
      </c>
      <c r="AD21" s="3">
        <f t="shared" si="13"/>
        <v>6363.9341412499971</v>
      </c>
      <c r="AE21" s="3">
        <f t="shared" ref="AE21:AF21" si="20">+AD21*1.1</f>
        <v>7000.3275553749972</v>
      </c>
      <c r="AF21" s="3">
        <f t="shared" si="20"/>
        <v>7700.3603109124979</v>
      </c>
    </row>
    <row r="22" spans="2:81" x14ac:dyDescent="0.2">
      <c r="B22" s="3" t="s">
        <v>42</v>
      </c>
      <c r="C22" s="3">
        <v>632</v>
      </c>
      <c r="D22" s="3">
        <v>851</v>
      </c>
      <c r="E22" s="3">
        <v>908</v>
      </c>
      <c r="F22" s="3">
        <f>3136-E22-D22-C22</f>
        <v>745</v>
      </c>
      <c r="G22" s="3">
        <v>942</v>
      </c>
      <c r="H22" s="3">
        <v>491</v>
      </c>
      <c r="I22" s="3">
        <v>646</v>
      </c>
      <c r="J22" s="3">
        <f>2682-I22-H22-G22</f>
        <v>603</v>
      </c>
      <c r="K22" s="3">
        <v>1209</v>
      </c>
      <c r="L22" s="3">
        <v>686</v>
      </c>
      <c r="M22" s="3">
        <v>630</v>
      </c>
      <c r="X22" s="3">
        <f>SUM(C22:F22)</f>
        <v>3136</v>
      </c>
      <c r="Y22" s="3">
        <f t="shared" si="17"/>
        <v>2682</v>
      </c>
      <c r="Z22" s="3">
        <f t="shared" si="9"/>
        <v>3084.2999999999997</v>
      </c>
      <c r="AA22" s="3">
        <f t="shared" si="10"/>
        <v>3546.9449999999993</v>
      </c>
      <c r="AB22" s="3">
        <f t="shared" si="11"/>
        <v>4078.9867499999987</v>
      </c>
      <c r="AC22" s="3">
        <f t="shared" si="12"/>
        <v>4690.8347624999979</v>
      </c>
      <c r="AD22" s="3">
        <f t="shared" si="13"/>
        <v>5394.4599768749968</v>
      </c>
      <c r="AE22" s="3">
        <f t="shared" ref="AE22:AF22" si="21">+AD22*1.1</f>
        <v>5933.9059745624972</v>
      </c>
      <c r="AF22" s="3">
        <f t="shared" si="21"/>
        <v>6527.2965720187476</v>
      </c>
    </row>
    <row r="23" spans="2:81" x14ac:dyDescent="0.2">
      <c r="B23" s="3" t="s">
        <v>43</v>
      </c>
      <c r="C23" s="3">
        <f t="shared" ref="C23:M23" si="22">+C19+C20+C21+C22</f>
        <v>3056</v>
      </c>
      <c r="D23" s="3">
        <f t="shared" si="22"/>
        <v>3390</v>
      </c>
      <c r="E23" s="3">
        <f t="shared" si="22"/>
        <v>3438</v>
      </c>
      <c r="F23" s="3">
        <f t="shared" si="22"/>
        <v>3219</v>
      </c>
      <c r="G23" s="3">
        <f t="shared" si="22"/>
        <v>3619</v>
      </c>
      <c r="H23" s="3">
        <f t="shared" si="22"/>
        <v>3181</v>
      </c>
      <c r="I23" s="3">
        <f t="shared" si="22"/>
        <v>3067</v>
      </c>
      <c r="J23" s="3">
        <f t="shared" si="22"/>
        <v>3024</v>
      </c>
      <c r="K23" s="3">
        <f t="shared" si="22"/>
        <v>3601</v>
      </c>
      <c r="L23" s="3">
        <f t="shared" si="22"/>
        <v>3243</v>
      </c>
      <c r="M23" s="3">
        <f t="shared" si="22"/>
        <v>3187</v>
      </c>
      <c r="X23" s="3">
        <f>+X19+X20+X21+X22</f>
        <v>13103</v>
      </c>
      <c r="Y23" s="3">
        <f t="shared" ref="Y23:AF23" si="23">+Y19+Y20+Y21+Y22</f>
        <v>12891</v>
      </c>
      <c r="Z23" s="3">
        <f t="shared" si="23"/>
        <v>14824.65</v>
      </c>
      <c r="AA23" s="3">
        <f t="shared" si="23"/>
        <v>17048.347499999996</v>
      </c>
      <c r="AB23" s="3">
        <f t="shared" si="23"/>
        <v>19605.599624999995</v>
      </c>
      <c r="AC23" s="3">
        <f t="shared" si="23"/>
        <v>22546.439568749996</v>
      </c>
      <c r="AD23" s="3">
        <f t="shared" si="23"/>
        <v>25928.405504062492</v>
      </c>
      <c r="AE23" s="3">
        <f t="shared" si="23"/>
        <v>28521.246054468742</v>
      </c>
      <c r="AF23" s="3">
        <f t="shared" si="23"/>
        <v>31373.370659915621</v>
      </c>
    </row>
    <row r="24" spans="2:81" s="5" customFormat="1" ht="15" x14ac:dyDescent="0.25">
      <c r="B24" s="5" t="s">
        <v>44</v>
      </c>
      <c r="C24" s="5">
        <f t="shared" ref="C24:L24" si="24">+C18-C23</f>
        <v>-228</v>
      </c>
      <c r="D24" s="5">
        <f t="shared" si="24"/>
        <v>-470</v>
      </c>
      <c r="E24" s="5">
        <f t="shared" si="24"/>
        <v>-268</v>
      </c>
      <c r="F24" s="5">
        <f t="shared" ref="F24" si="25">+F18-F23</f>
        <v>81</v>
      </c>
      <c r="G24" s="5">
        <f t="shared" si="24"/>
        <v>-55</v>
      </c>
      <c r="H24" s="5">
        <f t="shared" si="24"/>
        <v>534</v>
      </c>
      <c r="I24" s="5">
        <f t="shared" si="24"/>
        <v>599</v>
      </c>
      <c r="J24" s="5">
        <f t="shared" si="24"/>
        <v>855</v>
      </c>
      <c r="K24" s="5">
        <f t="shared" si="24"/>
        <v>362</v>
      </c>
      <c r="L24" s="5">
        <f t="shared" si="24"/>
        <v>969</v>
      </c>
      <c r="M24" s="5">
        <f>+M18-M23</f>
        <v>1240</v>
      </c>
      <c r="O24" s="5" t="s">
        <v>6</v>
      </c>
      <c r="X24" s="5">
        <f>+X18-X23</f>
        <v>-885</v>
      </c>
      <c r="Y24" s="5">
        <f>+Y18-Y23</f>
        <v>1933</v>
      </c>
      <c r="Z24" s="5">
        <f t="shared" ref="Z24:AF24" si="26">+Z18-Z23</f>
        <v>7815.100000000004</v>
      </c>
      <c r="AA24" s="5">
        <f t="shared" si="26"/>
        <v>11410.630000000008</v>
      </c>
      <c r="AB24" s="5">
        <f t="shared" si="26"/>
        <v>16030.142500000002</v>
      </c>
      <c r="AC24" s="5">
        <f t="shared" si="26"/>
        <v>21924.165475000005</v>
      </c>
      <c r="AD24" s="5">
        <f t="shared" si="26"/>
        <v>29400.192216250016</v>
      </c>
      <c r="AE24" s="5">
        <f t="shared" si="26"/>
        <v>42389.976045875017</v>
      </c>
      <c r="AF24" s="5">
        <f t="shared" si="26"/>
        <v>58688.691180062502</v>
      </c>
    </row>
    <row r="25" spans="2:81" x14ac:dyDescent="0.2">
      <c r="B25" s="3" t="s">
        <v>45</v>
      </c>
      <c r="C25" s="3">
        <f>-129-5557</f>
        <v>-5686</v>
      </c>
      <c r="D25" s="3">
        <f>-139-1704</f>
        <v>-1843</v>
      </c>
      <c r="E25" s="3">
        <f>-146-535</f>
        <v>-681</v>
      </c>
      <c r="F25" s="3">
        <f>-565-E25-D25-C25+767</f>
        <v>8412</v>
      </c>
      <c r="G25" s="3">
        <f>-168+292</f>
        <v>124</v>
      </c>
      <c r="H25" s="3">
        <f>-144+273</f>
        <v>129</v>
      </c>
      <c r="I25" s="3">
        <f>-166-52</f>
        <v>-218</v>
      </c>
      <c r="J25" s="3">
        <f>-633-I25-H25-G25+1331</f>
        <v>663</v>
      </c>
      <c r="K25" s="3">
        <f>-124-678</f>
        <v>-802</v>
      </c>
      <c r="L25" s="3">
        <f>-139+420</f>
        <v>281</v>
      </c>
      <c r="M25" s="3">
        <f>-143+1851</f>
        <v>1708</v>
      </c>
      <c r="N25" s="3" t="s">
        <v>6</v>
      </c>
      <c r="O25" s="3" t="s">
        <v>6</v>
      </c>
      <c r="X25" s="3">
        <f>SUM(C25:F25)</f>
        <v>202</v>
      </c>
      <c r="Y25" s="3">
        <f>SUM(G25:J25)</f>
        <v>698</v>
      </c>
      <c r="Z25" s="3">
        <f>+Y41*0.05</f>
        <v>271.05</v>
      </c>
      <c r="AA25" s="3">
        <f t="shared" ref="AA25:AF25" si="27">+Z41*0.05</f>
        <v>594.49600000000021</v>
      </c>
      <c r="AB25" s="3">
        <f t="shared" si="27"/>
        <v>917.94200000000046</v>
      </c>
      <c r="AC25" s="3">
        <f t="shared" si="27"/>
        <v>1398.1470400000007</v>
      </c>
      <c r="AD25" s="3">
        <f t="shared" si="27"/>
        <v>2076.0704200000009</v>
      </c>
      <c r="AE25" s="3">
        <f t="shared" si="27"/>
        <v>3008.9629206000009</v>
      </c>
      <c r="AF25" s="3">
        <f t="shared" si="27"/>
        <v>4268.0134260500017</v>
      </c>
    </row>
    <row r="26" spans="2:81" x14ac:dyDescent="0.2">
      <c r="B26" s="3" t="s">
        <v>47</v>
      </c>
      <c r="C26" s="3">
        <f t="shared" ref="C26:L26" si="28">+C24+C25</f>
        <v>-5914</v>
      </c>
      <c r="D26" s="3">
        <f t="shared" si="28"/>
        <v>-2313</v>
      </c>
      <c r="E26" s="3">
        <f t="shared" si="28"/>
        <v>-949</v>
      </c>
      <c r="F26" s="3">
        <f t="shared" si="28"/>
        <v>8493</v>
      </c>
      <c r="G26" s="3">
        <f t="shared" si="28"/>
        <v>69</v>
      </c>
      <c r="H26" s="3">
        <f t="shared" si="28"/>
        <v>663</v>
      </c>
      <c r="I26" s="3">
        <f t="shared" si="28"/>
        <v>381</v>
      </c>
      <c r="J26" s="3">
        <f t="shared" si="28"/>
        <v>1518</v>
      </c>
      <c r="K26" s="3">
        <f t="shared" si="28"/>
        <v>-440</v>
      </c>
      <c r="L26" s="3">
        <f t="shared" si="28"/>
        <v>1250</v>
      </c>
      <c r="M26" s="3">
        <f>+M24+M25</f>
        <v>2948</v>
      </c>
      <c r="O26" s="3" t="s">
        <v>6</v>
      </c>
      <c r="X26" s="3">
        <f t="shared" ref="X26:AF26" si="29">+X24+X25</f>
        <v>-683</v>
      </c>
      <c r="Y26" s="3">
        <f t="shared" si="29"/>
        <v>2631</v>
      </c>
      <c r="Z26" s="3">
        <f t="shared" si="29"/>
        <v>8086.1500000000042</v>
      </c>
      <c r="AA26" s="3">
        <f t="shared" si="29"/>
        <v>12005.126000000009</v>
      </c>
      <c r="AB26" s="3">
        <f t="shared" si="29"/>
        <v>16948.084500000001</v>
      </c>
      <c r="AC26" s="3">
        <f t="shared" si="29"/>
        <v>23322.312515000005</v>
      </c>
      <c r="AD26" s="3">
        <f t="shared" si="29"/>
        <v>31476.262636250016</v>
      </c>
      <c r="AE26" s="3">
        <f t="shared" si="29"/>
        <v>45398.93896647502</v>
      </c>
      <c r="AF26" s="3">
        <f t="shared" si="29"/>
        <v>62956.7046061125</v>
      </c>
    </row>
    <row r="27" spans="2:81" x14ac:dyDescent="0.2">
      <c r="B27" s="3" t="s">
        <v>48</v>
      </c>
      <c r="C27" s="3">
        <v>77</v>
      </c>
      <c r="D27" s="3">
        <v>77</v>
      </c>
      <c r="E27" s="3">
        <v>58</v>
      </c>
      <c r="F27" s="3">
        <f>-181-E27-D27-C27</f>
        <v>-393</v>
      </c>
      <c r="G27" s="3">
        <v>55</v>
      </c>
      <c r="H27" s="3">
        <v>65</v>
      </c>
      <c r="I27" s="3">
        <v>-40</v>
      </c>
      <c r="J27" s="3">
        <f>213-I27-H27-G27</f>
        <v>133</v>
      </c>
      <c r="K27" s="3">
        <v>29</v>
      </c>
      <c r="L27" s="3">
        <v>57</v>
      </c>
      <c r="M27" s="3">
        <v>158</v>
      </c>
      <c r="O27" s="4" t="s">
        <v>6</v>
      </c>
      <c r="P27" s="4" t="s">
        <v>6</v>
      </c>
      <c r="Q27" s="4"/>
      <c r="R27" s="4"/>
      <c r="X27" s="3">
        <f>SUM(C27:F27)</f>
        <v>-181</v>
      </c>
      <c r="Y27" s="3">
        <f>SUM(G27:J27)</f>
        <v>213</v>
      </c>
      <c r="Z27" s="3">
        <f>+Z26*0.2</f>
        <v>1617.2300000000009</v>
      </c>
      <c r="AA27" s="3">
        <f t="shared" ref="AA27:AF27" si="30">+AA26*0.2</f>
        <v>2401.0252000000019</v>
      </c>
      <c r="AB27" s="3">
        <f t="shared" si="30"/>
        <v>3389.6169000000004</v>
      </c>
      <c r="AC27" s="3">
        <f t="shared" si="30"/>
        <v>4664.4625030000016</v>
      </c>
      <c r="AD27" s="3">
        <f t="shared" si="30"/>
        <v>6295.2525272500034</v>
      </c>
      <c r="AE27" s="3">
        <f t="shared" si="30"/>
        <v>9079.787793295005</v>
      </c>
      <c r="AF27" s="3">
        <f t="shared" si="30"/>
        <v>12591.340921222501</v>
      </c>
    </row>
    <row r="28" spans="2:81" s="5" customFormat="1" ht="15" x14ac:dyDescent="0.25">
      <c r="B28" s="5" t="s">
        <v>49</v>
      </c>
      <c r="C28" s="5">
        <f t="shared" ref="C28:M28" si="31">+C26-C27</f>
        <v>-5991</v>
      </c>
      <c r="D28" s="5">
        <f t="shared" si="31"/>
        <v>-2390</v>
      </c>
      <c r="E28" s="5">
        <f t="shared" si="31"/>
        <v>-1007</v>
      </c>
      <c r="F28" s="5">
        <f t="shared" si="31"/>
        <v>8886</v>
      </c>
      <c r="G28" s="5">
        <f t="shared" si="31"/>
        <v>14</v>
      </c>
      <c r="H28" s="5">
        <f t="shared" si="31"/>
        <v>598</v>
      </c>
      <c r="I28" s="5">
        <f t="shared" si="31"/>
        <v>421</v>
      </c>
      <c r="J28" s="5">
        <f t="shared" si="31"/>
        <v>1385</v>
      </c>
      <c r="K28" s="5">
        <f t="shared" si="31"/>
        <v>-469</v>
      </c>
      <c r="L28" s="5">
        <f t="shared" si="31"/>
        <v>1193</v>
      </c>
      <c r="M28" s="5">
        <f t="shared" si="31"/>
        <v>2790</v>
      </c>
      <c r="T28" s="3" t="s">
        <v>106</v>
      </c>
      <c r="U28" s="4">
        <v>0.08</v>
      </c>
      <c r="X28" s="5">
        <f>+X26-X27</f>
        <v>-502</v>
      </c>
      <c r="Y28" s="5">
        <f t="shared" ref="Y28:AF28" si="32">+Y26-Y27</f>
        <v>2418</v>
      </c>
      <c r="Z28" s="5">
        <f t="shared" si="32"/>
        <v>6468.9200000000037</v>
      </c>
      <c r="AA28" s="5">
        <f t="shared" si="32"/>
        <v>9604.1008000000074</v>
      </c>
      <c r="AB28" s="5">
        <f t="shared" si="32"/>
        <v>13558.4676</v>
      </c>
      <c r="AC28" s="5">
        <f t="shared" si="32"/>
        <v>18657.850012000003</v>
      </c>
      <c r="AD28" s="5">
        <f t="shared" si="32"/>
        <v>25181.010109000013</v>
      </c>
      <c r="AE28" s="5">
        <f t="shared" si="32"/>
        <v>36319.151173180013</v>
      </c>
      <c r="AF28" s="5">
        <f t="shared" si="32"/>
        <v>50365.363684889999</v>
      </c>
      <c r="AG28" s="5">
        <f>+AF28*0.99</f>
        <v>49861.710048041095</v>
      </c>
      <c r="AH28" s="5">
        <f t="shared" ref="AH28:CC28" si="33">+AG28*0.99</f>
        <v>49363.092947560683</v>
      </c>
      <c r="AI28" s="5">
        <f t="shared" si="33"/>
        <v>48869.462018085076</v>
      </c>
      <c r="AJ28" s="5">
        <f t="shared" si="33"/>
        <v>48380.767397904223</v>
      </c>
      <c r="AK28" s="5">
        <f t="shared" si="33"/>
        <v>47896.959723925182</v>
      </c>
      <c r="AL28" s="5">
        <f t="shared" si="33"/>
        <v>47417.990126685931</v>
      </c>
      <c r="AM28" s="5">
        <f t="shared" si="33"/>
        <v>46943.810225419074</v>
      </c>
      <c r="AN28" s="5">
        <f t="shared" si="33"/>
        <v>46474.372123164881</v>
      </c>
      <c r="AO28" s="5">
        <f t="shared" si="33"/>
        <v>46009.628401933231</v>
      </c>
      <c r="AP28" s="5">
        <f t="shared" si="33"/>
        <v>45549.532117913899</v>
      </c>
      <c r="AQ28" s="5">
        <f t="shared" si="33"/>
        <v>45094.036796734763</v>
      </c>
      <c r="AR28" s="5">
        <f t="shared" si="33"/>
        <v>44643.096428767414</v>
      </c>
      <c r="AS28" s="5">
        <f t="shared" si="33"/>
        <v>44196.665464479738</v>
      </c>
      <c r="AT28" s="5">
        <f t="shared" si="33"/>
        <v>43754.698809834939</v>
      </c>
      <c r="AU28" s="5">
        <f t="shared" si="33"/>
        <v>43317.151821736588</v>
      </c>
      <c r="AV28" s="5">
        <f t="shared" si="33"/>
        <v>42883.980303519224</v>
      </c>
      <c r="AW28" s="5">
        <f t="shared" si="33"/>
        <v>42455.140500484034</v>
      </c>
      <c r="AX28" s="5">
        <f t="shared" si="33"/>
        <v>42030.58909547919</v>
      </c>
      <c r="AY28" s="5">
        <f t="shared" si="33"/>
        <v>41610.283204524399</v>
      </c>
      <c r="AZ28" s="5">
        <f t="shared" si="33"/>
        <v>41194.180372479153</v>
      </c>
      <c r="BA28" s="5">
        <f t="shared" si="33"/>
        <v>40782.238568754365</v>
      </c>
      <c r="BB28" s="5">
        <f t="shared" si="33"/>
        <v>40374.416183066824</v>
      </c>
      <c r="BC28" s="5">
        <f t="shared" si="33"/>
        <v>39970.672021236154</v>
      </c>
      <c r="BD28" s="5">
        <f t="shared" si="33"/>
        <v>39570.965301023789</v>
      </c>
      <c r="BE28" s="5">
        <f t="shared" si="33"/>
        <v>39175.255648013554</v>
      </c>
      <c r="BF28" s="5">
        <f t="shared" si="33"/>
        <v>38783.503091533421</v>
      </c>
      <c r="BG28" s="5">
        <f t="shared" si="33"/>
        <v>38395.668060618089</v>
      </c>
      <c r="BH28" s="5">
        <f t="shared" si="33"/>
        <v>38011.711380011904</v>
      </c>
      <c r="BI28" s="5">
        <f t="shared" si="33"/>
        <v>37631.594266211781</v>
      </c>
      <c r="BJ28" s="5">
        <f t="shared" si="33"/>
        <v>37255.278323549661</v>
      </c>
      <c r="BK28" s="5">
        <f t="shared" si="33"/>
        <v>36882.725540314161</v>
      </c>
      <c r="BL28" s="5">
        <f t="shared" si="33"/>
        <v>36513.898284911018</v>
      </c>
      <c r="BM28" s="5">
        <f t="shared" si="33"/>
        <v>36148.75930206191</v>
      </c>
      <c r="BN28" s="5">
        <f t="shared" si="33"/>
        <v>35787.271709041292</v>
      </c>
      <c r="BO28" s="5">
        <f t="shared" si="33"/>
        <v>35429.398991950875</v>
      </c>
      <c r="BP28" s="5">
        <f t="shared" si="33"/>
        <v>35075.105002031363</v>
      </c>
      <c r="BQ28" s="5">
        <f t="shared" si="33"/>
        <v>34724.35395201105</v>
      </c>
      <c r="BR28" s="5">
        <f t="shared" si="33"/>
        <v>34377.11041249094</v>
      </c>
      <c r="BS28" s="5">
        <f t="shared" si="33"/>
        <v>34033.339308366027</v>
      </c>
      <c r="BT28" s="5">
        <f t="shared" si="33"/>
        <v>33693.005915282367</v>
      </c>
      <c r="BU28" s="5">
        <f t="shared" si="33"/>
        <v>33356.075856129544</v>
      </c>
      <c r="BV28" s="5">
        <f t="shared" si="33"/>
        <v>33022.515097568248</v>
      </c>
      <c r="BW28" s="5">
        <f t="shared" si="33"/>
        <v>32692.289946592566</v>
      </c>
      <c r="BX28" s="5">
        <f t="shared" si="33"/>
        <v>32365.367047126641</v>
      </c>
      <c r="BY28" s="5">
        <f t="shared" si="33"/>
        <v>32041.713376655374</v>
      </c>
      <c r="BZ28" s="5">
        <f t="shared" si="33"/>
        <v>31721.29624288882</v>
      </c>
      <c r="CA28" s="5">
        <f t="shared" si="33"/>
        <v>31404.08328045993</v>
      </c>
      <c r="CB28" s="5">
        <f t="shared" si="33"/>
        <v>31090.042447655331</v>
      </c>
      <c r="CC28" s="5">
        <f t="shared" si="33"/>
        <v>30779.142023178778</v>
      </c>
    </row>
    <row r="29" spans="2:81" s="7" customFormat="1" x14ac:dyDescent="0.2">
      <c r="B29" s="7" t="s">
        <v>50</v>
      </c>
      <c r="C29" s="7">
        <f t="shared" ref="C29:M29" si="34">+C28/C30</f>
        <v>-3.0660356839265726</v>
      </c>
      <c r="D29" s="7">
        <f t="shared" si="34"/>
        <v>-1.2167159462079189</v>
      </c>
      <c r="E29" s="7">
        <f t="shared" si="34"/>
        <v>-0.49249567660200477</v>
      </c>
      <c r="F29" s="7">
        <f t="shared" si="34"/>
        <v>4.5057858732508134</v>
      </c>
      <c r="G29" s="7">
        <f t="shared" si="34"/>
        <v>6.9667095782801882E-3</v>
      </c>
      <c r="H29" s="7">
        <f t="shared" si="34"/>
        <v>0.29548184540765376</v>
      </c>
      <c r="I29" s="7">
        <f t="shared" si="34"/>
        <v>0.20589938416032175</v>
      </c>
      <c r="J29" s="7">
        <f t="shared" si="34"/>
        <v>0.6803720284076199</v>
      </c>
      <c r="K29" s="7">
        <f t="shared" si="34"/>
        <v>-0.22564707546475357</v>
      </c>
      <c r="L29" s="7">
        <f t="shared" si="34"/>
        <v>0.57021862363658959</v>
      </c>
      <c r="M29" s="7">
        <f t="shared" si="34"/>
        <v>1.3275220539954133</v>
      </c>
      <c r="T29" s="3" t="s">
        <v>52</v>
      </c>
      <c r="U29" s="3">
        <f>+NPV(U28,X28:CC28)-main!M5+main!M6</f>
        <v>360153.62210896186</v>
      </c>
      <c r="X29" s="7">
        <f>+X28/X30</f>
        <v>-0.25305250889968534</v>
      </c>
      <c r="Y29" s="7">
        <f>+Y28/Y30</f>
        <v>1.1920565551463578</v>
      </c>
      <c r="Z29" s="7">
        <f t="shared" si="9"/>
        <v>1.3708650384183114</v>
      </c>
      <c r="AA29" s="7">
        <f t="shared" si="10"/>
        <v>1.5764947941810581</v>
      </c>
      <c r="AB29" s="7">
        <f t="shared" si="11"/>
        <v>1.8129690133082166</v>
      </c>
      <c r="AC29" s="7">
        <f t="shared" si="12"/>
        <v>2.0849143653044488</v>
      </c>
      <c r="AD29" s="7">
        <f t="shared" si="13"/>
        <v>2.3976515201001161</v>
      </c>
      <c r="AE29" s="7">
        <f t="shared" ref="AE29:AF29" si="35">+AD29*1.1</f>
        <v>2.637416672110128</v>
      </c>
      <c r="AF29" s="7">
        <f t="shared" si="35"/>
        <v>2.9011583393211411</v>
      </c>
    </row>
    <row r="30" spans="2:81" x14ac:dyDescent="0.2">
      <c r="B30" s="3" t="s">
        <v>3</v>
      </c>
      <c r="C30" s="3">
        <v>1953.989</v>
      </c>
      <c r="D30" s="3">
        <v>1964.3040000000001</v>
      </c>
      <c r="E30" s="3">
        <v>2044.6880000000001</v>
      </c>
      <c r="F30" s="3">
        <v>1972.1310000000001</v>
      </c>
      <c r="G30" s="3">
        <v>2009.557</v>
      </c>
      <c r="H30" s="3">
        <v>2023.8130000000001</v>
      </c>
      <c r="I30" s="3">
        <v>2044.6880000000001</v>
      </c>
      <c r="J30" s="3">
        <v>2035.6510000000001</v>
      </c>
      <c r="K30" s="3">
        <v>2078.4670000000001</v>
      </c>
      <c r="L30" s="3">
        <v>2092.1799999999998</v>
      </c>
      <c r="M30" s="3">
        <v>2101.66</v>
      </c>
      <c r="T30" s="3" t="s">
        <v>54</v>
      </c>
      <c r="U30" s="3">
        <f>+U29/main!M3</f>
        <v>173.27848943907304</v>
      </c>
      <c r="X30" s="3">
        <f>AVERAGE(C30:F30)</f>
        <v>1983.778</v>
      </c>
      <c r="Y30" s="3">
        <f>AVERAGE(G30:J30)</f>
        <v>2028.42725</v>
      </c>
      <c r="Z30" s="3">
        <f t="shared" si="9"/>
        <v>2332.6913374999999</v>
      </c>
      <c r="AA30" s="3">
        <f>+Z30</f>
        <v>2332.6913374999999</v>
      </c>
      <c r="AB30" s="3">
        <f t="shared" ref="AB30:AF30" si="36">+AA30</f>
        <v>2332.6913374999999</v>
      </c>
      <c r="AC30" s="3">
        <f t="shared" si="36"/>
        <v>2332.6913374999999</v>
      </c>
      <c r="AD30" s="3">
        <f t="shared" si="36"/>
        <v>2332.6913374999999</v>
      </c>
      <c r="AE30" s="3">
        <f t="shared" si="36"/>
        <v>2332.6913374999999</v>
      </c>
      <c r="AF30" s="3">
        <f t="shared" si="36"/>
        <v>2332.6913374999999</v>
      </c>
    </row>
    <row r="32" spans="2:81" x14ac:dyDescent="0.2">
      <c r="B32" s="4" t="s">
        <v>51</v>
      </c>
      <c r="C32" s="4">
        <f t="shared" ref="C32:M32" si="37">+C18/C16</f>
        <v>0.4126057776480887</v>
      </c>
      <c r="D32" s="4">
        <f t="shared" si="37"/>
        <v>0.36169949213427477</v>
      </c>
      <c r="E32" s="4">
        <f t="shared" si="37"/>
        <v>0.3799592472731631</v>
      </c>
      <c r="F32" s="4">
        <f t="shared" si="37"/>
        <v>0.38340885325897528</v>
      </c>
      <c r="G32" s="4">
        <f t="shared" si="37"/>
        <v>0.40394423665419926</v>
      </c>
      <c r="H32" s="4">
        <f t="shared" si="37"/>
        <v>0.40249187432286027</v>
      </c>
      <c r="I32" s="4">
        <f t="shared" si="37"/>
        <v>0.39453293155402497</v>
      </c>
      <c r="J32" s="4">
        <f t="shared" si="37"/>
        <v>0.39039855072463769</v>
      </c>
      <c r="K32" s="4">
        <f t="shared" si="37"/>
        <v>0.39117559964465504</v>
      </c>
      <c r="L32" s="4">
        <f t="shared" si="37"/>
        <v>0.39364485981308411</v>
      </c>
      <c r="M32" s="4">
        <f t="shared" si="37"/>
        <v>0.39569181265641756</v>
      </c>
      <c r="X32" s="4">
        <f t="shared" ref="X32:AF32" si="38">+X18/X16</f>
        <v>0.38328575461931802</v>
      </c>
      <c r="Y32" s="4">
        <f t="shared" si="38"/>
        <v>0.39762881896944824</v>
      </c>
      <c r="Z32" s="4">
        <f t="shared" si="38"/>
        <v>0.46713318601143505</v>
      </c>
      <c r="AA32" s="4">
        <f t="shared" si="38"/>
        <v>0.48933596992762529</v>
      </c>
      <c r="AB32" s="4">
        <f t="shared" si="38"/>
        <v>0.51061363784730751</v>
      </c>
      <c r="AC32" s="4">
        <f t="shared" si="38"/>
        <v>0.5310047362703364</v>
      </c>
      <c r="AD32" s="4">
        <f t="shared" si="38"/>
        <v>0.55054620559240575</v>
      </c>
      <c r="AE32" s="4">
        <f t="shared" si="38"/>
        <v>0.58800068845970532</v>
      </c>
      <c r="AF32" s="4">
        <f t="shared" si="38"/>
        <v>0.62233396442139644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2:42" x14ac:dyDescent="0.2">
      <c r="B33" s="4" t="s">
        <v>53</v>
      </c>
      <c r="C33" s="4">
        <f t="shared" ref="C33:M33" si="39">+C19/$M$16</f>
        <v>5.130496961029675E-2</v>
      </c>
      <c r="D33" s="4">
        <f t="shared" si="39"/>
        <v>5.5148373257061137E-2</v>
      </c>
      <c r="E33" s="4">
        <f t="shared" si="39"/>
        <v>5.5148373257061137E-2</v>
      </c>
      <c r="F33" s="4">
        <f t="shared" si="39"/>
        <v>5.4075795495173398E-2</v>
      </c>
      <c r="G33" s="4">
        <f t="shared" si="39"/>
        <v>5.7204147300679298E-2</v>
      </c>
      <c r="H33" s="4">
        <f t="shared" si="39"/>
        <v>5.9349302824454775E-2</v>
      </c>
      <c r="I33" s="4">
        <f t="shared" si="39"/>
        <v>6.1047550947443692E-2</v>
      </c>
      <c r="J33" s="4">
        <f t="shared" si="39"/>
        <v>6.2745799070432609E-2</v>
      </c>
      <c r="K33" s="4">
        <f t="shared" si="39"/>
        <v>6.122631390775831E-2</v>
      </c>
      <c r="L33" s="4">
        <f t="shared" si="39"/>
        <v>6.0958169467286376E-2</v>
      </c>
      <c r="M33" s="4">
        <f t="shared" si="39"/>
        <v>6.1405076868072936E-2</v>
      </c>
      <c r="S33" s="3" t="s">
        <v>6</v>
      </c>
      <c r="X33" s="4">
        <f t="shared" ref="X33:AF33" si="40">+X19/$M$16</f>
        <v>0.21567751161959242</v>
      </c>
      <c r="Y33" s="4">
        <f t="shared" si="40"/>
        <v>0.24034680014301038</v>
      </c>
      <c r="Z33" s="4">
        <f t="shared" si="40"/>
        <v>0.27639882016446193</v>
      </c>
      <c r="AA33" s="4">
        <f t="shared" si="40"/>
        <v>0.31785864318913115</v>
      </c>
      <c r="AB33" s="4">
        <f t="shared" si="40"/>
        <v>0.3655374396675008</v>
      </c>
      <c r="AC33" s="4">
        <f t="shared" si="40"/>
        <v>0.42036805561762591</v>
      </c>
      <c r="AD33" s="4">
        <f t="shared" si="40"/>
        <v>0.48342326396026974</v>
      </c>
      <c r="AE33" s="4">
        <f t="shared" si="40"/>
        <v>0.53176559035629678</v>
      </c>
      <c r="AF33" s="4">
        <f t="shared" si="40"/>
        <v>0.58494214939192657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2:42" x14ac:dyDescent="0.2">
      <c r="B34" s="4" t="s">
        <v>55</v>
      </c>
      <c r="C34" s="4">
        <f t="shared" ref="C34:M34" si="41">+C20/$M$16</f>
        <v>0.1128888094386843</v>
      </c>
      <c r="D34" s="4">
        <f t="shared" si="41"/>
        <v>0.1088666428316053</v>
      </c>
      <c r="E34" s="4">
        <f t="shared" si="41"/>
        <v>0.10305684662138005</v>
      </c>
      <c r="F34" s="4">
        <f t="shared" si="41"/>
        <v>0.1002860207365034</v>
      </c>
      <c r="G34" s="4">
        <f t="shared" si="41"/>
        <v>0.11279942795852699</v>
      </c>
      <c r="H34" s="4">
        <f t="shared" si="41"/>
        <v>0.1088666428316053</v>
      </c>
      <c r="I34" s="4">
        <f t="shared" si="41"/>
        <v>8.4107972828030036E-2</v>
      </c>
      <c r="J34" s="4">
        <f t="shared" si="41"/>
        <v>8.3571683947086167E-2</v>
      </c>
      <c r="K34" s="4">
        <f t="shared" si="41"/>
        <v>8.1962817304254559E-2</v>
      </c>
      <c r="L34" s="4">
        <f t="shared" si="41"/>
        <v>9.9660350375402218E-2</v>
      </c>
      <c r="M34" s="4">
        <f t="shared" si="41"/>
        <v>9.7962102252413294E-2</v>
      </c>
      <c r="X34" s="4">
        <f t="shared" ref="X34:AF34" si="42">+X20/$M$16</f>
        <v>0.42509831962817302</v>
      </c>
      <c r="Y34" s="4">
        <f t="shared" si="42"/>
        <v>0.38934572756524849</v>
      </c>
      <c r="Z34" s="4">
        <f t="shared" si="42"/>
        <v>0.44774758670003573</v>
      </c>
      <c r="AA34" s="4">
        <f t="shared" si="42"/>
        <v>0.51490972470504104</v>
      </c>
      <c r="AB34" s="4">
        <f t="shared" si="42"/>
        <v>0.59214618341079717</v>
      </c>
      <c r="AC34" s="4">
        <f t="shared" si="42"/>
        <v>0.68096811092241671</v>
      </c>
      <c r="AD34" s="4">
        <f t="shared" si="42"/>
        <v>0.78311332756077923</v>
      </c>
      <c r="AE34" s="4">
        <f t="shared" si="42"/>
        <v>0.86142466031685727</v>
      </c>
      <c r="AF34" s="4">
        <f t="shared" si="42"/>
        <v>0.94756712634854301</v>
      </c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2:42" x14ac:dyDescent="0.2">
      <c r="B35" s="4" t="s">
        <v>56</v>
      </c>
      <c r="C35" s="4">
        <f t="shared" ref="C35:M35" si="43">+C21/$M$16</f>
        <v>5.2466928852341797E-2</v>
      </c>
      <c r="D35" s="4">
        <f t="shared" si="43"/>
        <v>6.2924562030747228E-2</v>
      </c>
      <c r="E35" s="4">
        <f t="shared" si="43"/>
        <v>6.792992491955667E-2</v>
      </c>
      <c r="F35" s="4">
        <f t="shared" si="43"/>
        <v>6.6767965677511615E-2</v>
      </c>
      <c r="G35" s="4">
        <f t="shared" si="43"/>
        <v>6.9270647121916343E-2</v>
      </c>
      <c r="H35" s="4">
        <f t="shared" si="43"/>
        <v>7.222023596710761E-2</v>
      </c>
      <c r="I35" s="4">
        <f t="shared" si="43"/>
        <v>7.1237039685377188E-2</v>
      </c>
      <c r="J35" s="4">
        <f t="shared" si="43"/>
        <v>7.0075080443332147E-2</v>
      </c>
      <c r="K35" s="4">
        <f t="shared" si="43"/>
        <v>7.0611369324276016E-2</v>
      </c>
      <c r="L35" s="4">
        <f t="shared" si="43"/>
        <v>6.792992491955667E-2</v>
      </c>
      <c r="M35" s="4">
        <f t="shared" si="43"/>
        <v>6.9181265641759027E-2</v>
      </c>
      <c r="P35" s="3" t="s">
        <v>6</v>
      </c>
      <c r="X35" s="4">
        <f t="shared" ref="X35:AF35" si="44">+X21/$M$16</f>
        <v>0.2500893814801573</v>
      </c>
      <c r="Y35" s="4">
        <f t="shared" si="44"/>
        <v>0.28280300321773327</v>
      </c>
      <c r="Z35" s="4">
        <f t="shared" si="44"/>
        <v>0.32522345370039329</v>
      </c>
      <c r="AA35" s="4">
        <f t="shared" si="44"/>
        <v>0.37400697175545222</v>
      </c>
      <c r="AB35" s="4">
        <f t="shared" si="44"/>
        <v>0.43010801751877004</v>
      </c>
      <c r="AC35" s="4">
        <f t="shared" si="44"/>
        <v>0.49462422014658547</v>
      </c>
      <c r="AD35" s="4">
        <f t="shared" si="44"/>
        <v>0.56881785316857325</v>
      </c>
      <c r="AE35" s="4">
        <f t="shared" si="44"/>
        <v>0.62569963848543053</v>
      </c>
      <c r="AF35" s="4">
        <f t="shared" si="44"/>
        <v>0.68826960233397372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2:42" x14ac:dyDescent="0.2">
      <c r="B36" s="4" t="s">
        <v>42</v>
      </c>
      <c r="C36" s="4">
        <f t="shared" ref="C36:M36" si="45">+C22/$M$16</f>
        <v>5.648909545942081E-2</v>
      </c>
      <c r="D36" s="4">
        <f t="shared" si="45"/>
        <v>7.6063639613872011E-2</v>
      </c>
      <c r="E36" s="4">
        <f t="shared" si="45"/>
        <v>8.1158383982838755E-2</v>
      </c>
      <c r="F36" s="4">
        <f t="shared" si="45"/>
        <v>6.6589202717196996E-2</v>
      </c>
      <c r="G36" s="4">
        <f t="shared" si="45"/>
        <v>8.4197354308187339E-2</v>
      </c>
      <c r="H36" s="4">
        <f t="shared" si="45"/>
        <v>4.3886306757239903E-2</v>
      </c>
      <c r="I36" s="4">
        <f t="shared" si="45"/>
        <v>5.7740436181623167E-2</v>
      </c>
      <c r="J36" s="4">
        <f t="shared" si="45"/>
        <v>5.389703253485878E-2</v>
      </c>
      <c r="K36" s="4">
        <f t="shared" si="45"/>
        <v>0.10806220951018949</v>
      </c>
      <c r="L36" s="4">
        <f t="shared" si="45"/>
        <v>6.1315695387915627E-2</v>
      </c>
      <c r="M36" s="4">
        <f t="shared" si="45"/>
        <v>5.6310332499106185E-2</v>
      </c>
      <c r="X36" s="4">
        <f t="shared" ref="X36:AF36" si="46">+X22/$M$16</f>
        <v>0.28030032177332859</v>
      </c>
      <c r="Y36" s="4">
        <f t="shared" si="46"/>
        <v>0.23972112978190918</v>
      </c>
      <c r="Z36" s="4">
        <f t="shared" si="46"/>
        <v>0.27567929924919554</v>
      </c>
      <c r="AA36" s="4">
        <f t="shared" si="46"/>
        <v>0.31703119413657482</v>
      </c>
      <c r="AB36" s="4">
        <f t="shared" si="46"/>
        <v>0.36458587325706104</v>
      </c>
      <c r="AC36" s="4">
        <f t="shared" si="46"/>
        <v>0.41927375424562013</v>
      </c>
      <c r="AD36" s="4">
        <f t="shared" si="46"/>
        <v>0.48216481738246308</v>
      </c>
      <c r="AE36" s="4">
        <f t="shared" si="46"/>
        <v>0.53038129912070942</v>
      </c>
      <c r="AF36" s="4">
        <f t="shared" si="46"/>
        <v>0.58341942903278043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2:42" x14ac:dyDescent="0.2">
      <c r="B37" s="4" t="s">
        <v>57</v>
      </c>
      <c r="C37" s="4">
        <f t="shared" ref="C37:M37" si="47">+C24/C16</f>
        <v>-3.3265246571345199E-2</v>
      </c>
      <c r="D37" s="4">
        <f t="shared" si="47"/>
        <v>-5.8218753870927786E-2</v>
      </c>
      <c r="E37" s="4">
        <f t="shared" si="47"/>
        <v>-3.2122737624355746E-2</v>
      </c>
      <c r="F37" s="4">
        <f t="shared" si="47"/>
        <v>9.4109445799930285E-3</v>
      </c>
      <c r="G37" s="4">
        <f t="shared" si="47"/>
        <v>-6.2337073557746795E-3</v>
      </c>
      <c r="H37" s="4">
        <f t="shared" si="47"/>
        <v>5.7854821235102924E-2</v>
      </c>
      <c r="I37" s="4">
        <f t="shared" si="47"/>
        <v>6.4464055101162293E-2</v>
      </c>
      <c r="J37" s="4">
        <f t="shared" si="47"/>
        <v>8.6050724637681153E-2</v>
      </c>
      <c r="K37" s="4">
        <f t="shared" si="47"/>
        <v>3.5731911953410328E-2</v>
      </c>
      <c r="L37" s="4">
        <f t="shared" si="47"/>
        <v>9.0560747663551405E-2</v>
      </c>
      <c r="M37" s="4">
        <f t="shared" si="47"/>
        <v>0.11083303539506614</v>
      </c>
      <c r="X37" s="4">
        <f t="shared" ref="X37:AF37" si="48">+X24/X16</f>
        <v>-2.7762963892461648E-2</v>
      </c>
      <c r="Y37" s="4">
        <f t="shared" si="48"/>
        <v>5.1849467557200719E-2</v>
      </c>
      <c r="Z37" s="4">
        <f t="shared" si="48"/>
        <v>0.16125145206983149</v>
      </c>
      <c r="AA37" s="4">
        <f t="shared" si="48"/>
        <v>0.19619930823358858</v>
      </c>
      <c r="AB37" s="4">
        <f t="shared" si="48"/>
        <v>0.22969100372385562</v>
      </c>
      <c r="AC37" s="4">
        <f t="shared" si="48"/>
        <v>0.26178721190202836</v>
      </c>
      <c r="AD37" s="4">
        <f t="shared" si="48"/>
        <v>0.29254607807277727</v>
      </c>
      <c r="AE37" s="4">
        <f t="shared" si="48"/>
        <v>0.35150057156671249</v>
      </c>
      <c r="AF37" s="4">
        <f t="shared" si="48"/>
        <v>0.40554219060281971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2:42" x14ac:dyDescent="0.2">
      <c r="B38" s="4" t="s">
        <v>58</v>
      </c>
      <c r="C38" s="4">
        <f t="shared" ref="C38:L38" si="49">+C27/C26</f>
        <v>-1.301995265471762E-2</v>
      </c>
      <c r="D38" s="4">
        <f t="shared" si="49"/>
        <v>-3.329009943795936E-2</v>
      </c>
      <c r="E38" s="4">
        <f t="shared" si="49"/>
        <v>-6.1116965226554271E-2</v>
      </c>
      <c r="F38" s="4">
        <f t="shared" si="49"/>
        <v>-4.6273401624867538E-2</v>
      </c>
      <c r="G38" s="4">
        <f t="shared" si="49"/>
        <v>0.79710144927536231</v>
      </c>
      <c r="H38" s="4">
        <f t="shared" si="49"/>
        <v>9.8039215686274508E-2</v>
      </c>
      <c r="I38" s="4">
        <f t="shared" si="49"/>
        <v>-0.10498687664041995</v>
      </c>
      <c r="J38" s="4">
        <f t="shared" si="49"/>
        <v>8.7615283267457184E-2</v>
      </c>
      <c r="K38" s="4">
        <f t="shared" si="49"/>
        <v>-6.5909090909090903E-2</v>
      </c>
      <c r="L38" s="4">
        <f t="shared" si="49"/>
        <v>4.5600000000000002E-2</v>
      </c>
      <c r="M38" s="4">
        <f>+M27/M26</f>
        <v>5.3595658073270012E-2</v>
      </c>
      <c r="X38" s="4">
        <f t="shared" ref="X38:AF38" si="50">+X27/X26</f>
        <v>0.26500732064421667</v>
      </c>
      <c r="Y38" s="4">
        <f t="shared" si="50"/>
        <v>8.0957810718358045E-2</v>
      </c>
      <c r="Z38" s="4">
        <f t="shared" si="50"/>
        <v>0.2</v>
      </c>
      <c r="AA38" s="4">
        <f t="shared" si="50"/>
        <v>0.2</v>
      </c>
      <c r="AB38" s="4">
        <f t="shared" si="50"/>
        <v>0.2</v>
      </c>
      <c r="AC38" s="4">
        <f t="shared" si="50"/>
        <v>0.2</v>
      </c>
      <c r="AD38" s="4">
        <f t="shared" si="50"/>
        <v>0.2</v>
      </c>
      <c r="AE38" s="4">
        <f t="shared" si="50"/>
        <v>0.2</v>
      </c>
      <c r="AF38" s="4">
        <f t="shared" si="50"/>
        <v>0.2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2:42" x14ac:dyDescent="0.2">
      <c r="B39" s="4" t="s">
        <v>59</v>
      </c>
      <c r="C39" s="4"/>
      <c r="D39" s="4"/>
      <c r="E39" s="4"/>
      <c r="F39" s="4"/>
      <c r="G39" s="4">
        <f t="shared" ref="G39:L39" si="51">+G28/C28-1</f>
        <v>-1.0023368385912201</v>
      </c>
      <c r="H39" s="4">
        <f t="shared" si="51"/>
        <v>-1.2502092050209206</v>
      </c>
      <c r="I39" s="4">
        <f t="shared" si="51"/>
        <v>-1.4180734856007944</v>
      </c>
      <c r="J39" s="4">
        <f t="shared" si="51"/>
        <v>-0.84413684447445414</v>
      </c>
      <c r="K39" s="4">
        <f t="shared" si="51"/>
        <v>-34.5</v>
      </c>
      <c r="L39" s="4">
        <f t="shared" si="51"/>
        <v>0.99498327759197314</v>
      </c>
      <c r="M39" s="4">
        <f>+M28/I28-1</f>
        <v>5.6270783847981001</v>
      </c>
      <c r="X39" s="4" t="s">
        <v>6</v>
      </c>
      <c r="Y39" s="4">
        <f>+Y28/X28-1</f>
        <v>-5.8167330677290838</v>
      </c>
      <c r="Z39" s="4">
        <f t="shared" ref="Z39:AF39" si="52">+Z28/Y28-1</f>
        <v>1.6753184449958658</v>
      </c>
      <c r="AA39" s="4">
        <f t="shared" si="52"/>
        <v>0.48465289414616386</v>
      </c>
      <c r="AB39" s="4">
        <f t="shared" si="52"/>
        <v>0.41173732787144313</v>
      </c>
      <c r="AC39" s="4">
        <f t="shared" si="52"/>
        <v>0.37610315283712459</v>
      </c>
      <c r="AD39" s="4">
        <f t="shared" si="52"/>
        <v>0.34962013805473657</v>
      </c>
      <c r="AE39" s="4">
        <f t="shared" si="52"/>
        <v>0.44232304486463336</v>
      </c>
      <c r="AF39" s="4">
        <f t="shared" si="52"/>
        <v>0.38674396449227744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1" spans="2:42" s="5" customFormat="1" ht="15" x14ac:dyDescent="0.25">
      <c r="B41" s="5" t="s">
        <v>60</v>
      </c>
      <c r="Y41" s="5">
        <v>5421</v>
      </c>
      <c r="Z41" s="5">
        <f>+Y41+Z28</f>
        <v>11889.920000000004</v>
      </c>
      <c r="AA41" s="5">
        <f>+Z41+Z28</f>
        <v>18358.840000000007</v>
      </c>
      <c r="AB41" s="5">
        <f t="shared" ref="AB41:AF41" si="53">+AA41+AA28</f>
        <v>27962.940800000015</v>
      </c>
      <c r="AC41" s="5">
        <f t="shared" si="53"/>
        <v>41521.408400000015</v>
      </c>
      <c r="AD41" s="5">
        <f t="shared" si="53"/>
        <v>60179.258412000017</v>
      </c>
      <c r="AE41" s="5">
        <f t="shared" si="53"/>
        <v>85360.268521000035</v>
      </c>
      <c r="AF41" s="5">
        <f t="shared" si="53"/>
        <v>121679.41969418005</v>
      </c>
    </row>
    <row r="42" spans="2:42" x14ac:dyDescent="0.2">
      <c r="Z42" s="3" t="s">
        <v>108</v>
      </c>
    </row>
    <row r="43" spans="2:42" x14ac:dyDescent="0.2">
      <c r="B43" s="3" t="s">
        <v>61</v>
      </c>
      <c r="Y43" s="3">
        <f>4680+727+805+6101+353</f>
        <v>12666</v>
      </c>
    </row>
    <row r="44" spans="2:42" x14ac:dyDescent="0.2">
      <c r="B44" s="3" t="s">
        <v>62</v>
      </c>
      <c r="Y44" s="3">
        <v>3404</v>
      </c>
    </row>
    <row r="45" spans="2:42" x14ac:dyDescent="0.2">
      <c r="B45" s="3" t="s">
        <v>63</v>
      </c>
      <c r="Y45" s="3">
        <v>1681</v>
      </c>
    </row>
    <row r="46" spans="2:42" x14ac:dyDescent="0.2">
      <c r="B46" s="3" t="s">
        <v>64</v>
      </c>
      <c r="Y46" s="3">
        <f>1519+4779</f>
        <v>6298</v>
      </c>
    </row>
    <row r="47" spans="2:42" x14ac:dyDescent="0.2">
      <c r="B47" s="3" t="s">
        <v>65</v>
      </c>
      <c r="Y47" s="3">
        <v>2073</v>
      </c>
    </row>
    <row r="48" spans="2:42" x14ac:dyDescent="0.2">
      <c r="B48" s="3" t="s">
        <v>66</v>
      </c>
      <c r="Y48" s="3">
        <v>1241</v>
      </c>
    </row>
    <row r="49" spans="2:25" x14ac:dyDescent="0.2">
      <c r="B49" s="3" t="s">
        <v>67</v>
      </c>
      <c r="Y49" s="3">
        <f>1425+8151</f>
        <v>9576</v>
      </c>
    </row>
    <row r="50" spans="2:25" x14ac:dyDescent="0.2">
      <c r="B50" s="3" t="s">
        <v>46</v>
      </c>
      <c r="Y50" s="3">
        <v>1760</v>
      </c>
    </row>
    <row r="51" spans="2:25" x14ac:dyDescent="0.2">
      <c r="B51" s="3" t="s">
        <v>68</v>
      </c>
      <c r="Y51" s="3">
        <f>SUM(Y43:Y50)</f>
        <v>38699</v>
      </c>
    </row>
    <row r="53" spans="2:25" x14ac:dyDescent="0.2">
      <c r="B53" s="3" t="s">
        <v>7</v>
      </c>
      <c r="Y53" s="3">
        <v>9459</v>
      </c>
    </row>
    <row r="54" spans="2:25" x14ac:dyDescent="0.2">
      <c r="B54" s="3" t="s">
        <v>69</v>
      </c>
      <c r="Y54" s="3">
        <v>790</v>
      </c>
    </row>
    <row r="55" spans="2:25" x14ac:dyDescent="0.2">
      <c r="B55" s="3" t="s">
        <v>70</v>
      </c>
      <c r="Y55" s="3">
        <v>6458</v>
      </c>
    </row>
    <row r="56" spans="2:25" x14ac:dyDescent="0.2">
      <c r="B56" s="3" t="s">
        <v>71</v>
      </c>
      <c r="Y56" s="3">
        <f>2016+4722</f>
        <v>6738</v>
      </c>
    </row>
    <row r="57" spans="2:25" x14ac:dyDescent="0.2">
      <c r="B57" s="3" t="s">
        <v>72</v>
      </c>
      <c r="Y57" s="3">
        <f>190+1550</f>
        <v>1740</v>
      </c>
    </row>
    <row r="58" spans="2:25" x14ac:dyDescent="0.2">
      <c r="B58" s="3" t="s">
        <v>73</v>
      </c>
      <c r="Y58" s="3">
        <v>832</v>
      </c>
    </row>
    <row r="59" spans="2:25" x14ac:dyDescent="0.2">
      <c r="B59" s="3" t="s">
        <v>74</v>
      </c>
      <c r="Y59" s="3">
        <f>SUM(Y53:Y58)</f>
        <v>26017</v>
      </c>
    </row>
    <row r="60" spans="2:25" x14ac:dyDescent="0.2">
      <c r="B60" s="3" t="s">
        <v>75</v>
      </c>
      <c r="Y60" s="3">
        <f>+Y51-Y59</f>
        <v>12682</v>
      </c>
    </row>
    <row r="61" spans="2:25" x14ac:dyDescent="0.2">
      <c r="B61" s="3" t="s">
        <v>76</v>
      </c>
      <c r="Y61" s="3">
        <f>+Y59+Y60</f>
        <v>38699</v>
      </c>
    </row>
    <row r="63" spans="2:25" x14ac:dyDescent="0.2">
      <c r="B63" s="3" t="s">
        <v>77</v>
      </c>
      <c r="Y63" s="3">
        <f>+Y28/Y60</f>
        <v>0.19066393313357516</v>
      </c>
    </row>
    <row r="64" spans="2:25" x14ac:dyDescent="0.2">
      <c r="B64" s="3" t="s">
        <v>78</v>
      </c>
      <c r="Y64" s="3">
        <f>+Y28/Y51</f>
        <v>6.2482234683066747E-2</v>
      </c>
    </row>
    <row r="66" spans="2:26" x14ac:dyDescent="0.2">
      <c r="B66" s="3" t="s">
        <v>79</v>
      </c>
      <c r="X66" s="3">
        <f>+X28</f>
        <v>-502</v>
      </c>
      <c r="Y66" s="3">
        <f>+Y28</f>
        <v>2418</v>
      </c>
    </row>
    <row r="67" spans="2:26" x14ac:dyDescent="0.2">
      <c r="B67" s="3" t="s">
        <v>80</v>
      </c>
      <c r="W67" s="3">
        <v>-570</v>
      </c>
      <c r="X67" s="3">
        <v>-9138</v>
      </c>
      <c r="Y67" s="3">
        <v>2156</v>
      </c>
    </row>
    <row r="68" spans="2:26" x14ac:dyDescent="0.2">
      <c r="B68" s="3" t="s">
        <v>81</v>
      </c>
      <c r="W68" s="3">
        <v>902</v>
      </c>
      <c r="X68" s="3">
        <v>947</v>
      </c>
      <c r="Y68" s="3">
        <v>823</v>
      </c>
    </row>
    <row r="69" spans="2:26" x14ac:dyDescent="0.2">
      <c r="B69" s="3" t="s">
        <v>82</v>
      </c>
      <c r="W69" s="3">
        <v>1168</v>
      </c>
      <c r="X69" s="3">
        <v>1793</v>
      </c>
      <c r="Y69" s="3">
        <v>1935</v>
      </c>
    </row>
    <row r="70" spans="2:26" x14ac:dyDescent="0.2">
      <c r="B70" s="3" t="s">
        <v>83</v>
      </c>
      <c r="W70" s="3">
        <f>-413-1684</f>
        <v>-2097</v>
      </c>
      <c r="X70" s="3">
        <f>0+-14</f>
        <v>-14</v>
      </c>
      <c r="Y70" s="3">
        <f>74+86</f>
        <v>160</v>
      </c>
    </row>
    <row r="71" spans="2:26" x14ac:dyDescent="0.2">
      <c r="B71" s="3" t="s">
        <v>84</v>
      </c>
      <c r="W71" s="3">
        <v>-692</v>
      </c>
      <c r="X71" s="3">
        <v>-441</v>
      </c>
      <c r="Y71" s="3">
        <v>-204</v>
      </c>
    </row>
    <row r="72" spans="2:26" x14ac:dyDescent="0.2">
      <c r="B72" s="3" t="s">
        <v>85</v>
      </c>
      <c r="W72" s="3">
        <v>116</v>
      </c>
      <c r="X72" s="3">
        <f>28+182</f>
        <v>210</v>
      </c>
      <c r="Y72" s="3">
        <v>26</v>
      </c>
    </row>
    <row r="73" spans="2:26" x14ac:dyDescent="0.2">
      <c r="B73" s="3" t="s">
        <v>86</v>
      </c>
      <c r="W73" s="3">
        <v>37</v>
      </c>
      <c r="X73" s="3">
        <v>-107</v>
      </c>
      <c r="Y73" s="3">
        <v>-48</v>
      </c>
    </row>
    <row r="74" spans="2:26" x14ac:dyDescent="0.2">
      <c r="B74" s="3" t="s">
        <v>87</v>
      </c>
      <c r="W74" s="3">
        <v>-1142</v>
      </c>
      <c r="X74" s="6">
        <v>7045</v>
      </c>
      <c r="Y74" s="3">
        <v>-1610</v>
      </c>
    </row>
    <row r="75" spans="2:26" x14ac:dyDescent="0.2">
      <c r="B75" s="3" t="s">
        <v>88</v>
      </c>
      <c r="W75" s="3">
        <v>38</v>
      </c>
      <c r="X75" s="3">
        <v>96</v>
      </c>
      <c r="Y75" s="3">
        <v>138</v>
      </c>
    </row>
    <row r="76" spans="2:26" x14ac:dyDescent="0.2">
      <c r="B76" s="3" t="s">
        <v>46</v>
      </c>
      <c r="W76" s="3">
        <v>4</v>
      </c>
      <c r="X76" s="3">
        <v>-7</v>
      </c>
      <c r="Y76" s="3">
        <v>-48</v>
      </c>
    </row>
    <row r="77" spans="2:26" x14ac:dyDescent="0.2">
      <c r="B77" s="3" t="s">
        <v>62</v>
      </c>
      <c r="W77" s="3">
        <v>-597</v>
      </c>
      <c r="X77" s="3">
        <v>-542</v>
      </c>
      <c r="Y77" s="3">
        <v>-578</v>
      </c>
      <c r="Z77" s="3" t="s">
        <v>6</v>
      </c>
    </row>
    <row r="78" spans="2:26" x14ac:dyDescent="0.2">
      <c r="B78" s="3" t="s">
        <v>89</v>
      </c>
      <c r="W78" s="3">
        <v>-236</v>
      </c>
      <c r="X78" s="3">
        <v>-196</v>
      </c>
      <c r="Y78" s="3">
        <v>-1462</v>
      </c>
    </row>
    <row r="79" spans="2:26" x14ac:dyDescent="0.2">
      <c r="B79" s="3" t="s">
        <v>90</v>
      </c>
      <c r="W79" s="3">
        <v>860</v>
      </c>
      <c r="X79" s="3">
        <v>0</v>
      </c>
      <c r="Y79" s="3">
        <v>0</v>
      </c>
    </row>
    <row r="80" spans="2:26" x14ac:dyDescent="0.2">
      <c r="B80" s="3" t="s">
        <v>91</v>
      </c>
      <c r="W80" s="3">
        <v>165</v>
      </c>
      <c r="X80" s="3">
        <v>193</v>
      </c>
      <c r="Y80" s="3">
        <v>191</v>
      </c>
    </row>
    <row r="81" spans="2:25" x14ac:dyDescent="0.2">
      <c r="B81" s="3" t="s">
        <v>69</v>
      </c>
      <c r="W81" s="3">
        <v>90</v>
      </c>
      <c r="X81" s="3">
        <v>-133</v>
      </c>
      <c r="Y81" s="3">
        <v>64</v>
      </c>
    </row>
    <row r="82" spans="2:25" x14ac:dyDescent="0.2">
      <c r="B82" s="3" t="s">
        <v>92</v>
      </c>
      <c r="W82" s="3">
        <v>516</v>
      </c>
      <c r="X82" s="3">
        <v>736</v>
      </c>
      <c r="Y82" s="3">
        <v>2015</v>
      </c>
    </row>
    <row r="83" spans="2:25" x14ac:dyDescent="0.2">
      <c r="B83" s="3" t="s">
        <v>93</v>
      </c>
      <c r="W83" s="3">
        <v>1068</v>
      </c>
      <c r="X83" s="3">
        <v>492</v>
      </c>
      <c r="Y83" s="3">
        <v>295</v>
      </c>
    </row>
    <row r="84" spans="2:25" x14ac:dyDescent="0.2">
      <c r="B84" s="3" t="s">
        <v>94</v>
      </c>
      <c r="W84" s="3">
        <v>-184</v>
      </c>
      <c r="X84" s="3">
        <v>-215</v>
      </c>
      <c r="Y84" s="3">
        <v>-180</v>
      </c>
    </row>
    <row r="85" spans="2:25" x14ac:dyDescent="0.2">
      <c r="B85" s="3" t="s">
        <v>95</v>
      </c>
      <c r="W85" s="3">
        <f>SUM(W67:W84)</f>
        <v>-554</v>
      </c>
      <c r="X85" s="3">
        <f>SUM(X67:X84)</f>
        <v>719</v>
      </c>
      <c r="Y85" s="3">
        <f>SUM(Y67:Y84)</f>
        <v>3673</v>
      </c>
    </row>
    <row r="87" spans="2:25" x14ac:dyDescent="0.2">
      <c r="B87" s="3" t="s">
        <v>65</v>
      </c>
      <c r="W87" s="3">
        <v>-298</v>
      </c>
      <c r="X87" s="3">
        <v>-252</v>
      </c>
      <c r="Y87" s="3">
        <v>-223</v>
      </c>
    </row>
    <row r="88" spans="2:25" x14ac:dyDescent="0.2">
      <c r="B88" s="3" t="s">
        <v>96</v>
      </c>
      <c r="W88" s="3">
        <f>-982-1113+500+2291</f>
        <v>696</v>
      </c>
      <c r="X88" s="3">
        <f>-14-1708+376</f>
        <v>-1346</v>
      </c>
      <c r="Y88" s="3">
        <f>-52-8774+5069+721</f>
        <v>-3036</v>
      </c>
    </row>
    <row r="89" spans="2:25" x14ac:dyDescent="0.2">
      <c r="B89" s="3" t="s">
        <v>9</v>
      </c>
      <c r="W89" s="3">
        <v>-2314</v>
      </c>
      <c r="X89" s="3">
        <v>-59</v>
      </c>
      <c r="Y89" s="3">
        <v>0</v>
      </c>
    </row>
    <row r="90" spans="2:25" x14ac:dyDescent="0.2">
      <c r="B90" s="3" t="s">
        <v>97</v>
      </c>
      <c r="W90" s="3">
        <v>-297</v>
      </c>
      <c r="X90" s="3">
        <v>0</v>
      </c>
      <c r="Y90" s="3">
        <v>0</v>
      </c>
    </row>
    <row r="91" spans="2:25" x14ac:dyDescent="0.2">
      <c r="B91" s="3" t="s">
        <v>46</v>
      </c>
      <c r="W91" s="3">
        <v>12</v>
      </c>
      <c r="X91" s="3">
        <v>-6</v>
      </c>
      <c r="Y91" s="3">
        <v>33</v>
      </c>
    </row>
    <row r="92" spans="2:25" x14ac:dyDescent="0.2">
      <c r="B92" s="3" t="s">
        <v>98</v>
      </c>
      <c r="W92" s="3">
        <f>SUM(W87:W91)</f>
        <v>-2201</v>
      </c>
      <c r="X92" s="3">
        <f>SUM(X87:X91)</f>
        <v>-1663</v>
      </c>
      <c r="Y92" s="3">
        <f>SUM(Y87:Y91)</f>
        <v>-3226</v>
      </c>
    </row>
    <row r="93" spans="2:25" x14ac:dyDescent="0.2">
      <c r="B93" s="3" t="s">
        <v>6</v>
      </c>
    </row>
    <row r="94" spans="2:25" x14ac:dyDescent="0.2">
      <c r="B94" s="3" t="s">
        <v>99</v>
      </c>
      <c r="W94" s="3">
        <v>675</v>
      </c>
      <c r="X94" s="3">
        <v>255</v>
      </c>
      <c r="Y94" s="3">
        <v>0</v>
      </c>
    </row>
    <row r="95" spans="2:25" x14ac:dyDescent="0.2">
      <c r="B95" s="3" t="s">
        <v>100</v>
      </c>
      <c r="W95" s="3">
        <v>107</v>
      </c>
      <c r="X95" s="3">
        <v>92</v>
      </c>
      <c r="Y95" s="3">
        <v>130</v>
      </c>
    </row>
    <row r="96" spans="2:25" x14ac:dyDescent="0.2">
      <c r="B96" s="3" t="s">
        <v>101</v>
      </c>
      <c r="W96" s="3">
        <v>1484</v>
      </c>
      <c r="X96" s="3">
        <v>0</v>
      </c>
      <c r="Y96" s="3">
        <v>2824</v>
      </c>
    </row>
    <row r="97" spans="2:27" x14ac:dyDescent="0.2">
      <c r="B97" s="3" t="s">
        <v>102</v>
      </c>
      <c r="W97" s="3">
        <f>-27-307-226</f>
        <v>-560</v>
      </c>
      <c r="X97" s="3">
        <f>0-80</f>
        <v>-80</v>
      </c>
      <c r="Y97" s="3">
        <f>-2675-25</f>
        <v>-2700</v>
      </c>
    </row>
    <row r="98" spans="2:27" x14ac:dyDescent="0.2">
      <c r="B98" s="3" t="s">
        <v>94</v>
      </c>
      <c r="W98" s="3">
        <v>0</v>
      </c>
      <c r="X98" s="3">
        <v>-184</v>
      </c>
      <c r="Y98" s="3">
        <v>-171</v>
      </c>
    </row>
    <row r="99" spans="2:27" x14ac:dyDescent="0.2">
      <c r="B99" s="3" t="s">
        <v>46</v>
      </c>
      <c r="W99" s="3">
        <v>74</v>
      </c>
      <c r="X99" s="3">
        <v>-68</v>
      </c>
      <c r="Y99" s="3">
        <v>-37</v>
      </c>
    </row>
    <row r="100" spans="2:27" x14ac:dyDescent="0.2">
      <c r="B100" s="3" t="s">
        <v>103</v>
      </c>
      <c r="W100" s="3">
        <f>SUM(W94:W99)</f>
        <v>1780</v>
      </c>
      <c r="X100" s="3">
        <f>SUM(X94:X99)</f>
        <v>15</v>
      </c>
      <c r="Y100" s="3">
        <f>SUM(Y94:Y99)</f>
        <v>46</v>
      </c>
      <c r="AA100" s="3" t="s">
        <v>6</v>
      </c>
    </row>
    <row r="101" spans="2:27" x14ac:dyDescent="0.2">
      <c r="B101" s="3" t="s">
        <v>6</v>
      </c>
      <c r="W101" s="3" t="s">
        <v>6</v>
      </c>
      <c r="X101" s="3" t="s">
        <v>6</v>
      </c>
    </row>
    <row r="102" spans="2:27" x14ac:dyDescent="0.2">
      <c r="B102" s="3" t="s">
        <v>104</v>
      </c>
      <c r="W102" s="3">
        <f>+W85+W92+W100</f>
        <v>-975</v>
      </c>
      <c r="X102" s="3">
        <f>+X85+X92+X100</f>
        <v>-929</v>
      </c>
      <c r="Y102" s="3">
        <f>+Y85+Y92+Y100</f>
        <v>493</v>
      </c>
      <c r="Z102" s="3" t="s">
        <v>6</v>
      </c>
    </row>
    <row r="103" spans="2:27" x14ac:dyDescent="0.2">
      <c r="X103" s="3">
        <f>+X102/X28</f>
        <v>1.8505976095617529</v>
      </c>
      <c r="Y103" s="3">
        <f>+Y102/Y28</f>
        <v>0.20388751033912325</v>
      </c>
      <c r="AA103" s="3" t="s">
        <v>6</v>
      </c>
    </row>
    <row r="104" spans="2:27" x14ac:dyDescent="0.2">
      <c r="B104" s="3" t="s">
        <v>105</v>
      </c>
      <c r="W104" s="3">
        <f t="shared" ref="W104:X104" si="54">62/W102</f>
        <v>-6.3589743589743591E-2</v>
      </c>
      <c r="X104" s="3">
        <f t="shared" si="54"/>
        <v>-6.6738428417653387E-2</v>
      </c>
      <c r="Y104" s="3">
        <f>62/Y102</f>
        <v>0.12576064908722109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2024-12-20T20:38:44Z</dcterms:created>
  <dcterms:modified xsi:type="dcterms:W3CDTF">2025-08-17T13:04:48Z</dcterms:modified>
  <cp:category/>
  <cp:contentStatus/>
</cp:coreProperties>
</file>