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693" documentId="8_{18BF467A-6016-4CBC-A6CB-CEEFC7B25F25}" xr6:coauthVersionLast="47" xr6:coauthVersionMax="47" xr10:uidLastSave="{47199FA0-D4FB-47E5-AA52-87A432F4E279}"/>
  <bookViews>
    <workbookView xWindow="29835" yWindow="780" windowWidth="23190" windowHeight="14025" activeTab="1" xr2:uid="{B637A392-6517-4A72-B23B-FB906212EF2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N24" i="2"/>
  <c r="M24" i="2"/>
  <c r="L24" i="2"/>
  <c r="L23" i="2"/>
  <c r="N22" i="2"/>
  <c r="M22" i="2"/>
  <c r="L22" i="2"/>
  <c r="N18" i="2"/>
  <c r="M18" i="2"/>
  <c r="L18" i="2"/>
  <c r="U16" i="2"/>
  <c r="U13" i="2"/>
  <c r="U11" i="2"/>
  <c r="U8" i="2"/>
  <c r="U7" i="2"/>
  <c r="U6" i="2"/>
  <c r="U9" i="2" s="1"/>
  <c r="U4" i="2"/>
  <c r="U3" i="2"/>
  <c r="V3" i="2" s="1"/>
  <c r="W3" i="2" s="1"/>
  <c r="X3" i="2" s="1"/>
  <c r="Y3" i="2" s="1"/>
  <c r="Z3" i="2" s="1"/>
  <c r="AA3" i="2" s="1"/>
  <c r="L5" i="2"/>
  <c r="L21" i="2" s="1"/>
  <c r="L9" i="2"/>
  <c r="L10" i="2" s="1"/>
  <c r="L12" i="2" s="1"/>
  <c r="L14" i="2" s="1"/>
  <c r="L15" i="2" s="1"/>
  <c r="N9" i="2"/>
  <c r="N5" i="2"/>
  <c r="N21" i="2" s="1"/>
  <c r="M9" i="2"/>
  <c r="M5" i="2"/>
  <c r="M23" i="2" s="1"/>
  <c r="T42" i="2"/>
  <c r="T41" i="2"/>
  <c r="T29" i="2"/>
  <c r="T37" i="2"/>
  <c r="T28" i="2"/>
  <c r="K43" i="2"/>
  <c r="K41" i="2"/>
  <c r="K29" i="2"/>
  <c r="K28" i="2" s="1"/>
  <c r="K31" i="2"/>
  <c r="C5" i="1"/>
  <c r="C26" i="2"/>
  <c r="N23" i="2" l="1"/>
  <c r="L26" i="2"/>
  <c r="U5" i="2"/>
  <c r="U10" i="2" s="1"/>
  <c r="M21" i="2"/>
  <c r="L25" i="2"/>
  <c r="N10" i="2"/>
  <c r="M10" i="2"/>
  <c r="T46" i="2"/>
  <c r="T48" i="2" s="1"/>
  <c r="K46" i="2"/>
  <c r="K37" i="2"/>
  <c r="E24" i="2"/>
  <c r="D24" i="2"/>
  <c r="C24" i="2"/>
  <c r="B24" i="2"/>
  <c r="E22" i="2"/>
  <c r="D22" i="2"/>
  <c r="C22" i="2"/>
  <c r="B22" i="2"/>
  <c r="K24" i="2"/>
  <c r="J24" i="2"/>
  <c r="I24" i="2"/>
  <c r="H24" i="2"/>
  <c r="G24" i="2"/>
  <c r="K22" i="2"/>
  <c r="J22" i="2"/>
  <c r="I22" i="2"/>
  <c r="H22" i="2"/>
  <c r="G22" i="2"/>
  <c r="F24" i="2"/>
  <c r="F22" i="2"/>
  <c r="K18" i="2"/>
  <c r="J18" i="2"/>
  <c r="I18" i="2"/>
  <c r="H18" i="2"/>
  <c r="G18" i="2"/>
  <c r="F18" i="2"/>
  <c r="T16" i="2"/>
  <c r="V16" i="2" s="1"/>
  <c r="W16" i="2" s="1"/>
  <c r="X16" i="2" s="1"/>
  <c r="Y16" i="2" s="1"/>
  <c r="Z16" i="2" s="1"/>
  <c r="AA16" i="2" s="1"/>
  <c r="T13" i="2"/>
  <c r="T11" i="2"/>
  <c r="T8" i="2"/>
  <c r="T7" i="2"/>
  <c r="T6" i="2"/>
  <c r="T4" i="2"/>
  <c r="V4" i="2" s="1"/>
  <c r="W4" i="2" s="1"/>
  <c r="X4" i="2" s="1"/>
  <c r="Y4" i="2" s="1"/>
  <c r="Z4" i="2" s="1"/>
  <c r="AA4" i="2" s="1"/>
  <c r="T3" i="2"/>
  <c r="S16" i="2"/>
  <c r="S13" i="2"/>
  <c r="S11" i="2"/>
  <c r="S8" i="2"/>
  <c r="S7" i="2"/>
  <c r="S6" i="2"/>
  <c r="S4" i="2"/>
  <c r="S3" i="2"/>
  <c r="T2" i="2"/>
  <c r="U2" i="2" s="1"/>
  <c r="V2" i="2" s="1"/>
  <c r="W2" i="2" s="1"/>
  <c r="X2" i="2" s="1"/>
  <c r="Y2" i="2" s="1"/>
  <c r="Z2" i="2" s="1"/>
  <c r="AA2" i="2" s="1"/>
  <c r="B14" i="2"/>
  <c r="B15" i="2" s="1"/>
  <c r="B9" i="2"/>
  <c r="B5" i="2"/>
  <c r="B23" i="2" s="1"/>
  <c r="C9" i="2"/>
  <c r="C5" i="2"/>
  <c r="C21" i="2" s="1"/>
  <c r="D9" i="2"/>
  <c r="D5" i="2"/>
  <c r="D23" i="2" s="1"/>
  <c r="H9" i="2"/>
  <c r="H5" i="2"/>
  <c r="H23" i="2" s="1"/>
  <c r="E9" i="2"/>
  <c r="E5" i="2"/>
  <c r="E23" i="2" s="1"/>
  <c r="I9" i="2"/>
  <c r="I5" i="2"/>
  <c r="I23" i="2" s="1"/>
  <c r="F9" i="2"/>
  <c r="F5" i="2"/>
  <c r="F21" i="2" s="1"/>
  <c r="J9" i="2"/>
  <c r="J5" i="2"/>
  <c r="J21" i="2" s="1"/>
  <c r="G9" i="2"/>
  <c r="G5" i="2"/>
  <c r="G23" i="2" s="1"/>
  <c r="K9" i="2"/>
  <c r="K5" i="2"/>
  <c r="K21" i="2" s="1"/>
  <c r="C7" i="1"/>
  <c r="C3" i="1"/>
  <c r="C4" i="1" s="1"/>
  <c r="M12" i="2" l="1"/>
  <c r="M25" i="2"/>
  <c r="N12" i="2"/>
  <c r="N25" i="2"/>
  <c r="K48" i="2"/>
  <c r="K49" i="2" s="1"/>
  <c r="T49" i="2"/>
  <c r="S5" i="2"/>
  <c r="S21" i="2" s="1"/>
  <c r="T24" i="2"/>
  <c r="V7" i="2"/>
  <c r="T5" i="2"/>
  <c r="S22" i="2"/>
  <c r="T22" i="2"/>
  <c r="C23" i="2"/>
  <c r="J23" i="2"/>
  <c r="S23" i="2"/>
  <c r="T9" i="2"/>
  <c r="F23" i="2"/>
  <c r="K23" i="2"/>
  <c r="D21" i="2"/>
  <c r="S24" i="2"/>
  <c r="E21" i="2"/>
  <c r="S9" i="2"/>
  <c r="S10" i="2" s="1"/>
  <c r="S25" i="2" s="1"/>
  <c r="G21" i="2"/>
  <c r="H21" i="2"/>
  <c r="I21" i="2"/>
  <c r="G10" i="2"/>
  <c r="G25" i="2" s="1"/>
  <c r="E10" i="2"/>
  <c r="E25" i="2" s="1"/>
  <c r="B21" i="2"/>
  <c r="B10" i="2"/>
  <c r="B25" i="2" s="1"/>
  <c r="C10" i="2"/>
  <c r="C25" i="2" s="1"/>
  <c r="D10" i="2"/>
  <c r="D25" i="2" s="1"/>
  <c r="H10" i="2"/>
  <c r="H25" i="2" s="1"/>
  <c r="I10" i="2"/>
  <c r="I25" i="2" s="1"/>
  <c r="F10" i="2"/>
  <c r="F25" i="2" s="1"/>
  <c r="J10" i="2"/>
  <c r="J25" i="2" s="1"/>
  <c r="K10" i="2"/>
  <c r="K25" i="2" s="1"/>
  <c r="T10" i="2" l="1"/>
  <c r="T25" i="2" s="1"/>
  <c r="T18" i="2"/>
  <c r="N14" i="2"/>
  <c r="N26" i="2"/>
  <c r="M14" i="2"/>
  <c r="M26" i="2"/>
  <c r="T23" i="2"/>
  <c r="W7" i="2"/>
  <c r="T21" i="2"/>
  <c r="U22" i="2"/>
  <c r="V6" i="2"/>
  <c r="U24" i="2"/>
  <c r="V8" i="2"/>
  <c r="T12" i="2"/>
  <c r="S12" i="2"/>
  <c r="H12" i="2"/>
  <c r="J12" i="2"/>
  <c r="D12" i="2"/>
  <c r="C14" i="2"/>
  <c r="C15" i="2" s="1"/>
  <c r="F12" i="2"/>
  <c r="E12" i="2"/>
  <c r="K12" i="2"/>
  <c r="I12" i="2"/>
  <c r="G12" i="2"/>
  <c r="N15" i="2" l="1"/>
  <c r="M15" i="2"/>
  <c r="U18" i="2"/>
  <c r="U21" i="2"/>
  <c r="U23" i="2"/>
  <c r="D14" i="2"/>
  <c r="D15" i="2" s="1"/>
  <c r="D26" i="2"/>
  <c r="J14" i="2"/>
  <c r="N19" i="2" s="1"/>
  <c r="J26" i="2"/>
  <c r="G14" i="2"/>
  <c r="G26" i="2"/>
  <c r="H14" i="2"/>
  <c r="L19" i="2" s="1"/>
  <c r="H26" i="2"/>
  <c r="I14" i="2"/>
  <c r="M19" i="2" s="1"/>
  <c r="I26" i="2"/>
  <c r="S14" i="2"/>
  <c r="S15" i="2" s="1"/>
  <c r="S26" i="2"/>
  <c r="K14" i="2"/>
  <c r="K26" i="2"/>
  <c r="T14" i="2"/>
  <c r="T26" i="2"/>
  <c r="W6" i="2"/>
  <c r="V22" i="2"/>
  <c r="V9" i="2"/>
  <c r="E14" i="2"/>
  <c r="E15" i="2" s="1"/>
  <c r="E26" i="2"/>
  <c r="X7" i="2"/>
  <c r="F14" i="2"/>
  <c r="F26" i="2"/>
  <c r="W8" i="2"/>
  <c r="V24" i="2"/>
  <c r="V5" i="2"/>
  <c r="T15" i="2" l="1"/>
  <c r="T51" i="2"/>
  <c r="T52" i="2"/>
  <c r="K52" i="2"/>
  <c r="K51" i="2"/>
  <c r="H15" i="2"/>
  <c r="H19" i="2"/>
  <c r="V18" i="2"/>
  <c r="V21" i="2"/>
  <c r="V10" i="2"/>
  <c r="V25" i="2" s="1"/>
  <c r="V23" i="2"/>
  <c r="K15" i="2"/>
  <c r="K19" i="2"/>
  <c r="G15" i="2"/>
  <c r="G19" i="2"/>
  <c r="T19" i="2"/>
  <c r="X8" i="2"/>
  <c r="W24" i="2"/>
  <c r="J15" i="2"/>
  <c r="J19" i="2"/>
  <c r="Y7" i="2"/>
  <c r="W5" i="2"/>
  <c r="X6" i="2"/>
  <c r="W9" i="2"/>
  <c r="W22" i="2"/>
  <c r="I15" i="2"/>
  <c r="I19" i="2"/>
  <c r="F15" i="2"/>
  <c r="F19" i="2"/>
  <c r="U25" i="2"/>
  <c r="U12" i="2"/>
  <c r="Z7" i="2" l="1"/>
  <c r="U26" i="2"/>
  <c r="Y6" i="2"/>
  <c r="X9" i="2"/>
  <c r="X22" i="2"/>
  <c r="Y8" i="2"/>
  <c r="X24" i="2"/>
  <c r="W18" i="2"/>
  <c r="W10" i="2"/>
  <c r="W21" i="2"/>
  <c r="W23" i="2"/>
  <c r="X5" i="2"/>
  <c r="Z8" i="2" l="1"/>
  <c r="Y24" i="2"/>
  <c r="Y5" i="2"/>
  <c r="X21" i="2"/>
  <c r="X18" i="2"/>
  <c r="X10" i="2"/>
  <c r="X23" i="2"/>
  <c r="Z6" i="2"/>
  <c r="Y22" i="2"/>
  <c r="Y9" i="2"/>
  <c r="U14" i="2"/>
  <c r="AA7" i="2"/>
  <c r="W25" i="2"/>
  <c r="AA6" i="2" l="1"/>
  <c r="Z22" i="2"/>
  <c r="Z9" i="2"/>
  <c r="X25" i="2"/>
  <c r="U15" i="2"/>
  <c r="U28" i="2"/>
  <c r="V11" i="2" s="1"/>
  <c r="U19" i="2"/>
  <c r="AA8" i="2"/>
  <c r="Z24" i="2"/>
  <c r="Z5" i="2"/>
  <c r="Y21" i="2"/>
  <c r="Y10" i="2"/>
  <c r="Y18" i="2"/>
  <c r="Y23" i="2"/>
  <c r="V12" i="2" l="1"/>
  <c r="Y25" i="2"/>
  <c r="Z10" i="2"/>
  <c r="Z18" i="2"/>
  <c r="Z21" i="2"/>
  <c r="Z23" i="2"/>
  <c r="AA5" i="2"/>
  <c r="AA22" i="2"/>
  <c r="AA9" i="2"/>
  <c r="AA24" i="2"/>
  <c r="V13" i="2" l="1"/>
  <c r="V26" i="2" s="1"/>
  <c r="Z25" i="2"/>
  <c r="AA18" i="2"/>
  <c r="AA10" i="2"/>
  <c r="AA21" i="2"/>
  <c r="AA23" i="2"/>
  <c r="V14" i="2" l="1"/>
  <c r="AA25" i="2"/>
  <c r="V15" i="2"/>
  <c r="V19" i="2"/>
  <c r="V28" i="2"/>
  <c r="W11" i="2" s="1"/>
  <c r="W12" i="2" l="1"/>
  <c r="W13" i="2" l="1"/>
  <c r="W26" i="2" s="1"/>
  <c r="W14" i="2" l="1"/>
  <c r="W19" i="2" s="1"/>
  <c r="W15" i="2" l="1"/>
  <c r="W28" i="2"/>
  <c r="X11" i="2" l="1"/>
  <c r="X12" i="2" s="1"/>
  <c r="X13" i="2" s="1"/>
  <c r="X26" i="2" s="1"/>
  <c r="X14" i="2" l="1"/>
  <c r="X15" i="2" s="1"/>
  <c r="X28" i="2" l="1"/>
  <c r="X19" i="2"/>
  <c r="Y11" i="2" l="1"/>
  <c r="Y12" i="2" s="1"/>
  <c r="Y13" i="2" s="1"/>
  <c r="Y26" i="2" s="1"/>
  <c r="Y14" i="2" l="1"/>
  <c r="Y15" i="2" s="1"/>
  <c r="Y19" i="2" l="1"/>
  <c r="Y28" i="2"/>
  <c r="Z11" i="2" l="1"/>
  <c r="Z12" i="2" s="1"/>
  <c r="Z13" i="2" s="1"/>
  <c r="Z26" i="2" s="1"/>
  <c r="Z14" i="2" l="1"/>
  <c r="Z15" i="2" l="1"/>
  <c r="Z19" i="2"/>
  <c r="Z28" i="2"/>
  <c r="AA11" i="2" s="1"/>
  <c r="AA12" i="2" l="1"/>
  <c r="AA13" i="2" l="1"/>
  <c r="AA26" i="2" s="1"/>
  <c r="AA14" i="2" l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AA19" i="2" l="1"/>
  <c r="AA15" i="2"/>
  <c r="AA28" i="2"/>
  <c r="AB19" i="2" l="1"/>
  <c r="AB28" i="2"/>
  <c r="AC19" i="2" l="1"/>
  <c r="AC28" i="2" l="1"/>
  <c r="AD19" i="2" l="1"/>
  <c r="AD28" i="2"/>
  <c r="AE19" i="2" l="1"/>
  <c r="AE28" i="2"/>
  <c r="AF19" i="2" l="1"/>
  <c r="AF28" i="2"/>
  <c r="AG19" i="2" l="1"/>
  <c r="AG28" i="2"/>
  <c r="AH19" i="2" l="1"/>
  <c r="AH28" i="2"/>
  <c r="AI28" i="2" l="1"/>
  <c r="AI19" i="2"/>
  <c r="AJ19" i="2" l="1"/>
  <c r="AJ28" i="2"/>
  <c r="Q25" i="2" l="1"/>
  <c r="Q26" i="2" s="1"/>
  <c r="Q27" i="2" s="1"/>
  <c r="AK19" i="2" l="1"/>
  <c r="AK28" i="2"/>
</calcChain>
</file>

<file path=xl/sharedStrings.xml><?xml version="1.0" encoding="utf-8"?>
<sst xmlns="http://schemas.openxmlformats.org/spreadsheetml/2006/main" count="94" uniqueCount="73">
  <si>
    <t>Price</t>
  </si>
  <si>
    <t>Shares</t>
  </si>
  <si>
    <t>MC</t>
  </si>
  <si>
    <t>Cash</t>
  </si>
  <si>
    <t>Debt</t>
  </si>
  <si>
    <t>EV</t>
  </si>
  <si>
    <t xml:space="preserve"> </t>
  </si>
  <si>
    <t>Q224</t>
  </si>
  <si>
    <t>Q222</t>
  </si>
  <si>
    <t>Q322</t>
  </si>
  <si>
    <t>Q422</t>
  </si>
  <si>
    <t>Q123</t>
  </si>
  <si>
    <t>Q223</t>
  </si>
  <si>
    <t>Q323</t>
  </si>
  <si>
    <t>Q423</t>
  </si>
  <si>
    <t>Q124</t>
  </si>
  <si>
    <t>Revenue</t>
  </si>
  <si>
    <t>Cost</t>
  </si>
  <si>
    <t>RD</t>
  </si>
  <si>
    <t>SM</t>
  </si>
  <si>
    <t>GA</t>
  </si>
  <si>
    <t>Opex</t>
  </si>
  <si>
    <t>Gross income</t>
  </si>
  <si>
    <t>Operating income</t>
  </si>
  <si>
    <t>Interest Income</t>
  </si>
  <si>
    <t>EBIT</t>
  </si>
  <si>
    <t>Taxes</t>
  </si>
  <si>
    <t>NI</t>
  </si>
  <si>
    <t>EPS</t>
  </si>
  <si>
    <t>Q122</t>
  </si>
  <si>
    <t>Revenue y/y</t>
  </si>
  <si>
    <t>Gross %</t>
  </si>
  <si>
    <t>RD %</t>
  </si>
  <si>
    <t>SM %</t>
  </si>
  <si>
    <t>GA %</t>
  </si>
  <si>
    <t>Op%</t>
  </si>
  <si>
    <t>Taxe rate</t>
  </si>
  <si>
    <t>NI y/y</t>
  </si>
  <si>
    <t>ROIC</t>
  </si>
  <si>
    <t>MR</t>
  </si>
  <si>
    <t>DR</t>
  </si>
  <si>
    <t>NPV</t>
  </si>
  <si>
    <t>NC</t>
  </si>
  <si>
    <t>Per share</t>
  </si>
  <si>
    <t>A/R</t>
  </si>
  <si>
    <t>OCA</t>
  </si>
  <si>
    <t>Terminal</t>
  </si>
  <si>
    <t>Assets</t>
  </si>
  <si>
    <t>PPE</t>
  </si>
  <si>
    <t>OLA</t>
  </si>
  <si>
    <t>Intangibles</t>
  </si>
  <si>
    <t>A/P</t>
  </si>
  <si>
    <t>A/Revenue</t>
  </si>
  <si>
    <t>Leases</t>
  </si>
  <si>
    <t>OL</t>
  </si>
  <si>
    <t>S/E</t>
  </si>
  <si>
    <t>L+S/E</t>
  </si>
  <si>
    <t>Liabilities</t>
  </si>
  <si>
    <t>ROA</t>
  </si>
  <si>
    <t>ROE</t>
  </si>
  <si>
    <t>Q324</t>
  </si>
  <si>
    <t>Q424</t>
  </si>
  <si>
    <t>Q125</t>
  </si>
  <si>
    <t>Soma</t>
  </si>
  <si>
    <t>Média</t>
  </si>
  <si>
    <t>Total Corrente</t>
  </si>
  <si>
    <t>Contar</t>
  </si>
  <si>
    <t>Upside</t>
  </si>
  <si>
    <t>CFFI</t>
  </si>
  <si>
    <t>CFFF</t>
  </si>
  <si>
    <t>CFFO</t>
  </si>
  <si>
    <t>CapEX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</si>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</sst>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3" formatCode="_-* #,##0.00_-;\-* #,##0.00_-;_-* &quot;-&quot;??_-;_-@_-"/>
    <numFmt numFmtId="164" formatCode="0.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8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43" fontId="0" fillId="0" borderId="0" xfId="1" applyFont="1"/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43" fontId="0" fillId="0" borderId="1" xfId="1" applyFont="1" applyBorder="1"/>
    <xf numFmtId="9" fontId="0" fillId="0" borderId="1" xfId="0" applyNumberFormat="1" applyBorder="1"/>
    <xf numFmtId="9" fontId="1" fillId="0" borderId="1" xfId="0" applyNumberFormat="1" applyFont="1" applyBorder="1"/>
    <xf numFmtId="0" fontId="1" fillId="0" borderId="1" xfId="0" applyFont="1" applyBorder="1"/>
    <xf numFmtId="3" fontId="0" fillId="0" borderId="1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CBD-DCC1-47A3-B612-DD4923AB2751}">
  <dimension ref="B2:L14"/>
  <sheetViews>
    <sheetView workbookViewId="0">
      <selection activeCell="C2" sqref="C2"/>
    </sheetView>
  </sheetViews>
  <sheetFormatPr defaultRowHeight="14.25" x14ac:dyDescent="0.2"/>
  <sheetData>
    <row r="2" spans="2:12" x14ac:dyDescent="0.2">
      <c r="B2" t="s">
        <v>0</v>
      </c>
      <c r="C2" s="2">
        <v>164</v>
      </c>
    </row>
    <row r="3" spans="2:12" x14ac:dyDescent="0.2">
      <c r="B3" t="s">
        <v>1</v>
      </c>
      <c r="C3" s="2">
        <f>5859+5585+866</f>
        <v>12310</v>
      </c>
      <c r="D3" t="s">
        <v>62</v>
      </c>
    </row>
    <row r="4" spans="2:12" x14ac:dyDescent="0.2">
      <c r="B4" t="s">
        <v>2</v>
      </c>
      <c r="C4" s="2">
        <f>+C2*C3</f>
        <v>2018840</v>
      </c>
      <c r="D4" t="s">
        <v>6</v>
      </c>
    </row>
    <row r="5" spans="2:12" x14ac:dyDescent="0.2">
      <c r="B5" t="s">
        <v>3</v>
      </c>
      <c r="C5" s="2">
        <f>24048+86868+31008</f>
        <v>141924</v>
      </c>
      <c r="D5" t="s">
        <v>62</v>
      </c>
    </row>
    <row r="6" spans="2:12" x14ac:dyDescent="0.2">
      <c r="B6" t="s">
        <v>4</v>
      </c>
      <c r="C6" s="2">
        <v>13253</v>
      </c>
      <c r="D6" t="s">
        <v>62</v>
      </c>
    </row>
    <row r="7" spans="2:12" x14ac:dyDescent="0.2">
      <c r="B7" t="s">
        <v>5</v>
      </c>
      <c r="C7" s="2">
        <f>+C4-C5+C6</f>
        <v>1890169</v>
      </c>
    </row>
    <row r="14" spans="2:12" x14ac:dyDescent="0.2">
      <c r="L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591D-2946-4325-9D50-D86DC414D9A6}">
  <dimension ref="A2:BE58"/>
  <sheetViews>
    <sheetView tabSelected="1" workbookViewId="0">
      <pane xSplit="1" ySplit="2" topLeftCell="P34" activePane="bottomRight" state="frozen"/>
      <selection pane="topRight" activeCell="B1" sqref="B1"/>
      <selection pane="bottomLeft" activeCell="A3" sqref="A3"/>
      <selection pane="bottomRight" activeCell="P49" sqref="P49"/>
    </sheetView>
  </sheetViews>
  <sheetFormatPr defaultRowHeight="14.25" x14ac:dyDescent="0.2"/>
  <cols>
    <col min="1" max="1" width="16.625" bestFit="1" customWidth="1"/>
    <col min="2" max="2" width="16.625" customWidth="1"/>
    <col min="13" max="13" width="8.75" bestFit="1" customWidth="1"/>
    <col min="14" max="14" width="10.625" style="9" customWidth="1"/>
    <col min="15" max="15" width="17.625" customWidth="1"/>
    <col min="16" max="16" width="15.25" customWidth="1"/>
    <col min="17" max="17" width="14" customWidth="1"/>
    <col min="21" max="21" width="9" style="9"/>
  </cols>
  <sheetData>
    <row r="2" spans="1:57" x14ac:dyDescent="0.2">
      <c r="B2" t="s">
        <v>29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7</v>
      </c>
      <c r="L2" t="s">
        <v>60</v>
      </c>
      <c r="M2" t="s">
        <v>61</v>
      </c>
      <c r="N2" s="9" t="s">
        <v>62</v>
      </c>
      <c r="S2">
        <v>2022</v>
      </c>
      <c r="T2">
        <f>+S2+1</f>
        <v>2023</v>
      </c>
      <c r="U2" s="9">
        <f t="shared" ref="U2:AK2" si="0">+T2+1</f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</row>
    <row r="3" spans="1:57" s="1" customFormat="1" ht="15" x14ac:dyDescent="0.25">
      <c r="A3" s="1" t="s">
        <v>16</v>
      </c>
      <c r="B3" s="6">
        <v>68011</v>
      </c>
      <c r="C3" s="6">
        <v>69685</v>
      </c>
      <c r="D3" s="6">
        <v>69092</v>
      </c>
      <c r="E3" s="6">
        <v>76048</v>
      </c>
      <c r="F3" s="6">
        <v>69787</v>
      </c>
      <c r="G3" s="6">
        <v>74604</v>
      </c>
      <c r="H3" s="6">
        <v>76693</v>
      </c>
      <c r="I3" s="6">
        <v>86310</v>
      </c>
      <c r="J3" s="6">
        <v>80539</v>
      </c>
      <c r="K3" s="6">
        <v>84742</v>
      </c>
      <c r="L3" s="6">
        <v>88268</v>
      </c>
      <c r="M3" s="6">
        <v>96469</v>
      </c>
      <c r="N3" s="10">
        <v>90235</v>
      </c>
      <c r="S3" s="6">
        <f>SUM(B3:E3)</f>
        <v>282836</v>
      </c>
      <c r="T3" s="6">
        <f>SUM(F3:I3)</f>
        <v>307394</v>
      </c>
      <c r="U3" s="10">
        <f>+SUM(J3:M3)</f>
        <v>350018</v>
      </c>
      <c r="V3" s="6">
        <f t="shared" ref="V3:W3" si="1">+U3*1.1</f>
        <v>385019.80000000005</v>
      </c>
      <c r="W3" s="6">
        <f t="shared" si="1"/>
        <v>423521.78000000009</v>
      </c>
      <c r="X3" s="6">
        <f>+W3*1.05</f>
        <v>444697.86900000012</v>
      </c>
      <c r="Y3" s="6">
        <f t="shared" ref="Y3:AA3" si="2">+X3*1.05</f>
        <v>466932.76245000015</v>
      </c>
      <c r="Z3" s="6">
        <f t="shared" si="2"/>
        <v>490279.40057250019</v>
      </c>
      <c r="AA3" s="6">
        <f t="shared" si="2"/>
        <v>514793.37060112524</v>
      </c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57" x14ac:dyDescent="0.2">
      <c r="A4" t="s">
        <v>17</v>
      </c>
      <c r="B4" s="2">
        <v>29599</v>
      </c>
      <c r="C4" s="2">
        <v>30104</v>
      </c>
      <c r="D4" s="2">
        <v>31158</v>
      </c>
      <c r="E4" s="2">
        <v>35342</v>
      </c>
      <c r="F4" s="2">
        <v>30612</v>
      </c>
      <c r="G4" s="2">
        <v>31916</v>
      </c>
      <c r="H4" s="2">
        <v>33229</v>
      </c>
      <c r="I4" s="2">
        <v>37575</v>
      </c>
      <c r="J4" s="2">
        <v>33712</v>
      </c>
      <c r="K4" s="2">
        <v>35507</v>
      </c>
      <c r="L4" s="2">
        <v>36474</v>
      </c>
      <c r="M4" s="2">
        <v>40613</v>
      </c>
      <c r="N4" s="11">
        <v>36361</v>
      </c>
      <c r="S4" s="2">
        <f>SUM(B4:E4)</f>
        <v>126203</v>
      </c>
      <c r="T4" s="2">
        <f>SUM(F4:I4)</f>
        <v>133332</v>
      </c>
      <c r="U4" s="16">
        <f>+SUM(J4:M4)</f>
        <v>146306</v>
      </c>
      <c r="V4" s="2">
        <f t="shared" ref="V4:AK4" si="3">+U4*1.04</f>
        <v>152158.24</v>
      </c>
      <c r="W4" s="2">
        <f t="shared" si="3"/>
        <v>158244.56959999999</v>
      </c>
      <c r="X4" s="2">
        <f t="shared" si="3"/>
        <v>164574.352384</v>
      </c>
      <c r="Y4" s="2">
        <f t="shared" si="3"/>
        <v>171157.32647936</v>
      </c>
      <c r="Z4" s="2">
        <f t="shared" si="3"/>
        <v>178003.6195385344</v>
      </c>
      <c r="AA4" s="2">
        <f t="shared" si="3"/>
        <v>185123.76432007577</v>
      </c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57" s="1" customFormat="1" ht="15" x14ac:dyDescent="0.25">
      <c r="A5" s="1" t="s">
        <v>22</v>
      </c>
      <c r="B5" s="6">
        <f t="shared" ref="B5:L5" si="4">+B3-B4</f>
        <v>38412</v>
      </c>
      <c r="C5" s="6">
        <f t="shared" si="4"/>
        <v>39581</v>
      </c>
      <c r="D5" s="6">
        <f t="shared" si="4"/>
        <v>37934</v>
      </c>
      <c r="E5" s="6">
        <f t="shared" si="4"/>
        <v>40706</v>
      </c>
      <c r="F5" s="6">
        <f t="shared" si="4"/>
        <v>39175</v>
      </c>
      <c r="G5" s="6">
        <f t="shared" si="4"/>
        <v>42688</v>
      </c>
      <c r="H5" s="6">
        <f t="shared" si="4"/>
        <v>43464</v>
      </c>
      <c r="I5" s="6">
        <f t="shared" si="4"/>
        <v>48735</v>
      </c>
      <c r="J5" s="6">
        <f t="shared" si="4"/>
        <v>46827</v>
      </c>
      <c r="K5" s="6">
        <f t="shared" si="4"/>
        <v>49235</v>
      </c>
      <c r="L5" s="6">
        <f t="shared" si="4"/>
        <v>51794</v>
      </c>
      <c r="M5" s="6">
        <f t="shared" ref="M5:N5" si="5">+M3-M4</f>
        <v>55856</v>
      </c>
      <c r="N5" s="10">
        <f t="shared" si="5"/>
        <v>53874</v>
      </c>
      <c r="S5" s="6">
        <f>+S3-S4</f>
        <v>156633</v>
      </c>
      <c r="T5" s="6">
        <f>+T3-T4</f>
        <v>174062</v>
      </c>
      <c r="U5" s="10">
        <f>+U3-U4</f>
        <v>203712</v>
      </c>
      <c r="V5" s="6">
        <f t="shared" ref="V5:AA5" si="6">+V3-V4</f>
        <v>232861.56000000006</v>
      </c>
      <c r="W5" s="6">
        <f t="shared" si="6"/>
        <v>265277.2104000001</v>
      </c>
      <c r="X5" s="6">
        <f t="shared" si="6"/>
        <v>280123.5166160001</v>
      </c>
      <c r="Y5" s="6">
        <f t="shared" si="6"/>
        <v>295775.43597064016</v>
      </c>
      <c r="Z5" s="6">
        <f t="shared" si="6"/>
        <v>312275.78103396576</v>
      </c>
      <c r="AA5" s="6">
        <f t="shared" si="6"/>
        <v>329669.60628104943</v>
      </c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57" x14ac:dyDescent="0.2">
      <c r="A6" t="s">
        <v>18</v>
      </c>
      <c r="B6" s="2">
        <v>9119</v>
      </c>
      <c r="C6" s="2">
        <v>9841</v>
      </c>
      <c r="D6" s="2">
        <v>10273</v>
      </c>
      <c r="E6" s="2">
        <v>10267</v>
      </c>
      <c r="F6" s="2">
        <v>11468</v>
      </c>
      <c r="G6" s="2">
        <v>10588</v>
      </c>
      <c r="H6" s="2">
        <v>11258</v>
      </c>
      <c r="I6" s="2">
        <v>12113</v>
      </c>
      <c r="J6" s="2">
        <v>11903</v>
      </c>
      <c r="K6" s="2">
        <v>11860</v>
      </c>
      <c r="L6" s="2">
        <v>12447</v>
      </c>
      <c r="M6" s="2">
        <v>13116</v>
      </c>
      <c r="N6" s="11">
        <v>13556</v>
      </c>
      <c r="S6" s="2">
        <f t="shared" ref="S6:S8" si="7">SUM(B6:E6)</f>
        <v>39500</v>
      </c>
      <c r="T6" s="2">
        <f t="shared" ref="T6:T8" si="8">SUM(F6:I6)</f>
        <v>45427</v>
      </c>
      <c r="U6" s="16">
        <f t="shared" ref="U6:U8" si="9">+SUM(J6:M6)</f>
        <v>49326</v>
      </c>
      <c r="V6" s="2">
        <f t="shared" ref="V6:AK6" si="10">+U6*1.04</f>
        <v>51299.040000000001</v>
      </c>
      <c r="W6" s="2">
        <f t="shared" si="10"/>
        <v>53351.001600000003</v>
      </c>
      <c r="X6" s="2">
        <f t="shared" si="10"/>
        <v>55485.041664000004</v>
      </c>
      <c r="Y6" s="2">
        <f t="shared" si="10"/>
        <v>57704.443330560003</v>
      </c>
      <c r="Z6" s="2">
        <f t="shared" si="10"/>
        <v>60012.621063782404</v>
      </c>
      <c r="AA6" s="2">
        <f t="shared" si="10"/>
        <v>62413.125906333706</v>
      </c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57" x14ac:dyDescent="0.2">
      <c r="A7" t="s">
        <v>19</v>
      </c>
      <c r="B7" s="2">
        <v>5825</v>
      </c>
      <c r="C7" s="2">
        <v>6630</v>
      </c>
      <c r="D7" s="2">
        <v>6929</v>
      </c>
      <c r="E7" s="2">
        <v>7183</v>
      </c>
      <c r="F7" s="2">
        <v>6533</v>
      </c>
      <c r="G7" s="2">
        <v>6781</v>
      </c>
      <c r="H7" s="2">
        <v>6884</v>
      </c>
      <c r="I7" s="2">
        <v>7719</v>
      </c>
      <c r="J7" s="2">
        <v>6426</v>
      </c>
      <c r="K7" s="2">
        <v>6792</v>
      </c>
      <c r="L7" s="2">
        <v>7227</v>
      </c>
      <c r="M7" s="2">
        <v>7363</v>
      </c>
      <c r="N7" s="11">
        <v>6172</v>
      </c>
      <c r="Q7" t="s">
        <v>6</v>
      </c>
      <c r="S7" s="2">
        <f t="shared" si="7"/>
        <v>26567</v>
      </c>
      <c r="T7" s="2">
        <f t="shared" si="8"/>
        <v>27917</v>
      </c>
      <c r="U7" s="16">
        <f t="shared" si="9"/>
        <v>27808</v>
      </c>
      <c r="V7" s="2">
        <f t="shared" ref="V7:AA7" si="11">+U7*1.04</f>
        <v>28920.32</v>
      </c>
      <c r="W7" s="2">
        <f t="shared" si="11"/>
        <v>30077.132799999999</v>
      </c>
      <c r="X7" s="2">
        <f t="shared" si="11"/>
        <v>31280.218111999999</v>
      </c>
      <c r="Y7" s="2">
        <f t="shared" si="11"/>
        <v>32531.426836480001</v>
      </c>
      <c r="Z7" s="2">
        <f t="shared" si="11"/>
        <v>33832.683909939202</v>
      </c>
      <c r="AA7" s="2">
        <f t="shared" si="11"/>
        <v>35185.991266336772</v>
      </c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57" x14ac:dyDescent="0.2">
      <c r="A8" t="s">
        <v>20</v>
      </c>
      <c r="B8" s="2">
        <v>3374</v>
      </c>
      <c r="C8" s="2">
        <v>3357</v>
      </c>
      <c r="D8" s="2">
        <v>3597</v>
      </c>
      <c r="E8" s="2">
        <v>5096</v>
      </c>
      <c r="F8" s="2">
        <v>3759</v>
      </c>
      <c r="G8" s="2">
        <v>3481</v>
      </c>
      <c r="H8" s="2">
        <v>3979</v>
      </c>
      <c r="I8" s="2">
        <v>5206</v>
      </c>
      <c r="J8" s="2">
        <v>3026</v>
      </c>
      <c r="K8" s="2">
        <v>3158</v>
      </c>
      <c r="L8" s="2">
        <v>3599</v>
      </c>
      <c r="M8" s="2">
        <v>4405</v>
      </c>
      <c r="N8" s="11">
        <v>3539</v>
      </c>
      <c r="S8" s="2">
        <f t="shared" si="7"/>
        <v>15424</v>
      </c>
      <c r="T8" s="2">
        <f t="shared" si="8"/>
        <v>16425</v>
      </c>
      <c r="U8" s="16">
        <f t="shared" si="9"/>
        <v>14188</v>
      </c>
      <c r="V8" s="2">
        <f t="shared" ref="V8:AA8" si="12">+U8*1.04</f>
        <v>14755.52</v>
      </c>
      <c r="W8" s="2">
        <f t="shared" si="12"/>
        <v>15345.740800000001</v>
      </c>
      <c r="X8" s="2">
        <f t="shared" si="12"/>
        <v>15959.570432000002</v>
      </c>
      <c r="Y8" s="2">
        <f t="shared" si="12"/>
        <v>16597.953249280003</v>
      </c>
      <c r="Z8" s="2">
        <f t="shared" si="12"/>
        <v>17261.871379251203</v>
      </c>
      <c r="AA8" s="2">
        <f t="shared" si="12"/>
        <v>17952.346234421253</v>
      </c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57" x14ac:dyDescent="0.2">
      <c r="A9" t="s">
        <v>21</v>
      </c>
      <c r="B9" s="2">
        <f t="shared" ref="B9:L9" si="13">+B6+B7+B8</f>
        <v>18318</v>
      </c>
      <c r="C9" s="2">
        <f t="shared" si="13"/>
        <v>19828</v>
      </c>
      <c r="D9" s="2">
        <f t="shared" si="13"/>
        <v>20799</v>
      </c>
      <c r="E9" s="2">
        <f t="shared" si="13"/>
        <v>22546</v>
      </c>
      <c r="F9" s="2">
        <f t="shared" si="13"/>
        <v>21760</v>
      </c>
      <c r="G9" s="2">
        <f t="shared" si="13"/>
        <v>20850</v>
      </c>
      <c r="H9" s="2">
        <f t="shared" si="13"/>
        <v>22121</v>
      </c>
      <c r="I9" s="2">
        <f t="shared" si="13"/>
        <v>25038</v>
      </c>
      <c r="J9" s="2">
        <f t="shared" si="13"/>
        <v>21355</v>
      </c>
      <c r="K9" s="2">
        <f t="shared" si="13"/>
        <v>21810</v>
      </c>
      <c r="L9" s="2">
        <f t="shared" si="13"/>
        <v>23273</v>
      </c>
      <c r="M9" s="2">
        <f t="shared" ref="M9" si="14">+M6+M7+M8</f>
        <v>24884</v>
      </c>
      <c r="N9" s="11">
        <f t="shared" ref="N9" si="15">+N6+N7+N8</f>
        <v>23267</v>
      </c>
      <c r="S9" s="2">
        <f>+S6+S7+S8</f>
        <v>81491</v>
      </c>
      <c r="T9" s="2">
        <f>+T6+T7+T8</f>
        <v>89769</v>
      </c>
      <c r="U9" s="11">
        <f>+U6+U7+U8</f>
        <v>91322</v>
      </c>
      <c r="V9" s="2">
        <f t="shared" ref="V9:AA9" si="16">+V6+V7+V8</f>
        <v>94974.88</v>
      </c>
      <c r="W9" s="2">
        <f t="shared" si="16"/>
        <v>98773.875200000009</v>
      </c>
      <c r="X9" s="2">
        <f t="shared" si="16"/>
        <v>102724.83020800001</v>
      </c>
      <c r="Y9" s="2">
        <f t="shared" si="16"/>
        <v>106833.82341632001</v>
      </c>
      <c r="Z9" s="2">
        <f t="shared" si="16"/>
        <v>111107.17635297281</v>
      </c>
      <c r="AA9" s="2">
        <f t="shared" si="16"/>
        <v>115551.46340709174</v>
      </c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57" s="1" customFormat="1" ht="15" x14ac:dyDescent="0.25">
      <c r="A10" s="1" t="s">
        <v>23</v>
      </c>
      <c r="B10" s="6">
        <f t="shared" ref="B10:L10" si="17">+B5-B9</f>
        <v>20094</v>
      </c>
      <c r="C10" s="6">
        <f t="shared" si="17"/>
        <v>19753</v>
      </c>
      <c r="D10" s="6">
        <f t="shared" si="17"/>
        <v>17135</v>
      </c>
      <c r="E10" s="6">
        <f t="shared" si="17"/>
        <v>18160</v>
      </c>
      <c r="F10" s="6">
        <f t="shared" si="17"/>
        <v>17415</v>
      </c>
      <c r="G10" s="6">
        <f t="shared" si="17"/>
        <v>21838</v>
      </c>
      <c r="H10" s="6">
        <f t="shared" si="17"/>
        <v>21343</v>
      </c>
      <c r="I10" s="6">
        <f t="shared" si="17"/>
        <v>23697</v>
      </c>
      <c r="J10" s="6">
        <f t="shared" si="17"/>
        <v>25472</v>
      </c>
      <c r="K10" s="6">
        <f t="shared" si="17"/>
        <v>27425</v>
      </c>
      <c r="L10" s="6">
        <f t="shared" si="17"/>
        <v>28521</v>
      </c>
      <c r="M10" s="6">
        <f t="shared" ref="M10" si="18">+M5-M9</f>
        <v>30972</v>
      </c>
      <c r="N10" s="10">
        <f t="shared" ref="N10" si="19">+N5-N9</f>
        <v>30607</v>
      </c>
      <c r="S10" s="6">
        <f>+S5-S9</f>
        <v>75142</v>
      </c>
      <c r="T10" s="6">
        <f>+T5-T9</f>
        <v>84293</v>
      </c>
      <c r="U10" s="10">
        <f>+U5-U9</f>
        <v>112390</v>
      </c>
      <c r="V10" s="6">
        <f t="shared" ref="V10:AA10" si="20">+V5-V9</f>
        <v>137886.68000000005</v>
      </c>
      <c r="W10" s="6">
        <f t="shared" si="20"/>
        <v>166503.33520000009</v>
      </c>
      <c r="X10" s="6">
        <f t="shared" si="20"/>
        <v>177398.68640800007</v>
      </c>
      <c r="Y10" s="6">
        <f t="shared" si="20"/>
        <v>188941.61255432013</v>
      </c>
      <c r="Z10" s="6">
        <f t="shared" si="20"/>
        <v>201168.60468099295</v>
      </c>
      <c r="AA10" s="6">
        <f t="shared" si="20"/>
        <v>214118.14287395769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57" x14ac:dyDescent="0.2">
      <c r="A11" t="s">
        <v>24</v>
      </c>
      <c r="B11" s="2">
        <v>-1160</v>
      </c>
      <c r="C11" s="2">
        <v>-439</v>
      </c>
      <c r="D11" s="2">
        <v>-902</v>
      </c>
      <c r="E11" s="2">
        <v>-1013</v>
      </c>
      <c r="F11" s="2">
        <v>790</v>
      </c>
      <c r="G11" s="2">
        <v>65</v>
      </c>
      <c r="H11" s="2">
        <v>-146</v>
      </c>
      <c r="I11" s="2">
        <v>715</v>
      </c>
      <c r="J11" s="2">
        <v>2843</v>
      </c>
      <c r="K11" s="2">
        <v>126</v>
      </c>
      <c r="L11" s="2">
        <v>3185</v>
      </c>
      <c r="M11" s="2">
        <v>1271</v>
      </c>
      <c r="N11" s="11">
        <v>11183</v>
      </c>
      <c r="Q11" t="s">
        <v>6</v>
      </c>
      <c r="S11" s="2">
        <f t="shared" ref="S11:S13" si="21">SUM(B11:E11)</f>
        <v>-3514</v>
      </c>
      <c r="T11" s="2">
        <f t="shared" ref="T11:T13" si="22">SUM(F11:I11)</f>
        <v>1424</v>
      </c>
      <c r="U11" s="16">
        <f t="shared" ref="U11" si="23">+SUM(J11:M11)</f>
        <v>7425</v>
      </c>
      <c r="V11" s="2">
        <f>+U28*0.05</f>
        <v>11483.550000000001</v>
      </c>
      <c r="W11" s="2">
        <f t="shared" ref="W11:AA11" si="24">+V28*0.05</f>
        <v>17607.729430000003</v>
      </c>
      <c r="X11" s="2">
        <f t="shared" si="24"/>
        <v>25156.283079830006</v>
      </c>
      <c r="Y11" s="2">
        <f t="shared" si="24"/>
        <v>33461.036828831035</v>
      </c>
      <c r="Z11" s="2">
        <f t="shared" si="24"/>
        <v>42579.545453540239</v>
      </c>
      <c r="AA11" s="2">
        <f t="shared" si="24"/>
        <v>52573.219609056105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57" x14ac:dyDescent="0.2">
      <c r="A12" t="s">
        <v>25</v>
      </c>
      <c r="B12" s="2">
        <v>19014</v>
      </c>
      <c r="C12" s="2">
        <v>19014</v>
      </c>
      <c r="D12" s="2">
        <f t="shared" ref="D12:L12" si="25">+D10+D11</f>
        <v>16233</v>
      </c>
      <c r="E12" s="2">
        <f t="shared" si="25"/>
        <v>17147</v>
      </c>
      <c r="F12" s="2">
        <f t="shared" si="25"/>
        <v>18205</v>
      </c>
      <c r="G12" s="2">
        <f t="shared" si="25"/>
        <v>21903</v>
      </c>
      <c r="H12" s="2">
        <f t="shared" si="25"/>
        <v>21197</v>
      </c>
      <c r="I12" s="2">
        <f t="shared" si="25"/>
        <v>24412</v>
      </c>
      <c r="J12" s="2">
        <f t="shared" si="25"/>
        <v>28315</v>
      </c>
      <c r="K12" s="2">
        <f t="shared" si="25"/>
        <v>27551</v>
      </c>
      <c r="L12" s="2">
        <f t="shared" si="25"/>
        <v>31706</v>
      </c>
      <c r="M12" s="2">
        <f t="shared" ref="M12:N12" si="26">+M10+M11</f>
        <v>32243</v>
      </c>
      <c r="N12" s="11">
        <f t="shared" si="26"/>
        <v>41790</v>
      </c>
      <c r="S12" s="2">
        <f>+S10+S11</f>
        <v>71628</v>
      </c>
      <c r="T12" s="2">
        <f>+T10+T11</f>
        <v>85717</v>
      </c>
      <c r="U12" s="11">
        <f>+U10+U11</f>
        <v>119815</v>
      </c>
      <c r="V12" s="2">
        <f t="shared" ref="V12:AK12" si="27">+V10+V11</f>
        <v>149370.23000000004</v>
      </c>
      <c r="W12" s="2">
        <f t="shared" si="27"/>
        <v>184111.0646300001</v>
      </c>
      <c r="X12" s="2">
        <f t="shared" si="27"/>
        <v>202554.96948783007</v>
      </c>
      <c r="Y12" s="2">
        <f t="shared" si="27"/>
        <v>222402.64938315118</v>
      </c>
      <c r="Z12" s="2">
        <f t="shared" si="27"/>
        <v>243748.15013453318</v>
      </c>
      <c r="AA12" s="2">
        <f t="shared" si="27"/>
        <v>266691.36248301377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57" x14ac:dyDescent="0.2">
      <c r="A13" t="s">
        <v>26</v>
      </c>
      <c r="B13" s="2">
        <v>2498</v>
      </c>
      <c r="C13" s="2">
        <v>3012</v>
      </c>
      <c r="D13" s="2">
        <v>2323</v>
      </c>
      <c r="E13" s="2">
        <v>3523</v>
      </c>
      <c r="F13" s="2">
        <v>3154</v>
      </c>
      <c r="G13" s="2">
        <v>3535</v>
      </c>
      <c r="H13" s="2">
        <v>1508</v>
      </c>
      <c r="I13" s="2">
        <v>3725</v>
      </c>
      <c r="J13" s="2">
        <v>4653</v>
      </c>
      <c r="K13" s="2">
        <v>3932</v>
      </c>
      <c r="L13" s="2">
        <v>5405</v>
      </c>
      <c r="M13" s="2">
        <v>5707</v>
      </c>
      <c r="N13" s="11">
        <v>7249</v>
      </c>
      <c r="Q13" t="s">
        <v>6</v>
      </c>
      <c r="S13" s="2">
        <f t="shared" si="21"/>
        <v>11356</v>
      </c>
      <c r="T13" s="2">
        <f t="shared" si="22"/>
        <v>11922</v>
      </c>
      <c r="U13" s="16">
        <f t="shared" ref="U13" si="28">+SUM(J13:M13)</f>
        <v>19697</v>
      </c>
      <c r="V13" s="2">
        <f t="shared" ref="V13:AK13" si="29">+V12*0.18</f>
        <v>26886.641400000008</v>
      </c>
      <c r="W13" s="2">
        <f t="shared" si="29"/>
        <v>33139.991633400015</v>
      </c>
      <c r="X13" s="2">
        <f t="shared" si="29"/>
        <v>36459.894507809411</v>
      </c>
      <c r="Y13" s="2">
        <f t="shared" si="29"/>
        <v>40032.476888967212</v>
      </c>
      <c r="Z13" s="2">
        <f t="shared" si="29"/>
        <v>43874.667024215967</v>
      </c>
      <c r="AA13" s="2">
        <f t="shared" si="29"/>
        <v>48004.44524694248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57" s="1" customFormat="1" ht="15" x14ac:dyDescent="0.25">
      <c r="A14" s="1" t="s">
        <v>27</v>
      </c>
      <c r="B14" s="6">
        <f t="shared" ref="B14:L14" si="30">+B12-B13</f>
        <v>16516</v>
      </c>
      <c r="C14" s="6">
        <f t="shared" si="30"/>
        <v>16002</v>
      </c>
      <c r="D14" s="6">
        <f t="shared" si="30"/>
        <v>13910</v>
      </c>
      <c r="E14" s="6">
        <f t="shared" si="30"/>
        <v>13624</v>
      </c>
      <c r="F14" s="6">
        <f t="shared" si="30"/>
        <v>15051</v>
      </c>
      <c r="G14" s="6">
        <f t="shared" si="30"/>
        <v>18368</v>
      </c>
      <c r="H14" s="6">
        <f t="shared" si="30"/>
        <v>19689</v>
      </c>
      <c r="I14" s="6">
        <f t="shared" si="30"/>
        <v>20687</v>
      </c>
      <c r="J14" s="6">
        <f t="shared" si="30"/>
        <v>23662</v>
      </c>
      <c r="K14" s="6">
        <f t="shared" si="30"/>
        <v>23619</v>
      </c>
      <c r="L14" s="6">
        <f t="shared" si="30"/>
        <v>26301</v>
      </c>
      <c r="M14" s="6">
        <f t="shared" ref="M14:N14" si="31">+M12-M13</f>
        <v>26536</v>
      </c>
      <c r="N14" s="10">
        <f t="shared" si="31"/>
        <v>34541</v>
      </c>
      <c r="S14" s="6">
        <f>+S12-S13</f>
        <v>60272</v>
      </c>
      <c r="T14" s="6">
        <f>+T12-T13</f>
        <v>73795</v>
      </c>
      <c r="U14" s="10">
        <f t="shared" ref="U14:AK14" si="32">+U12-U13</f>
        <v>100118</v>
      </c>
      <c r="V14" s="6">
        <f t="shared" si="32"/>
        <v>122483.58860000003</v>
      </c>
      <c r="W14" s="6">
        <f t="shared" si="32"/>
        <v>150971.07299660007</v>
      </c>
      <c r="X14" s="6">
        <f t="shared" si="32"/>
        <v>166095.07498002064</v>
      </c>
      <c r="Y14" s="6">
        <f t="shared" si="32"/>
        <v>182370.17249418396</v>
      </c>
      <c r="Z14" s="6">
        <f t="shared" si="32"/>
        <v>199873.4831103172</v>
      </c>
      <c r="AA14" s="6">
        <f t="shared" si="32"/>
        <v>218686.91723607128</v>
      </c>
      <c r="AB14" s="6">
        <f>+AA14*0.99</f>
        <v>216500.04806371056</v>
      </c>
      <c r="AC14" s="6">
        <f t="shared" ref="AC14:BE14" si="33">+AB14*0.99</f>
        <v>214335.04758307346</v>
      </c>
      <c r="AD14" s="6">
        <f t="shared" si="33"/>
        <v>212191.69710724274</v>
      </c>
      <c r="AE14" s="6">
        <f t="shared" si="33"/>
        <v>210069.7801361703</v>
      </c>
      <c r="AF14" s="6">
        <f t="shared" si="33"/>
        <v>207969.0823348086</v>
      </c>
      <c r="AG14" s="6">
        <f t="shared" si="33"/>
        <v>205889.3915114605</v>
      </c>
      <c r="AH14" s="6">
        <f t="shared" si="33"/>
        <v>203830.4975963459</v>
      </c>
      <c r="AI14" s="6">
        <f t="shared" si="33"/>
        <v>201792.19262038244</v>
      </c>
      <c r="AJ14" s="6">
        <f t="shared" si="33"/>
        <v>199774.27069417862</v>
      </c>
      <c r="AK14" s="6">
        <f t="shared" si="33"/>
        <v>197776.52798723683</v>
      </c>
      <c r="AL14" s="6">
        <f t="shared" si="33"/>
        <v>195798.76270736445</v>
      </c>
      <c r="AM14" s="6">
        <f t="shared" si="33"/>
        <v>193840.7750802908</v>
      </c>
      <c r="AN14" s="6">
        <f t="shared" si="33"/>
        <v>191902.3673294879</v>
      </c>
      <c r="AO14" s="6">
        <f t="shared" si="33"/>
        <v>189983.34365619303</v>
      </c>
      <c r="AP14" s="6">
        <f t="shared" si="33"/>
        <v>188083.51021963111</v>
      </c>
      <c r="AQ14" s="6">
        <f t="shared" si="33"/>
        <v>186202.67511743479</v>
      </c>
      <c r="AR14" s="6">
        <f t="shared" si="33"/>
        <v>184340.64836626043</v>
      </c>
      <c r="AS14" s="6">
        <f t="shared" si="33"/>
        <v>182497.24188259782</v>
      </c>
      <c r="AT14" s="6">
        <f t="shared" si="33"/>
        <v>180672.26946377184</v>
      </c>
      <c r="AU14" s="6">
        <f t="shared" si="33"/>
        <v>178865.54676913412</v>
      </c>
      <c r="AV14" s="6">
        <f t="shared" si="33"/>
        <v>177076.89130144278</v>
      </c>
      <c r="AW14" s="6">
        <f t="shared" si="33"/>
        <v>175306.12238842834</v>
      </c>
      <c r="AX14" s="6">
        <f t="shared" si="33"/>
        <v>173553.06116454405</v>
      </c>
      <c r="AY14" s="6">
        <f t="shared" si="33"/>
        <v>171817.53055289862</v>
      </c>
      <c r="AZ14" s="6">
        <f t="shared" si="33"/>
        <v>170099.35524736965</v>
      </c>
      <c r="BA14" s="6">
        <f t="shared" si="33"/>
        <v>168398.36169489595</v>
      </c>
      <c r="BB14" s="6">
        <f t="shared" si="33"/>
        <v>166714.37807794698</v>
      </c>
      <c r="BC14" s="6">
        <f t="shared" si="33"/>
        <v>165047.23429716751</v>
      </c>
      <c r="BD14" s="6">
        <f t="shared" si="33"/>
        <v>163396.76195419583</v>
      </c>
      <c r="BE14" s="6">
        <f t="shared" si="33"/>
        <v>161762.79433465388</v>
      </c>
    </row>
    <row r="15" spans="1:57" x14ac:dyDescent="0.2">
      <c r="A15" t="s">
        <v>28</v>
      </c>
      <c r="B15" s="8">
        <f t="shared" ref="B15:L15" si="34">+B14/B16</f>
        <v>1.2509278194349769</v>
      </c>
      <c r="C15" s="8">
        <f t="shared" si="34"/>
        <v>1.2184573212518084</v>
      </c>
      <c r="D15" s="8">
        <f t="shared" si="34"/>
        <v>1.0685205100629898</v>
      </c>
      <c r="E15" s="8">
        <f t="shared" si="34"/>
        <v>1.0563696983794681</v>
      </c>
      <c r="F15" s="8">
        <f t="shared" si="34"/>
        <v>1.1713752042960541</v>
      </c>
      <c r="G15" s="8">
        <f t="shared" si="34"/>
        <v>1.4544302795154012</v>
      </c>
      <c r="H15" s="8">
        <f t="shared" si="34"/>
        <v>1.5649789364915347</v>
      </c>
      <c r="I15" s="8">
        <f t="shared" si="34"/>
        <v>1.6565502882767458</v>
      </c>
      <c r="J15" s="8">
        <f t="shared" si="34"/>
        <v>1.8678560151562993</v>
      </c>
      <c r="K15" s="8">
        <f t="shared" si="34"/>
        <v>1.9135542412703557</v>
      </c>
      <c r="L15" s="8">
        <f t="shared" si="34"/>
        <v>2.1178033658104516</v>
      </c>
      <c r="M15" s="8">
        <f t="shared" ref="M15:N15" si="35">+M14/M16</f>
        <v>2.1701014066077855</v>
      </c>
      <c r="N15" s="12">
        <f t="shared" si="35"/>
        <v>2.8102676755349441</v>
      </c>
      <c r="Q15" t="s">
        <v>6</v>
      </c>
      <c r="R15" t="s">
        <v>6</v>
      </c>
      <c r="S15" s="8">
        <f>+S14/S16</f>
        <v>4.6140360950029669</v>
      </c>
      <c r="T15" s="8">
        <f>+T14/T16</f>
        <v>5.8397135339387107</v>
      </c>
      <c r="U15" s="12">
        <f t="shared" ref="U15:AK15" si="36">+U14/U16</f>
        <v>8.0646018768375693</v>
      </c>
      <c r="V15" s="8">
        <f t="shared" si="36"/>
        <v>9.8661717024447242</v>
      </c>
      <c r="W15" s="8">
        <f t="shared" si="36"/>
        <v>12.160866164291761</v>
      </c>
      <c r="X15" s="8">
        <f t="shared" si="36"/>
        <v>13.379119173548725</v>
      </c>
      <c r="Y15" s="8">
        <f t="shared" si="36"/>
        <v>14.690094042787383</v>
      </c>
      <c r="Z15" s="8">
        <f t="shared" si="36"/>
        <v>16.100002667068122</v>
      </c>
      <c r="AA15" s="8">
        <f t="shared" si="36"/>
        <v>17.615443009067725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t="s">
        <v>6</v>
      </c>
    </row>
    <row r="16" spans="1:57" x14ac:dyDescent="0.2">
      <c r="A16" t="s">
        <v>1</v>
      </c>
      <c r="B16" s="2">
        <v>13203</v>
      </c>
      <c r="C16" s="2">
        <v>13133</v>
      </c>
      <c r="D16" s="2">
        <v>13018</v>
      </c>
      <c r="E16" s="2">
        <v>12897</v>
      </c>
      <c r="F16" s="2">
        <v>12849</v>
      </c>
      <c r="G16" s="2">
        <v>12629</v>
      </c>
      <c r="H16" s="2">
        <v>12581</v>
      </c>
      <c r="I16" s="2">
        <v>12488</v>
      </c>
      <c r="J16" s="2">
        <v>12668</v>
      </c>
      <c r="K16" s="2">
        <v>12343</v>
      </c>
      <c r="L16" s="2">
        <v>12419</v>
      </c>
      <c r="M16" s="2">
        <v>12228</v>
      </c>
      <c r="N16" s="11">
        <v>12291</v>
      </c>
      <c r="S16" s="2">
        <f>AVERAGE(B16:E16)</f>
        <v>13062.75</v>
      </c>
      <c r="T16" s="2">
        <f>AVERAGE(F16:I16)</f>
        <v>12636.75</v>
      </c>
      <c r="U16" s="11">
        <f>+AVERAGE(J16:M16)</f>
        <v>12414.5</v>
      </c>
      <c r="V16" s="2">
        <f t="shared" ref="V16:AK16" si="37">+U16</f>
        <v>12414.5</v>
      </c>
      <c r="W16" s="2">
        <f t="shared" si="37"/>
        <v>12414.5</v>
      </c>
      <c r="X16" s="2">
        <f t="shared" si="37"/>
        <v>12414.5</v>
      </c>
      <c r="Y16" s="2">
        <f t="shared" si="37"/>
        <v>12414.5</v>
      </c>
      <c r="Z16" s="2">
        <f t="shared" si="37"/>
        <v>12414.5</v>
      </c>
      <c r="AA16" s="2">
        <f t="shared" si="37"/>
        <v>12414.5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I17" t="s">
        <v>6</v>
      </c>
      <c r="J17" t="s">
        <v>6</v>
      </c>
      <c r="M17" t="s">
        <v>6</v>
      </c>
      <c r="N17" s="9" t="s">
        <v>6</v>
      </c>
    </row>
    <row r="18" spans="1:37" x14ac:dyDescent="0.2">
      <c r="A18" t="s">
        <v>30</v>
      </c>
      <c r="F18" s="3">
        <f>+F3/B3-1</f>
        <v>2.6113422828660138E-2</v>
      </c>
      <c r="G18" s="3">
        <f t="shared" ref="G18:K18" si="38">+G3/C3-1</f>
        <v>7.0589079428858392E-2</v>
      </c>
      <c r="H18" s="3">
        <f t="shared" si="38"/>
        <v>0.11001273664100042</v>
      </c>
      <c r="I18" s="3">
        <f t="shared" si="38"/>
        <v>0.13494108983799702</v>
      </c>
      <c r="J18" s="3">
        <f t="shared" si="38"/>
        <v>0.15406880937710454</v>
      </c>
      <c r="K18" s="3">
        <f t="shared" si="38"/>
        <v>0.13589083695244231</v>
      </c>
      <c r="L18" s="3">
        <f t="shared" ref="L18" si="39">+L3/H3-1</f>
        <v>0.15092642092498654</v>
      </c>
      <c r="M18" s="3">
        <f t="shared" ref="M18" si="40">+M3/I3-1</f>
        <v>0.11770362646275045</v>
      </c>
      <c r="N18" s="13">
        <f t="shared" ref="N18" si="41">+N3/J3-1</f>
        <v>0.12038887992152869</v>
      </c>
      <c r="T18" s="3">
        <f>+T5/S5-1</f>
        <v>0.11127284799499471</v>
      </c>
      <c r="U18" s="13">
        <f t="shared" ref="U18:AA18" si="42">+U5/T5-1</f>
        <v>0.17034160241752949</v>
      </c>
      <c r="V18" s="3">
        <f t="shared" si="42"/>
        <v>0.14309201225259227</v>
      </c>
      <c r="W18" s="3">
        <f t="shared" si="42"/>
        <v>0.13920567396353456</v>
      </c>
      <c r="X18" s="3">
        <f t="shared" si="42"/>
        <v>5.5965253078520627E-2</v>
      </c>
      <c r="Y18" s="3">
        <f t="shared" si="42"/>
        <v>5.587506377087248E-2</v>
      </c>
      <c r="Z18" s="3">
        <f t="shared" si="42"/>
        <v>5.5786732286191132E-2</v>
      </c>
      <c r="AA18" s="3">
        <f t="shared" si="42"/>
        <v>5.5700205726782803E-2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s="1" customFormat="1" ht="15" x14ac:dyDescent="0.25">
      <c r="A19" s="1" t="s">
        <v>37</v>
      </c>
      <c r="F19" s="4">
        <f t="shared" ref="F19:J19" si="43">+F14/B14-1</f>
        <v>-8.8701864858319213E-2</v>
      </c>
      <c r="G19" s="4">
        <f t="shared" si="43"/>
        <v>0.147856517935258</v>
      </c>
      <c r="H19" s="4">
        <f t="shared" si="43"/>
        <v>0.41545650611071161</v>
      </c>
      <c r="I19" s="4">
        <f t="shared" si="43"/>
        <v>0.51842337052260712</v>
      </c>
      <c r="J19" s="4">
        <f t="shared" si="43"/>
        <v>0.57212145372400514</v>
      </c>
      <c r="K19" s="4">
        <f>+K14/G14-1</f>
        <v>0.28587761324041816</v>
      </c>
      <c r="L19" s="4">
        <f t="shared" ref="L19:N19" si="44">+L14/H14-1</f>
        <v>0.33582203260703936</v>
      </c>
      <c r="M19" s="4">
        <f t="shared" si="44"/>
        <v>0.28273795137042579</v>
      </c>
      <c r="N19" s="14">
        <f t="shared" si="44"/>
        <v>0.45976671456343499</v>
      </c>
      <c r="T19" s="4">
        <f>+T14/S14-1</f>
        <v>0.22436620653039552</v>
      </c>
      <c r="U19" s="14">
        <f t="shared" ref="U19:AK19" si="45">+U14/T14-1</f>
        <v>0.35670438376583768</v>
      </c>
      <c r="V19" s="4">
        <f t="shared" si="45"/>
        <v>0.2233922831059354</v>
      </c>
      <c r="W19" s="4">
        <f t="shared" si="45"/>
        <v>0.23258205219339922</v>
      </c>
      <c r="X19" s="4">
        <f t="shared" si="45"/>
        <v>0.10017814461556607</v>
      </c>
      <c r="Y19" s="4">
        <f t="shared" si="45"/>
        <v>9.7986635161343871E-2</v>
      </c>
      <c r="Z19" s="4">
        <f t="shared" si="45"/>
        <v>9.5976827661834019E-2</v>
      </c>
      <c r="AA19" s="4">
        <f t="shared" si="45"/>
        <v>9.4126713724052458E-2</v>
      </c>
      <c r="AB19" s="4">
        <f t="shared" si="45"/>
        <v>-1.0000000000000009E-2</v>
      </c>
      <c r="AC19" s="4">
        <f t="shared" si="45"/>
        <v>-1.0000000000000009E-2</v>
      </c>
      <c r="AD19" s="4">
        <f t="shared" si="45"/>
        <v>-9.9999999999998979E-3</v>
      </c>
      <c r="AE19" s="4">
        <f t="shared" si="45"/>
        <v>-1.0000000000000009E-2</v>
      </c>
      <c r="AF19" s="4">
        <f t="shared" si="45"/>
        <v>-1.0000000000000009E-2</v>
      </c>
      <c r="AG19" s="4">
        <f t="shared" si="45"/>
        <v>-1.0000000000000009E-2</v>
      </c>
      <c r="AH19" s="4">
        <f t="shared" si="45"/>
        <v>-1.0000000000000009E-2</v>
      </c>
      <c r="AI19" s="4">
        <f t="shared" si="45"/>
        <v>-1.0000000000000009E-2</v>
      </c>
      <c r="AJ19" s="4">
        <f t="shared" si="45"/>
        <v>-1.0000000000000009E-2</v>
      </c>
      <c r="AK19" s="4">
        <f t="shared" si="45"/>
        <v>-1.0000000000000009E-2</v>
      </c>
    </row>
    <row r="21" spans="1:37" x14ac:dyDescent="0.2">
      <c r="A21" t="s">
        <v>31</v>
      </c>
      <c r="B21" s="3">
        <f t="shared" ref="B21:E21" si="46">+B5/B3</f>
        <v>0.5647909896928438</v>
      </c>
      <c r="C21" s="3">
        <f t="shared" si="46"/>
        <v>0.56799885197675248</v>
      </c>
      <c r="D21" s="3">
        <f t="shared" si="46"/>
        <v>0.54903606785156023</v>
      </c>
      <c r="E21" s="3">
        <f t="shared" si="46"/>
        <v>0.53526719966337055</v>
      </c>
      <c r="F21" s="3">
        <f>+F5/F3</f>
        <v>0.56135096794531936</v>
      </c>
      <c r="G21" s="3">
        <f t="shared" ref="G21:K21" si="47">+G5/G3</f>
        <v>0.5721945204010509</v>
      </c>
      <c r="H21" s="3">
        <f t="shared" si="47"/>
        <v>0.56672708069836886</v>
      </c>
      <c r="I21" s="3">
        <f t="shared" si="47"/>
        <v>0.56465067778936395</v>
      </c>
      <c r="J21" s="3">
        <f t="shared" si="47"/>
        <v>0.58142018152696207</v>
      </c>
      <c r="K21" s="3">
        <f t="shared" si="47"/>
        <v>0.58099879634655782</v>
      </c>
      <c r="L21" s="3">
        <f t="shared" ref="L21:N21" si="48">+L5/L3</f>
        <v>0.58678116644763678</v>
      </c>
      <c r="M21" s="3">
        <f t="shared" si="48"/>
        <v>0.5790046543449191</v>
      </c>
      <c r="N21" s="13">
        <f t="shared" si="48"/>
        <v>0.59704105945586528</v>
      </c>
      <c r="O21" s="3"/>
      <c r="P21" t="s">
        <v>46</v>
      </c>
      <c r="Q21" s="3">
        <v>0.01</v>
      </c>
      <c r="S21" s="3">
        <f t="shared" ref="S21:T21" si="49">+S5/S3</f>
        <v>0.55379442503783116</v>
      </c>
      <c r="T21" s="3">
        <f t="shared" si="49"/>
        <v>0.56625047984020505</v>
      </c>
      <c r="U21" s="13">
        <f t="shared" ref="U21:AA21" si="50">+U5/U3</f>
        <v>0.58200435406179107</v>
      </c>
      <c r="V21" s="3">
        <f t="shared" si="50"/>
        <v>0.60480411656751165</v>
      </c>
      <c r="W21" s="3">
        <f t="shared" si="50"/>
        <v>0.62636025566382925</v>
      </c>
      <c r="X21" s="3">
        <f t="shared" si="50"/>
        <v>0.62991872941941174</v>
      </c>
      <c r="Y21" s="3">
        <f t="shared" si="50"/>
        <v>0.63344331294875078</v>
      </c>
      <c r="Z21" s="3">
        <f t="shared" si="50"/>
        <v>0.63693432901590552</v>
      </c>
      <c r="AA21" s="3">
        <f t="shared" si="50"/>
        <v>0.64039209731099211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t="s">
        <v>32</v>
      </c>
      <c r="B22" s="3">
        <f t="shared" ref="B22:E22" si="51">+B6/B4</f>
        <v>0.30808473259231733</v>
      </c>
      <c r="C22" s="3">
        <f t="shared" si="51"/>
        <v>0.32690007972362478</v>
      </c>
      <c r="D22" s="3">
        <f t="shared" si="51"/>
        <v>0.3297066563964311</v>
      </c>
      <c r="E22" s="3">
        <f t="shared" si="51"/>
        <v>0.29050421594703185</v>
      </c>
      <c r="F22" s="3">
        <f>+F6/F4</f>
        <v>0.37462433032797593</v>
      </c>
      <c r="G22" s="3">
        <f t="shared" ref="G22:K24" si="52">+G6/G4</f>
        <v>0.33174583281112924</v>
      </c>
      <c r="H22" s="3">
        <f t="shared" si="52"/>
        <v>0.33880044539408349</v>
      </c>
      <c r="I22" s="3">
        <f t="shared" si="52"/>
        <v>0.32236859614105123</v>
      </c>
      <c r="J22" s="3">
        <f t="shared" si="52"/>
        <v>0.35307902230659705</v>
      </c>
      <c r="K22" s="3">
        <f t="shared" si="52"/>
        <v>0.33401864421100064</v>
      </c>
      <c r="L22" s="3">
        <f t="shared" ref="L22:N22" si="53">+L6/L4</f>
        <v>0.34125678565553547</v>
      </c>
      <c r="M22" s="3">
        <f t="shared" si="53"/>
        <v>0.32295077930711841</v>
      </c>
      <c r="N22" s="13">
        <f t="shared" si="53"/>
        <v>0.37281702923461951</v>
      </c>
      <c r="O22" s="3"/>
      <c r="P22" t="s">
        <v>38</v>
      </c>
      <c r="Q22" s="3">
        <v>0.05</v>
      </c>
      <c r="S22" s="3">
        <f t="shared" ref="S22:T22" si="54">+S6/S4</f>
        <v>0.3129878053612038</v>
      </c>
      <c r="T22" s="3">
        <f t="shared" si="54"/>
        <v>0.34070590705907061</v>
      </c>
      <c r="U22" s="13">
        <f t="shared" ref="U22:AA22" si="55">+U6/U4</f>
        <v>0.33714270091452164</v>
      </c>
      <c r="V22" s="3">
        <f t="shared" si="55"/>
        <v>0.33714270091452164</v>
      </c>
      <c r="W22" s="3">
        <f t="shared" si="55"/>
        <v>0.33714270091452164</v>
      </c>
      <c r="X22" s="3">
        <f t="shared" si="55"/>
        <v>0.33714270091452164</v>
      </c>
      <c r="Y22" s="3">
        <f t="shared" si="55"/>
        <v>0.33714270091452164</v>
      </c>
      <c r="Z22" s="3">
        <f t="shared" si="55"/>
        <v>0.33714270091452164</v>
      </c>
      <c r="AA22" s="3">
        <f t="shared" si="55"/>
        <v>0.3371427009145217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t="s">
        <v>33</v>
      </c>
      <c r="B23" s="3">
        <f t="shared" ref="B23:E23" si="56">+B7/B5</f>
        <v>0.15164531917109236</v>
      </c>
      <c r="C23" s="3">
        <f t="shared" si="56"/>
        <v>0.16750461079811022</v>
      </c>
      <c r="D23" s="3">
        <f t="shared" si="56"/>
        <v>0.18265935572309802</v>
      </c>
      <c r="E23" s="3">
        <f t="shared" si="56"/>
        <v>0.17646047265759349</v>
      </c>
      <c r="F23" s="3">
        <f>+F7/F5</f>
        <v>0.16676451818761964</v>
      </c>
      <c r="G23" s="3">
        <f t="shared" si="52"/>
        <v>0.15885026236881558</v>
      </c>
      <c r="H23" s="3">
        <f t="shared" si="52"/>
        <v>0.15838394993557886</v>
      </c>
      <c r="I23" s="3">
        <f t="shared" si="52"/>
        <v>0.15838719606032625</v>
      </c>
      <c r="J23" s="3">
        <f t="shared" si="52"/>
        <v>0.13722852200653468</v>
      </c>
      <c r="K23" s="3">
        <f t="shared" si="52"/>
        <v>0.13795064486645678</v>
      </c>
      <c r="L23" s="3">
        <f t="shared" ref="L23:N23" si="57">+L7/L5</f>
        <v>0.13953353670309301</v>
      </c>
      <c r="M23" s="3">
        <f t="shared" si="57"/>
        <v>0.13182111142938985</v>
      </c>
      <c r="N23" s="13">
        <f t="shared" si="57"/>
        <v>0.11456361138953855</v>
      </c>
      <c r="O23" s="3"/>
      <c r="P23" t="s">
        <v>39</v>
      </c>
      <c r="Q23" s="3">
        <v>-0.01</v>
      </c>
      <c r="S23" s="3">
        <f t="shared" ref="S23:T23" si="58">+S7/S5</f>
        <v>0.16961304450530859</v>
      </c>
      <c r="T23" s="3">
        <f t="shared" si="58"/>
        <v>0.16038537992209673</v>
      </c>
      <c r="U23" s="13">
        <f t="shared" ref="U23:AA23" si="59">+U7/U5</f>
        <v>0.13650644046497015</v>
      </c>
      <c r="V23" s="3">
        <f t="shared" si="59"/>
        <v>0.12419533734979699</v>
      </c>
      <c r="W23" s="3">
        <f t="shared" si="59"/>
        <v>0.11338001012091459</v>
      </c>
      <c r="X23" s="3">
        <f t="shared" si="59"/>
        <v>0.11166580546280824</v>
      </c>
      <c r="Y23" s="3">
        <f t="shared" si="59"/>
        <v>0.10998691196150988</v>
      </c>
      <c r="Z23" s="3">
        <f t="shared" si="59"/>
        <v>0.10834232420432013</v>
      </c>
      <c r="AA23" s="3">
        <f t="shared" si="59"/>
        <v>0.10673107437250393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">
      <c r="A24" t="s">
        <v>34</v>
      </c>
      <c r="B24" s="3">
        <f t="shared" ref="B24:E24" si="60">+B8/B6</f>
        <v>0.36999671016558833</v>
      </c>
      <c r="C24" s="3">
        <f t="shared" si="60"/>
        <v>0.3411238695254547</v>
      </c>
      <c r="D24" s="3">
        <f t="shared" si="60"/>
        <v>0.35014114669522051</v>
      </c>
      <c r="E24" s="3">
        <f t="shared" si="60"/>
        <v>0.49634752118437714</v>
      </c>
      <c r="F24" s="3">
        <f>+F8/F6</f>
        <v>0.32778165329612835</v>
      </c>
      <c r="G24" s="3">
        <f t="shared" si="52"/>
        <v>0.32876841707593502</v>
      </c>
      <c r="H24" s="3">
        <f t="shared" si="52"/>
        <v>0.35343755551607747</v>
      </c>
      <c r="I24" s="3">
        <f t="shared" si="52"/>
        <v>0.42978618013704284</v>
      </c>
      <c r="J24" s="3">
        <f t="shared" si="52"/>
        <v>0.25422162480047045</v>
      </c>
      <c r="K24" s="3">
        <f t="shared" si="52"/>
        <v>0.26627318718381116</v>
      </c>
      <c r="L24" s="3">
        <f t="shared" ref="L24:N24" si="61">+L8/L6</f>
        <v>0.28914597895075117</v>
      </c>
      <c r="M24" s="3">
        <f t="shared" si="61"/>
        <v>0.33584934431229035</v>
      </c>
      <c r="N24" s="13">
        <f t="shared" si="61"/>
        <v>0.26106521097668928</v>
      </c>
      <c r="O24" s="3"/>
      <c r="P24" t="s">
        <v>40</v>
      </c>
      <c r="Q24" s="3">
        <v>7.0000000000000007E-2</v>
      </c>
      <c r="S24" s="3">
        <f t="shared" ref="S24:T24" si="62">+S8/S6</f>
        <v>0.39048101265822782</v>
      </c>
      <c r="T24" s="3">
        <f t="shared" si="62"/>
        <v>0.36156911088119398</v>
      </c>
      <c r="U24" s="13">
        <f t="shared" ref="U24:AA24" si="63">+U8/U6</f>
        <v>0.28763735149819569</v>
      </c>
      <c r="V24" s="3">
        <f t="shared" si="63"/>
        <v>0.28763735149819569</v>
      </c>
      <c r="W24" s="3">
        <f t="shared" si="63"/>
        <v>0.28763735149819569</v>
      </c>
      <c r="X24" s="3">
        <f t="shared" si="63"/>
        <v>0.28763735149819569</v>
      </c>
      <c r="Y24" s="3">
        <f t="shared" si="63"/>
        <v>0.28763735149819569</v>
      </c>
      <c r="Z24" s="3">
        <f t="shared" si="63"/>
        <v>0.28763735149819569</v>
      </c>
      <c r="AA24" s="3">
        <f t="shared" si="63"/>
        <v>0.28763735149819569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">
      <c r="A25" t="s">
        <v>35</v>
      </c>
      <c r="B25" s="3">
        <f t="shared" ref="B25:J26" si="64">+B10/B3</f>
        <v>0.29545220626075192</v>
      </c>
      <c r="C25" s="3">
        <f t="shared" si="64"/>
        <v>0.28346129009112436</v>
      </c>
      <c r="D25" s="3">
        <f t="shared" si="64"/>
        <v>0.24800266311584554</v>
      </c>
      <c r="E25" s="3">
        <f t="shared" si="64"/>
        <v>0.23879654954765411</v>
      </c>
      <c r="F25" s="3">
        <f t="shared" si="64"/>
        <v>0.24954504420594092</v>
      </c>
      <c r="G25" s="3">
        <f t="shared" si="64"/>
        <v>0.29271888906761029</v>
      </c>
      <c r="H25" s="3">
        <f t="shared" si="64"/>
        <v>0.27829136948613303</v>
      </c>
      <c r="I25" s="3">
        <f t="shared" si="64"/>
        <v>0.27455683003128256</v>
      </c>
      <c r="J25" s="3">
        <f t="shared" si="64"/>
        <v>0.31626913669154072</v>
      </c>
      <c r="K25" s="3">
        <f>+K10/K3</f>
        <v>0.32362936914398999</v>
      </c>
      <c r="L25" s="3">
        <f t="shared" ref="L25:N25" si="65">+L10/L3</f>
        <v>0.32311823084243441</v>
      </c>
      <c r="M25" s="3">
        <f t="shared" si="65"/>
        <v>0.32105650519856122</v>
      </c>
      <c r="N25" s="13">
        <f t="shared" si="65"/>
        <v>0.33919210949188233</v>
      </c>
      <c r="O25" s="5"/>
      <c r="P25" t="s">
        <v>41</v>
      </c>
      <c r="Q25" s="5">
        <f>NPV(Q24,U14:BE14)-main!C5+main!C6</f>
        <v>2242779.1508323303</v>
      </c>
      <c r="S25" s="3">
        <f t="shared" ref="S25:T25" si="66">+S10/S3</f>
        <v>0.26567339376882715</v>
      </c>
      <c r="T25" s="3">
        <f t="shared" si="66"/>
        <v>0.27421810445226646</v>
      </c>
      <c r="U25" s="13">
        <f t="shared" ref="U25:AA25" si="67">+U10/U3</f>
        <v>0.32109777211457696</v>
      </c>
      <c r="V25" s="3">
        <f t="shared" si="67"/>
        <v>0.35812880272650921</v>
      </c>
      <c r="W25" s="3">
        <f t="shared" si="67"/>
        <v>0.39313995894142695</v>
      </c>
      <c r="X25" s="3">
        <f t="shared" si="67"/>
        <v>0.39891957838007991</v>
      </c>
      <c r="Y25" s="3">
        <f t="shared" si="67"/>
        <v>0.40464415382407931</v>
      </c>
      <c r="Z25" s="3">
        <f t="shared" si="67"/>
        <v>0.41031420950194519</v>
      </c>
      <c r="AA25" s="3">
        <f t="shared" si="67"/>
        <v>0.41593026464954574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5">
      <c r="A26" t="s">
        <v>36</v>
      </c>
      <c r="B26" s="3">
        <f>+B13/B12</f>
        <v>0.1313768801935416</v>
      </c>
      <c r="C26" s="3">
        <f t="shared" ref="C26:K26" si="68">+C13/C12</f>
        <v>0.15840959293152415</v>
      </c>
      <c r="D26" s="3">
        <f t="shared" si="68"/>
        <v>0.14310355448777182</v>
      </c>
      <c r="E26" s="3">
        <f t="shared" si="68"/>
        <v>0.20545868081880211</v>
      </c>
      <c r="F26" s="3">
        <f t="shared" si="68"/>
        <v>0.17324910738808019</v>
      </c>
      <c r="G26" s="3">
        <f t="shared" si="68"/>
        <v>0.16139341642697347</v>
      </c>
      <c r="H26" s="3">
        <f t="shared" si="68"/>
        <v>7.1142142756050381E-2</v>
      </c>
      <c r="I26" s="3">
        <f t="shared" si="68"/>
        <v>0.15258889070948714</v>
      </c>
      <c r="J26" s="3">
        <f t="shared" si="68"/>
        <v>0.16432986049796927</v>
      </c>
      <c r="K26" s="3">
        <f t="shared" si="68"/>
        <v>0.14271714275343908</v>
      </c>
      <c r="L26" s="3">
        <f t="shared" ref="L26:N26" si="69">+L13/L12</f>
        <v>0.17047246577934777</v>
      </c>
      <c r="M26" s="3">
        <f t="shared" si="69"/>
        <v>0.17699965884067859</v>
      </c>
      <c r="N26" s="13">
        <f t="shared" si="69"/>
        <v>0.17346255084948553</v>
      </c>
      <c r="O26" s="6"/>
      <c r="P26" t="s">
        <v>43</v>
      </c>
      <c r="Q26" s="7">
        <f>+Q25/main!C3</f>
        <v>182.19164507167591</v>
      </c>
      <c r="S26" s="3">
        <f t="shared" ref="S26:T26" si="70">+S13/S12</f>
        <v>0.158541352543698</v>
      </c>
      <c r="T26" s="3">
        <f t="shared" si="70"/>
        <v>0.13908559562280529</v>
      </c>
      <c r="U26" s="13">
        <f t="shared" ref="U26:AA26" si="71">+U13/U12</f>
        <v>0.16439510912657013</v>
      </c>
      <c r="V26" s="3">
        <f t="shared" si="71"/>
        <v>0.18</v>
      </c>
      <c r="W26" s="3">
        <f t="shared" si="71"/>
        <v>0.18</v>
      </c>
      <c r="X26" s="3">
        <f t="shared" si="71"/>
        <v>0.18</v>
      </c>
      <c r="Y26" s="3">
        <f t="shared" si="71"/>
        <v>0.18</v>
      </c>
      <c r="Z26" s="3">
        <f t="shared" si="71"/>
        <v>0.18</v>
      </c>
      <c r="AA26" s="3">
        <f t="shared" si="71"/>
        <v>0.18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5">
      <c r="O27" s="7"/>
      <c r="P27" s="1" t="s">
        <v>67</v>
      </c>
      <c r="Q27" s="4">
        <f>+Q26/main!C2-1</f>
        <v>0.11092466507119458</v>
      </c>
    </row>
    <row r="28" spans="1:37" s="1" customFormat="1" ht="15" x14ac:dyDescent="0.25">
      <c r="A28" s="1" t="s">
        <v>42</v>
      </c>
      <c r="K28" s="1">
        <f>+K29-K39</f>
        <v>128671</v>
      </c>
      <c r="N28" s="15"/>
      <c r="O28" s="3"/>
      <c r="T28" s="1">
        <f>+T29-T39</f>
        <v>129553</v>
      </c>
      <c r="U28" s="10">
        <f>+T28+U14</f>
        <v>229671</v>
      </c>
      <c r="V28" s="6">
        <f t="shared" ref="V28:AK28" si="72">+U28+V14</f>
        <v>352154.58860000002</v>
      </c>
      <c r="W28" s="6">
        <f t="shared" si="72"/>
        <v>503125.66159660008</v>
      </c>
      <c r="X28" s="6">
        <f t="shared" si="72"/>
        <v>669220.73657662072</v>
      </c>
      <c r="Y28" s="6">
        <f t="shared" si="72"/>
        <v>851590.90907080472</v>
      </c>
      <c r="Z28" s="6">
        <f t="shared" si="72"/>
        <v>1051464.392181122</v>
      </c>
      <c r="AA28" s="6">
        <f t="shared" si="72"/>
        <v>1270151.3094171933</v>
      </c>
      <c r="AB28" s="6">
        <f t="shared" si="72"/>
        <v>1486651.3574809039</v>
      </c>
      <c r="AC28" s="6">
        <f t="shared" si="72"/>
        <v>1700986.4050639772</v>
      </c>
      <c r="AD28" s="6">
        <f t="shared" si="72"/>
        <v>1913178.1021712199</v>
      </c>
      <c r="AE28" s="6">
        <f t="shared" si="72"/>
        <v>2123247.8823073902</v>
      </c>
      <c r="AF28" s="6">
        <f t="shared" si="72"/>
        <v>2331216.9646421988</v>
      </c>
      <c r="AG28" s="6">
        <f t="shared" si="72"/>
        <v>2537106.3561536591</v>
      </c>
      <c r="AH28" s="6">
        <f t="shared" si="72"/>
        <v>2740936.8537500049</v>
      </c>
      <c r="AI28" s="6">
        <f t="shared" si="72"/>
        <v>2942729.0463703875</v>
      </c>
      <c r="AJ28" s="6">
        <f t="shared" si="72"/>
        <v>3142503.3170645661</v>
      </c>
      <c r="AK28" s="6">
        <f t="shared" si="72"/>
        <v>3340279.8450518027</v>
      </c>
    </row>
    <row r="29" spans="1:37" x14ac:dyDescent="0.2">
      <c r="A29" t="s">
        <v>3</v>
      </c>
      <c r="K29">
        <f>24048+86868+31008</f>
        <v>141924</v>
      </c>
      <c r="T29">
        <f>21879+91883+30492</f>
        <v>144254</v>
      </c>
    </row>
    <row r="30" spans="1:37" x14ac:dyDescent="0.2">
      <c r="A30" t="s">
        <v>44</v>
      </c>
      <c r="K30">
        <v>47964</v>
      </c>
      <c r="T30">
        <v>40258</v>
      </c>
    </row>
    <row r="31" spans="1:37" x14ac:dyDescent="0.2">
      <c r="A31" t="s">
        <v>45</v>
      </c>
      <c r="K31">
        <f>12650+10051</f>
        <v>22701</v>
      </c>
      <c r="T31">
        <v>10775</v>
      </c>
    </row>
    <row r="32" spans="1:37" x14ac:dyDescent="0.2">
      <c r="A32" t="s">
        <v>40</v>
      </c>
      <c r="K32">
        <v>12169</v>
      </c>
      <c r="T32">
        <v>5261</v>
      </c>
    </row>
    <row r="33" spans="1:21" x14ac:dyDescent="0.2">
      <c r="A33" t="s">
        <v>48</v>
      </c>
      <c r="K33">
        <v>134345</v>
      </c>
      <c r="T33">
        <v>112668</v>
      </c>
    </row>
    <row r="34" spans="1:21" x14ac:dyDescent="0.2">
      <c r="A34" t="s">
        <v>50</v>
      </c>
      <c r="K34">
        <v>29198</v>
      </c>
      <c r="T34">
        <v>28960</v>
      </c>
    </row>
    <row r="35" spans="1:21" x14ac:dyDescent="0.2">
      <c r="A35" t="s">
        <v>49</v>
      </c>
      <c r="K35">
        <v>0</v>
      </c>
      <c r="T35">
        <v>14381</v>
      </c>
    </row>
    <row r="36" spans="1:21" x14ac:dyDescent="0.2">
      <c r="A36" t="s">
        <v>45</v>
      </c>
      <c r="K36">
        <v>14091</v>
      </c>
      <c r="T36">
        <v>8707</v>
      </c>
    </row>
    <row r="37" spans="1:21" x14ac:dyDescent="0.2">
      <c r="A37" t="s">
        <v>47</v>
      </c>
      <c r="K37">
        <f>SUM(K29:K36)</f>
        <v>402392</v>
      </c>
      <c r="T37">
        <f>SUM(T29:T36)</f>
        <v>365264</v>
      </c>
    </row>
    <row r="39" spans="1:21" x14ac:dyDescent="0.2">
      <c r="A39" t="s">
        <v>4</v>
      </c>
      <c r="K39">
        <v>13253</v>
      </c>
      <c r="T39">
        <v>14701</v>
      </c>
    </row>
    <row r="40" spans="1:21" x14ac:dyDescent="0.2">
      <c r="A40" t="s">
        <v>51</v>
      </c>
      <c r="K40">
        <v>7493</v>
      </c>
      <c r="T40">
        <v>5128</v>
      </c>
    </row>
    <row r="41" spans="1:21" x14ac:dyDescent="0.2">
      <c r="A41" t="s">
        <v>52</v>
      </c>
      <c r="K41">
        <f>15140+46168+8876+4137</f>
        <v>74321</v>
      </c>
      <c r="T41">
        <f>14028+37866+8370</f>
        <v>60264</v>
      </c>
    </row>
    <row r="42" spans="1:21" x14ac:dyDescent="0.2">
      <c r="A42" t="s">
        <v>40</v>
      </c>
      <c r="K42">
        <v>911</v>
      </c>
      <c r="T42">
        <f>3908+599+514</f>
        <v>5021</v>
      </c>
    </row>
    <row r="43" spans="1:21" x14ac:dyDescent="0.2">
      <c r="A43" t="s">
        <v>26</v>
      </c>
      <c r="K43">
        <f>8474+485</f>
        <v>8959</v>
      </c>
      <c r="T43">
        <v>9258</v>
      </c>
    </row>
    <row r="44" spans="1:21" x14ac:dyDescent="0.2">
      <c r="A44" t="s">
        <v>53</v>
      </c>
      <c r="K44">
        <v>12460</v>
      </c>
      <c r="T44">
        <v>12501</v>
      </c>
    </row>
    <row r="45" spans="1:21" x14ac:dyDescent="0.2">
      <c r="A45" t="s">
        <v>54</v>
      </c>
      <c r="K45">
        <v>1616</v>
      </c>
      <c r="T45">
        <v>2247</v>
      </c>
    </row>
    <row r="46" spans="1:21" x14ac:dyDescent="0.2">
      <c r="A46" t="s">
        <v>57</v>
      </c>
      <c r="K46">
        <f>SUM(K39:K45)</f>
        <v>119013</v>
      </c>
      <c r="T46">
        <f>SUM(T39:T45)</f>
        <v>109120</v>
      </c>
    </row>
    <row r="48" spans="1:21" s="1" customFormat="1" ht="15" x14ac:dyDescent="0.25">
      <c r="A48" s="1" t="s">
        <v>55</v>
      </c>
      <c r="K48" s="1">
        <f>+K37-K46</f>
        <v>283379</v>
      </c>
      <c r="N48" s="15"/>
      <c r="T48" s="1">
        <f>+T37-T46</f>
        <v>256144</v>
      </c>
      <c r="U48" s="15"/>
    </row>
    <row r="49" spans="1:21" s="1" customFormat="1" ht="15" x14ac:dyDescent="0.25">
      <c r="A49" s="1" t="s">
        <v>56</v>
      </c>
      <c r="K49" s="1">
        <f>+K46+K48</f>
        <v>402392</v>
      </c>
      <c r="N49" s="15"/>
      <c r="T49" s="1">
        <f>+T46+T48</f>
        <v>365264</v>
      </c>
      <c r="U49" s="15"/>
    </row>
    <row r="51" spans="1:21" x14ac:dyDescent="0.2">
      <c r="A51" t="s">
        <v>58</v>
      </c>
      <c r="K51" s="3">
        <f>+K14/K37</f>
        <v>5.8696494960138373E-2</v>
      </c>
      <c r="T51" s="3">
        <f>+T14/T37</f>
        <v>0.20203195496955625</v>
      </c>
    </row>
    <row r="52" spans="1:21" x14ac:dyDescent="0.2">
      <c r="A52" t="s">
        <v>59</v>
      </c>
      <c r="K52" s="3">
        <f>+K14/K48</f>
        <v>8.3347742775576175E-2</v>
      </c>
      <c r="T52" s="3">
        <f>+T14/T48</f>
        <v>0.28809966268973702</v>
      </c>
    </row>
    <row r="54" spans="1:21" x14ac:dyDescent="0.2">
      <c r="A54" t="s">
        <v>70</v>
      </c>
    </row>
    <row r="55" spans="1:21" x14ac:dyDescent="0.2">
      <c r="A55" t="s">
        <v>68</v>
      </c>
    </row>
    <row r="56" spans="1:21" x14ac:dyDescent="0.2">
      <c r="A56" t="s">
        <v>69</v>
      </c>
    </row>
    <row r="57" spans="1:21" x14ac:dyDescent="0.2">
      <c r="A57" t="s">
        <v>71</v>
      </c>
    </row>
    <row r="58" spans="1:21" x14ac:dyDescent="0.2">
      <c r="A5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CBFEB144F63F4E9EB43CF067A3FDD2" ma:contentTypeVersion="9" ma:contentTypeDescription="Criar um novo documento." ma:contentTypeScope="" ma:versionID="f59182e7d3e0cf5298e8ad942a121699">
  <xsd:schema xmlns:xsd="http://www.w3.org/2001/XMLSchema" xmlns:xs="http://www.w3.org/2001/XMLSchema" xmlns:p="http://schemas.microsoft.com/office/2006/metadata/properties" xmlns:ns3="de0fd296-9832-4e10-a7ad-2bcee574d3b0" xmlns:ns4="02570eab-4ecf-4bb5-b806-a666b23f79b6" targetNamespace="http://schemas.microsoft.com/office/2006/metadata/properties" ma:root="true" ma:fieldsID="f61c57c9eb7d1a1f1952f23e1a76f510" ns3:_="" ns4:_="">
    <xsd:import namespace="de0fd296-9832-4e10-a7ad-2bcee574d3b0"/>
    <xsd:import namespace="02570eab-4ecf-4bb5-b806-a666b23f7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fd296-9832-4e10-a7ad-2bcee574d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70eab-4ecf-4bb5-b806-a666b23f7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0fd296-9832-4e10-a7ad-2bcee574d3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81AC5-FF3A-47AD-BD2B-6BB1E41A8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fd296-9832-4e10-a7ad-2bcee574d3b0"/>
    <ds:schemaRef ds:uri="02570eab-4ecf-4bb5-b806-a666b23f7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E1DA7-8015-4346-816F-416B94E36C63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02570eab-4ecf-4bb5-b806-a666b23f79b6"/>
    <ds:schemaRef ds:uri="http://schemas.microsoft.com/office/infopath/2007/PartnerControls"/>
    <ds:schemaRef ds:uri="http://schemas.openxmlformats.org/package/2006/metadata/core-properties"/>
    <ds:schemaRef ds:uri="de0fd296-9832-4e10-a7ad-2bcee574d3b0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6ED1FCD-EA5C-4BBA-BEEE-3A91E7C112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2024-09-24T16:42:12Z</dcterms:created>
  <dcterms:modified xsi:type="dcterms:W3CDTF">2025-04-25T10:23:21Z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0x01010078CBFEB144F63F4E9EB43CF067A3FDD2</vt:lpwstr>
  </property>
</Properties>
</file>