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502" documentId="11_F25DC773A252ABDACC1048FC995B449E5BDE58EC" xr6:coauthVersionLast="47" xr6:coauthVersionMax="47" xr10:uidLastSave="{CB88CD6A-E81F-47B3-84E2-1862E1DFF382}"/>
  <bookViews>
    <workbookView xWindow="28680" yWindow="-120" windowWidth="29040" windowHeight="15720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2" l="1"/>
  <c r="N17" i="2"/>
  <c r="N15" i="2"/>
  <c r="N14" i="2"/>
  <c r="N13" i="2"/>
  <c r="N12" i="2"/>
  <c r="N10" i="2"/>
  <c r="N11" i="2" s="1"/>
  <c r="N9" i="2"/>
  <c r="N8" i="2"/>
  <c r="N7" i="2"/>
  <c r="N6" i="2"/>
  <c r="N5" i="2"/>
  <c r="AD8" i="2"/>
  <c r="AC8" i="2"/>
  <c r="AB8" i="2"/>
  <c r="AA8" i="2"/>
  <c r="Z8" i="2"/>
  <c r="Y8" i="2"/>
  <c r="W23" i="2"/>
  <c r="V23" i="2"/>
  <c r="U23" i="2"/>
  <c r="X23" i="2"/>
  <c r="Y10" i="2"/>
  <c r="X17" i="2"/>
  <c r="Y17" i="2" s="1"/>
  <c r="Z17" i="2" s="1"/>
  <c r="AA17" i="2" s="1"/>
  <c r="AB17" i="2" s="1"/>
  <c r="AC17" i="2" s="1"/>
  <c r="AD17" i="2" s="1"/>
  <c r="W22" i="2"/>
  <c r="V22" i="2"/>
  <c r="U22" i="2"/>
  <c r="U24" i="2"/>
  <c r="W5" i="2"/>
  <c r="X5" i="2"/>
  <c r="X7" i="2" s="1"/>
  <c r="X24" i="2" s="1"/>
  <c r="X12" i="2"/>
  <c r="X10" i="2"/>
  <c r="X43" i="2"/>
  <c r="X47" i="2"/>
  <c r="X41" i="2"/>
  <c r="X28" i="2" s="1"/>
  <c r="Y12" i="2" s="1"/>
  <c r="X36" i="2"/>
  <c r="X30" i="2"/>
  <c r="X58" i="2"/>
  <c r="X59" i="2" s="1"/>
  <c r="U28" i="2"/>
  <c r="U12" i="2"/>
  <c r="U10" i="2"/>
  <c r="U25" i="2" s="1"/>
  <c r="U7" i="2"/>
  <c r="W12" i="2"/>
  <c r="W10" i="2"/>
  <c r="W7" i="2"/>
  <c r="W24" i="2" s="1"/>
  <c r="V12" i="2"/>
  <c r="V7" i="2"/>
  <c r="V24" i="2" s="1"/>
  <c r="V10" i="2"/>
  <c r="V25" i="2" s="1"/>
  <c r="W43" i="2"/>
  <c r="W47" i="2"/>
  <c r="W41" i="2"/>
  <c r="W28" i="2" s="1"/>
  <c r="W36" i="2"/>
  <c r="W30" i="2"/>
  <c r="V43" i="2"/>
  <c r="V47" i="2"/>
  <c r="V41" i="2"/>
  <c r="V28" i="2" s="1"/>
  <c r="V36" i="2"/>
  <c r="V30" i="2"/>
  <c r="J26" i="2"/>
  <c r="J25" i="2"/>
  <c r="J24" i="2"/>
  <c r="U58" i="2"/>
  <c r="U59" i="2" s="1"/>
  <c r="Y59" i="2"/>
  <c r="W58" i="2"/>
  <c r="W59" i="2" s="1"/>
  <c r="V58" i="2"/>
  <c r="V59" i="2" s="1"/>
  <c r="W2" i="2"/>
  <c r="X2" i="2" s="1"/>
  <c r="Y2" i="2" s="1"/>
  <c r="Z2" i="2" s="1"/>
  <c r="AA2" i="2" s="1"/>
  <c r="AB2" i="2" s="1"/>
  <c r="AC2" i="2" s="1"/>
  <c r="AD2" i="2" s="1"/>
  <c r="H16" i="2"/>
  <c r="H12" i="2"/>
  <c r="H10" i="2"/>
  <c r="H25" i="2" s="1"/>
  <c r="H7" i="2"/>
  <c r="H24" i="2" s="1"/>
  <c r="L12" i="2"/>
  <c r="L10" i="2"/>
  <c r="L25" i="2" s="1"/>
  <c r="L7" i="2"/>
  <c r="L24" i="2" s="1"/>
  <c r="M12" i="2"/>
  <c r="I12" i="2"/>
  <c r="I10" i="2"/>
  <c r="I25" i="2" s="1"/>
  <c r="I7" i="2"/>
  <c r="I24" i="2" s="1"/>
  <c r="M10" i="2"/>
  <c r="M25" i="2" s="1"/>
  <c r="M7" i="2"/>
  <c r="M24" i="2" s="1"/>
  <c r="K12" i="2"/>
  <c r="K10" i="2"/>
  <c r="K25" i="2" s="1"/>
  <c r="K7" i="2"/>
  <c r="K24" i="2" s="1"/>
  <c r="O12" i="2"/>
  <c r="O10" i="2"/>
  <c r="O25" i="2" s="1"/>
  <c r="O7" i="2"/>
  <c r="O24" i="2" s="1"/>
  <c r="C7" i="1"/>
  <c r="C6" i="1"/>
  <c r="C5" i="1"/>
  <c r="C4" i="1"/>
  <c r="N26" i="2" l="1"/>
  <c r="N25" i="2"/>
  <c r="N24" i="2"/>
  <c r="X39" i="2"/>
  <c r="W25" i="2"/>
  <c r="X22" i="2"/>
  <c r="X25" i="2"/>
  <c r="Y5" i="2"/>
  <c r="X11" i="2"/>
  <c r="X13" i="2" s="1"/>
  <c r="W39" i="2"/>
  <c r="V39" i="2"/>
  <c r="V11" i="2"/>
  <c r="V13" i="2" s="1"/>
  <c r="W48" i="2"/>
  <c r="W49" i="2" s="1"/>
  <c r="W50" i="2" s="1"/>
  <c r="X48" i="2"/>
  <c r="X49" i="2" s="1"/>
  <c r="U11" i="2"/>
  <c r="U13" i="2" s="1"/>
  <c r="W11" i="2"/>
  <c r="W13" i="2" s="1"/>
  <c r="V48" i="2"/>
  <c r="O11" i="2"/>
  <c r="O13" i="2" s="1"/>
  <c r="K11" i="2"/>
  <c r="K13" i="2" s="1"/>
  <c r="K26" i="2" s="1"/>
  <c r="M11" i="2"/>
  <c r="M13" i="2" s="1"/>
  <c r="H11" i="2"/>
  <c r="H13" i="2" s="1"/>
  <c r="L11" i="2"/>
  <c r="L13" i="2" s="1"/>
  <c r="I11" i="2"/>
  <c r="I13" i="2" s="1"/>
  <c r="Z10" i="2" l="1"/>
  <c r="Y6" i="2"/>
  <c r="Y7" i="2"/>
  <c r="Y11" i="2" s="1"/>
  <c r="Y13" i="2" s="1"/>
  <c r="Y14" i="2" s="1"/>
  <c r="Y26" i="2" s="1"/>
  <c r="Y15" i="2"/>
  <c r="Y16" i="2" s="1"/>
  <c r="X15" i="2"/>
  <c r="X52" i="2" s="1"/>
  <c r="X26" i="2"/>
  <c r="V15" i="2"/>
  <c r="V16" i="2" s="1"/>
  <c r="V26" i="2"/>
  <c r="W15" i="2"/>
  <c r="W52" i="2" s="1"/>
  <c r="W26" i="2"/>
  <c r="U15" i="2"/>
  <c r="U16" i="2" s="1"/>
  <c r="U26" i="2"/>
  <c r="Y25" i="2"/>
  <c r="Z5" i="2"/>
  <c r="Y24" i="2"/>
  <c r="X50" i="2"/>
  <c r="W53" i="2"/>
  <c r="V49" i="2"/>
  <c r="I15" i="2"/>
  <c r="I26" i="2"/>
  <c r="H15" i="2"/>
  <c r="H26" i="2"/>
  <c r="L15" i="2"/>
  <c r="L26" i="2"/>
  <c r="M15" i="2"/>
  <c r="M26" i="2"/>
  <c r="O15" i="2"/>
  <c r="O26" i="2"/>
  <c r="K15" i="2"/>
  <c r="Z6" i="2" l="1"/>
  <c r="Z7" i="2" s="1"/>
  <c r="X16" i="2"/>
  <c r="V52" i="2"/>
  <c r="AA10" i="2"/>
  <c r="X53" i="2"/>
  <c r="W16" i="2"/>
  <c r="AA5" i="2"/>
  <c r="Z25" i="2"/>
  <c r="Y28" i="2"/>
  <c r="V50" i="2"/>
  <c r="V53" i="2"/>
  <c r="I16" i="2"/>
  <c r="M16" i="2"/>
  <c r="L16" i="2"/>
  <c r="O16" i="2"/>
  <c r="K16" i="2"/>
  <c r="Z11" i="2" l="1"/>
  <c r="Z24" i="2"/>
  <c r="AB10" i="2"/>
  <c r="AA6" i="2"/>
  <c r="AA7" i="2" s="1"/>
  <c r="AB5" i="2"/>
  <c r="AA25" i="2"/>
  <c r="Z12" i="2"/>
  <c r="Z13" i="2" l="1"/>
  <c r="Z14" i="2" s="1"/>
  <c r="Z26" i="2" s="1"/>
  <c r="AA24" i="2"/>
  <c r="AA11" i="2"/>
  <c r="AB6" i="2"/>
  <c r="AB7" i="2"/>
  <c r="AB11" i="2" s="1"/>
  <c r="AD10" i="2"/>
  <c r="AC10" i="2"/>
  <c r="AC5" i="2"/>
  <c r="AB25" i="2"/>
  <c r="AC6" i="2" l="1"/>
  <c r="AC7" i="2"/>
  <c r="AC11" i="2"/>
  <c r="AB24" i="2"/>
  <c r="Z15" i="2"/>
  <c r="AD5" i="2"/>
  <c r="AC24" i="2"/>
  <c r="AC25" i="2"/>
  <c r="AD6" i="2" l="1"/>
  <c r="AD7" i="2"/>
  <c r="AD11" i="2" s="1"/>
  <c r="Z28" i="2"/>
  <c r="AA12" i="2" s="1"/>
  <c r="AA13" i="2" s="1"/>
  <c r="AA14" i="2" s="1"/>
  <c r="AA26" i="2" s="1"/>
  <c r="Z16" i="2"/>
  <c r="AA15" i="2"/>
  <c r="AA16" i="2" s="1"/>
  <c r="AD24" i="2"/>
  <c r="AD25" i="2"/>
  <c r="AA28" i="2" l="1"/>
  <c r="AB12" i="2" l="1"/>
  <c r="AB13" i="2" s="1"/>
  <c r="AB14" i="2" l="1"/>
  <c r="AB26" i="2" s="1"/>
  <c r="AB15" i="2" l="1"/>
  <c r="AB16" i="2" s="1"/>
  <c r="AB28" i="2" l="1"/>
  <c r="AC12" i="2" s="1"/>
  <c r="AC13" i="2" s="1"/>
  <c r="AC14" i="2" l="1"/>
  <c r="AC26" i="2" s="1"/>
  <c r="AC15" i="2" l="1"/>
  <c r="AC16" i="2" s="1"/>
  <c r="AC28" i="2"/>
  <c r="AD12" i="2" l="1"/>
  <c r="AD13" i="2" s="1"/>
  <c r="AD14" i="2" l="1"/>
  <c r="AD26" i="2" s="1"/>
  <c r="AD15" i="2" l="1"/>
  <c r="AD16" i="2" s="1"/>
  <c r="AE15" i="2" l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AD28" i="2"/>
  <c r="AE28" i="2" l="1"/>
  <c r="AF28" i="2" s="1"/>
  <c r="AG28" i="2" s="1"/>
  <c r="AH28" i="2" s="1"/>
  <c r="AI28" i="2" s="1"/>
  <c r="AJ28" i="2" s="1"/>
  <c r="AK28" i="2" s="1"/>
  <c r="R20" i="2"/>
  <c r="R21" i="2" s="1"/>
</calcChain>
</file>

<file path=xl/sharedStrings.xml><?xml version="1.0" encoding="utf-8"?>
<sst xmlns="http://schemas.openxmlformats.org/spreadsheetml/2006/main" count="98" uniqueCount="75">
  <si>
    <t>Price</t>
  </si>
  <si>
    <t>Shares</t>
  </si>
  <si>
    <t>MC</t>
  </si>
  <si>
    <t>Cash</t>
  </si>
  <si>
    <t>Debt</t>
  </si>
  <si>
    <t>EV</t>
  </si>
  <si>
    <t>Competitors</t>
  </si>
  <si>
    <t>Turner Construction</t>
  </si>
  <si>
    <t>DPR Construction</t>
  </si>
  <si>
    <t>Jacobs Engineering</t>
  </si>
  <si>
    <t>Syska Hennessy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</si>
  <si>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</si>
  <si>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</si>
  <si>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</si>
  <si>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</si>
  <si>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</si>
  <si>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</si>
  <si>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</si>
  <si>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</si>
  <si>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</si>
  <si>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</si>
  <si>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</si>
  <si>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</si>
  <si>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</si>
  <si>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Revenue</t>
  </si>
  <si>
    <t>COGS</t>
  </si>
  <si>
    <t>Gross Profit</t>
  </si>
  <si>
    <t>SGA</t>
  </si>
  <si>
    <t>Sale of Assets</t>
  </si>
  <si>
    <t>OPEX</t>
  </si>
  <si>
    <t>Interest Income</t>
  </si>
  <si>
    <t>PRETAX</t>
  </si>
  <si>
    <t>TAX</t>
  </si>
  <si>
    <t>NI</t>
  </si>
  <si>
    <t>EPS</t>
  </si>
  <si>
    <t>Operating Income</t>
  </si>
  <si>
    <t>Rev y/y</t>
  </si>
  <si>
    <t>NI y/y</t>
  </si>
  <si>
    <t>Gross  %</t>
  </si>
  <si>
    <t>Operating %</t>
  </si>
  <si>
    <t>Tax Rate</t>
  </si>
  <si>
    <t>NC</t>
  </si>
  <si>
    <t xml:space="preserve">Cash </t>
  </si>
  <si>
    <t>CFFO</t>
  </si>
  <si>
    <t>CFFI</t>
  </si>
  <si>
    <t>CFFF</t>
  </si>
  <si>
    <t>Capex</t>
  </si>
  <si>
    <t>FCF</t>
  </si>
  <si>
    <t>AR</t>
  </si>
  <si>
    <t>Inventory</t>
  </si>
  <si>
    <t>Prepaid</t>
  </si>
  <si>
    <t>Excess of Billings</t>
  </si>
  <si>
    <t>Assets</t>
  </si>
  <si>
    <t>PPE</t>
  </si>
  <si>
    <t>Leases</t>
  </si>
  <si>
    <t>Intangibles</t>
  </si>
  <si>
    <t>DT</t>
  </si>
  <si>
    <t>Other</t>
  </si>
  <si>
    <t>AP</t>
  </si>
  <si>
    <t>Accrued</t>
  </si>
  <si>
    <t>Billing in Excess</t>
  </si>
  <si>
    <t>Liabilities</t>
  </si>
  <si>
    <t>S/E</t>
  </si>
  <si>
    <t>L+S/E</t>
  </si>
  <si>
    <t xml:space="preserve"> </t>
  </si>
  <si>
    <t>ROA</t>
  </si>
  <si>
    <t>ROE</t>
  </si>
  <si>
    <t>DR</t>
  </si>
  <si>
    <t>NPV</t>
  </si>
  <si>
    <t>Upside</t>
  </si>
  <si>
    <t>Mechanical Segment</t>
  </si>
  <si>
    <t>Electrical Segment</t>
  </si>
  <si>
    <t>COGS %</t>
  </si>
  <si>
    <t>SGA %</t>
  </si>
  <si>
    <t>EAS &amp; 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</si>
</sst>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8" fontId="0" fillId="0" borderId="0" xfId="0" applyNumberFormat="1"/>
    <xf numFmtId="3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523875</xdr:colOff>
      <xdr:row>4</xdr:row>
      <xdr:rowOff>180975</xdr:rowOff>
    </xdr:from>
    <xdr:to>
      <xdr:col>21</xdr:col>
      <xdr:colOff>228600</xdr:colOff>
      <xdr:row>14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E79DA62-DC66-CA27-620D-613B8999B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942975"/>
          <a:ext cx="9458325" cy="17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B18" sqref="B18"/>
    </sheetView>
  </sheetViews>
  <sheetFormatPr defaultRowHeight="15" x14ac:dyDescent="0.25"/>
  <sheetData>
    <row r="2" spans="2:8" x14ac:dyDescent="0.25">
      <c r="B2" t="s">
        <v>0</v>
      </c>
      <c r="C2" s="2">
        <v>402</v>
      </c>
      <c r="H2" t="s">
        <v>74</v>
      </c>
    </row>
    <row r="3" spans="2:8" x14ac:dyDescent="0.25">
      <c r="B3" t="s">
        <v>1</v>
      </c>
      <c r="C3" s="2">
        <v>35.2748463</v>
      </c>
      <c r="H3" t="s">
        <v>64</v>
      </c>
    </row>
    <row r="4" spans="2:8" x14ac:dyDescent="0.25">
      <c r="B4" t="s">
        <v>2</v>
      </c>
      <c r="C4" s="2">
        <f>+C2*C3</f>
        <v>14180.488212599999</v>
      </c>
    </row>
    <row r="5" spans="2:8" x14ac:dyDescent="0.25">
      <c r="B5" t="s">
        <v>3</v>
      </c>
      <c r="C5" s="2">
        <f>204.758</f>
        <v>204.75800000000001</v>
      </c>
    </row>
    <row r="6" spans="2:8" x14ac:dyDescent="0.25">
      <c r="B6" t="s">
        <v>4</v>
      </c>
      <c r="C6" s="2">
        <f>4.066+63.776</f>
        <v>67.841999999999999</v>
      </c>
    </row>
    <row r="7" spans="2:8" x14ac:dyDescent="0.25">
      <c r="B7" t="s">
        <v>5</v>
      </c>
      <c r="C7" s="2">
        <f>+C4-C5+C6</f>
        <v>14043.5722126</v>
      </c>
    </row>
    <row r="12" spans="2:8" x14ac:dyDescent="0.25">
      <c r="B12" s="1" t="s">
        <v>6</v>
      </c>
    </row>
    <row r="13" spans="2:8" x14ac:dyDescent="0.25">
      <c r="B13" t="s">
        <v>7</v>
      </c>
    </row>
    <row r="14" spans="2:8" x14ac:dyDescent="0.25">
      <c r="B14" t="s">
        <v>8</v>
      </c>
    </row>
    <row r="15" spans="2:8" x14ac:dyDescent="0.25">
      <c r="B15" t="s">
        <v>9</v>
      </c>
    </row>
    <row r="16" spans="2:8" x14ac:dyDescent="0.25">
      <c r="B16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EB8F-DE83-41DC-A64B-FD2BAF56B832}">
  <dimension ref="B2:BA8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8" sqref="F8"/>
    </sheetView>
  </sheetViews>
  <sheetFormatPr defaultRowHeight="15" x14ac:dyDescent="0.25"/>
  <cols>
    <col min="2" max="2" width="18" bestFit="1" customWidth="1"/>
    <col min="18" max="18" width="10.42578125" bestFit="1" customWidth="1"/>
  </cols>
  <sheetData>
    <row r="2" spans="2:53" x14ac:dyDescent="0.25"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T2" s="2">
        <v>2020</v>
      </c>
      <c r="U2" s="2">
        <v>2021</v>
      </c>
      <c r="V2" s="2">
        <v>2022</v>
      </c>
      <c r="W2" s="2">
        <f>+V2+1</f>
        <v>2023</v>
      </c>
      <c r="X2" s="2">
        <f t="shared" ref="X2:AD2" si="0">+W2+1</f>
        <v>2024</v>
      </c>
      <c r="Y2" s="2">
        <f t="shared" si="0"/>
        <v>2025</v>
      </c>
      <c r="Z2" s="2">
        <f t="shared" si="0"/>
        <v>2026</v>
      </c>
      <c r="AA2" s="2">
        <f t="shared" si="0"/>
        <v>2027</v>
      </c>
      <c r="AB2" s="2">
        <f t="shared" si="0"/>
        <v>2028</v>
      </c>
      <c r="AC2" s="2">
        <f t="shared" si="0"/>
        <v>2029</v>
      </c>
      <c r="AD2" s="2">
        <f t="shared" si="0"/>
        <v>2030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2:53" x14ac:dyDescent="0.25">
      <c r="B3" t="s">
        <v>70</v>
      </c>
      <c r="T3" s="2"/>
      <c r="U3" s="2"/>
      <c r="V3" s="2"/>
      <c r="W3" s="2">
        <v>3946.0219999999999</v>
      </c>
      <c r="X3" s="2">
        <v>5527.6040000000003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2:53" x14ac:dyDescent="0.25">
      <c r="B4" t="s">
        <v>71</v>
      </c>
      <c r="T4" s="2"/>
      <c r="U4" s="2"/>
      <c r="V4" s="2"/>
      <c r="W4" s="2">
        <v>1260.7380000000001</v>
      </c>
      <c r="X4" s="2">
        <v>1499.8720000000001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2:53" s="1" customFormat="1" x14ac:dyDescent="0.25">
      <c r="B5" s="1" t="s">
        <v>24</v>
      </c>
      <c r="H5" s="5">
        <v>1296.43</v>
      </c>
      <c r="I5" s="5">
        <v>1378.124</v>
      </c>
      <c r="J5" s="5" t="s">
        <v>64</v>
      </c>
      <c r="K5" s="5">
        <v>1537.0160000000001</v>
      </c>
      <c r="L5" s="5">
        <v>1810.29</v>
      </c>
      <c r="M5" s="5">
        <v>1812.366</v>
      </c>
      <c r="N5" s="5">
        <f>+X5-M5-L5-K5</f>
        <v>1867.8040000000005</v>
      </c>
      <c r="O5" s="5">
        <v>1831.2860000000001</v>
      </c>
      <c r="T5" s="5"/>
      <c r="U5" s="5">
        <v>3073.636</v>
      </c>
      <c r="V5" s="5">
        <v>4140.3639999999996</v>
      </c>
      <c r="W5" s="5">
        <f>+W3+W4</f>
        <v>5206.76</v>
      </c>
      <c r="X5" s="5">
        <f>+X3+X4</f>
        <v>7027.4760000000006</v>
      </c>
      <c r="Y5" s="5">
        <f>+X5*1.2</f>
        <v>8432.9712</v>
      </c>
      <c r="Z5" s="5">
        <f t="shared" ref="Z5:AA5" si="1">+Y5*1.2</f>
        <v>10119.56544</v>
      </c>
      <c r="AA5" s="5">
        <f t="shared" si="1"/>
        <v>12143.478528</v>
      </c>
      <c r="AB5" s="5">
        <f>+AA5*1.15</f>
        <v>13965.000307199998</v>
      </c>
      <c r="AC5" s="5">
        <f t="shared" ref="AC5:AD5" si="2">+AB5*1.15</f>
        <v>16059.750353279996</v>
      </c>
      <c r="AD5" s="5">
        <f t="shared" si="2"/>
        <v>18468.712906271994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2:53" x14ac:dyDescent="0.25">
      <c r="B6" t="s">
        <v>25</v>
      </c>
      <c r="H6" s="2">
        <v>1068.51</v>
      </c>
      <c r="I6" s="2">
        <v>1100.325</v>
      </c>
      <c r="J6" s="2"/>
      <c r="K6" s="2">
        <v>1239.653</v>
      </c>
      <c r="L6" s="2">
        <v>1446.694</v>
      </c>
      <c r="M6" s="2">
        <v>1430.652</v>
      </c>
      <c r="N6" s="5">
        <f>+X6-M6-L6-K6</f>
        <v>1434.0659999999996</v>
      </c>
      <c r="O6" s="2">
        <v>1427.87</v>
      </c>
      <c r="T6" s="2"/>
      <c r="U6" s="2">
        <v>2510.4290000000001</v>
      </c>
      <c r="V6" s="2">
        <v>3398.7559999999999</v>
      </c>
      <c r="W6" s="2">
        <v>4216.2510000000002</v>
      </c>
      <c r="X6" s="2">
        <v>5551.0649999999996</v>
      </c>
      <c r="Y6" s="2">
        <f>+Y5*0.8</f>
        <v>6746.3769600000005</v>
      </c>
      <c r="Z6" s="2">
        <f t="shared" ref="Z6:AD6" si="3">+Z5*0.8</f>
        <v>8095.652352000001</v>
      </c>
      <c r="AA6" s="2">
        <f t="shared" si="3"/>
        <v>9714.7828224000004</v>
      </c>
      <c r="AB6" s="2">
        <f t="shared" si="3"/>
        <v>11172.000245759999</v>
      </c>
      <c r="AC6" s="2">
        <f t="shared" si="3"/>
        <v>12847.800282623997</v>
      </c>
      <c r="AD6" s="2">
        <f t="shared" si="3"/>
        <v>14774.970325017595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2:53" s="1" customFormat="1" x14ac:dyDescent="0.25">
      <c r="B7" s="1" t="s">
        <v>26</v>
      </c>
      <c r="H7" s="5">
        <f>+H5-H6</f>
        <v>227.92000000000007</v>
      </c>
      <c r="I7" s="5">
        <f>+I5-I6</f>
        <v>277.79899999999998</v>
      </c>
      <c r="J7" s="5"/>
      <c r="K7" s="5">
        <f>+K5-K6</f>
        <v>297.36300000000006</v>
      </c>
      <c r="L7" s="5">
        <f>+L5-L6</f>
        <v>363.596</v>
      </c>
      <c r="M7" s="5">
        <f>+M5-M6</f>
        <v>381.71399999999994</v>
      </c>
      <c r="N7" s="5">
        <f>+N5-N6</f>
        <v>433.73800000000097</v>
      </c>
      <c r="O7" s="5">
        <f>+O5-O6</f>
        <v>403.41600000000017</v>
      </c>
      <c r="T7" s="5"/>
      <c r="U7" s="5">
        <f>+U5-U6</f>
        <v>563.20699999999988</v>
      </c>
      <c r="V7" s="5">
        <f>+V5-V6</f>
        <v>741.60799999999972</v>
      </c>
      <c r="W7" s="5">
        <f>+W5-W6</f>
        <v>990.50900000000001</v>
      </c>
      <c r="X7" s="5">
        <f>+X5-X6</f>
        <v>1476.411000000001</v>
      </c>
      <c r="Y7" s="5">
        <f>+Y5-Y6</f>
        <v>1686.5942399999994</v>
      </c>
      <c r="Z7" s="5">
        <f t="shared" ref="Z7:AD7" si="4">+Z5-Z6</f>
        <v>2023.9130879999993</v>
      </c>
      <c r="AA7" s="5">
        <f t="shared" si="4"/>
        <v>2428.6957055999992</v>
      </c>
      <c r="AB7" s="5">
        <f t="shared" si="4"/>
        <v>2793.0000614399996</v>
      </c>
      <c r="AC7" s="5">
        <f t="shared" si="4"/>
        <v>3211.9500706559993</v>
      </c>
      <c r="AD7" s="5">
        <f t="shared" si="4"/>
        <v>3693.7425812543988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2:53" x14ac:dyDescent="0.25">
      <c r="B8" t="s">
        <v>27</v>
      </c>
      <c r="H8" s="2">
        <v>136.43</v>
      </c>
      <c r="I8" s="2">
        <v>142.935</v>
      </c>
      <c r="J8" s="2"/>
      <c r="K8" s="2">
        <v>162.72300000000001</v>
      </c>
      <c r="L8" s="2">
        <v>179.53700000000001</v>
      </c>
      <c r="M8" s="2">
        <v>180.17699999999999</v>
      </c>
      <c r="N8" s="5">
        <f t="shared" ref="N8:N9" si="5">+X8-M8-L8-K8</f>
        <v>207.63499999999993</v>
      </c>
      <c r="O8" s="2">
        <v>194.874</v>
      </c>
      <c r="T8" s="2"/>
      <c r="U8" s="2">
        <v>376.30900000000003</v>
      </c>
      <c r="V8" s="2">
        <v>489.34399999999999</v>
      </c>
      <c r="W8" s="2">
        <v>574.423</v>
      </c>
      <c r="X8" s="2">
        <v>730.072</v>
      </c>
      <c r="Y8" s="2">
        <f>+Y5*0.1</f>
        <v>843.29712000000006</v>
      </c>
      <c r="Z8" s="2">
        <f t="shared" ref="Z8:AD8" si="6">+Z5*0.1</f>
        <v>1011.9565440000001</v>
      </c>
      <c r="AA8" s="2">
        <f t="shared" si="6"/>
        <v>1214.3478528000001</v>
      </c>
      <c r="AB8" s="2">
        <f t="shared" si="6"/>
        <v>1396.5000307199998</v>
      </c>
      <c r="AC8" s="2">
        <f t="shared" si="6"/>
        <v>1605.9750353279996</v>
      </c>
      <c r="AD8" s="2">
        <f t="shared" si="6"/>
        <v>1846.8712906271994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2:53" x14ac:dyDescent="0.25">
      <c r="B9" t="s">
        <v>28</v>
      </c>
      <c r="H9" s="2">
        <v>-0.59199999999999997</v>
      </c>
      <c r="I9" s="2">
        <v>-0.57899999999999996</v>
      </c>
      <c r="J9" s="2"/>
      <c r="K9" s="2">
        <v>-0.82</v>
      </c>
      <c r="L9" s="2">
        <v>-0.61099999999999999</v>
      </c>
      <c r="M9" s="2">
        <v>-1.347</v>
      </c>
      <c r="N9" s="5">
        <f t="shared" si="5"/>
        <v>-0.25199999999999989</v>
      </c>
      <c r="O9" s="2">
        <v>-0.55600000000000005</v>
      </c>
      <c r="T9" s="2"/>
      <c r="U9" s="2">
        <v>-1.54</v>
      </c>
      <c r="V9" s="2">
        <v>-1.585</v>
      </c>
      <c r="W9" s="2">
        <v>-2.302</v>
      </c>
      <c r="X9" s="2">
        <v>-3.03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2:53" x14ac:dyDescent="0.25">
      <c r="B10" t="s">
        <v>29</v>
      </c>
      <c r="H10" s="2">
        <f>+H8+H9</f>
        <v>135.83799999999999</v>
      </c>
      <c r="I10" s="2">
        <f>+I8+I9</f>
        <v>142.35599999999999</v>
      </c>
      <c r="J10" s="2"/>
      <c r="K10" s="2">
        <f>+K8+K9</f>
        <v>161.90300000000002</v>
      </c>
      <c r="L10" s="2">
        <f>+L8+L9</f>
        <v>178.92600000000002</v>
      </c>
      <c r="M10" s="2">
        <f>+M8+M9</f>
        <v>178.82999999999998</v>
      </c>
      <c r="N10" s="2">
        <f>+N8+N9</f>
        <v>207.38299999999992</v>
      </c>
      <c r="O10" s="2">
        <f>+O8+O9</f>
        <v>194.31799999999998</v>
      </c>
      <c r="T10" s="2"/>
      <c r="U10" s="2">
        <f>+U8+U9</f>
        <v>374.76900000000001</v>
      </c>
      <c r="V10" s="2">
        <f>+V8+V9</f>
        <v>487.75900000000001</v>
      </c>
      <c r="W10" s="2">
        <f>+W8+W9</f>
        <v>572.12099999999998</v>
      </c>
      <c r="X10" s="2">
        <f>+X8+X9</f>
        <v>727.04200000000003</v>
      </c>
      <c r="Y10" s="2">
        <f t="shared" ref="Y10:AD10" si="7">+Y8+Y9</f>
        <v>843.29712000000006</v>
      </c>
      <c r="Z10" s="2">
        <f t="shared" si="7"/>
        <v>1011.9565440000001</v>
      </c>
      <c r="AA10" s="2">
        <f t="shared" si="7"/>
        <v>1214.3478528000001</v>
      </c>
      <c r="AB10" s="2">
        <f t="shared" si="7"/>
        <v>1396.5000307199998</v>
      </c>
      <c r="AC10" s="2">
        <f t="shared" si="7"/>
        <v>1605.9750353279996</v>
      </c>
      <c r="AD10" s="2">
        <f t="shared" si="7"/>
        <v>1846.8712906271994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2:53" s="1" customFormat="1" x14ac:dyDescent="0.25">
      <c r="B11" s="1" t="s">
        <v>35</v>
      </c>
      <c r="H11" s="5">
        <f>+H7-H10</f>
        <v>92.082000000000079</v>
      </c>
      <c r="I11" s="5">
        <f>+I7-I10</f>
        <v>135.44299999999998</v>
      </c>
      <c r="J11" s="5"/>
      <c r="K11" s="5">
        <f>+K7-K10</f>
        <v>135.46000000000004</v>
      </c>
      <c r="L11" s="5">
        <f>+L7-L10</f>
        <v>184.67</v>
      </c>
      <c r="M11" s="5">
        <f>+M7-M10</f>
        <v>202.88399999999996</v>
      </c>
      <c r="N11" s="5">
        <f>+N7-N10</f>
        <v>226.35500000000104</v>
      </c>
      <c r="O11" s="5">
        <f>+O7-O10</f>
        <v>209.09800000000018</v>
      </c>
      <c r="T11" s="5"/>
      <c r="U11" s="5">
        <f>+U7-U10</f>
        <v>188.43799999999987</v>
      </c>
      <c r="V11" s="5">
        <f>+V7-V10</f>
        <v>253.84899999999971</v>
      </c>
      <c r="W11" s="5">
        <f>+W7-W10</f>
        <v>418.38800000000003</v>
      </c>
      <c r="X11" s="5">
        <f>+X7-X10</f>
        <v>749.36900000000094</v>
      </c>
      <c r="Y11" s="5">
        <f>+Y7-Y10</f>
        <v>843.29711999999938</v>
      </c>
      <c r="Z11" s="5">
        <f t="shared" ref="Z11:AD11" si="8">+Z7-Z10</f>
        <v>1011.9565439999992</v>
      </c>
      <c r="AA11" s="5">
        <f t="shared" si="8"/>
        <v>1214.3478527999991</v>
      </c>
      <c r="AB11" s="5">
        <f t="shared" si="8"/>
        <v>1396.5000307199998</v>
      </c>
      <c r="AC11" s="5">
        <f t="shared" si="8"/>
        <v>1605.9750353279996</v>
      </c>
      <c r="AD11" s="5">
        <f t="shared" si="8"/>
        <v>1846.8712906271994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2:53" x14ac:dyDescent="0.25">
      <c r="B12" t="s">
        <v>30</v>
      </c>
      <c r="H12" s="2">
        <f>0.092-3.918</f>
        <v>-3.8260000000000001</v>
      </c>
      <c r="I12" s="2">
        <f>0.952-1.886+0.044</f>
        <v>-0.8899999999999999</v>
      </c>
      <c r="J12" s="2"/>
      <c r="K12" s="2">
        <f>1.603-1.633</f>
        <v>-3.0000000000000027E-2</v>
      </c>
      <c r="L12" s="2">
        <f>1.264-1.709+0.119</f>
        <v>-0.32600000000000007</v>
      </c>
      <c r="M12" s="2">
        <f>3.825-1.73+0.087</f>
        <v>2.1820000000000004</v>
      </c>
      <c r="N12" s="5">
        <f t="shared" ref="N12:N14" si="9">+X12-M12-L12-K12</f>
        <v>3.5120000000000005</v>
      </c>
      <c r="O12" s="2">
        <f>4.267-1.619+0.024</f>
        <v>2.6720000000000006</v>
      </c>
      <c r="T12" s="2"/>
      <c r="U12" s="2">
        <f>0.024-6.196</f>
        <v>-6.1719999999999997</v>
      </c>
      <c r="V12" s="2">
        <f>0.046-13.352</f>
        <v>-13.306000000000001</v>
      </c>
      <c r="W12" s="2">
        <f>3.492-10.281</f>
        <v>-6.7890000000000006</v>
      </c>
      <c r="X12" s="2">
        <f>11.554-6.648+0.432</f>
        <v>5.338000000000001</v>
      </c>
      <c r="Y12" s="2">
        <f>+X28*0.005</f>
        <v>1.9843999999999999</v>
      </c>
      <c r="Z12" s="2">
        <f t="shared" ref="Z12:AD12" si="10">+Y28*0.005</f>
        <v>5.3655260799999978</v>
      </c>
      <c r="AA12" s="2">
        <f t="shared" si="10"/>
        <v>9.4348143603199954</v>
      </c>
      <c r="AB12" s="2">
        <f t="shared" si="10"/>
        <v>14.329945028961269</v>
      </c>
      <c r="AC12" s="2">
        <f t="shared" si="10"/>
        <v>19.973264931957114</v>
      </c>
      <c r="AD12" s="2">
        <f t="shared" si="10"/>
        <v>26.477058132996945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2:53" x14ac:dyDescent="0.25">
      <c r="B13" t="s">
        <v>31</v>
      </c>
      <c r="H13" s="2">
        <f>+H11+H12</f>
        <v>88.256000000000085</v>
      </c>
      <c r="I13" s="2">
        <f>+I11+I12</f>
        <v>134.553</v>
      </c>
      <c r="J13" s="2"/>
      <c r="K13" s="2">
        <f>+K11+K12</f>
        <v>135.43000000000004</v>
      </c>
      <c r="L13" s="2">
        <f>+L11+L12</f>
        <v>184.34399999999999</v>
      </c>
      <c r="M13" s="2">
        <f>+M11+M12</f>
        <v>205.06599999999995</v>
      </c>
      <c r="N13" s="2">
        <f>+N11+N12</f>
        <v>229.86700000000104</v>
      </c>
      <c r="O13" s="2">
        <f>+O11+O12</f>
        <v>211.77000000000018</v>
      </c>
      <c r="T13" s="2"/>
      <c r="U13" s="2">
        <f>+U11+U12</f>
        <v>182.26599999999988</v>
      </c>
      <c r="V13" s="2">
        <f>+V11+V12</f>
        <v>240.54299999999969</v>
      </c>
      <c r="W13" s="2">
        <f>+W11+W12</f>
        <v>411.59900000000005</v>
      </c>
      <c r="X13" s="2">
        <f>+X11+X12</f>
        <v>754.7070000000009</v>
      </c>
      <c r="Y13" s="2">
        <f t="shared" ref="Y13:AD13" si="11">+Y11+Y12</f>
        <v>845.28151999999943</v>
      </c>
      <c r="Z13" s="2">
        <f t="shared" si="11"/>
        <v>1017.3220700799992</v>
      </c>
      <c r="AA13" s="2">
        <f t="shared" si="11"/>
        <v>1223.7826671603191</v>
      </c>
      <c r="AB13" s="2">
        <f t="shared" si="11"/>
        <v>1410.829975748961</v>
      </c>
      <c r="AC13" s="2">
        <f t="shared" si="11"/>
        <v>1625.9483002599568</v>
      </c>
      <c r="AD13" s="2">
        <f t="shared" si="11"/>
        <v>1873.3483487601964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2:53" x14ac:dyDescent="0.25">
      <c r="B14" t="s">
        <v>32</v>
      </c>
      <c r="H14" s="2">
        <v>15.726000000000001</v>
      </c>
      <c r="I14" s="2">
        <v>20.312999999999999</v>
      </c>
      <c r="J14" s="2"/>
      <c r="K14" s="2">
        <v>26.736999999999998</v>
      </c>
      <c r="L14" s="2">
        <v>35.646000000000001</v>
      </c>
      <c r="M14" s="2">
        <v>41.576999999999998</v>
      </c>
      <c r="N14" s="5">
        <f t="shared" si="9"/>
        <v>40.167999999999992</v>
      </c>
      <c r="O14" s="2">
        <v>38.722999999999999</v>
      </c>
      <c r="T14" s="2"/>
      <c r="U14" s="2">
        <v>46.926000000000002</v>
      </c>
      <c r="V14" s="2">
        <v>-10.089</v>
      </c>
      <c r="W14" s="2">
        <v>64.796000000000006</v>
      </c>
      <c r="X14" s="2">
        <v>144.12799999999999</v>
      </c>
      <c r="Y14" s="2">
        <f>+Y13*0.2</f>
        <v>169.0563039999999</v>
      </c>
      <c r="Z14" s="2">
        <f t="shared" ref="Z14:AD14" si="12">+Z13*0.2</f>
        <v>203.46441401599986</v>
      </c>
      <c r="AA14" s="2">
        <f t="shared" si="12"/>
        <v>244.75653343206383</v>
      </c>
      <c r="AB14" s="2">
        <f t="shared" si="12"/>
        <v>282.1659951497922</v>
      </c>
      <c r="AC14" s="2">
        <f t="shared" si="12"/>
        <v>325.18966005199138</v>
      </c>
      <c r="AD14" s="2">
        <f t="shared" si="12"/>
        <v>374.66966975203928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2:53" s="1" customFormat="1" x14ac:dyDescent="0.25">
      <c r="B15" s="1" t="s">
        <v>33</v>
      </c>
      <c r="H15" s="5">
        <f>+H13-H14</f>
        <v>72.530000000000086</v>
      </c>
      <c r="I15" s="5">
        <f>+I13-I14</f>
        <v>114.24</v>
      </c>
      <c r="J15" s="5"/>
      <c r="K15" s="5">
        <f>+K13-K14</f>
        <v>108.69300000000004</v>
      </c>
      <c r="L15" s="5">
        <f>+L13-L14</f>
        <v>148.69799999999998</v>
      </c>
      <c r="M15" s="5">
        <f>+M13-M14</f>
        <v>163.48899999999995</v>
      </c>
      <c r="N15" s="5">
        <f>+N13-N14</f>
        <v>189.69900000000104</v>
      </c>
      <c r="O15" s="5">
        <f>+O13-O14</f>
        <v>173.0470000000002</v>
      </c>
      <c r="T15" s="5"/>
      <c r="U15" s="5">
        <f>+U13-U14</f>
        <v>135.33999999999986</v>
      </c>
      <c r="V15" s="5">
        <f>+V13-V14</f>
        <v>250.63199999999969</v>
      </c>
      <c r="W15" s="5">
        <f>+W13-W14</f>
        <v>346.80300000000005</v>
      </c>
      <c r="X15" s="5">
        <f>+X13-X14</f>
        <v>610.57900000000086</v>
      </c>
      <c r="Y15" s="5">
        <f t="shared" ref="Y15:AD15" si="13">+Y13-Y14</f>
        <v>676.22521599999959</v>
      </c>
      <c r="Z15" s="5">
        <f t="shared" si="13"/>
        <v>813.85765606399934</v>
      </c>
      <c r="AA15" s="5">
        <f t="shared" si="13"/>
        <v>979.02613372825522</v>
      </c>
      <c r="AB15" s="5">
        <f t="shared" si="13"/>
        <v>1128.6639805991688</v>
      </c>
      <c r="AC15" s="5">
        <f t="shared" si="13"/>
        <v>1300.7586402079655</v>
      </c>
      <c r="AD15" s="5">
        <f t="shared" si="13"/>
        <v>1498.6786790081571</v>
      </c>
      <c r="AE15" s="5">
        <f>+AD15*0.99</f>
        <v>1483.6918922180755</v>
      </c>
      <c r="AF15" s="5">
        <f t="shared" ref="AF15:BA15" si="14">+AE15*0.99</f>
        <v>1468.8549732958948</v>
      </c>
      <c r="AG15" s="5">
        <f t="shared" si="14"/>
        <v>1454.1664235629357</v>
      </c>
      <c r="AH15" s="5">
        <f t="shared" si="14"/>
        <v>1439.6247593273063</v>
      </c>
      <c r="AI15" s="5">
        <f t="shared" si="14"/>
        <v>1425.2285117340332</v>
      </c>
      <c r="AJ15" s="5">
        <f t="shared" si="14"/>
        <v>1410.9762266166929</v>
      </c>
      <c r="AK15" s="5">
        <f t="shared" si="14"/>
        <v>1396.866464350526</v>
      </c>
      <c r="AL15" s="5">
        <f t="shared" si="14"/>
        <v>1382.8977997070208</v>
      </c>
      <c r="AM15" s="5">
        <f t="shared" si="14"/>
        <v>1369.0688217099505</v>
      </c>
      <c r="AN15" s="5">
        <f t="shared" si="14"/>
        <v>1355.378133492851</v>
      </c>
      <c r="AO15" s="5">
        <f t="shared" si="14"/>
        <v>1341.8243521579225</v>
      </c>
      <c r="AP15" s="5">
        <f t="shared" si="14"/>
        <v>1328.4061086363433</v>
      </c>
      <c r="AQ15" s="5">
        <f t="shared" si="14"/>
        <v>1315.1220475499799</v>
      </c>
      <c r="AR15" s="5">
        <f t="shared" si="14"/>
        <v>1301.9708270744802</v>
      </c>
      <c r="AS15" s="5">
        <f t="shared" si="14"/>
        <v>1288.9511188037354</v>
      </c>
      <c r="AT15" s="5">
        <f t="shared" si="14"/>
        <v>1276.061607615698</v>
      </c>
      <c r="AU15" s="5">
        <f t="shared" si="14"/>
        <v>1263.300991539541</v>
      </c>
      <c r="AV15" s="5">
        <f t="shared" si="14"/>
        <v>1250.6679816241456</v>
      </c>
      <c r="AW15" s="5">
        <f t="shared" si="14"/>
        <v>1238.161301807904</v>
      </c>
      <c r="AX15" s="5">
        <f t="shared" si="14"/>
        <v>1225.7796887898251</v>
      </c>
      <c r="AY15" s="5">
        <f t="shared" si="14"/>
        <v>1213.5218919019269</v>
      </c>
      <c r="AZ15" s="5">
        <f t="shared" si="14"/>
        <v>1201.3866729829076</v>
      </c>
      <c r="BA15" s="5">
        <f t="shared" si="14"/>
        <v>1189.3728062530786</v>
      </c>
    </row>
    <row r="16" spans="2:53" x14ac:dyDescent="0.25">
      <c r="B16" t="s">
        <v>34</v>
      </c>
      <c r="H16" s="2">
        <f>+H14/H17</f>
        <v>0.43900396404444197</v>
      </c>
      <c r="I16" s="2">
        <f>+I15/I17</f>
        <v>3.2027811264683619</v>
      </c>
      <c r="J16" s="2"/>
      <c r="K16" s="2">
        <f>+K15/K17</f>
        <v>3.0412994208008071</v>
      </c>
      <c r="L16" s="2">
        <f>+L15/L17</f>
        <v>4.1598500531527991</v>
      </c>
      <c r="M16" s="2">
        <f>+M15/M17</f>
        <v>4.5835038829235462</v>
      </c>
      <c r="N16" s="2">
        <f>+N15/N17</f>
        <v>5.2985587397352392</v>
      </c>
      <c r="O16" s="2">
        <f>+O15/O17</f>
        <v>4.8712701272379286</v>
      </c>
      <c r="T16" s="2"/>
      <c r="U16" s="2">
        <f>+U15/U17</f>
        <v>3.7299159432272253</v>
      </c>
      <c r="V16" s="2">
        <f>+V15/V17</f>
        <v>6.9751753311811111</v>
      </c>
      <c r="W16" s="2">
        <f>+W15/W17</f>
        <v>9.6866934808111296</v>
      </c>
      <c r="X16" s="2">
        <f>+X15/X17</f>
        <v>17.054326573934443</v>
      </c>
      <c r="Y16" s="2">
        <f t="shared" ref="Y16:AD16" si="15">+Y15/Y17</f>
        <v>18.887917323054566</v>
      </c>
      <c r="Z16" s="2">
        <f t="shared" si="15"/>
        <v>22.732184125579558</v>
      </c>
      <c r="AA16" s="2">
        <f t="shared" si="15"/>
        <v>27.345571021961209</v>
      </c>
      <c r="AB16" s="2">
        <f t="shared" si="15"/>
        <v>31.525165649940472</v>
      </c>
      <c r="AC16" s="2">
        <f t="shared" si="15"/>
        <v>36.332010508015351</v>
      </c>
      <c r="AD16" s="2">
        <f t="shared" si="15"/>
        <v>41.860194374843786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2:53" x14ac:dyDescent="0.25">
      <c r="B17" t="s">
        <v>1</v>
      </c>
      <c r="H17" s="2">
        <v>35.822000000000003</v>
      </c>
      <c r="I17" s="2">
        <v>35.668999999999997</v>
      </c>
      <c r="J17" s="2"/>
      <c r="K17" s="2">
        <v>35.738999999999997</v>
      </c>
      <c r="L17" s="2">
        <v>35.746000000000002</v>
      </c>
      <c r="M17" s="2">
        <v>35.668999999999997</v>
      </c>
      <c r="N17" s="2">
        <f>+X17</f>
        <v>35.802</v>
      </c>
      <c r="O17" s="2">
        <v>35.524000000000001</v>
      </c>
      <c r="T17" s="2"/>
      <c r="U17" s="2">
        <v>36.284999999999997</v>
      </c>
      <c r="V17" s="2">
        <v>35.932000000000002</v>
      </c>
      <c r="W17" s="2">
        <v>35.802</v>
      </c>
      <c r="X17" s="2">
        <f>+W17</f>
        <v>35.802</v>
      </c>
      <c r="Y17" s="2">
        <f>+X17</f>
        <v>35.802</v>
      </c>
      <c r="Z17" s="2">
        <f t="shared" ref="Z17:AD17" si="16">+Y17</f>
        <v>35.802</v>
      </c>
      <c r="AA17" s="2">
        <f t="shared" si="16"/>
        <v>35.802</v>
      </c>
      <c r="AB17" s="2">
        <f t="shared" si="16"/>
        <v>35.802</v>
      </c>
      <c r="AC17" s="2">
        <f t="shared" si="16"/>
        <v>35.802</v>
      </c>
      <c r="AD17" s="2">
        <f t="shared" si="16"/>
        <v>35.802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9" spans="2:53" x14ac:dyDescent="0.25">
      <c r="B19" t="s">
        <v>36</v>
      </c>
      <c r="H19" s="3" t="s">
        <v>64</v>
      </c>
      <c r="I19" s="3" t="s">
        <v>64</v>
      </c>
      <c r="J19" s="3" t="s">
        <v>64</v>
      </c>
      <c r="K19" s="3" t="s">
        <v>64</v>
      </c>
      <c r="L19" s="3" t="s">
        <v>64</v>
      </c>
      <c r="M19" s="3" t="s">
        <v>64</v>
      </c>
      <c r="N19" s="3" t="s">
        <v>64</v>
      </c>
      <c r="O19" s="3" t="s">
        <v>64</v>
      </c>
      <c r="Q19" t="s">
        <v>67</v>
      </c>
      <c r="R19" s="3">
        <v>0.08</v>
      </c>
    </row>
    <row r="20" spans="2:53" x14ac:dyDescent="0.25">
      <c r="B20" t="s">
        <v>37</v>
      </c>
      <c r="H20" s="3" t="s">
        <v>64</v>
      </c>
      <c r="I20" s="3" t="s">
        <v>64</v>
      </c>
      <c r="J20" s="3" t="s">
        <v>64</v>
      </c>
      <c r="K20" s="3" t="s">
        <v>64</v>
      </c>
      <c r="L20" s="3" t="s">
        <v>64</v>
      </c>
      <c r="M20" s="3" t="s">
        <v>64</v>
      </c>
      <c r="N20" s="3" t="s">
        <v>64</v>
      </c>
      <c r="O20" s="3" t="s">
        <v>64</v>
      </c>
      <c r="Q20" t="s">
        <v>68</v>
      </c>
      <c r="R20" s="4">
        <f>+NPV(R19,Y15:BA15)-main!C5+main!C6</f>
        <v>13607.913573729535</v>
      </c>
    </row>
    <row r="21" spans="2:53" x14ac:dyDescent="0.25">
      <c r="H21" s="3"/>
      <c r="I21" s="3"/>
      <c r="J21" s="3"/>
      <c r="K21" s="3"/>
      <c r="L21" s="3"/>
      <c r="M21" s="3"/>
      <c r="N21" s="3"/>
      <c r="O21" s="3"/>
      <c r="Q21" t="s">
        <v>69</v>
      </c>
      <c r="R21">
        <f>+R20/main!C3</f>
        <v>385.76818898086975</v>
      </c>
    </row>
    <row r="22" spans="2:53" x14ac:dyDescent="0.25">
      <c r="B22" t="s">
        <v>72</v>
      </c>
      <c r="H22" s="3"/>
      <c r="I22" s="3"/>
      <c r="J22" s="3"/>
      <c r="K22" s="3"/>
      <c r="L22" s="3"/>
      <c r="M22" s="3"/>
      <c r="N22" s="3"/>
      <c r="O22" s="3"/>
      <c r="U22" s="3">
        <f t="shared" ref="U22:X22" si="17">+U6/U5</f>
        <v>0.81676197181448951</v>
      </c>
      <c r="V22" s="3">
        <f t="shared" si="17"/>
        <v>0.82088338126792726</v>
      </c>
      <c r="W22" s="3">
        <f t="shared" si="17"/>
        <v>0.80976480575252174</v>
      </c>
      <c r="X22" s="3">
        <f>+X6/X5</f>
        <v>0.7899087809051214</v>
      </c>
    </row>
    <row r="23" spans="2:53" x14ac:dyDescent="0.25">
      <c r="B23" t="s">
        <v>73</v>
      </c>
      <c r="H23" s="3"/>
      <c r="I23" s="3"/>
      <c r="J23" s="3"/>
      <c r="K23" s="3"/>
      <c r="L23" s="3"/>
      <c r="M23" s="3"/>
      <c r="N23" s="3"/>
      <c r="O23" s="3"/>
      <c r="U23" s="3">
        <f t="shared" ref="U23:X23" si="18">+U8/U5</f>
        <v>0.12243121827047836</v>
      </c>
      <c r="V23" s="3">
        <f t="shared" si="18"/>
        <v>0.11818864235125222</v>
      </c>
      <c r="W23" s="3">
        <f t="shared" si="18"/>
        <v>0.1103225422335579</v>
      </c>
      <c r="X23" s="3">
        <f>+X8/X5</f>
        <v>0.10388822388009578</v>
      </c>
    </row>
    <row r="24" spans="2:53" x14ac:dyDescent="0.25">
      <c r="B24" t="s">
        <v>38</v>
      </c>
      <c r="H24" s="3">
        <f t="shared" ref="H24:N24" si="19">+H7/H5</f>
        <v>0.1758058668805875</v>
      </c>
      <c r="I24" s="3">
        <f t="shared" si="19"/>
        <v>0.20157765193843222</v>
      </c>
      <c r="J24" s="3" t="e">
        <f t="shared" si="19"/>
        <v>#VALUE!</v>
      </c>
      <c r="K24" s="3">
        <f t="shared" si="19"/>
        <v>0.1934677322812515</v>
      </c>
      <c r="L24" s="3">
        <f t="shared" si="19"/>
        <v>0.20084958763513028</v>
      </c>
      <c r="M24" s="3">
        <f t="shared" si="19"/>
        <v>0.2106163986744399</v>
      </c>
      <c r="N24" s="3">
        <f t="shared" si="19"/>
        <v>0.23221815565230658</v>
      </c>
      <c r="O24" s="3">
        <f>+O7/O5</f>
        <v>0.22029109598391522</v>
      </c>
      <c r="U24" s="3">
        <f t="shared" ref="U24:AD24" si="20">+U7/U5</f>
        <v>0.18323802818551055</v>
      </c>
      <c r="V24" s="3">
        <f t="shared" si="20"/>
        <v>0.1791166187320728</v>
      </c>
      <c r="W24" s="3">
        <f t="shared" si="20"/>
        <v>0.19023519424747828</v>
      </c>
      <c r="X24" s="3">
        <f t="shared" si="20"/>
        <v>0.21009121909487857</v>
      </c>
      <c r="Y24" s="3">
        <f t="shared" si="20"/>
        <v>0.19999999999999993</v>
      </c>
      <c r="Z24" s="3">
        <f t="shared" si="20"/>
        <v>0.19999999999999993</v>
      </c>
      <c r="AA24" s="3">
        <f t="shared" si="20"/>
        <v>0.19999999999999993</v>
      </c>
      <c r="AB24" s="3">
        <f t="shared" si="20"/>
        <v>0.2</v>
      </c>
      <c r="AC24" s="3">
        <f t="shared" si="20"/>
        <v>0.2</v>
      </c>
      <c r="AD24" s="3">
        <f t="shared" si="20"/>
        <v>0.2</v>
      </c>
    </row>
    <row r="25" spans="2:53" x14ac:dyDescent="0.25">
      <c r="B25" t="s">
        <v>39</v>
      </c>
      <c r="H25" s="3">
        <f t="shared" ref="H25:N25" si="21">+H10/H5</f>
        <v>0.10477850713112161</v>
      </c>
      <c r="I25" s="3">
        <f t="shared" si="21"/>
        <v>0.10329694570299915</v>
      </c>
      <c r="J25" s="3" t="e">
        <f t="shared" si="21"/>
        <v>#VALUE!</v>
      </c>
      <c r="K25" s="3">
        <f t="shared" si="21"/>
        <v>0.10533592363384638</v>
      </c>
      <c r="L25" s="3">
        <f t="shared" si="21"/>
        <v>9.8838307674461015E-2</v>
      </c>
      <c r="M25" s="3">
        <f t="shared" si="21"/>
        <v>9.8672122518299279E-2</v>
      </c>
      <c r="N25" s="3">
        <f t="shared" si="21"/>
        <v>0.11103038648594814</v>
      </c>
      <c r="O25" s="3">
        <f>+O10/O5</f>
        <v>0.10611013244244753</v>
      </c>
      <c r="U25" s="3">
        <f t="shared" ref="U25:AD25" si="22">+U10/U5</f>
        <v>0.12193018301451441</v>
      </c>
      <c r="V25" s="3">
        <f t="shared" si="22"/>
        <v>0.11780582576797598</v>
      </c>
      <c r="W25" s="3">
        <f t="shared" si="22"/>
        <v>0.10988042467868693</v>
      </c>
      <c r="X25" s="3">
        <f t="shared" si="22"/>
        <v>0.10345705912051496</v>
      </c>
      <c r="Y25" s="3">
        <f t="shared" si="22"/>
        <v>0.1</v>
      </c>
      <c r="Z25" s="3">
        <f t="shared" si="22"/>
        <v>0.1</v>
      </c>
      <c r="AA25" s="3">
        <f t="shared" si="22"/>
        <v>0.1</v>
      </c>
      <c r="AB25" s="3">
        <f t="shared" si="22"/>
        <v>0.1</v>
      </c>
      <c r="AC25" s="3">
        <f t="shared" si="22"/>
        <v>0.1</v>
      </c>
      <c r="AD25" s="3">
        <f t="shared" si="22"/>
        <v>0.1</v>
      </c>
    </row>
    <row r="26" spans="2:53" x14ac:dyDescent="0.25">
      <c r="B26" t="s">
        <v>40</v>
      </c>
      <c r="H26" s="3">
        <f t="shared" ref="H26:O26" si="23">+H14/H13</f>
        <v>0.17818618564176925</v>
      </c>
      <c r="I26" s="3">
        <f t="shared" si="23"/>
        <v>0.15096653363358675</v>
      </c>
      <c r="J26" s="3" t="e">
        <f t="shared" si="23"/>
        <v>#DIV/0!</v>
      </c>
      <c r="K26" s="3">
        <f t="shared" si="23"/>
        <v>0.19742302296389272</v>
      </c>
      <c r="L26" s="3">
        <f t="shared" si="23"/>
        <v>0.19336674912120819</v>
      </c>
      <c r="M26" s="3">
        <f t="shared" si="23"/>
        <v>0.20274935874303887</v>
      </c>
      <c r="N26" s="3">
        <f t="shared" si="23"/>
        <v>0.17474452618253081</v>
      </c>
      <c r="O26" s="3">
        <f>+O14/O13</f>
        <v>0.18285403976011694</v>
      </c>
      <c r="U26" s="3">
        <f t="shared" ref="U26:AD26" si="24">+U14/U13</f>
        <v>0.25745887878156121</v>
      </c>
      <c r="V26" s="3">
        <f t="shared" si="24"/>
        <v>-4.1942604856512196E-2</v>
      </c>
      <c r="W26" s="3">
        <f t="shared" si="24"/>
        <v>0.15742506663038539</v>
      </c>
      <c r="X26" s="3">
        <f t="shared" si="24"/>
        <v>0.1909721256063609</v>
      </c>
      <c r="Y26" s="3">
        <f t="shared" si="24"/>
        <v>0.2</v>
      </c>
      <c r="Z26" s="3">
        <f t="shared" si="24"/>
        <v>0.2</v>
      </c>
      <c r="AA26" s="3">
        <f t="shared" si="24"/>
        <v>0.2</v>
      </c>
      <c r="AB26" s="3">
        <f t="shared" si="24"/>
        <v>0.19999999999999998</v>
      </c>
      <c r="AC26" s="3">
        <f t="shared" si="24"/>
        <v>0.2</v>
      </c>
      <c r="AD26" s="3">
        <f t="shared" si="24"/>
        <v>0.2</v>
      </c>
    </row>
    <row r="28" spans="2:53" s="1" customFormat="1" x14ac:dyDescent="0.25">
      <c r="B28" s="1" t="s">
        <v>41</v>
      </c>
      <c r="U28" s="6">
        <f t="shared" ref="U28:V28" si="25">+U29-U41</f>
        <v>0</v>
      </c>
      <c r="V28" s="6">
        <f t="shared" si="25"/>
        <v>-199.03100000000001</v>
      </c>
      <c r="W28" s="6">
        <f>+W29-W41</f>
        <v>160.93800000000002</v>
      </c>
      <c r="X28" s="6">
        <f>+X29-X41</f>
        <v>396.88</v>
      </c>
      <c r="Y28" s="6">
        <f>+X28+Y15</f>
        <v>1073.1052159999995</v>
      </c>
      <c r="Z28" s="6">
        <f t="shared" ref="Z28:AK28" si="26">+Y28+Z15</f>
        <v>1886.9628720639989</v>
      </c>
      <c r="AA28" s="6">
        <f t="shared" si="26"/>
        <v>2865.9890057922539</v>
      </c>
      <c r="AB28" s="6">
        <f t="shared" si="26"/>
        <v>3994.6529863914229</v>
      </c>
      <c r="AC28" s="6">
        <f t="shared" si="26"/>
        <v>5295.4116265993889</v>
      </c>
      <c r="AD28" s="6">
        <f t="shared" si="26"/>
        <v>6794.0903056075458</v>
      </c>
      <c r="AE28" s="6">
        <f t="shared" si="26"/>
        <v>8277.7821978256216</v>
      </c>
      <c r="AF28" s="6">
        <f t="shared" si="26"/>
        <v>9746.6371711215161</v>
      </c>
      <c r="AG28" s="6">
        <f t="shared" si="26"/>
        <v>11200.803594684452</v>
      </c>
      <c r="AH28" s="6">
        <f t="shared" si="26"/>
        <v>12640.428354011758</v>
      </c>
      <c r="AI28" s="6">
        <f t="shared" si="26"/>
        <v>14065.65686574579</v>
      </c>
      <c r="AJ28" s="6">
        <f t="shared" si="26"/>
        <v>15476.633092362483</v>
      </c>
      <c r="AK28" s="6">
        <f t="shared" si="26"/>
        <v>16873.49955671301</v>
      </c>
    </row>
    <row r="29" spans="2:53" x14ac:dyDescent="0.25">
      <c r="B29" t="s">
        <v>42</v>
      </c>
      <c r="U29" s="7"/>
      <c r="V29" s="7">
        <v>57.213999999999999</v>
      </c>
      <c r="W29" s="7">
        <v>205.15</v>
      </c>
      <c r="X29" s="7">
        <v>549.93899999999996</v>
      </c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2:53" x14ac:dyDescent="0.25">
      <c r="B30" t="s">
        <v>48</v>
      </c>
      <c r="U30" s="7"/>
      <c r="V30" s="7">
        <f>1024.082+77.03+38.369</f>
        <v>1139.481</v>
      </c>
      <c r="W30" s="7">
        <f>1318.926+72.774+166.319</f>
        <v>1558.0189999999998</v>
      </c>
      <c r="X30" s="7">
        <f>1861.212+95.786+86.186</f>
        <v>2043.184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2:53" x14ac:dyDescent="0.25">
      <c r="B31" t="s">
        <v>49</v>
      </c>
      <c r="U31" s="7"/>
      <c r="V31" s="7">
        <v>35.308999999999997</v>
      </c>
      <c r="W31" s="7">
        <v>65.537999999999997</v>
      </c>
      <c r="X31" s="7">
        <v>59.223999999999997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2:53" x14ac:dyDescent="0.25">
      <c r="B32" t="s">
        <v>50</v>
      </c>
      <c r="U32" s="7"/>
      <c r="V32" s="7">
        <v>48.456000000000003</v>
      </c>
      <c r="W32" s="7">
        <v>54.308999999999997</v>
      </c>
      <c r="X32" s="7">
        <v>46.213000000000001</v>
      </c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2:37" x14ac:dyDescent="0.25">
      <c r="B33" t="s">
        <v>51</v>
      </c>
      <c r="U33" s="7"/>
      <c r="V33" s="7">
        <v>27.210999999999999</v>
      </c>
      <c r="W33" s="7">
        <v>28.084</v>
      </c>
      <c r="X33" s="7">
        <v>91.680999999999997</v>
      </c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2:37" x14ac:dyDescent="0.25">
      <c r="B34" t="s">
        <v>53</v>
      </c>
      <c r="U34" s="7"/>
      <c r="V34" s="7">
        <v>143.94900000000001</v>
      </c>
      <c r="W34" s="7">
        <v>208.56800000000001</v>
      </c>
      <c r="X34" s="7">
        <v>277.18</v>
      </c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2:37" x14ac:dyDescent="0.25">
      <c r="B35" t="s">
        <v>54</v>
      </c>
      <c r="U35" s="7"/>
      <c r="V35" s="7">
        <v>130.66</v>
      </c>
      <c r="W35" s="7">
        <v>205.71199999999999</v>
      </c>
      <c r="X35" s="7">
        <v>229.10599999999999</v>
      </c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2:37" x14ac:dyDescent="0.25">
      <c r="B36" t="s">
        <v>55</v>
      </c>
      <c r="U36" s="7"/>
      <c r="V36" s="7">
        <f>611.789+273.901</f>
        <v>885.69</v>
      </c>
      <c r="W36" s="7">
        <f>660.834+280.397</f>
        <v>941.23099999999999</v>
      </c>
      <c r="X36" s="7">
        <f>875.27+434.417</f>
        <v>1309.6869999999999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2:37" x14ac:dyDescent="0.25">
      <c r="B37" t="s">
        <v>56</v>
      </c>
      <c r="U37" s="7"/>
      <c r="V37" s="7">
        <v>115.66500000000001</v>
      </c>
      <c r="W37" s="7">
        <v>17.722999999999999</v>
      </c>
      <c r="X37" s="7">
        <v>85.441000000000003</v>
      </c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2:37" x14ac:dyDescent="0.25">
      <c r="B38" t="s">
        <v>57</v>
      </c>
      <c r="U38" s="7"/>
      <c r="V38" s="7">
        <v>13.837</v>
      </c>
      <c r="W38" s="7">
        <v>15.244999999999999</v>
      </c>
      <c r="X38" s="7">
        <v>19.433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2:37" x14ac:dyDescent="0.25">
      <c r="B39" t="s">
        <v>52</v>
      </c>
      <c r="U39" s="7"/>
      <c r="V39" s="7">
        <f>+SUM(V29:V38)</f>
        <v>2597.4720000000002</v>
      </c>
      <c r="W39" s="7">
        <f>+SUM(W29:W38)</f>
        <v>3299.5789999999997</v>
      </c>
      <c r="X39" s="7">
        <f>+SUM(X29:X38)</f>
        <v>4711.0879999999997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1" spans="2:37" x14ac:dyDescent="0.25">
      <c r="B41" t="s">
        <v>4</v>
      </c>
      <c r="V41">
        <f>9+247.245</f>
        <v>256.245</v>
      </c>
      <c r="W41">
        <f>4.867+39.345</f>
        <v>44.211999999999996</v>
      </c>
      <c r="X41">
        <f>6.042+147.017</f>
        <v>153.059</v>
      </c>
    </row>
    <row r="42" spans="2:37" x14ac:dyDescent="0.25">
      <c r="B42" t="s">
        <v>58</v>
      </c>
      <c r="V42">
        <v>337.38499999999999</v>
      </c>
      <c r="W42">
        <v>419.96199999999999</v>
      </c>
      <c r="X42">
        <v>654.94299999999998</v>
      </c>
    </row>
    <row r="43" spans="2:37" x14ac:dyDescent="0.25">
      <c r="B43" t="s">
        <v>59</v>
      </c>
      <c r="V43">
        <f>127.765+27.644</f>
        <v>155.40899999999999</v>
      </c>
      <c r="W43">
        <f>169.136+27.774</f>
        <v>196.91</v>
      </c>
      <c r="X43">
        <f>228.622+42.315</f>
        <v>270.93700000000001</v>
      </c>
    </row>
    <row r="44" spans="2:37" x14ac:dyDescent="0.25">
      <c r="B44" t="s">
        <v>60</v>
      </c>
      <c r="V44">
        <v>548.29300000000001</v>
      </c>
      <c r="W44">
        <v>909.53800000000001</v>
      </c>
      <c r="X44">
        <v>1149.2570000000001</v>
      </c>
    </row>
    <row r="45" spans="2:37" x14ac:dyDescent="0.25">
      <c r="B45" t="s">
        <v>54</v>
      </c>
      <c r="V45">
        <v>111.744</v>
      </c>
      <c r="W45">
        <v>188.136</v>
      </c>
      <c r="X45">
        <v>212.107</v>
      </c>
    </row>
    <row r="46" spans="2:37" x14ac:dyDescent="0.25">
      <c r="B46" t="s">
        <v>56</v>
      </c>
      <c r="V46">
        <v>0</v>
      </c>
      <c r="W46">
        <v>1.1200000000000001</v>
      </c>
      <c r="X46">
        <v>62.292999999999999</v>
      </c>
    </row>
    <row r="47" spans="2:37" x14ac:dyDescent="0.25">
      <c r="B47" t="s">
        <v>57</v>
      </c>
      <c r="V47">
        <f>120.715+67.764</f>
        <v>188.47899999999998</v>
      </c>
      <c r="W47">
        <f>77.944+189.928</f>
        <v>267.87200000000001</v>
      </c>
      <c r="X47">
        <f>501.591+2.225</f>
        <v>503.81600000000003</v>
      </c>
    </row>
    <row r="48" spans="2:37" x14ac:dyDescent="0.25">
      <c r="B48" t="s">
        <v>61</v>
      </c>
      <c r="V48">
        <f>+SUM(V41:V47)</f>
        <v>1597.5549999999998</v>
      </c>
      <c r="W48">
        <f>+SUM(W41:W47)</f>
        <v>2027.7499999999998</v>
      </c>
      <c r="X48">
        <f>+SUM(X41:X47)</f>
        <v>3006.4120000000003</v>
      </c>
    </row>
    <row r="49" spans="2:25" x14ac:dyDescent="0.25">
      <c r="B49" t="s">
        <v>62</v>
      </c>
      <c r="V49">
        <f>+V39-V48</f>
        <v>999.91700000000037</v>
      </c>
      <c r="W49">
        <f>+W39-W48</f>
        <v>1271.829</v>
      </c>
      <c r="X49">
        <f>+X39-X48</f>
        <v>1704.6759999999995</v>
      </c>
    </row>
    <row r="50" spans="2:25" x14ac:dyDescent="0.25">
      <c r="B50" t="s">
        <v>63</v>
      </c>
      <c r="V50">
        <f>+V48+V49</f>
        <v>2597.4720000000002</v>
      </c>
      <c r="W50">
        <f>+W48+W49</f>
        <v>3299.5789999999997</v>
      </c>
      <c r="X50">
        <f>+X48+X49</f>
        <v>4711.0879999999997</v>
      </c>
    </row>
    <row r="52" spans="2:25" x14ac:dyDescent="0.25">
      <c r="B52" t="s">
        <v>65</v>
      </c>
      <c r="V52" s="3">
        <f>+V15/V39</f>
        <v>9.6490741767379845E-2</v>
      </c>
      <c r="W52" s="3">
        <f>+W15/W39</f>
        <v>0.10510522706078566</v>
      </c>
      <c r="X52" s="3">
        <f>+X15/X39</f>
        <v>0.12960466881535665</v>
      </c>
    </row>
    <row r="53" spans="2:25" x14ac:dyDescent="0.25">
      <c r="B53" t="s">
        <v>66</v>
      </c>
      <c r="V53" s="3">
        <f>+V15/V49</f>
        <v>0.25065280418274677</v>
      </c>
      <c r="W53" s="3">
        <f>+W15/W49</f>
        <v>0.27268052544799659</v>
      </c>
      <c r="X53" s="3">
        <f>+X15/X49</f>
        <v>0.35817891493750192</v>
      </c>
    </row>
    <row r="55" spans="2:25" x14ac:dyDescent="0.25">
      <c r="B55" t="s">
        <v>43</v>
      </c>
      <c r="U55" s="2">
        <v>180.15100000000001</v>
      </c>
      <c r="V55" s="2">
        <v>301.53100000000001</v>
      </c>
      <c r="W55" s="2">
        <v>639.56799999999998</v>
      </c>
      <c r="X55" s="2">
        <v>849.05700000000002</v>
      </c>
      <c r="Y55" s="2"/>
    </row>
    <row r="56" spans="2:25" x14ac:dyDescent="0.25">
      <c r="B56" t="s">
        <v>44</v>
      </c>
      <c r="U56" s="2">
        <v>-246.72200000000001</v>
      </c>
      <c r="V56" s="2">
        <v>-97.177999999999997</v>
      </c>
      <c r="W56" s="2">
        <v>-193.00800000000001</v>
      </c>
      <c r="X56" s="2">
        <v>-343.50900000000001</v>
      </c>
      <c r="Y56" s="2"/>
    </row>
    <row r="57" spans="2:25" x14ac:dyDescent="0.25">
      <c r="B57" t="s">
        <v>45</v>
      </c>
      <c r="U57" s="2">
        <v>70.450999999999993</v>
      </c>
      <c r="V57" s="2">
        <v>-205.91499999999999</v>
      </c>
      <c r="W57" s="2">
        <v>-298.62400000000002</v>
      </c>
      <c r="X57" s="2">
        <v>-160.75899999999999</v>
      </c>
      <c r="Y57" s="2"/>
    </row>
    <row r="58" spans="2:25" x14ac:dyDescent="0.25">
      <c r="B58" t="s">
        <v>46</v>
      </c>
      <c r="U58" s="2">
        <f>-22.33+3.101</f>
        <v>-19.228999999999999</v>
      </c>
      <c r="V58" s="2">
        <f>-48.359+2.858</f>
        <v>-45.501000000000005</v>
      </c>
      <c r="W58" s="2">
        <f>-94.838+5.951</f>
        <v>-88.887</v>
      </c>
      <c r="X58" s="2">
        <f>-111.071+5.538</f>
        <v>-105.533</v>
      </c>
      <c r="Y58" s="2"/>
    </row>
    <row r="59" spans="2:25" x14ac:dyDescent="0.25">
      <c r="B59" t="s">
        <v>47</v>
      </c>
      <c r="U59" s="2">
        <f>+U55+U56+U57+U58</f>
        <v>-15.349000000000004</v>
      </c>
      <c r="V59" s="2">
        <f t="shared" ref="V59:Y59" si="27">+V55+V56+V57+V58</f>
        <v>-47.062999999999988</v>
      </c>
      <c r="W59" s="2">
        <f t="shared" si="27"/>
        <v>59.048999999999921</v>
      </c>
      <c r="X59" s="2">
        <f t="shared" si="27"/>
        <v>239.25599999999997</v>
      </c>
      <c r="Y59" s="2">
        <f t="shared" si="27"/>
        <v>0</v>
      </c>
    </row>
    <row r="82" spans="22:22" x14ac:dyDescent="0.25">
      <c r="V8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2015-06-05T18:17:20Z</dcterms:created>
  <dcterms:modified xsi:type="dcterms:W3CDTF">2025-04-26T15:25:08Z</dcterms:modified>
</cp:coreProperties>
</file>