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academiafaedupt-my.sharepoint.com/personal/sbclemente_academiafa_edu_pt/Documents/Gigs/WorkingFolder/Finance/Stocks/"/>
    </mc:Choice>
  </mc:AlternateContent>
  <xr:revisionPtr revIDLastSave="1224" documentId="11_FE4855BF84DCCE436F107A399131F45B7AFB1D1F" xr6:coauthVersionLast="47" xr6:coauthVersionMax="47" xr10:uidLastSave="{664AAD94-BA24-4EA1-9FF7-8ED9206CD791}"/>
  <bookViews>
    <workbookView xWindow="32655" yWindow="3855" windowWidth="21600" windowHeight="11295" activeTab="1" xr2:uid="{00000000-000D-0000-FFFF-FFFF00000000}"/>
  </bookViews>
  <sheets>
    <sheet name="main" sheetId="1" r:id="rId1"/>
    <sheet name="model" sheetId="2" r:id="rId2"/>
    <sheet name="Competito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4" i="2" l="1"/>
  <c r="L51" i="2"/>
  <c r="L52" i="2" s="1"/>
  <c r="L55" i="2" s="1"/>
  <c r="L46" i="2"/>
  <c r="L50" i="2"/>
  <c r="L47" i="2"/>
  <c r="M50" i="2"/>
  <c r="V64" i="2"/>
  <c r="W51" i="2"/>
  <c r="W52" i="2" s="1"/>
  <c r="V51" i="2"/>
  <c r="V52" i="2" s="1"/>
  <c r="V15" i="2"/>
  <c r="W64" i="2"/>
  <c r="W75" i="2" s="1"/>
  <c r="V78" i="2"/>
  <c r="U78" i="2"/>
  <c r="M46" i="2"/>
  <c r="M47" i="2"/>
  <c r="M37" i="2"/>
  <c r="M41" i="2" s="1"/>
  <c r="Y9" i="2"/>
  <c r="X9" i="2"/>
  <c r="Z7" i="2"/>
  <c r="AA7" i="2" s="1"/>
  <c r="AB7" i="2" s="1"/>
  <c r="AC7" i="2" s="1"/>
  <c r="AD7" i="2" s="1"/>
  <c r="AE7" i="2" s="1"/>
  <c r="AF7" i="2" s="1"/>
  <c r="AG7" i="2" s="1"/>
  <c r="AH7" i="2" s="1"/>
  <c r="V79" i="2" l="1"/>
  <c r="M51" i="2"/>
  <c r="M52" i="2" s="1"/>
  <c r="AB9" i="2"/>
  <c r="AC9" i="2"/>
  <c r="AA9" i="2"/>
  <c r="Z9" i="2"/>
  <c r="W17" i="2" l="1"/>
  <c r="I15" i="2"/>
  <c r="M15" i="2"/>
  <c r="V31" i="2"/>
  <c r="W12" i="2"/>
  <c r="X12" i="2" s="1"/>
  <c r="Y12" i="2" s="1"/>
  <c r="Z12" i="2" s="1"/>
  <c r="AA12" i="2" s="1"/>
  <c r="AB12" i="2" s="1"/>
  <c r="AC12" i="2" s="1"/>
  <c r="W11" i="2"/>
  <c r="X11" i="2" s="1"/>
  <c r="Y11" i="2" s="1"/>
  <c r="Z11" i="2" s="1"/>
  <c r="AA11" i="2" s="1"/>
  <c r="AB11" i="2" s="1"/>
  <c r="AC11" i="2" s="1"/>
  <c r="W10" i="2"/>
  <c r="X10" i="2" s="1"/>
  <c r="Y10" i="2" s="1"/>
  <c r="Z10" i="2" s="1"/>
  <c r="AA10" i="2" s="1"/>
  <c r="AB10" i="2" s="1"/>
  <c r="AC10" i="2" s="1"/>
  <c r="W8" i="2"/>
  <c r="W7" i="2"/>
  <c r="M31" i="2"/>
  <c r="M25" i="2"/>
  <c r="M24" i="2"/>
  <c r="M23" i="2"/>
  <c r="M13" i="2"/>
  <c r="M9" i="2"/>
  <c r="M22" i="2" s="1"/>
  <c r="W9" i="2" l="1"/>
  <c r="M14" i="2"/>
  <c r="M16" i="2" s="1"/>
  <c r="M18" i="2" l="1"/>
  <c r="M26" i="2"/>
  <c r="M55" i="2" l="1"/>
  <c r="M54" i="2"/>
  <c r="M19" i="2"/>
  <c r="I19" i="3" l="1"/>
  <c r="G19" i="3"/>
  <c r="I10" i="3"/>
  <c r="I11" i="3" s="1"/>
  <c r="H9" i="3"/>
  <c r="D7" i="2"/>
  <c r="D24" i="2" s="1"/>
  <c r="C7" i="2"/>
  <c r="B7" i="2"/>
  <c r="B25" i="2" s="1"/>
  <c r="Z26" i="2"/>
  <c r="W26" i="2"/>
  <c r="X25" i="2"/>
  <c r="L31" i="2"/>
  <c r="L37" i="2"/>
  <c r="L41" i="2" s="1"/>
  <c r="K25" i="2"/>
  <c r="J25" i="2"/>
  <c r="H25" i="2"/>
  <c r="G25" i="2"/>
  <c r="F25" i="2"/>
  <c r="K9" i="2"/>
  <c r="K22" i="2" s="1"/>
  <c r="K13" i="2"/>
  <c r="K15" i="2"/>
  <c r="K24" i="2"/>
  <c r="J9" i="2"/>
  <c r="J22" i="2" s="1"/>
  <c r="J13" i="2"/>
  <c r="J15" i="2"/>
  <c r="J24" i="2"/>
  <c r="H9" i="2"/>
  <c r="H22" i="2" s="1"/>
  <c r="H13" i="2"/>
  <c r="H15" i="2"/>
  <c r="H24" i="2"/>
  <c r="G9" i="2"/>
  <c r="G22" i="2" s="1"/>
  <c r="G13" i="2"/>
  <c r="G15" i="2"/>
  <c r="G24" i="2"/>
  <c r="F9" i="2"/>
  <c r="F22" i="2" s="1"/>
  <c r="F13" i="2"/>
  <c r="F15" i="2"/>
  <c r="F24" i="2"/>
  <c r="K23" i="2"/>
  <c r="J23" i="2"/>
  <c r="H23" i="2"/>
  <c r="G23" i="2"/>
  <c r="F23" i="2"/>
  <c r="K28" i="2"/>
  <c r="J28" i="2"/>
  <c r="L25" i="2"/>
  <c r="L9" i="2"/>
  <c r="L22" i="2" s="1"/>
  <c r="L13" i="2"/>
  <c r="L15" i="2"/>
  <c r="L24" i="2"/>
  <c r="L23" i="2"/>
  <c r="L28" i="2"/>
  <c r="B13" i="2"/>
  <c r="V20" i="2"/>
  <c r="W20" i="2" s="1"/>
  <c r="X20" i="2" s="1"/>
  <c r="V17" i="2"/>
  <c r="U20" i="2"/>
  <c r="U17" i="2"/>
  <c r="V2" i="2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E12" i="2"/>
  <c r="U12" i="2" s="1"/>
  <c r="B15" i="2"/>
  <c r="C13" i="2"/>
  <c r="C15" i="2"/>
  <c r="D13" i="2"/>
  <c r="D15" i="2"/>
  <c r="E8" i="2"/>
  <c r="U8" i="2" s="1"/>
  <c r="E10" i="2"/>
  <c r="E11" i="2"/>
  <c r="U11" i="2" s="1"/>
  <c r="I9" i="2"/>
  <c r="I22" i="2" s="1"/>
  <c r="V10" i="2"/>
  <c r="I24" i="2"/>
  <c r="L4" i="1"/>
  <c r="L7" i="1"/>
  <c r="X8" i="2"/>
  <c r="Y8" i="2" s="1"/>
  <c r="V7" i="2"/>
  <c r="X26" i="2"/>
  <c r="W23" i="2"/>
  <c r="Y26" i="2"/>
  <c r="W25" i="2"/>
  <c r="P9" i="1" l="1"/>
  <c r="O9" i="1"/>
  <c r="N9" i="1"/>
  <c r="J14" i="2"/>
  <c r="J16" i="2" s="1"/>
  <c r="J26" i="2" s="1"/>
  <c r="B9" i="2"/>
  <c r="B22" i="2" s="1"/>
  <c r="B23" i="2"/>
  <c r="B24" i="2"/>
  <c r="D25" i="2"/>
  <c r="K14" i="2"/>
  <c r="K16" i="2" s="1"/>
  <c r="W15" i="2"/>
  <c r="V8" i="2"/>
  <c r="V9" i="2" s="1"/>
  <c r="G14" i="2"/>
  <c r="G16" i="2" s="1"/>
  <c r="Y23" i="2"/>
  <c r="Z8" i="2"/>
  <c r="AA8" i="2" s="1"/>
  <c r="V24" i="2"/>
  <c r="V11" i="2"/>
  <c r="V25" i="2" s="1"/>
  <c r="C23" i="2"/>
  <c r="C9" i="2"/>
  <c r="U10" i="2"/>
  <c r="C24" i="2"/>
  <c r="F14" i="2"/>
  <c r="F16" i="2" s="1"/>
  <c r="F18" i="2" s="1"/>
  <c r="F19" i="2" s="1"/>
  <c r="X23" i="2"/>
  <c r="H28" i="2"/>
  <c r="D23" i="2"/>
  <c r="D9" i="2"/>
  <c r="L14" i="2"/>
  <c r="L16" i="2" s="1"/>
  <c r="E7" i="2"/>
  <c r="E23" i="2" s="1"/>
  <c r="I23" i="2"/>
  <c r="M28" i="2"/>
  <c r="G28" i="2"/>
  <c r="C25" i="2"/>
  <c r="I25" i="2"/>
  <c r="V12" i="2"/>
  <c r="V26" i="2" s="1"/>
  <c r="I13" i="2"/>
  <c r="E15" i="2"/>
  <c r="U15" i="2" s="1"/>
  <c r="Y20" i="2"/>
  <c r="H14" i="2"/>
  <c r="H16" i="2" s="1"/>
  <c r="E13" i="2"/>
  <c r="W24" i="2"/>
  <c r="J18" i="2" l="1"/>
  <c r="L18" i="2"/>
  <c r="K18" i="2"/>
  <c r="AA23" i="2"/>
  <c r="B14" i="2"/>
  <c r="B16" i="2" s="1"/>
  <c r="J19" i="2"/>
  <c r="J29" i="2"/>
  <c r="AA26" i="2"/>
  <c r="Z23" i="2"/>
  <c r="U7" i="2"/>
  <c r="U9" i="2" s="1"/>
  <c r="U23" i="2" s="1"/>
  <c r="Y25" i="2"/>
  <c r="L26" i="2"/>
  <c r="AB8" i="2"/>
  <c r="AC8" i="2" s="1"/>
  <c r="D22" i="2"/>
  <c r="D14" i="2"/>
  <c r="D16" i="2" s="1"/>
  <c r="D18" i="2" s="1"/>
  <c r="C14" i="2"/>
  <c r="C16" i="2" s="1"/>
  <c r="C22" i="2"/>
  <c r="W13" i="2"/>
  <c r="V13" i="2"/>
  <c r="F26" i="2"/>
  <c r="U13" i="2"/>
  <c r="E25" i="2"/>
  <c r="I28" i="2"/>
  <c r="E9" i="2"/>
  <c r="E22" i="2" s="1"/>
  <c r="E24" i="2"/>
  <c r="V23" i="2"/>
  <c r="G18" i="2"/>
  <c r="G26" i="2"/>
  <c r="I14" i="2"/>
  <c r="I16" i="2" s="1"/>
  <c r="Z25" i="2"/>
  <c r="H18" i="2"/>
  <c r="H26" i="2"/>
  <c r="Z20" i="2"/>
  <c r="AA20" i="2" s="1"/>
  <c r="AB20" i="2" s="1"/>
  <c r="AC20" i="2" s="1"/>
  <c r="AB23" i="2" l="1"/>
  <c r="H29" i="2"/>
  <c r="K29" i="2"/>
  <c r="L19" i="2"/>
  <c r="L29" i="2"/>
  <c r="K26" i="2"/>
  <c r="U24" i="2"/>
  <c r="B18" i="2"/>
  <c r="B19" i="2" s="1"/>
  <c r="B26" i="2"/>
  <c r="V14" i="2"/>
  <c r="V16" i="2" s="1"/>
  <c r="V18" i="2" s="1"/>
  <c r="K19" i="2"/>
  <c r="U25" i="2"/>
  <c r="D26" i="2"/>
  <c r="U14" i="2"/>
  <c r="U16" i="2" s="1"/>
  <c r="U26" i="2"/>
  <c r="AB26" i="2"/>
  <c r="X13" i="2"/>
  <c r="W14" i="2"/>
  <c r="W16" i="2" s="1"/>
  <c r="W18" i="2" s="1"/>
  <c r="W29" i="2" s="1"/>
  <c r="E14" i="2"/>
  <c r="E16" i="2" s="1"/>
  <c r="C18" i="2"/>
  <c r="C26" i="2"/>
  <c r="X24" i="2"/>
  <c r="I18" i="2"/>
  <c r="I26" i="2"/>
  <c r="H19" i="2"/>
  <c r="G19" i="2"/>
  <c r="D19" i="2"/>
  <c r="AA25" i="2"/>
  <c r="V57" i="2" l="1"/>
  <c r="W57" i="2"/>
  <c r="W54" i="2"/>
  <c r="W55" i="2"/>
  <c r="U18" i="2"/>
  <c r="U19" i="2" s="1"/>
  <c r="G29" i="2"/>
  <c r="V28" i="2"/>
  <c r="M29" i="2"/>
  <c r="AC26" i="2"/>
  <c r="AC23" i="2"/>
  <c r="C19" i="2"/>
  <c r="E26" i="2"/>
  <c r="E18" i="2"/>
  <c r="I29" i="2" s="1"/>
  <c r="W28" i="2"/>
  <c r="Y24" i="2"/>
  <c r="X14" i="2"/>
  <c r="Y13" i="2"/>
  <c r="AC25" i="2"/>
  <c r="AB25" i="2"/>
  <c r="I19" i="2"/>
  <c r="V19" i="2"/>
  <c r="V29" i="2" l="1"/>
  <c r="W31" i="2"/>
  <c r="X15" i="2" s="1"/>
  <c r="Z24" i="2"/>
  <c r="E19" i="2"/>
  <c r="Z13" i="2"/>
  <c r="Y14" i="2"/>
  <c r="W19" i="2" l="1"/>
  <c r="AA24" i="2"/>
  <c r="AA13" i="2"/>
  <c r="Z14" i="2"/>
  <c r="X16" i="2"/>
  <c r="X17" i="2" l="1"/>
  <c r="X28" i="2" s="1"/>
  <c r="AB13" i="2"/>
  <c r="AA14" i="2"/>
  <c r="AB24" i="2"/>
  <c r="AC24" i="2"/>
  <c r="X18" i="2" l="1"/>
  <c r="X29" i="2" s="1"/>
  <c r="AB14" i="2"/>
  <c r="AC13" i="2"/>
  <c r="X19" i="2" l="1"/>
  <c r="X31" i="2"/>
  <c r="Y15" i="2" s="1"/>
  <c r="AC14" i="2"/>
  <c r="Y16" i="2" l="1"/>
  <c r="Y17" i="2" l="1"/>
  <c r="Y28" i="2" s="1"/>
  <c r="Y18" i="2" l="1"/>
  <c r="Y19" i="2" l="1"/>
  <c r="Y29" i="2"/>
  <c r="Y31" i="2"/>
  <c r="Z15" i="2" s="1"/>
  <c r="Z16" i="2" s="1"/>
  <c r="Z17" i="2" l="1"/>
  <c r="Z28" i="2" s="1"/>
  <c r="Z18" i="2" l="1"/>
  <c r="Z29" i="2" s="1"/>
  <c r="Z31" i="2" l="1"/>
  <c r="Z19" i="2"/>
  <c r="AA15" i="2" l="1"/>
  <c r="AA16" i="2" s="1"/>
  <c r="AA17" i="2" s="1"/>
  <c r="AA28" i="2" s="1"/>
  <c r="AA18" i="2" l="1"/>
  <c r="AA29" i="2" s="1"/>
  <c r="AA19" i="2" l="1"/>
  <c r="AA31" i="2"/>
  <c r="AB15" i="2" s="1"/>
  <c r="AB16" i="2"/>
  <c r="AB17" i="2" l="1"/>
  <c r="AB28" i="2" s="1"/>
  <c r="AB18" i="2" l="1"/>
  <c r="AB29" i="2" s="1"/>
  <c r="AB31" i="2" l="1"/>
  <c r="AC15" i="2" s="1"/>
  <c r="AC16" i="2" s="1"/>
  <c r="AB19" i="2"/>
  <c r="AC17" i="2" l="1"/>
  <c r="AC28" i="2" s="1"/>
  <c r="AC18" i="2" l="1"/>
  <c r="AD18" i="2" l="1"/>
  <c r="AC29" i="2"/>
  <c r="AC31" i="2"/>
  <c r="AC19" i="2"/>
  <c r="W78" i="2"/>
  <c r="W79" i="2" s="1"/>
  <c r="AE18" i="2" l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P24" i="2"/>
  <c r="P25" i="2" s="1"/>
  <c r="P26" i="2" s="1"/>
</calcChain>
</file>

<file path=xl/sharedStrings.xml><?xml version="1.0" encoding="utf-8"?>
<sst xmlns="http://schemas.openxmlformats.org/spreadsheetml/2006/main" count="151" uniqueCount="102">
  <si>
    <t>ADMA</t>
  </si>
  <si>
    <t>Price</t>
  </si>
  <si>
    <t>Shares</t>
  </si>
  <si>
    <t>MC</t>
  </si>
  <si>
    <t>Cash</t>
  </si>
  <si>
    <t>Debt</t>
  </si>
  <si>
    <t>EV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</si>
  <si>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</si>
  <si>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</si>
  <si>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</si>
  <si>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</si>
  <si>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</si>
  <si>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</si>
  <si>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</si>
  <si>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</si>
  <si>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</si>
  <si>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</si>
  <si>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</si>
  <si>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</si>
  <si>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BIVIGAM</t>
  </si>
  <si>
    <t>ASCENIV</t>
  </si>
  <si>
    <t>Nabi-HB</t>
  </si>
  <si>
    <t>Revenues</t>
  </si>
  <si>
    <t xml:space="preserve"> </t>
  </si>
  <si>
    <t>Cost</t>
  </si>
  <si>
    <t>Gross Income</t>
  </si>
  <si>
    <t>RD</t>
  </si>
  <si>
    <t>Plasma Exp</t>
  </si>
  <si>
    <t>SGA</t>
  </si>
  <si>
    <t>OPEX</t>
  </si>
  <si>
    <t>Operating Income</t>
  </si>
  <si>
    <t>Interest Income</t>
  </si>
  <si>
    <t>Pretax</t>
  </si>
  <si>
    <t>Taxes</t>
  </si>
  <si>
    <t xml:space="preserve">NI </t>
  </si>
  <si>
    <t>EPS</t>
  </si>
  <si>
    <t>Rev y/y</t>
  </si>
  <si>
    <t>Gross %</t>
  </si>
  <si>
    <t>DR</t>
  </si>
  <si>
    <t>RD %</t>
  </si>
  <si>
    <t>NPV</t>
  </si>
  <si>
    <t>Plasma Exp %</t>
  </si>
  <si>
    <t>Per Share</t>
  </si>
  <si>
    <t>SGA %</t>
  </si>
  <si>
    <t>Taxe rate</t>
  </si>
  <si>
    <t>NI y/y</t>
  </si>
  <si>
    <t>NC</t>
  </si>
  <si>
    <t>AR</t>
  </si>
  <si>
    <t>Inventories</t>
  </si>
  <si>
    <t>Prepaid Expenses</t>
  </si>
  <si>
    <t>PPE</t>
  </si>
  <si>
    <t>Intagibles</t>
  </si>
  <si>
    <t>Right to use</t>
  </si>
  <si>
    <t>Deposits</t>
  </si>
  <si>
    <t>Assets</t>
  </si>
  <si>
    <t>AP</t>
  </si>
  <si>
    <t>Liabilities</t>
  </si>
  <si>
    <t>S/E</t>
  </si>
  <si>
    <t>L+S/E</t>
  </si>
  <si>
    <t>ROA</t>
  </si>
  <si>
    <t>ROE</t>
  </si>
  <si>
    <t>NI calc</t>
  </si>
  <si>
    <t>NI reported</t>
  </si>
  <si>
    <t>DA</t>
  </si>
  <si>
    <t>Loss</t>
  </si>
  <si>
    <t>Interest Paid</t>
  </si>
  <si>
    <t>SBC</t>
  </si>
  <si>
    <t>Amortizations</t>
  </si>
  <si>
    <t>AE</t>
  </si>
  <si>
    <t>ONCL</t>
  </si>
  <si>
    <t>CFFO</t>
  </si>
  <si>
    <t>CFFI</t>
  </si>
  <si>
    <t>CFFF</t>
  </si>
  <si>
    <t>CapeX</t>
  </si>
  <si>
    <t>FCF</t>
  </si>
  <si>
    <t>SMMT</t>
  </si>
  <si>
    <t>ITCI</t>
  </si>
  <si>
    <t>VTRS</t>
  </si>
  <si>
    <t>GMAB</t>
  </si>
  <si>
    <t>KMDA</t>
  </si>
  <si>
    <t>TAK</t>
  </si>
  <si>
    <t>GRFS</t>
  </si>
  <si>
    <t>EV/E24</t>
  </si>
  <si>
    <t>EV/E25</t>
  </si>
  <si>
    <t>EV/E26</t>
  </si>
  <si>
    <t>Upside</t>
  </si>
  <si>
    <t>DT</t>
  </si>
  <si>
    <t>Accrued</t>
  </si>
  <si>
    <t xml:space="preserve">Lease </t>
  </si>
  <si>
    <t>Fee</t>
  </si>
  <si>
    <t xml:space="preserve">  </t>
  </si>
  <si>
    <t>Tax benefit</t>
  </si>
  <si>
    <t>Approval</t>
  </si>
  <si>
    <t>PAS</t>
  </si>
  <si>
    <t>For approvel</t>
  </si>
  <si>
    <t>mid-2025</t>
  </si>
  <si>
    <t>Yield 20% increase production</t>
  </si>
  <si>
    <t>Hepatitis B Imunoglubin, Human</t>
  </si>
  <si>
    <t>Immune Globulin Intravenous-srla 10% Liquid</t>
  </si>
  <si>
    <t>Immune Globulin Intravenous, Human</t>
  </si>
  <si>
    <t>Collects 30k-50k liters plasma year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</si>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</sst>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4" x14ac:knownFonts="1"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17" fontId="0" fillId="0" borderId="0" xfId="0" applyNumberFormat="1"/>
    <xf numFmtId="9" fontId="0" fillId="0" borderId="0" xfId="0" applyNumberFormat="1"/>
    <xf numFmtId="8" fontId="0" fillId="0" borderId="0" xfId="0" applyNumberFormat="1"/>
    <xf numFmtId="2" fontId="0" fillId="0" borderId="0" xfId="0" applyNumberFormat="1"/>
    <xf numFmtId="13" fontId="0" fillId="0" borderId="0" xfId="0" applyNumberFormat="1"/>
    <xf numFmtId="4" fontId="0" fillId="0" borderId="0" xfId="0" applyNumberFormat="1"/>
    <xf numFmtId="16" fontId="0" fillId="0" borderId="0" xfId="0" applyNumberFormat="1"/>
    <xf numFmtId="3" fontId="1" fillId="0" borderId="0" xfId="0" applyNumberFormat="1" applyFont="1"/>
    <xf numFmtId="0" fontId="0" fillId="0" borderId="0" xfId="0" applyFont="1"/>
    <xf numFmtId="9" fontId="0" fillId="0" borderId="0" xfId="0" applyNumberFormat="1" applyBorder="1"/>
    <xf numFmtId="0" fontId="2" fillId="0" borderId="0" xfId="0" applyFont="1"/>
    <xf numFmtId="3" fontId="2" fillId="0" borderId="0" xfId="0" applyNumberFormat="1" applyFont="1"/>
    <xf numFmtId="0" fontId="3" fillId="0" borderId="0" xfId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9"/>
  <sheetViews>
    <sheetView workbookViewId="0"/>
  </sheetViews>
  <sheetFormatPr defaultRowHeight="15" x14ac:dyDescent="0.25"/>
  <cols>
    <col min="12" max="12" width="9.28515625" bestFit="1" customWidth="1"/>
  </cols>
  <sheetData>
    <row r="2" spans="2:16" x14ac:dyDescent="0.25">
      <c r="B2" t="s">
        <v>0</v>
      </c>
      <c r="K2" t="s">
        <v>1</v>
      </c>
      <c r="L2" s="1">
        <v>15.9</v>
      </c>
      <c r="M2" s="8">
        <v>46018</v>
      </c>
    </row>
    <row r="3" spans="2:16" x14ac:dyDescent="0.25">
      <c r="K3" t="s">
        <v>2</v>
      </c>
      <c r="L3" s="1">
        <v>236.390253</v>
      </c>
      <c r="M3" t="s">
        <v>17</v>
      </c>
    </row>
    <row r="4" spans="2:16" x14ac:dyDescent="0.25">
      <c r="K4" t="s">
        <v>3</v>
      </c>
      <c r="L4" s="1">
        <f>+L3*L2</f>
        <v>3758.6050227000001</v>
      </c>
    </row>
    <row r="5" spans="2:16" x14ac:dyDescent="0.25">
      <c r="K5" t="s">
        <v>4</v>
      </c>
      <c r="L5" s="1">
        <v>86.7</v>
      </c>
      <c r="M5" t="s">
        <v>17</v>
      </c>
    </row>
    <row r="6" spans="2:16" x14ac:dyDescent="0.25">
      <c r="K6" t="s">
        <v>5</v>
      </c>
      <c r="L6" s="1">
        <v>72.337000000000003</v>
      </c>
      <c r="M6" t="s">
        <v>17</v>
      </c>
    </row>
    <row r="7" spans="2:16" x14ac:dyDescent="0.25">
      <c r="K7" t="s">
        <v>6</v>
      </c>
      <c r="L7" s="1">
        <f>+L4-L5+L6</f>
        <v>3744.2420227000002</v>
      </c>
      <c r="N7" t="s">
        <v>82</v>
      </c>
      <c r="O7" t="s">
        <v>83</v>
      </c>
      <c r="P7" t="s">
        <v>84</v>
      </c>
    </row>
    <row r="9" spans="2:16" x14ac:dyDescent="0.25">
      <c r="N9">
        <f>+L7/104</f>
        <v>36.002327141346157</v>
      </c>
      <c r="O9">
        <f>+L7/175</f>
        <v>21.39566870114286</v>
      </c>
      <c r="P9">
        <f>+L7/235</f>
        <v>15.93294477744681</v>
      </c>
    </row>
    <row r="10" spans="2:16" x14ac:dyDescent="0.25">
      <c r="C10" t="s">
        <v>92</v>
      </c>
    </row>
    <row r="11" spans="2:16" x14ac:dyDescent="0.25">
      <c r="B11" t="s">
        <v>19</v>
      </c>
      <c r="C11">
        <v>2019</v>
      </c>
      <c r="D11" t="s">
        <v>98</v>
      </c>
    </row>
    <row r="12" spans="2:16" x14ac:dyDescent="0.25">
      <c r="B12" t="s">
        <v>20</v>
      </c>
      <c r="C12">
        <v>2019</v>
      </c>
      <c r="D12" t="s">
        <v>99</v>
      </c>
    </row>
    <row r="13" spans="2:16" x14ac:dyDescent="0.25">
      <c r="B13" t="s">
        <v>21</v>
      </c>
      <c r="C13">
        <v>2019</v>
      </c>
      <c r="D13" t="s">
        <v>97</v>
      </c>
    </row>
    <row r="15" spans="2:16" x14ac:dyDescent="0.25">
      <c r="C15" t="s">
        <v>94</v>
      </c>
    </row>
    <row r="16" spans="2:16" x14ac:dyDescent="0.25">
      <c r="B16" t="s">
        <v>93</v>
      </c>
      <c r="C16" t="s">
        <v>95</v>
      </c>
      <c r="D16" t="s">
        <v>96</v>
      </c>
    </row>
    <row r="19" spans="2:2" x14ac:dyDescent="0.25">
      <c r="B19" t="s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BBCF2-9A5D-49E6-9CA3-FDE73E8A9466}">
  <dimension ref="A1:XFD98"/>
  <sheetViews>
    <sheetView tabSelected="1" workbookViewId="0">
      <pane xSplit="1" ySplit="2" topLeftCell="B3" activePane="bottomRight" state="frozen"/>
      <selection pane="topRight"/>
      <selection pane="bottomLeft"/>
      <selection pane="bottomRight" activeCell="G7" sqref="G7"/>
    </sheetView>
  </sheetViews>
  <sheetFormatPr defaultRowHeight="15" x14ac:dyDescent="0.25"/>
  <cols>
    <col min="1" max="1" width="16.5703125" bestFit="1" customWidth="1"/>
    <col min="5" max="5" width="9.28515625" bestFit="1" customWidth="1"/>
    <col min="8" max="8" width="9.28515625" bestFit="1" customWidth="1"/>
    <col min="12" max="12" width="9.28515625" bestFit="1" customWidth="1"/>
    <col min="16" max="16" width="17" bestFit="1" customWidth="1"/>
  </cols>
  <sheetData>
    <row r="1" spans="1:34" x14ac:dyDescent="0.25">
      <c r="A1" s="14" t="s">
        <v>101</v>
      </c>
      <c r="B1" s="2"/>
      <c r="C1" s="2"/>
      <c r="D1" s="2"/>
      <c r="I1" s="2"/>
      <c r="J1" s="2"/>
      <c r="K1" s="2"/>
      <c r="L1" s="2"/>
    </row>
    <row r="2" spans="1:34" x14ac:dyDescent="0.25"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  <c r="M2" t="s">
        <v>18</v>
      </c>
      <c r="O2" t="s">
        <v>23</v>
      </c>
      <c r="T2">
        <v>2021</v>
      </c>
      <c r="U2">
        <v>2022</v>
      </c>
      <c r="V2">
        <f>+U2+1</f>
        <v>2023</v>
      </c>
      <c r="W2">
        <f t="shared" ref="W2:AH2" si="0">+V2+1</f>
        <v>2024</v>
      </c>
      <c r="X2">
        <f t="shared" si="0"/>
        <v>2025</v>
      </c>
      <c r="Y2">
        <f t="shared" si="0"/>
        <v>2026</v>
      </c>
      <c r="Z2">
        <f t="shared" si="0"/>
        <v>2027</v>
      </c>
      <c r="AA2">
        <f t="shared" si="0"/>
        <v>2028</v>
      </c>
      <c r="AB2">
        <f t="shared" si="0"/>
        <v>2029</v>
      </c>
      <c r="AC2">
        <f t="shared" si="0"/>
        <v>2030</v>
      </c>
      <c r="AD2">
        <f t="shared" si="0"/>
        <v>2031</v>
      </c>
      <c r="AE2">
        <f t="shared" si="0"/>
        <v>2032</v>
      </c>
      <c r="AF2">
        <f t="shared" si="0"/>
        <v>2033</v>
      </c>
      <c r="AG2">
        <f t="shared" si="0"/>
        <v>2034</v>
      </c>
      <c r="AH2">
        <f t="shared" si="0"/>
        <v>2035</v>
      </c>
    </row>
    <row r="3" spans="1:34" x14ac:dyDescent="0.25">
      <c r="A3" t="s">
        <v>19</v>
      </c>
    </row>
    <row r="4" spans="1:34" x14ac:dyDescent="0.25">
      <c r="A4" t="s">
        <v>20</v>
      </c>
    </row>
    <row r="5" spans="1:34" x14ac:dyDescent="0.25">
      <c r="A5" t="s">
        <v>21</v>
      </c>
    </row>
    <row r="7" spans="1:34" x14ac:dyDescent="0.25">
      <c r="A7" t="s">
        <v>22</v>
      </c>
      <c r="B7" s="1">
        <f>29.067+0.035708</f>
        <v>29.102708</v>
      </c>
      <c r="C7" s="1">
        <f>33.869+0.0357099</f>
        <v>33.9047099</v>
      </c>
      <c r="D7" s="1">
        <f>41.054+0.035708</f>
        <v>41.089708000000002</v>
      </c>
      <c r="E7" s="1">
        <f>153.936+0.142-D7-C7-B7</f>
        <v>49.980874100000001</v>
      </c>
      <c r="F7" s="1">
        <v>56.914000000000001</v>
      </c>
      <c r="G7" s="1">
        <v>60.122999999999998</v>
      </c>
      <c r="H7" s="1">
        <v>67.275000000000006</v>
      </c>
      <c r="I7" s="1">
        <v>73.903999999999996</v>
      </c>
      <c r="J7" s="1">
        <v>81.875</v>
      </c>
      <c r="K7" s="1">
        <v>107.191</v>
      </c>
      <c r="L7" s="1">
        <v>119.839</v>
      </c>
      <c r="M7" s="1">
        <v>117</v>
      </c>
      <c r="N7" s="1"/>
      <c r="T7" t="s">
        <v>23</v>
      </c>
      <c r="U7" s="1">
        <f>+SUM(B7:E7)</f>
        <v>154.078</v>
      </c>
      <c r="V7" s="1">
        <f>+SUM(F7:I7)</f>
        <v>258.21600000000001</v>
      </c>
      <c r="W7" s="1">
        <f>+SUM(J7:M7)</f>
        <v>425.90499999999997</v>
      </c>
      <c r="X7" s="1">
        <v>490</v>
      </c>
      <c r="Y7" s="1">
        <v>605</v>
      </c>
      <c r="Z7" s="9">
        <f>+Y7*1.2</f>
        <v>726</v>
      </c>
      <c r="AA7" s="9">
        <f>+Z7*1.2</f>
        <v>871.19999999999993</v>
      </c>
      <c r="AB7" s="9">
        <f>+AA7*1.15</f>
        <v>1001.8799999999999</v>
      </c>
      <c r="AC7" s="9">
        <f>+AB7*1.15</f>
        <v>1152.1619999999998</v>
      </c>
      <c r="AD7" s="9">
        <f>+AC7*1.15</f>
        <v>1324.9862999999996</v>
      </c>
      <c r="AE7" s="9">
        <f>+AD7*1.1</f>
        <v>1457.4849299999996</v>
      </c>
      <c r="AF7" s="9">
        <f>+AE7*1.1</f>
        <v>1603.2334229999997</v>
      </c>
      <c r="AG7" s="9">
        <f>+AF7*1.05</f>
        <v>1683.3950941499997</v>
      </c>
      <c r="AH7" s="9">
        <f>+AG7*1.05</f>
        <v>1767.5648488574998</v>
      </c>
    </row>
    <row r="8" spans="1:34" x14ac:dyDescent="0.25">
      <c r="A8" t="s">
        <v>24</v>
      </c>
      <c r="B8" s="1">
        <v>25.440999999999999</v>
      </c>
      <c r="C8" s="1">
        <v>26.135000000000002</v>
      </c>
      <c r="D8" s="1">
        <v>31.433</v>
      </c>
      <c r="E8" s="1">
        <f>118.814-D8-C8-B8</f>
        <v>35.804999999999993</v>
      </c>
      <c r="F8" s="1">
        <v>40.401000000000003</v>
      </c>
      <c r="G8" s="1">
        <v>43.433</v>
      </c>
      <c r="H8" s="1">
        <v>42.622</v>
      </c>
      <c r="I8" s="1">
        <v>42.817</v>
      </c>
      <c r="J8" s="1">
        <v>42.767000000000003</v>
      </c>
      <c r="K8" s="1">
        <v>49.738</v>
      </c>
      <c r="L8" s="1">
        <v>60.18</v>
      </c>
      <c r="M8" s="1">
        <v>54.216000000000001</v>
      </c>
      <c r="N8" s="1"/>
      <c r="U8" s="1">
        <f>+SUM(B8:E8)</f>
        <v>118.81399999999999</v>
      </c>
      <c r="V8" s="1">
        <f>+SUM(F8:I8)</f>
        <v>169.273</v>
      </c>
      <c r="W8" s="1">
        <f>+SUM(J8:M8)</f>
        <v>206.90100000000001</v>
      </c>
      <c r="X8" s="1">
        <f>+W8*1.05</f>
        <v>217.24605000000003</v>
      </c>
      <c r="Y8" s="1">
        <f t="shared" ref="Y8:AC8" si="1">+X8*1.05</f>
        <v>228.10835250000002</v>
      </c>
      <c r="Z8" s="1">
        <f t="shared" si="1"/>
        <v>239.51377012500004</v>
      </c>
      <c r="AA8" s="1">
        <f t="shared" si="1"/>
        <v>251.48945863125005</v>
      </c>
      <c r="AB8" s="1">
        <f t="shared" si="1"/>
        <v>264.06393156281257</v>
      </c>
      <c r="AC8" s="1">
        <f t="shared" si="1"/>
        <v>277.26712814095322</v>
      </c>
      <c r="AD8" s="1"/>
      <c r="AE8" s="1"/>
      <c r="AF8" s="1"/>
      <c r="AG8" s="1"/>
      <c r="AH8" s="1"/>
    </row>
    <row r="9" spans="1:34" x14ac:dyDescent="0.25">
      <c r="A9" t="s">
        <v>25</v>
      </c>
      <c r="B9" s="1">
        <f t="shared" ref="B9:L9" si="2">+B7-B8</f>
        <v>3.6617080000000009</v>
      </c>
      <c r="C9" s="1">
        <f t="shared" si="2"/>
        <v>7.7697098999999987</v>
      </c>
      <c r="D9" s="1">
        <f t="shared" si="2"/>
        <v>9.6567080000000018</v>
      </c>
      <c r="E9" s="1">
        <f t="shared" si="2"/>
        <v>14.175874100000009</v>
      </c>
      <c r="F9" s="1">
        <f t="shared" si="2"/>
        <v>16.512999999999998</v>
      </c>
      <c r="G9" s="1">
        <f t="shared" si="2"/>
        <v>16.689999999999998</v>
      </c>
      <c r="H9" s="1">
        <f t="shared" si="2"/>
        <v>24.653000000000006</v>
      </c>
      <c r="I9" s="1">
        <f t="shared" si="2"/>
        <v>31.086999999999996</v>
      </c>
      <c r="J9" s="1">
        <f t="shared" si="2"/>
        <v>39.107999999999997</v>
      </c>
      <c r="K9" s="1">
        <f t="shared" si="2"/>
        <v>57.453000000000003</v>
      </c>
      <c r="L9" s="1">
        <f t="shared" si="2"/>
        <v>59.658999999999999</v>
      </c>
      <c r="M9" s="1">
        <f t="shared" ref="M9" si="3">+M7-M8</f>
        <v>62.783999999999999</v>
      </c>
      <c r="N9" s="1"/>
      <c r="U9" s="1">
        <f>+U7-U8</f>
        <v>35.26400000000001</v>
      </c>
      <c r="V9" s="1">
        <f>+V7-V8</f>
        <v>88.943000000000012</v>
      </c>
      <c r="W9" s="1">
        <f>+W7-W8</f>
        <v>219.00399999999996</v>
      </c>
      <c r="X9" s="1">
        <f>+X7*0.5</f>
        <v>245</v>
      </c>
      <c r="Y9" s="1">
        <f t="shared" ref="Y9:AC9" si="4">+Y7*0.65</f>
        <v>393.25</v>
      </c>
      <c r="Z9" s="1">
        <f t="shared" si="4"/>
        <v>471.90000000000003</v>
      </c>
      <c r="AA9" s="1">
        <f t="shared" si="4"/>
        <v>566.28</v>
      </c>
      <c r="AB9" s="1">
        <f t="shared" si="4"/>
        <v>651.22199999999998</v>
      </c>
      <c r="AC9" s="1">
        <f t="shared" si="4"/>
        <v>748.9052999999999</v>
      </c>
      <c r="AD9" s="1"/>
      <c r="AE9" s="1"/>
      <c r="AF9" s="1"/>
      <c r="AG9" s="1"/>
      <c r="AH9" s="1"/>
    </row>
    <row r="10" spans="1:34" x14ac:dyDescent="0.25">
      <c r="A10" t="s">
        <v>26</v>
      </c>
      <c r="B10" s="1">
        <v>0.624</v>
      </c>
      <c r="C10" s="1">
        <v>0.873</v>
      </c>
      <c r="D10" s="1">
        <v>1.0409999999999999</v>
      </c>
      <c r="E10" s="1">
        <f>3.613-D10-C10-B10</f>
        <v>1.0750000000000002</v>
      </c>
      <c r="F10" s="1">
        <v>0.85499999999999998</v>
      </c>
      <c r="G10" s="1">
        <v>1.403</v>
      </c>
      <c r="H10" s="1">
        <v>0.59599999999999997</v>
      </c>
      <c r="I10" s="1">
        <v>0.44500000000000001</v>
      </c>
      <c r="J10" s="1">
        <v>0.45</v>
      </c>
      <c r="K10" s="1">
        <v>0.56000000000000005</v>
      </c>
      <c r="L10" s="1">
        <v>0.41199999999999998</v>
      </c>
      <c r="M10" s="1">
        <v>0.39100000000000001</v>
      </c>
      <c r="N10" s="1"/>
      <c r="U10" s="1">
        <f>+SUM(B10:E10)</f>
        <v>3.613</v>
      </c>
      <c r="V10" s="1">
        <f>+SUM(F10:I10)</f>
        <v>3.2989999999999999</v>
      </c>
      <c r="W10" s="1">
        <f t="shared" ref="W10:W12" si="5">+SUM(J10:M10)</f>
        <v>1.8129999999999999</v>
      </c>
      <c r="X10" s="1">
        <f>+W10*1.1</f>
        <v>1.9943000000000002</v>
      </c>
      <c r="Y10" s="1">
        <f t="shared" ref="Y10:AC10" si="6">+X10*1.1</f>
        <v>2.1937300000000004</v>
      </c>
      <c r="Z10" s="1">
        <f t="shared" si="6"/>
        <v>2.4131030000000004</v>
      </c>
      <c r="AA10" s="1">
        <f t="shared" si="6"/>
        <v>2.6544133000000008</v>
      </c>
      <c r="AB10" s="1">
        <f t="shared" si="6"/>
        <v>2.919854630000001</v>
      </c>
      <c r="AC10" s="1">
        <f t="shared" si="6"/>
        <v>3.2118400930000015</v>
      </c>
      <c r="AD10" s="1"/>
      <c r="AE10" s="1"/>
      <c r="AF10" s="1"/>
      <c r="AG10" s="1"/>
      <c r="AH10" s="1"/>
    </row>
    <row r="11" spans="1:34" x14ac:dyDescent="0.25">
      <c r="A11" t="s">
        <v>27</v>
      </c>
      <c r="B11" s="1">
        <v>3.9740000000000002</v>
      </c>
      <c r="C11" s="1">
        <v>3.9209999999999998</v>
      </c>
      <c r="D11" s="1">
        <v>4.859</v>
      </c>
      <c r="E11" s="1">
        <f>17.843-D11-C11-B11</f>
        <v>5.0890000000000004</v>
      </c>
      <c r="F11" s="1">
        <v>1.78</v>
      </c>
      <c r="G11" s="1">
        <v>1.333</v>
      </c>
      <c r="H11" s="1">
        <v>0.46700000000000003</v>
      </c>
      <c r="I11" s="1">
        <v>0.68500000000000005</v>
      </c>
      <c r="J11" s="1">
        <v>1.0049999999999999</v>
      </c>
      <c r="K11" s="1">
        <v>0.94199999999999995</v>
      </c>
      <c r="L11" s="1">
        <v>1.0209999999999999</v>
      </c>
      <c r="M11" s="1">
        <v>1.0209999999999999</v>
      </c>
      <c r="N11" s="1"/>
      <c r="U11" s="1">
        <f>+SUM(B11:E11)</f>
        <v>17.843</v>
      </c>
      <c r="V11" s="1">
        <f>+SUM(F11:I11)</f>
        <v>4.2650000000000006</v>
      </c>
      <c r="W11" s="1">
        <f t="shared" si="5"/>
        <v>3.9889999999999999</v>
      </c>
      <c r="X11" s="1">
        <f>+W11*1.1</f>
        <v>4.3879000000000001</v>
      </c>
      <c r="Y11" s="1">
        <f t="shared" ref="Y11:AC11" si="7">+X11*1.1</f>
        <v>4.8266900000000001</v>
      </c>
      <c r="Z11" s="1">
        <f t="shared" si="7"/>
        <v>5.3093590000000006</v>
      </c>
      <c r="AA11" s="1">
        <f t="shared" si="7"/>
        <v>5.8402949000000008</v>
      </c>
      <c r="AB11" s="1">
        <f t="shared" si="7"/>
        <v>6.4243243900000016</v>
      </c>
      <c r="AC11" s="1">
        <f t="shared" si="7"/>
        <v>7.0667568290000027</v>
      </c>
      <c r="AD11" s="1"/>
      <c r="AE11" s="1"/>
      <c r="AF11" s="1"/>
      <c r="AG11" s="1"/>
      <c r="AH11" s="1"/>
    </row>
    <row r="12" spans="1:34" x14ac:dyDescent="0.25">
      <c r="A12" t="s">
        <v>28</v>
      </c>
      <c r="B12" s="1">
        <v>13.699</v>
      </c>
      <c r="C12" s="1">
        <v>11.97</v>
      </c>
      <c r="D12" s="1">
        <v>12.893000000000001</v>
      </c>
      <c r="E12" s="1">
        <f>52.458-D12-C12-B12</f>
        <v>13.895999999999999</v>
      </c>
      <c r="F12" s="1">
        <v>14.512</v>
      </c>
      <c r="G12" s="1">
        <v>14.247999999999999</v>
      </c>
      <c r="H12" s="1">
        <v>14.726000000000001</v>
      </c>
      <c r="I12" s="1">
        <v>15.535</v>
      </c>
      <c r="J12" s="1">
        <v>15.638999999999999</v>
      </c>
      <c r="K12" s="1">
        <v>16.608000000000001</v>
      </c>
      <c r="L12" s="1">
        <v>18.559999999999999</v>
      </c>
      <c r="M12" s="1">
        <v>18.559999999999999</v>
      </c>
      <c r="N12" s="1"/>
      <c r="U12" s="1">
        <f>+SUM(B12:E12)</f>
        <v>52.457999999999998</v>
      </c>
      <c r="V12" s="1">
        <f>+SUM(F12:I12)</f>
        <v>59.021000000000001</v>
      </c>
      <c r="W12" s="1">
        <f t="shared" si="5"/>
        <v>69.367000000000004</v>
      </c>
      <c r="X12" s="1">
        <f>+W12*1.1</f>
        <v>76.303700000000006</v>
      </c>
      <c r="Y12" s="1">
        <f t="shared" ref="Y12:AC12" si="8">+X12*1.1</f>
        <v>83.93407000000002</v>
      </c>
      <c r="Z12" s="1">
        <f t="shared" si="8"/>
        <v>92.32747700000003</v>
      </c>
      <c r="AA12" s="1">
        <f t="shared" si="8"/>
        <v>101.56022470000003</v>
      </c>
      <c r="AB12" s="1">
        <f t="shared" si="8"/>
        <v>111.71624717000005</v>
      </c>
      <c r="AC12" s="1">
        <f t="shared" si="8"/>
        <v>122.88787188700006</v>
      </c>
      <c r="AD12" s="1"/>
      <c r="AE12" s="1"/>
      <c r="AF12" s="1"/>
      <c r="AG12" s="1"/>
      <c r="AH12" s="1"/>
    </row>
    <row r="13" spans="1:34" x14ac:dyDescent="0.25">
      <c r="A13" t="s">
        <v>29</v>
      </c>
      <c r="B13" s="1">
        <f>+SUM(B10:B12)</f>
        <v>18.297000000000001</v>
      </c>
      <c r="C13" s="1">
        <f>+SUM(C10:C12)</f>
        <v>16.763999999999999</v>
      </c>
      <c r="D13" s="1">
        <f>+SUM(D10:D12)</f>
        <v>18.792999999999999</v>
      </c>
      <c r="E13" s="1">
        <f>+SUM(E10:E12)</f>
        <v>20.059999999999999</v>
      </c>
      <c r="F13" s="1">
        <f>+SUM(F10:F12)</f>
        <v>17.146999999999998</v>
      </c>
      <c r="G13" s="1">
        <f>+SUM(G10:G12)</f>
        <v>16.983999999999998</v>
      </c>
      <c r="H13" s="1">
        <f>+SUM(H10:H12)</f>
        <v>15.789000000000001</v>
      </c>
      <c r="I13" s="1">
        <f>+SUM(I10:I12)</f>
        <v>16.664999999999999</v>
      </c>
      <c r="J13" s="1">
        <f>+SUM(J10:J12)</f>
        <v>17.093999999999998</v>
      </c>
      <c r="K13" s="1">
        <f>+SUM(K10:K12)</f>
        <v>18.11</v>
      </c>
      <c r="L13" s="1">
        <f>+SUM(L10:L12)</f>
        <v>19.992999999999999</v>
      </c>
      <c r="M13" s="1">
        <f>+SUM(M10:M12)</f>
        <v>19.971999999999998</v>
      </c>
      <c r="N13" s="1"/>
      <c r="U13" s="1">
        <f>+SUM(U10:U12)</f>
        <v>73.914000000000001</v>
      </c>
      <c r="V13" s="1">
        <f>+SUM(V10:V12)</f>
        <v>66.585000000000008</v>
      </c>
      <c r="W13" s="1">
        <f>+SUM(W10:W12)</f>
        <v>75.169000000000011</v>
      </c>
      <c r="X13" s="1">
        <f t="shared" ref="X13:AC13" si="9">+W13</f>
        <v>75.169000000000011</v>
      </c>
      <c r="Y13" s="1">
        <f t="shared" si="9"/>
        <v>75.169000000000011</v>
      </c>
      <c r="Z13" s="1">
        <f t="shared" si="9"/>
        <v>75.169000000000011</v>
      </c>
      <c r="AA13" s="1">
        <f t="shared" si="9"/>
        <v>75.169000000000011</v>
      </c>
      <c r="AB13" s="1">
        <f t="shared" si="9"/>
        <v>75.169000000000011</v>
      </c>
      <c r="AC13" s="1">
        <f t="shared" si="9"/>
        <v>75.169000000000011</v>
      </c>
      <c r="AD13" s="1"/>
      <c r="AE13" s="1"/>
      <c r="AF13" s="1"/>
      <c r="AG13" s="1"/>
      <c r="AH13" s="1"/>
    </row>
    <row r="14" spans="1:34" x14ac:dyDescent="0.25">
      <c r="A14" t="s">
        <v>30</v>
      </c>
      <c r="B14" s="1">
        <f>+B9-B13</f>
        <v>-14.635292</v>
      </c>
      <c r="C14" s="1">
        <f>+C9-C13</f>
        <v>-8.9942901000000006</v>
      </c>
      <c r="D14" s="1">
        <f>+D9-D13</f>
        <v>-9.1362919999999974</v>
      </c>
      <c r="E14" s="1">
        <f>+E9-E13</f>
        <v>-5.8841258999999901</v>
      </c>
      <c r="F14" s="1">
        <f>+F9-F13</f>
        <v>-0.63400000000000034</v>
      </c>
      <c r="G14" s="1">
        <f>+G9-G13</f>
        <v>-0.29400000000000048</v>
      </c>
      <c r="H14" s="1">
        <f>+H9-H13</f>
        <v>8.8640000000000043</v>
      </c>
      <c r="I14" s="1">
        <f>+I9-I13</f>
        <v>14.421999999999997</v>
      </c>
      <c r="J14" s="1">
        <f>+J9-J13</f>
        <v>22.013999999999999</v>
      </c>
      <c r="K14" s="1">
        <f>+K9-K13</f>
        <v>39.343000000000004</v>
      </c>
      <c r="L14" s="1">
        <f>+L9-L13</f>
        <v>39.665999999999997</v>
      </c>
      <c r="M14" s="1">
        <f>+M9-M13</f>
        <v>42.811999999999998</v>
      </c>
      <c r="N14" s="1"/>
      <c r="U14" s="1">
        <f>+U9-U13</f>
        <v>-38.649999999999991</v>
      </c>
      <c r="V14" s="1">
        <f>+V9-V13</f>
        <v>22.358000000000004</v>
      </c>
      <c r="W14" s="1">
        <f>+W9-W13</f>
        <v>143.83499999999995</v>
      </c>
      <c r="X14" s="1">
        <f>+X9-X13</f>
        <v>169.83099999999999</v>
      </c>
      <c r="Y14" s="1">
        <f>+Y9-Y13</f>
        <v>318.08100000000002</v>
      </c>
      <c r="Z14" s="1">
        <f>+Z9-Z13</f>
        <v>396.73099999999999</v>
      </c>
      <c r="AA14" s="1">
        <f>+AA9-AA13</f>
        <v>491.11099999999999</v>
      </c>
      <c r="AB14" s="1">
        <f>+AB9-AB13</f>
        <v>576.053</v>
      </c>
      <c r="AC14" s="1">
        <f>+AC9-AC13</f>
        <v>673.73629999999991</v>
      </c>
      <c r="AD14" s="1"/>
      <c r="AE14" s="1"/>
      <c r="AF14" s="1"/>
      <c r="AG14" s="1"/>
      <c r="AH14" s="1"/>
    </row>
    <row r="15" spans="1:34" x14ac:dyDescent="0.25">
      <c r="A15" t="s">
        <v>31</v>
      </c>
      <c r="B15" s="1">
        <f>0.033068-3.389-6.669-0.166</f>
        <v>-10.190932</v>
      </c>
      <c r="C15" s="1">
        <f>0.002-4.573-0.019421</f>
        <v>-4.590421000000001</v>
      </c>
      <c r="D15" s="1">
        <f>0.007-5.58</f>
        <v>-5.5730000000000004</v>
      </c>
      <c r="E15" s="1">
        <f>0.044833-19.279-6.669-0.0634-D15-C15-B15</f>
        <v>-5.6122139999999998</v>
      </c>
      <c r="F15" s="1">
        <f>0.166-6.115-0.027</f>
        <v>-5.976</v>
      </c>
      <c r="G15" s="1">
        <f>0.414-6.299-0.013</f>
        <v>-5.8980000000000006</v>
      </c>
      <c r="H15" s="1">
        <f>0.423-6.398-0.145</f>
        <v>-6.1199999999999992</v>
      </c>
      <c r="I15" s="1">
        <f>0.612-6.215-0.101</f>
        <v>-5.7039999999999997</v>
      </c>
      <c r="J15" s="1">
        <f>0.384-3.769-0.035</f>
        <v>-3.4200000000000004</v>
      </c>
      <c r="K15" s="1">
        <f>0.449-3.783-0.016</f>
        <v>-3.35</v>
      </c>
      <c r="L15" s="1">
        <f>0.666-3.499-0.056</f>
        <v>-2.8890000000000002</v>
      </c>
      <c r="M15" s="1">
        <f>0.598-2.879-0.086</f>
        <v>-2.367</v>
      </c>
      <c r="N15" s="1"/>
      <c r="U15" s="1">
        <f>+SUM(B15:E15)</f>
        <v>-25.966567000000005</v>
      </c>
      <c r="V15" s="1">
        <f>1.617-25.027-0.287</f>
        <v>-23.696999999999999</v>
      </c>
      <c r="W15" s="1">
        <f t="shared" ref="W15" si="10">+SUM(J15:M15)</f>
        <v>-12.026</v>
      </c>
      <c r="X15" s="1">
        <f>+W31*0.03</f>
        <v>5.281559999999998</v>
      </c>
      <c r="Y15" s="1">
        <f t="shared" ref="Y15:AC15" si="11">+X31*0.03</f>
        <v>9.4842614399999974</v>
      </c>
      <c r="Z15" s="1">
        <f t="shared" si="11"/>
        <v>17.345827714559999</v>
      </c>
      <c r="AA15" s="1">
        <f t="shared" si="11"/>
        <v>27.283671579709441</v>
      </c>
      <c r="AB15" s="1">
        <f t="shared" si="11"/>
        <v>39.725143697622464</v>
      </c>
      <c r="AC15" s="1">
        <f t="shared" si="11"/>
        <v>54.503819146365409</v>
      </c>
      <c r="AD15" s="1"/>
      <c r="AE15" s="1"/>
      <c r="AF15" s="1"/>
      <c r="AG15" s="1"/>
      <c r="AH15" s="1"/>
    </row>
    <row r="16" spans="1:34" x14ac:dyDescent="0.25">
      <c r="A16" t="s">
        <v>32</v>
      </c>
      <c r="B16" s="1">
        <f>+B14+B15</f>
        <v>-24.826224</v>
      </c>
      <c r="C16" s="1">
        <f>+C14+C15</f>
        <v>-13.584711100000002</v>
      </c>
      <c r="D16" s="1">
        <f>+D14+D15</f>
        <v>-14.709291999999998</v>
      </c>
      <c r="E16" s="1">
        <f>+E14+E15</f>
        <v>-11.49633989999999</v>
      </c>
      <c r="F16" s="1">
        <f>+F14+F15</f>
        <v>-6.61</v>
      </c>
      <c r="G16" s="1">
        <f>+G14+G15</f>
        <v>-6.1920000000000011</v>
      </c>
      <c r="H16" s="1">
        <f>+H14+H15</f>
        <v>2.7440000000000051</v>
      </c>
      <c r="I16" s="1">
        <f t="shared" ref="I16:M16" si="12">+I14+I15</f>
        <v>8.7179999999999964</v>
      </c>
      <c r="J16" s="1">
        <f t="shared" si="12"/>
        <v>18.593999999999998</v>
      </c>
      <c r="K16" s="1">
        <f t="shared" si="12"/>
        <v>35.993000000000002</v>
      </c>
      <c r="L16" s="1">
        <f t="shared" si="12"/>
        <v>36.776999999999994</v>
      </c>
      <c r="M16" s="1">
        <f t="shared" si="12"/>
        <v>40.445</v>
      </c>
      <c r="N16" s="1"/>
      <c r="U16" s="1">
        <f>+U14+U15</f>
        <v>-64.616567000000003</v>
      </c>
      <c r="V16" s="1">
        <f>+V14+V15</f>
        <v>-1.3389999999999951</v>
      </c>
      <c r="W16" s="1">
        <f>+W14+W15</f>
        <v>131.80899999999994</v>
      </c>
      <c r="X16" s="1">
        <f>+X14+X15</f>
        <v>175.11255999999997</v>
      </c>
      <c r="Y16" s="1">
        <f>+Y14+Y15</f>
        <v>327.56526144000003</v>
      </c>
      <c r="Z16" s="1">
        <f>+Z14+Z15</f>
        <v>414.07682771456001</v>
      </c>
      <c r="AA16" s="1">
        <f>+AA14+AA15</f>
        <v>518.39467157970944</v>
      </c>
      <c r="AB16" s="1">
        <f>+AB14+AB15</f>
        <v>615.77814369762245</v>
      </c>
      <c r="AC16" s="1">
        <f>+AC14+AC15</f>
        <v>728.24011914636537</v>
      </c>
      <c r="AD16" s="1"/>
      <c r="AE16" s="1"/>
      <c r="AF16" s="1"/>
      <c r="AG16" s="1"/>
      <c r="AH16" s="1"/>
    </row>
    <row r="17" spans="1:55" x14ac:dyDescent="0.25">
      <c r="A17" t="s">
        <v>33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0.59499999999999997</v>
      </c>
      <c r="K17" s="1">
        <v>3.7890000000000001</v>
      </c>
      <c r="L17" s="1">
        <v>0.84</v>
      </c>
      <c r="M17" s="1">
        <v>0.84</v>
      </c>
      <c r="N17" s="1"/>
      <c r="U17" s="1">
        <f>+SUM(B17:E17)</f>
        <v>0</v>
      </c>
      <c r="V17" s="1">
        <f>+SUM(C17:F17)</f>
        <v>0</v>
      </c>
      <c r="W17" s="1">
        <f>+SUM(J17:M17)</f>
        <v>6.0640000000000001</v>
      </c>
      <c r="X17" s="1">
        <f>+X16*0.2</f>
        <v>35.022511999999999</v>
      </c>
      <c r="Y17" s="1">
        <f t="shared" ref="Y17:AC17" si="13">+Y16*0.2</f>
        <v>65.513052288000011</v>
      </c>
      <c r="Z17" s="1">
        <f t="shared" si="13"/>
        <v>82.815365542912005</v>
      </c>
      <c r="AA17" s="1">
        <f t="shared" si="13"/>
        <v>103.67893431594189</v>
      </c>
      <c r="AB17" s="1">
        <f t="shared" si="13"/>
        <v>123.1556287395245</v>
      </c>
      <c r="AC17" s="1">
        <f t="shared" si="13"/>
        <v>145.64802382927309</v>
      </c>
      <c r="AD17" s="1"/>
      <c r="AE17" s="1"/>
      <c r="AF17" s="1"/>
      <c r="AG17" s="1"/>
      <c r="AH17" s="1"/>
    </row>
    <row r="18" spans="1:55" s="12" customFormat="1" x14ac:dyDescent="0.25">
      <c r="A18" s="12" t="s">
        <v>34</v>
      </c>
      <c r="B18" s="13">
        <f t="shared" ref="B18:L18" si="14">+B16-B17</f>
        <v>-24.826224</v>
      </c>
      <c r="C18" s="13">
        <f t="shared" si="14"/>
        <v>-13.584711100000002</v>
      </c>
      <c r="D18" s="13">
        <f t="shared" si="14"/>
        <v>-14.709291999999998</v>
      </c>
      <c r="E18" s="13">
        <f t="shared" si="14"/>
        <v>-11.49633989999999</v>
      </c>
      <c r="F18" s="13">
        <f t="shared" si="14"/>
        <v>-6.61</v>
      </c>
      <c r="G18" s="13">
        <f t="shared" si="14"/>
        <v>-6.1920000000000011</v>
      </c>
      <c r="H18" s="13">
        <f t="shared" si="14"/>
        <v>2.7440000000000051</v>
      </c>
      <c r="I18" s="13">
        <f t="shared" si="14"/>
        <v>8.7179999999999964</v>
      </c>
      <c r="J18" s="13">
        <f t="shared" si="14"/>
        <v>17.998999999999999</v>
      </c>
      <c r="K18" s="13">
        <f t="shared" si="14"/>
        <v>32.204000000000001</v>
      </c>
      <c r="L18" s="13">
        <f t="shared" si="14"/>
        <v>35.936999999999991</v>
      </c>
      <c r="M18" s="13">
        <f t="shared" ref="M18" si="15">+M16-M17</f>
        <v>39.604999999999997</v>
      </c>
      <c r="N18" s="13"/>
      <c r="R18" s="12" t="s">
        <v>23</v>
      </c>
      <c r="U18" s="13">
        <f>+U16-U17</f>
        <v>-64.616567000000003</v>
      </c>
      <c r="V18" s="13">
        <f>+V16-V17</f>
        <v>-1.3389999999999951</v>
      </c>
      <c r="W18" s="13">
        <f t="shared" ref="W18:AC18" si="16">+W16-W17</f>
        <v>125.74499999999995</v>
      </c>
      <c r="X18" s="13">
        <f t="shared" si="16"/>
        <v>140.09004799999997</v>
      </c>
      <c r="Y18" s="13">
        <f t="shared" si="16"/>
        <v>262.05220915200005</v>
      </c>
      <c r="Z18" s="13">
        <f t="shared" si="16"/>
        <v>331.26146217164802</v>
      </c>
      <c r="AA18" s="13">
        <f t="shared" si="16"/>
        <v>414.71573726376755</v>
      </c>
      <c r="AB18" s="13">
        <f t="shared" si="16"/>
        <v>492.62251495809795</v>
      </c>
      <c r="AC18" s="13">
        <f t="shared" si="16"/>
        <v>582.59209531709234</v>
      </c>
      <c r="AD18" s="13">
        <f>+AC18*0.98</f>
        <v>570.94025341075053</v>
      </c>
      <c r="AE18" s="13">
        <f t="shared" ref="AE18:BC18" si="17">+AD18*0.99</f>
        <v>565.23085087664299</v>
      </c>
      <c r="AF18" s="13">
        <f t="shared" si="17"/>
        <v>559.57854236787659</v>
      </c>
      <c r="AG18" s="13">
        <f t="shared" si="17"/>
        <v>553.98275694419783</v>
      </c>
      <c r="AH18" s="13">
        <f t="shared" si="17"/>
        <v>548.44292937475586</v>
      </c>
      <c r="AI18" s="13">
        <f t="shared" si="17"/>
        <v>542.95850008100831</v>
      </c>
      <c r="AJ18" s="13">
        <f t="shared" si="17"/>
        <v>537.5289150801982</v>
      </c>
      <c r="AK18" s="13">
        <f t="shared" si="17"/>
        <v>532.15362592939618</v>
      </c>
      <c r="AL18" s="13">
        <f t="shared" si="17"/>
        <v>526.83208967010216</v>
      </c>
      <c r="AM18" s="13">
        <f t="shared" si="17"/>
        <v>521.56376877340119</v>
      </c>
      <c r="AN18" s="13">
        <f t="shared" si="17"/>
        <v>516.34813108566721</v>
      </c>
      <c r="AO18" s="13">
        <f t="shared" si="17"/>
        <v>511.18464977481051</v>
      </c>
      <c r="AP18" s="13">
        <f t="shared" si="17"/>
        <v>506.07280327706241</v>
      </c>
      <c r="AQ18" s="13">
        <f t="shared" si="17"/>
        <v>501.01207524429179</v>
      </c>
      <c r="AR18" s="13">
        <f t="shared" si="17"/>
        <v>496.00195449184889</v>
      </c>
      <c r="AS18" s="13">
        <f t="shared" si="17"/>
        <v>491.04193494693038</v>
      </c>
      <c r="AT18" s="13">
        <f t="shared" si="17"/>
        <v>486.13151559746109</v>
      </c>
      <c r="AU18" s="13">
        <f t="shared" si="17"/>
        <v>481.27020044148645</v>
      </c>
      <c r="AV18" s="13">
        <f t="shared" si="17"/>
        <v>476.45749843707159</v>
      </c>
      <c r="AW18" s="13">
        <f t="shared" si="17"/>
        <v>471.69292345270088</v>
      </c>
      <c r="AX18" s="13">
        <f t="shared" si="17"/>
        <v>466.97599421817387</v>
      </c>
      <c r="AY18" s="13">
        <f t="shared" si="17"/>
        <v>462.3062342759921</v>
      </c>
      <c r="AZ18" s="13">
        <f t="shared" si="17"/>
        <v>457.68317193323219</v>
      </c>
      <c r="BA18" s="13">
        <f t="shared" si="17"/>
        <v>453.10634021389984</v>
      </c>
      <c r="BB18" s="13">
        <f t="shared" si="17"/>
        <v>448.57527681176083</v>
      </c>
      <c r="BC18" s="13">
        <f t="shared" si="17"/>
        <v>444.08952404364322</v>
      </c>
    </row>
    <row r="19" spans="1:55" x14ac:dyDescent="0.25">
      <c r="A19" t="s">
        <v>35</v>
      </c>
      <c r="B19" s="7">
        <f t="shared" ref="B19:L19" si="18">+B18/B20</f>
        <v>-0.12674782892822317</v>
      </c>
      <c r="C19" s="7">
        <f t="shared" si="18"/>
        <v>-6.9185146649147211E-2</v>
      </c>
      <c r="D19" s="7">
        <f t="shared" si="18"/>
        <v>-7.4901045406170583E-2</v>
      </c>
      <c r="E19" s="7">
        <f t="shared" si="18"/>
        <v>-5.8099295005912807E-2</v>
      </c>
      <c r="F19" s="7">
        <f t="shared" si="18"/>
        <v>-2.9785273412813302E-2</v>
      </c>
      <c r="G19" s="7">
        <f t="shared" si="18"/>
        <v>-2.7806343546656013E-2</v>
      </c>
      <c r="H19" s="7">
        <f t="shared" si="18"/>
        <v>1.1697950727071995E-2</v>
      </c>
      <c r="I19" s="7">
        <f t="shared" si="18"/>
        <v>3.9284117036748299E-2</v>
      </c>
      <c r="J19" s="7">
        <f t="shared" si="18"/>
        <v>7.8641232253887638E-2</v>
      </c>
      <c r="K19" s="7">
        <f t="shared" si="18"/>
        <v>0.13856129284862984</v>
      </c>
      <c r="L19" s="7">
        <f t="shared" si="18"/>
        <v>0.15320308136981975</v>
      </c>
      <c r="M19" s="7">
        <f t="shared" ref="M19" si="19">+M18/M20</f>
        <v>0.16886146348864259</v>
      </c>
      <c r="N19" s="1"/>
      <c r="U19" s="7">
        <f>+U18/U20</f>
        <v>-0.3286363790097917</v>
      </c>
      <c r="V19" s="7">
        <f>+V18/V20</f>
        <v>-5.9438629005185125E-3</v>
      </c>
      <c r="W19" s="7">
        <f>+W18/W20</f>
        <v>0.55818598986236212</v>
      </c>
      <c r="X19" s="7">
        <f t="shared" ref="X19:AC19" si="20">+X18/X20</f>
        <v>0.62186410682528792</v>
      </c>
      <c r="Y19" s="7">
        <f t="shared" si="20"/>
        <v>1.1632579566672865</v>
      </c>
      <c r="Z19" s="7">
        <f t="shared" si="20"/>
        <v>1.4704799965448712</v>
      </c>
      <c r="AA19" s="7">
        <f t="shared" si="20"/>
        <v>1.840936135163032</v>
      </c>
      <c r="AB19" s="7">
        <f t="shared" si="20"/>
        <v>2.1867667592379201</v>
      </c>
      <c r="AC19" s="7">
        <f t="shared" si="20"/>
        <v>2.5861445418152527</v>
      </c>
      <c r="AD19" s="1"/>
      <c r="AE19" s="1"/>
      <c r="AF19" s="1"/>
      <c r="AG19" s="1"/>
      <c r="AH19" s="1"/>
    </row>
    <row r="20" spans="1:55" x14ac:dyDescent="0.25">
      <c r="A20" t="s">
        <v>2</v>
      </c>
      <c r="B20" s="1">
        <v>195.87100000000001</v>
      </c>
      <c r="C20" s="1">
        <v>196.35300000000001</v>
      </c>
      <c r="D20" s="1">
        <v>196.38300000000001</v>
      </c>
      <c r="E20" s="1">
        <v>197.874</v>
      </c>
      <c r="F20" s="1">
        <v>221.92175</v>
      </c>
      <c r="G20" s="1">
        <v>222.68299999999999</v>
      </c>
      <c r="H20" s="1">
        <v>234.571</v>
      </c>
      <c r="I20" s="1">
        <v>221.92175</v>
      </c>
      <c r="J20" s="1">
        <v>228.87484699999999</v>
      </c>
      <c r="K20" s="1">
        <v>232.417</v>
      </c>
      <c r="L20" s="1">
        <v>234.571</v>
      </c>
      <c r="M20" s="1">
        <v>234.54137600000001</v>
      </c>
      <c r="N20" s="1"/>
      <c r="U20" s="1">
        <f>+AVERAGE(B20:E20)</f>
        <v>196.62025000000003</v>
      </c>
      <c r="V20" s="1">
        <f>+AVERAGE(F20:I20)</f>
        <v>225.27437499999999</v>
      </c>
      <c r="W20" s="1">
        <f>+V20</f>
        <v>225.27437499999999</v>
      </c>
      <c r="X20" s="1">
        <f t="shared" ref="X20:AC20" si="21">+W20</f>
        <v>225.27437499999999</v>
      </c>
      <c r="Y20" s="1">
        <f t="shared" si="21"/>
        <v>225.27437499999999</v>
      </c>
      <c r="Z20" s="1">
        <f t="shared" si="21"/>
        <v>225.27437499999999</v>
      </c>
      <c r="AA20" s="1">
        <f t="shared" si="21"/>
        <v>225.27437499999999</v>
      </c>
      <c r="AB20" s="1">
        <f t="shared" si="21"/>
        <v>225.27437499999999</v>
      </c>
      <c r="AC20" s="1">
        <f t="shared" si="21"/>
        <v>225.27437499999999</v>
      </c>
      <c r="AD20" s="1"/>
      <c r="AE20" s="1"/>
      <c r="AF20" s="1"/>
      <c r="AG20" s="1"/>
      <c r="AH20" s="1"/>
    </row>
    <row r="21" spans="1:55" x14ac:dyDescent="0.25">
      <c r="E21" t="s">
        <v>23</v>
      </c>
      <c r="O21" t="s">
        <v>23</v>
      </c>
    </row>
    <row r="22" spans="1:55" x14ac:dyDescent="0.25">
      <c r="A22" t="s">
        <v>37</v>
      </c>
      <c r="B22" s="3">
        <f>+B9/B7</f>
        <v>0.12582018140717355</v>
      </c>
      <c r="C22" s="3">
        <f>+C9/C7</f>
        <v>0.2291631434958834</v>
      </c>
      <c r="D22" s="3">
        <f>+D9/D7</f>
        <v>0.23501525004753018</v>
      </c>
      <c r="E22" s="3">
        <f>+E9/E7</f>
        <v>0.28362597404033812</v>
      </c>
      <c r="F22" s="3">
        <f>+F9/F7</f>
        <v>0.29013950873247352</v>
      </c>
      <c r="G22" s="3">
        <f>+G9/G7</f>
        <v>0.2775975916038787</v>
      </c>
      <c r="H22" s="3">
        <f>+H9/H7</f>
        <v>0.36645113340765523</v>
      </c>
      <c r="I22" s="3">
        <f>+I9/I7</f>
        <v>0.42064029010608356</v>
      </c>
      <c r="J22" s="3">
        <f>+J9/J7</f>
        <v>0.47765496183206102</v>
      </c>
      <c r="K22" s="3">
        <f>+K9/K7</f>
        <v>0.53598716310137984</v>
      </c>
      <c r="L22" s="3">
        <f>+L9/L7</f>
        <v>0.49782625021904386</v>
      </c>
      <c r="M22" s="3">
        <f>+M9/M7</f>
        <v>0.53661538461538461</v>
      </c>
      <c r="N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55" x14ac:dyDescent="0.25">
      <c r="A23" t="s">
        <v>39</v>
      </c>
      <c r="B23" s="3">
        <f>+B10/B7</f>
        <v>2.1441303675245615E-2</v>
      </c>
      <c r="C23" s="3">
        <f>+C10/C7</f>
        <v>2.5748635000118376E-2</v>
      </c>
      <c r="D23" s="3">
        <f>+D10/D7</f>
        <v>2.5334811335237521E-2</v>
      </c>
      <c r="E23" s="3">
        <f>+E10/E7</f>
        <v>2.1508227284084257E-2</v>
      </c>
      <c r="F23" s="3">
        <f>+F10/F7</f>
        <v>1.5022665776434621E-2</v>
      </c>
      <c r="G23" s="3">
        <f>+G10/G7</f>
        <v>2.3335495567420123E-2</v>
      </c>
      <c r="H23" s="3">
        <f>+H10/H7</f>
        <v>8.859160163507988E-3</v>
      </c>
      <c r="I23" s="3">
        <f>+I10/I7</f>
        <v>6.0213249621130114E-3</v>
      </c>
      <c r="J23" s="3">
        <f>+J10/J7</f>
        <v>5.4961832061068703E-3</v>
      </c>
      <c r="K23" s="3">
        <f>+K10/K7</f>
        <v>5.2243192059034807E-3</v>
      </c>
      <c r="L23" s="3">
        <f>+L10/L7</f>
        <v>3.4379459107636077E-3</v>
      </c>
      <c r="M23" s="3">
        <f>+M10/M7</f>
        <v>3.3418803418803419E-3</v>
      </c>
      <c r="N23" s="3"/>
      <c r="O23" t="s">
        <v>38</v>
      </c>
      <c r="P23" s="3">
        <v>0.09</v>
      </c>
      <c r="U23" s="3">
        <f>+U9/U7</f>
        <v>0.22887109126546301</v>
      </c>
      <c r="V23" s="3">
        <f>+V9/V7</f>
        <v>0.34445193171608268</v>
      </c>
      <c r="W23" s="3">
        <f>+W9/W7</f>
        <v>0.51420856763832301</v>
      </c>
      <c r="X23" s="3">
        <f>+X9/X7</f>
        <v>0.5</v>
      </c>
      <c r="Y23" s="3">
        <f>+Y9/Y7</f>
        <v>0.65</v>
      </c>
      <c r="Z23" s="3">
        <f>+Z9/Z7</f>
        <v>0.65</v>
      </c>
      <c r="AA23" s="3">
        <f>+AA9/AA7</f>
        <v>0.65</v>
      </c>
      <c r="AB23" s="3">
        <f>+AB9/AB7</f>
        <v>0.65</v>
      </c>
      <c r="AC23" s="3">
        <f>+AC9/AC7</f>
        <v>0.65</v>
      </c>
      <c r="AD23" s="3"/>
      <c r="AE23" s="3"/>
      <c r="AF23" s="3"/>
      <c r="AG23" s="3"/>
      <c r="AH23" s="3"/>
    </row>
    <row r="24" spans="1:55" x14ac:dyDescent="0.25">
      <c r="A24" t="s">
        <v>41</v>
      </c>
      <c r="B24" s="3">
        <f>+B11/B7</f>
        <v>0.13655086667536231</v>
      </c>
      <c r="C24" s="3">
        <f>+C11/C7</f>
        <v>0.11564764929606432</v>
      </c>
      <c r="D24" s="3">
        <f>+D11/D7</f>
        <v>0.11825345655900012</v>
      </c>
      <c r="E24" s="3">
        <f>+E11/E7</f>
        <v>0.10181894758019049</v>
      </c>
      <c r="F24" s="3">
        <f>+F11/F7</f>
        <v>3.1275257405910674E-2</v>
      </c>
      <c r="G24" s="3">
        <f>+G11/G7</f>
        <v>2.2171215674533871E-2</v>
      </c>
      <c r="H24" s="3">
        <f>+H11/H7</f>
        <v>6.9416573764399846E-3</v>
      </c>
      <c r="I24" s="3">
        <f>+I11/I7</f>
        <v>9.268781121454862E-3</v>
      </c>
      <c r="J24" s="3">
        <f>+J11/J7</f>
        <v>1.2274809160305343E-2</v>
      </c>
      <c r="K24" s="3">
        <f>+K11/K7</f>
        <v>8.788051235644783E-3</v>
      </c>
      <c r="L24" s="3">
        <f>+L11/L7</f>
        <v>8.5197640167224351E-3</v>
      </c>
      <c r="M24" s="3">
        <f>+M11/M7</f>
        <v>8.7264957264957255E-3</v>
      </c>
      <c r="N24" s="3"/>
      <c r="O24" t="s">
        <v>40</v>
      </c>
      <c r="P24" s="4">
        <f>+NPV(P23,W18:BA18)-main!L5+main!L6</f>
        <v>4350.9646732067522</v>
      </c>
      <c r="U24" s="3">
        <f>+U10/U7</f>
        <v>2.3449162112696167E-2</v>
      </c>
      <c r="V24" s="3">
        <f>+V10/V7</f>
        <v>1.2776125414381757E-2</v>
      </c>
      <c r="W24" s="3">
        <f>+W10/W7</f>
        <v>4.2568178349631962E-3</v>
      </c>
      <c r="X24" s="3">
        <f>+X10/X7</f>
        <v>4.0700000000000007E-3</v>
      </c>
      <c r="Y24" s="3">
        <f>+Y10/Y7</f>
        <v>3.6260000000000008E-3</v>
      </c>
      <c r="Z24" s="3">
        <f>+Z10/Z7</f>
        <v>3.323833333333334E-3</v>
      </c>
      <c r="AA24" s="3">
        <f>+AA10/AA7</f>
        <v>3.0468472222222234E-3</v>
      </c>
      <c r="AB24" s="3">
        <f>+AB10/AB7</f>
        <v>2.9143756038647359E-3</v>
      </c>
      <c r="AC24" s="3">
        <f>+AC10/AC7</f>
        <v>2.7876636210880084E-3</v>
      </c>
      <c r="AD24" s="3"/>
      <c r="AE24" s="3"/>
      <c r="AF24" s="3"/>
      <c r="AG24" s="3"/>
      <c r="AH24" s="3"/>
    </row>
    <row r="25" spans="1:55" x14ac:dyDescent="0.25">
      <c r="A25" t="s">
        <v>43</v>
      </c>
      <c r="B25" s="3">
        <f>+B12/B7</f>
        <v>0.47071221001152197</v>
      </c>
      <c r="C25" s="3">
        <f>+C12/C7</f>
        <v>0.35304829433152002</v>
      </c>
      <c r="D25" s="3">
        <f>+D12/D7</f>
        <v>0.31377687084074679</v>
      </c>
      <c r="E25" s="3">
        <f>+E12/E7</f>
        <v>0.27802635008338117</v>
      </c>
      <c r="F25" s="3">
        <f>+F12/F7</f>
        <v>0.25498119970481781</v>
      </c>
      <c r="G25" s="3">
        <f>+G12/G7</f>
        <v>0.23698085591204696</v>
      </c>
      <c r="H25" s="3">
        <f>+H12/H7</f>
        <v>0.21889260497956151</v>
      </c>
      <c r="I25" s="3">
        <f>+I12/I7</f>
        <v>0.21020513098073176</v>
      </c>
      <c r="J25" s="3">
        <f>+J12/J7</f>
        <v>0.19101068702290075</v>
      </c>
      <c r="K25" s="3">
        <f>+K12/K7</f>
        <v>0.15493838102079466</v>
      </c>
      <c r="L25" s="3">
        <f>+L12/L7</f>
        <v>0.15487445656255475</v>
      </c>
      <c r="M25" s="3">
        <f>+M12/M7</f>
        <v>0.15863247863247862</v>
      </c>
      <c r="N25" s="3"/>
      <c r="O25" t="s">
        <v>42</v>
      </c>
      <c r="P25" s="5">
        <f>+P24/main!L3</f>
        <v>18.405854801495355</v>
      </c>
      <c r="U25" s="3">
        <f>+U11/U7</f>
        <v>0.11580498189228831</v>
      </c>
      <c r="V25" s="3">
        <f>+V11/V7</f>
        <v>1.6517179415682995E-2</v>
      </c>
      <c r="W25" s="3">
        <f>+W11/W7</f>
        <v>9.3659384134959674E-3</v>
      </c>
      <c r="X25" s="3">
        <f>+X11/X7</f>
        <v>8.9548979591836733E-3</v>
      </c>
      <c r="Y25" s="3">
        <f>+Y11/Y7</f>
        <v>7.9780000000000007E-3</v>
      </c>
      <c r="Z25" s="3">
        <f>+Z11/Z7</f>
        <v>7.3131666666666675E-3</v>
      </c>
      <c r="AA25" s="3">
        <f>+AA11/AA7</f>
        <v>6.7037361111111126E-3</v>
      </c>
      <c r="AB25" s="3">
        <f>+AB11/AB7</f>
        <v>6.4122693236715001E-3</v>
      </c>
      <c r="AC25" s="3">
        <f>+AC11/AC7</f>
        <v>6.1334750052510012E-3</v>
      </c>
      <c r="AD25" s="3"/>
      <c r="AE25" s="3"/>
      <c r="AF25" s="3"/>
      <c r="AG25" s="3"/>
      <c r="AH25" s="3"/>
    </row>
    <row r="26" spans="1:55" x14ac:dyDescent="0.25">
      <c r="A26" t="s">
        <v>44</v>
      </c>
      <c r="B26" s="3">
        <f>+B17/B16</f>
        <v>0</v>
      </c>
      <c r="C26" s="3">
        <f>+C17/C16</f>
        <v>0</v>
      </c>
      <c r="D26" s="3">
        <f>+D17/D16</f>
        <v>0</v>
      </c>
      <c r="E26" s="3">
        <f>+E17/E16</f>
        <v>0</v>
      </c>
      <c r="F26" s="3">
        <f>+F17/F16</f>
        <v>0</v>
      </c>
      <c r="G26" s="3">
        <f>+G17/G16</f>
        <v>0</v>
      </c>
      <c r="H26" s="3">
        <f>+H17/H16</f>
        <v>0</v>
      </c>
      <c r="I26" s="3">
        <f>+I17/I16</f>
        <v>0</v>
      </c>
      <c r="J26" s="3">
        <f>+J17/J16</f>
        <v>3.1999569753683989E-2</v>
      </c>
      <c r="K26" s="3">
        <f>+K17/K16</f>
        <v>0.10527046925791125</v>
      </c>
      <c r="L26" s="3">
        <f>+L17/L16</f>
        <v>2.2840362182886046E-2</v>
      </c>
      <c r="M26" s="3">
        <f>+M17/M16</f>
        <v>2.0768945481518111E-2</v>
      </c>
      <c r="N26" s="3"/>
      <c r="O26" t="s">
        <v>85</v>
      </c>
      <c r="P26" s="3">
        <f>+P25/main!L2-1</f>
        <v>0.1576009309116575</v>
      </c>
      <c r="U26" s="3">
        <f>+U12/U7</f>
        <v>0.34046392087124699</v>
      </c>
      <c r="V26" s="3">
        <f>+V12/V7</f>
        <v>0.22857220311677046</v>
      </c>
      <c r="W26" s="3">
        <f>+W12/W7</f>
        <v>0.16286965403082848</v>
      </c>
      <c r="X26" s="3">
        <f>+X12/X7</f>
        <v>0.15572183673469389</v>
      </c>
      <c r="Y26" s="3">
        <f>+Y12/Y7</f>
        <v>0.13873400000000002</v>
      </c>
      <c r="Z26" s="3">
        <f>+Z12/Z7</f>
        <v>0.12717283333333337</v>
      </c>
      <c r="AA26" s="3">
        <f>+AA12/AA7</f>
        <v>0.11657509722222227</v>
      </c>
      <c r="AB26" s="3">
        <f>+AB12/AB7</f>
        <v>0.11150661473429957</v>
      </c>
      <c r="AC26" s="3">
        <f>+AC12/AC7</f>
        <v>0.10665850105019961</v>
      </c>
      <c r="AD26" s="3"/>
      <c r="AE26" s="3"/>
      <c r="AF26" s="3"/>
      <c r="AG26" s="3"/>
      <c r="AH26" s="3"/>
    </row>
    <row r="27" spans="1:55" x14ac:dyDescent="0.2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T27" t="s">
        <v>23</v>
      </c>
      <c r="U27" s="3" t="s">
        <v>23</v>
      </c>
      <c r="AD27" s="3"/>
      <c r="AE27" s="3"/>
      <c r="AF27" s="3"/>
      <c r="AG27" s="3"/>
      <c r="AH27" s="3"/>
    </row>
    <row r="28" spans="1:55" x14ac:dyDescent="0.25">
      <c r="A28" t="s">
        <v>36</v>
      </c>
      <c r="B28" s="3"/>
      <c r="C28" s="3"/>
      <c r="D28" s="3"/>
      <c r="E28" s="3"/>
      <c r="F28" s="3"/>
      <c r="G28" s="3">
        <f>+G7/C7-1</f>
        <v>0.77329345030024865</v>
      </c>
      <c r="H28" s="3">
        <f>+H7/D7-1</f>
        <v>0.63727130891268446</v>
      </c>
      <c r="I28" s="3">
        <f>+I7/E7-1</f>
        <v>0.47864560856089544</v>
      </c>
      <c r="J28" s="3">
        <f>+J7/F7-1</f>
        <v>0.43857398882524512</v>
      </c>
      <c r="K28" s="3">
        <f>+K7/G7-1</f>
        <v>0.78286179997671446</v>
      </c>
      <c r="L28" s="3">
        <f>+L7/H7-1</f>
        <v>0.78133036046079507</v>
      </c>
      <c r="M28" s="3">
        <f>+M7/I7-1</f>
        <v>0.5831348776791514</v>
      </c>
      <c r="N28" s="3"/>
      <c r="U28" s="3" t="s">
        <v>23</v>
      </c>
      <c r="V28" s="3">
        <f>+V17/V16</f>
        <v>0</v>
      </c>
      <c r="W28" s="3">
        <f>+W17/W16</f>
        <v>4.6005963173986621E-2</v>
      </c>
      <c r="X28" s="3">
        <f>+X17/X16</f>
        <v>0.2</v>
      </c>
      <c r="Y28" s="3">
        <f>+Y17/Y16</f>
        <v>0.2</v>
      </c>
      <c r="Z28" s="3">
        <f>+Z17/Z16</f>
        <v>0.2</v>
      </c>
      <c r="AA28" s="3">
        <f>+AA17/AA16</f>
        <v>0.2</v>
      </c>
      <c r="AB28" s="3">
        <f>+AB17/AB16</f>
        <v>0.2</v>
      </c>
      <c r="AC28" s="3">
        <f>+AC17/AC16</f>
        <v>0.2</v>
      </c>
      <c r="AD28" s="3"/>
      <c r="AE28" s="3"/>
      <c r="AF28" s="3"/>
      <c r="AG28" s="3"/>
      <c r="AH28" s="3"/>
    </row>
    <row r="29" spans="1:55" x14ac:dyDescent="0.25">
      <c r="A29" t="s">
        <v>45</v>
      </c>
      <c r="G29" s="3">
        <f>+G18/C18</f>
        <v>0.45580652797246463</v>
      </c>
      <c r="H29" s="3">
        <f>+H18/D18</f>
        <v>-0.18654874755358758</v>
      </c>
      <c r="I29" s="3">
        <f>+I18/E18</f>
        <v>-0.75832830934304618</v>
      </c>
      <c r="J29" s="3">
        <f>+J18/F18</f>
        <v>-2.7229954614220873</v>
      </c>
      <c r="K29" s="3">
        <f>+K18/G18</f>
        <v>-5.2009043927648575</v>
      </c>
      <c r="L29" s="3">
        <f>+L18/H18</f>
        <v>13.096574344023296</v>
      </c>
      <c r="M29" s="3">
        <f>+M18/I18</f>
        <v>4.5428997476485451</v>
      </c>
      <c r="V29" s="3">
        <f>+ABS(V18/U18-1)</f>
        <v>0.97927776014470103</v>
      </c>
      <c r="W29" s="3">
        <f t="shared" ref="W29:AC29" si="22">+ABS(W18/V18-1)</f>
        <v>94.909634055265428</v>
      </c>
      <c r="X29" s="3">
        <f t="shared" si="22"/>
        <v>0.1140804644319855</v>
      </c>
      <c r="Y29" s="3">
        <f t="shared" si="22"/>
        <v>0.87059832510015345</v>
      </c>
      <c r="Z29" s="3">
        <f t="shared" si="22"/>
        <v>0.26410482568954041</v>
      </c>
      <c r="AA29" s="3">
        <f t="shared" si="22"/>
        <v>0.25192871680580953</v>
      </c>
      <c r="AB29" s="3">
        <f t="shared" si="22"/>
        <v>0.18785585087353485</v>
      </c>
      <c r="AC29" s="3">
        <f t="shared" si="22"/>
        <v>0.18263391872506496</v>
      </c>
      <c r="AD29" s="3"/>
      <c r="AE29" s="3"/>
      <c r="AF29" s="3"/>
      <c r="AG29" s="3"/>
      <c r="AH29" s="3"/>
    </row>
    <row r="31" spans="1:55" x14ac:dyDescent="0.25">
      <c r="A31" t="s">
        <v>46</v>
      </c>
      <c r="L31">
        <f>86.707-27.535-8.865</f>
        <v>50.306999999999995</v>
      </c>
      <c r="M31">
        <f>86.707-1.193-1.688</f>
        <v>83.825999999999993</v>
      </c>
      <c r="V31">
        <f>86.707-27.535-8.865</f>
        <v>50.306999999999995</v>
      </c>
      <c r="W31">
        <f>+V31+W18</f>
        <v>176.05199999999994</v>
      </c>
      <c r="X31">
        <f>+W31+X18</f>
        <v>316.14204799999993</v>
      </c>
      <c r="Y31">
        <f>+X31+Y18</f>
        <v>578.19425715199998</v>
      </c>
      <c r="Z31">
        <f>+Y31+Z18</f>
        <v>909.45571932364805</v>
      </c>
      <c r="AA31">
        <f>+Z31+AA18</f>
        <v>1324.1714565874156</v>
      </c>
      <c r="AB31">
        <f>+AA31+AB18</f>
        <v>1816.7939715455136</v>
      </c>
      <c r="AC31">
        <f>+AB31+AC18</f>
        <v>2399.3860668626057</v>
      </c>
    </row>
    <row r="32" spans="1:55" x14ac:dyDescent="0.25">
      <c r="A32" t="s">
        <v>4</v>
      </c>
      <c r="L32">
        <v>86.706999999999994</v>
      </c>
      <c r="M32">
        <v>103.14700000000001</v>
      </c>
    </row>
    <row r="33" spans="1:23" x14ac:dyDescent="0.25">
      <c r="A33" t="s">
        <v>47</v>
      </c>
      <c r="L33">
        <v>50.14</v>
      </c>
      <c r="M33">
        <v>49.999000000000002</v>
      </c>
    </row>
    <row r="34" spans="1:23" x14ac:dyDescent="0.25">
      <c r="A34" t="s">
        <v>48</v>
      </c>
      <c r="L34">
        <v>171.80099999999999</v>
      </c>
      <c r="M34">
        <v>170.23500000000001</v>
      </c>
    </row>
    <row r="35" spans="1:23" x14ac:dyDescent="0.25">
      <c r="A35" t="s">
        <v>49</v>
      </c>
      <c r="L35">
        <v>9.5449999999999999</v>
      </c>
      <c r="M35">
        <v>8.0289999999999999</v>
      </c>
    </row>
    <row r="36" spans="1:23" x14ac:dyDescent="0.25">
      <c r="A36" t="s">
        <v>50</v>
      </c>
      <c r="L36">
        <v>53.694000000000003</v>
      </c>
      <c r="M36">
        <v>54.707000000000001</v>
      </c>
      <c r="V36" t="s">
        <v>23</v>
      </c>
    </row>
    <row r="37" spans="1:23" x14ac:dyDescent="0.25">
      <c r="A37" t="s">
        <v>51</v>
      </c>
      <c r="L37">
        <f>0.485+3.53</f>
        <v>4.0149999999999997</v>
      </c>
      <c r="M37">
        <f>0.46+3.53</f>
        <v>3.9899999999999998</v>
      </c>
    </row>
    <row r="38" spans="1:23" x14ac:dyDescent="0.25">
      <c r="A38" t="s">
        <v>86</v>
      </c>
      <c r="M38">
        <v>84.28</v>
      </c>
    </row>
    <row r="39" spans="1:23" x14ac:dyDescent="0.25">
      <c r="A39" t="s">
        <v>52</v>
      </c>
      <c r="L39">
        <v>8.8970000000000002</v>
      </c>
      <c r="M39">
        <v>5.657</v>
      </c>
    </row>
    <row r="40" spans="1:23" x14ac:dyDescent="0.25">
      <c r="A40" t="s">
        <v>53</v>
      </c>
      <c r="L40">
        <v>5.819</v>
      </c>
      <c r="M40">
        <v>8.6340000000000003</v>
      </c>
      <c r="Q40" t="s">
        <v>23</v>
      </c>
    </row>
    <row r="41" spans="1:23" x14ac:dyDescent="0.25">
      <c r="A41" t="s">
        <v>54</v>
      </c>
      <c r="L41">
        <f>+SUM(L32:L40)</f>
        <v>390.61799999999999</v>
      </c>
      <c r="M41">
        <f>+SUM(M32:M40)</f>
        <v>488.67800000000005</v>
      </c>
      <c r="V41" s="10">
        <v>329.18200000000002</v>
      </c>
      <c r="W41">
        <v>488.678</v>
      </c>
    </row>
    <row r="43" spans="1:23" x14ac:dyDescent="0.25">
      <c r="A43" t="s">
        <v>5</v>
      </c>
      <c r="L43">
        <v>130.59399999999999</v>
      </c>
      <c r="M43">
        <v>72.337000000000003</v>
      </c>
      <c r="V43" t="s">
        <v>23</v>
      </c>
    </row>
    <row r="44" spans="1:23" x14ac:dyDescent="0.25">
      <c r="A44" t="s">
        <v>55</v>
      </c>
      <c r="L44">
        <v>15.66</v>
      </c>
      <c r="M44">
        <v>20.219000000000001</v>
      </c>
    </row>
    <row r="45" spans="1:23" x14ac:dyDescent="0.25">
      <c r="A45" t="s">
        <v>87</v>
      </c>
      <c r="L45">
        <v>32.918999999999997</v>
      </c>
      <c r="M45">
        <v>33.962000000000003</v>
      </c>
    </row>
    <row r="46" spans="1:23" x14ac:dyDescent="0.25">
      <c r="A46" t="s">
        <v>38</v>
      </c>
      <c r="L46">
        <f>0.182+1.69</f>
        <v>1.8719999999999999</v>
      </c>
      <c r="M46">
        <f>0.143+1.547</f>
        <v>1.69</v>
      </c>
    </row>
    <row r="47" spans="1:23" x14ac:dyDescent="0.25">
      <c r="A47" t="s">
        <v>88</v>
      </c>
      <c r="L47">
        <f>1.045+9.779</f>
        <v>10.824</v>
      </c>
      <c r="M47">
        <f>1.218+8.561</f>
        <v>9.7789999999999999</v>
      </c>
    </row>
    <row r="48" spans="1:23" x14ac:dyDescent="0.25">
      <c r="A48" t="s">
        <v>89</v>
      </c>
      <c r="L48">
        <v>1.6879999999999999</v>
      </c>
      <c r="M48">
        <v>1.3129999999999999</v>
      </c>
    </row>
    <row r="49" spans="1:23" x14ac:dyDescent="0.25">
      <c r="A49" t="s">
        <v>69</v>
      </c>
      <c r="L49">
        <v>0.41899999999999998</v>
      </c>
      <c r="M49">
        <v>0.36</v>
      </c>
    </row>
    <row r="50" spans="1:23" x14ac:dyDescent="0.25">
      <c r="A50" t="s">
        <v>56</v>
      </c>
      <c r="L50">
        <f>+SUM(L43:L49)</f>
        <v>193.97600000000003</v>
      </c>
      <c r="M50">
        <f>+SUM(M43:M49)</f>
        <v>139.66000000000003</v>
      </c>
      <c r="V50">
        <v>193.976</v>
      </c>
      <c r="W50">
        <v>139.66</v>
      </c>
    </row>
    <row r="51" spans="1:23" x14ac:dyDescent="0.25">
      <c r="A51" t="s">
        <v>57</v>
      </c>
      <c r="L51">
        <f>+L41/L50</f>
        <v>2.0137439683259784</v>
      </c>
      <c r="M51">
        <f>+M41/M50</f>
        <v>3.4990548474867533</v>
      </c>
      <c r="V51">
        <f>+V41-V50</f>
        <v>135.20600000000002</v>
      </c>
      <c r="W51">
        <f>+W41-W50</f>
        <v>349.01800000000003</v>
      </c>
    </row>
    <row r="52" spans="1:23" x14ac:dyDescent="0.25">
      <c r="A52" t="s">
        <v>58</v>
      </c>
      <c r="L52">
        <f>+L50+L51</f>
        <v>195.989743968326</v>
      </c>
      <c r="M52">
        <f>+M50+M51</f>
        <v>143.15905484748677</v>
      </c>
      <c r="V52">
        <f>+V50+V51</f>
        <v>329.18200000000002</v>
      </c>
      <c r="W52">
        <f>+W50+W51</f>
        <v>488.678</v>
      </c>
    </row>
    <row r="53" spans="1:23" x14ac:dyDescent="0.25">
      <c r="S53" t="s">
        <v>23</v>
      </c>
    </row>
    <row r="54" spans="1:23" x14ac:dyDescent="0.25">
      <c r="A54" t="s">
        <v>59</v>
      </c>
      <c r="L54" s="11">
        <f>+L18/L41</f>
        <v>9.2000368646606129E-2</v>
      </c>
      <c r="M54" s="11">
        <f>+M18/M41</f>
        <v>8.1045187219395992E-2</v>
      </c>
      <c r="V54" s="11" t="s">
        <v>23</v>
      </c>
      <c r="W54" s="11">
        <f>+W18/W41</f>
        <v>0.25731667887647891</v>
      </c>
    </row>
    <row r="55" spans="1:23" x14ac:dyDescent="0.25">
      <c r="A55" t="s">
        <v>60</v>
      </c>
      <c r="L55" s="11">
        <f>+L18/L52</f>
        <v>0.18336163552419246</v>
      </c>
      <c r="M55" s="11">
        <f>+M18/M52</f>
        <v>0.27665033163422903</v>
      </c>
      <c r="V55" s="11" t="s">
        <v>23</v>
      </c>
      <c r="W55" s="11">
        <f>+W18/W52</f>
        <v>0.25731667887647891</v>
      </c>
    </row>
    <row r="57" spans="1:23" x14ac:dyDescent="0.25">
      <c r="A57" t="s">
        <v>61</v>
      </c>
      <c r="M57" s="1" t="s">
        <v>23</v>
      </c>
      <c r="V57" s="1">
        <f>+V18</f>
        <v>-1.3389999999999951</v>
      </c>
      <c r="W57" s="1">
        <f>+W18</f>
        <v>125.74499999999995</v>
      </c>
    </row>
    <row r="58" spans="1:23" x14ac:dyDescent="0.25">
      <c r="A58" t="s">
        <v>62</v>
      </c>
      <c r="V58">
        <v>-28.239000000000001</v>
      </c>
      <c r="W58">
        <v>197.673</v>
      </c>
    </row>
    <row r="59" spans="1:23" x14ac:dyDescent="0.25">
      <c r="A59" t="s">
        <v>63</v>
      </c>
      <c r="V59">
        <v>8.3320000000000007</v>
      </c>
      <c r="W59">
        <v>8.0449999999999999</v>
      </c>
    </row>
    <row r="60" spans="1:23" x14ac:dyDescent="0.25">
      <c r="A60" t="s">
        <v>64</v>
      </c>
      <c r="V60">
        <v>0.182</v>
      </c>
      <c r="W60">
        <v>0.106</v>
      </c>
    </row>
    <row r="61" spans="1:23" x14ac:dyDescent="0.25">
      <c r="A61" t="s">
        <v>91</v>
      </c>
      <c r="V61">
        <v>0</v>
      </c>
      <c r="W61">
        <v>-84.28</v>
      </c>
    </row>
    <row r="62" spans="1:23" x14ac:dyDescent="0.25">
      <c r="A62" t="s">
        <v>65</v>
      </c>
      <c r="V62">
        <v>3.8359999999999999</v>
      </c>
      <c r="W62">
        <v>0</v>
      </c>
    </row>
    <row r="63" spans="1:23" x14ac:dyDescent="0.25">
      <c r="A63" t="s">
        <v>66</v>
      </c>
      <c r="V63">
        <v>6.1870000000000003</v>
      </c>
      <c r="W63">
        <v>13.616</v>
      </c>
    </row>
    <row r="64" spans="1:23" x14ac:dyDescent="0.25">
      <c r="A64" t="s">
        <v>67</v>
      </c>
      <c r="V64">
        <f>2.594+-0.143</f>
        <v>2.4510000000000001</v>
      </c>
      <c r="W64">
        <f>0.951-0.143</f>
        <v>0.80799999999999994</v>
      </c>
    </row>
    <row r="65" spans="1:25 16384:16384" x14ac:dyDescent="0.25">
      <c r="A65" t="s">
        <v>5</v>
      </c>
      <c r="V65">
        <v>26.173999999999999</v>
      </c>
      <c r="W65">
        <v>1.2430000000000001</v>
      </c>
    </row>
    <row r="66" spans="1:25 16384:16384" x14ac:dyDescent="0.25">
      <c r="A66" t="s">
        <v>47</v>
      </c>
      <c r="V66">
        <v>-11.916</v>
      </c>
      <c r="W66">
        <v>-22.577999999999999</v>
      </c>
    </row>
    <row r="67" spans="1:25 16384:16384" x14ac:dyDescent="0.25">
      <c r="A67" t="s">
        <v>48</v>
      </c>
      <c r="V67">
        <v>-9.6259999999999994</v>
      </c>
      <c r="W67">
        <v>2.6709999999999998</v>
      </c>
    </row>
    <row r="68" spans="1:25 16384:16384" x14ac:dyDescent="0.25">
      <c r="A68" t="s">
        <v>49</v>
      </c>
      <c r="V68">
        <v>0.23599999999999999</v>
      </c>
      <c r="W68">
        <v>-2.6949999999999998</v>
      </c>
    </row>
    <row r="69" spans="1:25 16384:16384" x14ac:dyDescent="0.25">
      <c r="A69" t="s">
        <v>53</v>
      </c>
      <c r="B69" t="s">
        <v>23</v>
      </c>
      <c r="V69">
        <v>1.08</v>
      </c>
      <c r="W69">
        <v>1.4999999999999999E-2</v>
      </c>
    </row>
    <row r="70" spans="1:25 16384:16384" x14ac:dyDescent="0.25">
      <c r="A70" t="s">
        <v>55</v>
      </c>
      <c r="V70">
        <v>3.839</v>
      </c>
      <c r="W70">
        <v>4.1500000000000004</v>
      </c>
    </row>
    <row r="71" spans="1:25 16384:16384" x14ac:dyDescent="0.25">
      <c r="A71" t="s">
        <v>68</v>
      </c>
      <c r="V71">
        <v>7.53</v>
      </c>
      <c r="W71">
        <v>1.042</v>
      </c>
    </row>
    <row r="72" spans="1:25 16384:16384" x14ac:dyDescent="0.25">
      <c r="A72" t="s">
        <v>69</v>
      </c>
      <c r="V72">
        <v>-0.79100000000000004</v>
      </c>
      <c r="W72">
        <v>-1.1439999999999999</v>
      </c>
    </row>
    <row r="73" spans="1:25 16384:16384" x14ac:dyDescent="0.25">
      <c r="W73" t="s">
        <v>23</v>
      </c>
    </row>
    <row r="74" spans="1:25 16384:16384" x14ac:dyDescent="0.25">
      <c r="A74" t="s">
        <v>73</v>
      </c>
      <c r="U74">
        <v>-13.911</v>
      </c>
      <c r="V74">
        <v>-4.7709999999999999</v>
      </c>
      <c r="W74">
        <v>-8.2260000000000009</v>
      </c>
    </row>
    <row r="75" spans="1:25 16384:16384" x14ac:dyDescent="0.25">
      <c r="A75" t="s">
        <v>70</v>
      </c>
      <c r="T75" t="s">
        <v>23</v>
      </c>
      <c r="U75">
        <v>-59.508000000000003</v>
      </c>
      <c r="V75">
        <v>8.8000000000000007</v>
      </c>
      <c r="W75" s="1">
        <f>+SUM(W58:W72)</f>
        <v>118.67199999999997</v>
      </c>
    </row>
    <row r="76" spans="1:25 16384:16384" x14ac:dyDescent="0.25">
      <c r="A76" t="s">
        <v>71</v>
      </c>
      <c r="T76" t="s">
        <v>23</v>
      </c>
      <c r="U76">
        <v>-13.911</v>
      </c>
      <c r="V76">
        <v>-4.9809999999999999</v>
      </c>
      <c r="W76">
        <v>-8.5749999999999993</v>
      </c>
    </row>
    <row r="77" spans="1:25 16384:16384" x14ac:dyDescent="0.25">
      <c r="A77" t="s">
        <v>72</v>
      </c>
      <c r="F77" t="s">
        <v>23</v>
      </c>
      <c r="G77" t="s">
        <v>23</v>
      </c>
      <c r="H77" t="s">
        <v>90</v>
      </c>
      <c r="I77" t="s">
        <v>23</v>
      </c>
      <c r="J77" t="s">
        <v>23</v>
      </c>
      <c r="K77" t="s">
        <v>23</v>
      </c>
      <c r="T77" t="s">
        <v>23</v>
      </c>
      <c r="U77">
        <v>-58.302</v>
      </c>
      <c r="V77">
        <v>-38.988999999999997</v>
      </c>
      <c r="W77">
        <v>-58.302</v>
      </c>
    </row>
    <row r="78" spans="1:25 16384:16384" x14ac:dyDescent="0.25">
      <c r="A78" t="s">
        <v>74</v>
      </c>
      <c r="D78" t="s">
        <v>23</v>
      </c>
      <c r="E78" t="s">
        <v>23</v>
      </c>
      <c r="U78">
        <f>+U75+U76+U77-U74</f>
        <v>-117.81</v>
      </c>
      <c r="V78">
        <f>+V75+V76+V77-V74</f>
        <v>-30.398999999999994</v>
      </c>
      <c r="W78">
        <f>+W75+W76+W77-W74</f>
        <v>60.020999999999965</v>
      </c>
      <c r="Y78" t="s">
        <v>23</v>
      </c>
      <c r="XFD78" t="s">
        <v>23</v>
      </c>
    </row>
    <row r="79" spans="1:25 16384:16384" x14ac:dyDescent="0.25">
      <c r="U79" t="s">
        <v>23</v>
      </c>
      <c r="V79" s="3">
        <f t="shared" ref="V79" si="23">+ABS(V78/U78-1)</f>
        <v>0.74196587725999497</v>
      </c>
      <c r="W79" s="3">
        <f>+ABS(W78/V78-1)</f>
        <v>2.9744399486825217</v>
      </c>
    </row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</sheetData>
  <hyperlinks>
    <hyperlink ref="A1" location="main!A1" display="main" xr:uid="{10D907DF-1838-4149-9387-9EC30F78884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7FB49-60AA-493C-BAC1-33C0EC99533B}">
  <dimension ref="A1:L19"/>
  <sheetViews>
    <sheetView workbookViewId="0"/>
  </sheetViews>
  <sheetFormatPr defaultRowHeight="15" x14ac:dyDescent="0.25"/>
  <sheetData>
    <row r="1" spans="1:9" x14ac:dyDescent="0.25">
      <c r="A1" s="14" t="s">
        <v>101</v>
      </c>
    </row>
    <row r="2" spans="1:9" x14ac:dyDescent="0.25">
      <c r="B2" t="s">
        <v>75</v>
      </c>
    </row>
    <row r="3" spans="1:9" x14ac:dyDescent="0.25">
      <c r="B3" t="s">
        <v>76</v>
      </c>
    </row>
    <row r="4" spans="1:9" x14ac:dyDescent="0.25">
      <c r="B4" t="s">
        <v>77</v>
      </c>
    </row>
    <row r="5" spans="1:9" x14ac:dyDescent="0.25">
      <c r="B5" t="s">
        <v>78</v>
      </c>
    </row>
    <row r="6" spans="1:9" x14ac:dyDescent="0.25">
      <c r="B6" t="s">
        <v>79</v>
      </c>
    </row>
    <row r="7" spans="1:9" x14ac:dyDescent="0.25">
      <c r="B7" t="s">
        <v>80</v>
      </c>
    </row>
    <row r="8" spans="1:9" x14ac:dyDescent="0.25">
      <c r="B8" t="s">
        <v>81</v>
      </c>
      <c r="G8" t="s">
        <v>23</v>
      </c>
    </row>
    <row r="9" spans="1:9" x14ac:dyDescent="0.25">
      <c r="B9" t="s">
        <v>23</v>
      </c>
      <c r="G9">
        <v>4861</v>
      </c>
      <c r="H9">
        <f>+G9*0.0375</f>
        <v>182.28749999999999</v>
      </c>
    </row>
    <row r="10" spans="1:9" x14ac:dyDescent="0.25">
      <c r="G10">
        <v>36862</v>
      </c>
      <c r="H10">
        <v>334227</v>
      </c>
      <c r="I10">
        <f>+H10/100</f>
        <v>3342.27</v>
      </c>
    </row>
    <row r="11" spans="1:9" x14ac:dyDescent="0.25">
      <c r="I11">
        <f>+I10*G10</f>
        <v>123202756.73999999</v>
      </c>
    </row>
    <row r="17" spans="7:12" x14ac:dyDescent="0.25">
      <c r="G17">
        <v>4500</v>
      </c>
      <c r="I17">
        <v>190</v>
      </c>
    </row>
    <row r="18" spans="7:12" x14ac:dyDescent="0.25">
      <c r="G18">
        <v>120</v>
      </c>
      <c r="I18">
        <v>4500</v>
      </c>
      <c r="L18" s="6">
        <v>6.2888888888888883E-2</v>
      </c>
    </row>
    <row r="19" spans="7:12" x14ac:dyDescent="0.25">
      <c r="G19" s="3">
        <f>+G18/G17-1</f>
        <v>-0.97333333333333338</v>
      </c>
      <c r="I19" s="3">
        <f>+I18/I17-1</f>
        <v>22.684210526315791</v>
      </c>
    </row>
  </sheetData>
  <hyperlinks>
    <hyperlink ref="A1" location="main!A1" display="main" xr:uid="{731EC210-0B70-4E8D-A313-4A4E0B978BB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main</vt:lpstr>
      <vt:lpstr>model</vt:lpstr>
      <vt:lpstr>Competitors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Simão Clemente</cp:lastModifiedBy>
  <cp:revision/>
  <dcterms:created xsi:type="dcterms:W3CDTF">2025-02-16T16:37:49Z</dcterms:created>
  <dcterms:modified xsi:type="dcterms:W3CDTF">2025-04-18T16:30:25Z</dcterms:modified>
  <cp:category/>
  <cp:contentStatus/>
</cp:coreProperties>
</file>