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243" documentId="14_{9D4B891F-B0B1-4E01-A8B4-5EB67C77C311}" xr6:coauthVersionLast="47" xr6:coauthVersionMax="47" xr10:uidLastSave="{64915FAE-7C48-453A-81AE-8BC8230FE945}"/>
  <bookViews>
    <workbookView xWindow="-105" yWindow="0" windowWidth="14610" windowHeight="15585" activeTab="1" xr2:uid="{7BE11683-4F0E-45D9-8C65-74CCE666DCF9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2" l="1"/>
  <c r="O51" i="2"/>
  <c r="O46" i="2"/>
  <c r="O39" i="2"/>
  <c r="O37" i="2"/>
  <c r="O32" i="2"/>
  <c r="O30" i="2"/>
  <c r="AB18" i="2"/>
  <c r="AB10" i="2"/>
  <c r="AB9" i="2"/>
  <c r="AB8" i="2"/>
  <c r="AB7" i="2"/>
  <c r="AB6" i="2"/>
  <c r="AB5" i="2"/>
  <c r="AB4" i="2"/>
  <c r="AB11" i="2" s="1"/>
  <c r="AB3" i="2"/>
  <c r="AB12" i="2" s="1"/>
  <c r="L52" i="2"/>
  <c r="L51" i="2"/>
  <c r="L48" i="2"/>
  <c r="L49" i="2" s="1"/>
  <c r="L46" i="2"/>
  <c r="L39" i="2"/>
  <c r="L37" i="2"/>
  <c r="L32" i="2"/>
  <c r="L30" i="2"/>
  <c r="O28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0" i="2"/>
  <c r="N20" i="2"/>
  <c r="M20" i="2"/>
  <c r="L20" i="2"/>
  <c r="M17" i="2"/>
  <c r="M16" i="2"/>
  <c r="M15" i="2"/>
  <c r="M14" i="2"/>
  <c r="M13" i="2"/>
  <c r="M11" i="2"/>
  <c r="M12" i="2" s="1"/>
  <c r="M10" i="2"/>
  <c r="M9" i="2"/>
  <c r="M8" i="2"/>
  <c r="M7" i="2"/>
  <c r="M6" i="2"/>
  <c r="M5" i="2"/>
  <c r="M4" i="2"/>
  <c r="M3" i="2"/>
  <c r="L11" i="2"/>
  <c r="L12" i="2" s="1"/>
  <c r="L14" i="2" s="1"/>
  <c r="L16" i="2" s="1"/>
  <c r="L17" i="2" s="1"/>
  <c r="N11" i="2"/>
  <c r="N12" i="2" s="1"/>
  <c r="N14" i="2" s="1"/>
  <c r="N16" i="2" s="1"/>
  <c r="N17" i="2" s="1"/>
  <c r="O11" i="2"/>
  <c r="O12" i="2" s="1"/>
  <c r="O14" i="2" s="1"/>
  <c r="O16" i="2" s="1"/>
  <c r="O17" i="2" s="1"/>
  <c r="L7" i="1"/>
  <c r="L5" i="1"/>
  <c r="L6" i="1"/>
  <c r="K30" i="2"/>
  <c r="K28" i="2" s="1"/>
  <c r="U46" i="2"/>
  <c r="U32" i="2"/>
  <c r="U37" i="2"/>
  <c r="U30" i="2"/>
  <c r="U28" i="2" s="1"/>
  <c r="V13" i="2" s="1"/>
  <c r="K46" i="2"/>
  <c r="K37" i="2"/>
  <c r="K32" i="2"/>
  <c r="O48" i="2" l="1"/>
  <c r="O52" i="2" s="1"/>
  <c r="R8" i="2"/>
  <c r="U39" i="2"/>
  <c r="U48" i="2" s="1"/>
  <c r="U49" i="2" s="1"/>
  <c r="K39" i="2"/>
  <c r="K48" i="2" s="1"/>
  <c r="K49" i="2" s="1"/>
  <c r="U18" i="2"/>
  <c r="J24" i="2"/>
  <c r="H24" i="2"/>
  <c r="G24" i="2"/>
  <c r="F24" i="2"/>
  <c r="J23" i="2"/>
  <c r="H23" i="2"/>
  <c r="G23" i="2"/>
  <c r="F23" i="2"/>
  <c r="J22" i="2"/>
  <c r="H22" i="2"/>
  <c r="G22" i="2"/>
  <c r="F22" i="2"/>
  <c r="K24" i="2"/>
  <c r="K23" i="2"/>
  <c r="K22" i="2"/>
  <c r="T18" i="2"/>
  <c r="T15" i="2"/>
  <c r="T13" i="2"/>
  <c r="T10" i="2"/>
  <c r="T9" i="2"/>
  <c r="T8" i="2"/>
  <c r="T7" i="2"/>
  <c r="T6" i="2"/>
  <c r="T5" i="2"/>
  <c r="T4" i="2"/>
  <c r="T3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J20" i="2"/>
  <c r="H20" i="2"/>
  <c r="G20" i="2"/>
  <c r="F20" i="2"/>
  <c r="K20" i="2"/>
  <c r="E11" i="2"/>
  <c r="E12" i="2" s="1"/>
  <c r="E14" i="2" s="1"/>
  <c r="E16" i="2" s="1"/>
  <c r="E17" i="2" s="1"/>
  <c r="F11" i="2"/>
  <c r="F12" i="2" s="1"/>
  <c r="F14" i="2" s="1"/>
  <c r="F16" i="2" s="1"/>
  <c r="F17" i="2" s="1"/>
  <c r="B11" i="2"/>
  <c r="B12" i="2" s="1"/>
  <c r="B14" i="2" s="1"/>
  <c r="B16" i="2" s="1"/>
  <c r="B17" i="2" s="1"/>
  <c r="C11" i="2"/>
  <c r="C12" i="2" s="1"/>
  <c r="C14" i="2" s="1"/>
  <c r="C16" i="2" s="1"/>
  <c r="C17" i="2" s="1"/>
  <c r="H11" i="2"/>
  <c r="H12" i="2" s="1"/>
  <c r="H14" i="2" s="1"/>
  <c r="H16" i="2" s="1"/>
  <c r="H17" i="2" s="1"/>
  <c r="I3" i="2"/>
  <c r="I20" i="2" s="1"/>
  <c r="I4" i="2"/>
  <c r="U4" i="2" s="1"/>
  <c r="V4" i="2" s="1"/>
  <c r="W4" i="2" s="1"/>
  <c r="X4" i="2" s="1"/>
  <c r="Y4" i="2" s="1"/>
  <c r="Z4" i="2" s="1"/>
  <c r="AA4" i="2" s="1"/>
  <c r="I5" i="2"/>
  <c r="U5" i="2" s="1"/>
  <c r="V5" i="2" s="1"/>
  <c r="W5" i="2" s="1"/>
  <c r="X5" i="2" s="1"/>
  <c r="Y5" i="2" s="1"/>
  <c r="Z5" i="2" s="1"/>
  <c r="AA5" i="2" s="1"/>
  <c r="I6" i="2"/>
  <c r="U6" i="2" s="1"/>
  <c r="V6" i="2" s="1"/>
  <c r="W6" i="2" s="1"/>
  <c r="X6" i="2" s="1"/>
  <c r="Y6" i="2" s="1"/>
  <c r="Z6" i="2" s="1"/>
  <c r="AA6" i="2" s="1"/>
  <c r="I7" i="2"/>
  <c r="U7" i="2" s="1"/>
  <c r="V7" i="2" s="1"/>
  <c r="W7" i="2" s="1"/>
  <c r="X7" i="2" s="1"/>
  <c r="Y7" i="2" s="1"/>
  <c r="Z7" i="2" s="1"/>
  <c r="AA7" i="2" s="1"/>
  <c r="I8" i="2"/>
  <c r="I9" i="2"/>
  <c r="I10" i="2"/>
  <c r="U10" i="2" s="1"/>
  <c r="V10" i="2" s="1"/>
  <c r="W10" i="2" s="1"/>
  <c r="X10" i="2" s="1"/>
  <c r="Y10" i="2" s="1"/>
  <c r="Z10" i="2" s="1"/>
  <c r="AA10" i="2" s="1"/>
  <c r="I13" i="2"/>
  <c r="U13" i="2" s="1"/>
  <c r="I15" i="2"/>
  <c r="U15" i="2" s="1"/>
  <c r="D11" i="2"/>
  <c r="D12" i="2" s="1"/>
  <c r="D14" i="2" s="1"/>
  <c r="D16" i="2" s="1"/>
  <c r="D17" i="2" s="1"/>
  <c r="J11" i="2"/>
  <c r="J12" i="2" s="1"/>
  <c r="J14" i="2" s="1"/>
  <c r="J16" i="2" s="1"/>
  <c r="J17" i="2" s="1"/>
  <c r="G11" i="2"/>
  <c r="G12" i="2" s="1"/>
  <c r="G14" i="2" s="1"/>
  <c r="G16" i="2" s="1"/>
  <c r="G17" i="2" s="1"/>
  <c r="O49" i="2" l="1"/>
  <c r="I24" i="2"/>
  <c r="I23" i="2"/>
  <c r="H25" i="2"/>
  <c r="F26" i="2"/>
  <c r="T11" i="2"/>
  <c r="T12" i="2" s="1"/>
  <c r="T23" i="2"/>
  <c r="U9" i="2"/>
  <c r="V9" i="2" s="1"/>
  <c r="W9" i="2" s="1"/>
  <c r="X9" i="2" s="1"/>
  <c r="Y9" i="2" s="1"/>
  <c r="Z9" i="2" s="1"/>
  <c r="AA9" i="2" s="1"/>
  <c r="T24" i="2"/>
  <c r="I22" i="2"/>
  <c r="J25" i="2"/>
  <c r="U8" i="2"/>
  <c r="V8" i="2" s="1"/>
  <c r="W8" i="2" s="1"/>
  <c r="X8" i="2" s="1"/>
  <c r="Y8" i="2" s="1"/>
  <c r="Z8" i="2" s="1"/>
  <c r="AA8" i="2" s="1"/>
  <c r="T22" i="2"/>
  <c r="V18" i="2"/>
  <c r="W18" i="2" s="1"/>
  <c r="X18" i="2" s="1"/>
  <c r="Y18" i="2" s="1"/>
  <c r="Z18" i="2" s="1"/>
  <c r="AA18" i="2" s="1"/>
  <c r="G26" i="2"/>
  <c r="H26" i="2"/>
  <c r="U3" i="2"/>
  <c r="U22" i="2" s="1"/>
  <c r="F25" i="2"/>
  <c r="G25" i="2"/>
  <c r="J26" i="2"/>
  <c r="I11" i="2"/>
  <c r="I12" i="2" s="1"/>
  <c r="U11" i="2" l="1"/>
  <c r="U12" i="2" s="1"/>
  <c r="U24" i="2"/>
  <c r="T25" i="2"/>
  <c r="T14" i="2"/>
  <c r="V3" i="2"/>
  <c r="I14" i="2"/>
  <c r="I25" i="2"/>
  <c r="U23" i="2"/>
  <c r="K11" i="2"/>
  <c r="K12" i="2" s="1"/>
  <c r="L4" i="1"/>
  <c r="T16" i="2" l="1"/>
  <c r="T17" i="2" s="1"/>
  <c r="T26" i="2"/>
  <c r="V24" i="2"/>
  <c r="W3" i="2"/>
  <c r="V22" i="2"/>
  <c r="W11" i="2"/>
  <c r="U25" i="2"/>
  <c r="U14" i="2"/>
  <c r="K14" i="2"/>
  <c r="K25" i="2"/>
  <c r="V23" i="2"/>
  <c r="V11" i="2"/>
  <c r="V12" i="2" s="1"/>
  <c r="I16" i="2"/>
  <c r="I17" i="2" s="1"/>
  <c r="I26" i="2"/>
  <c r="V25" i="2" l="1"/>
  <c r="V14" i="2"/>
  <c r="U26" i="2"/>
  <c r="U16" i="2"/>
  <c r="W23" i="2"/>
  <c r="X3" i="2"/>
  <c r="W12" i="2"/>
  <c r="W24" i="2"/>
  <c r="W22" i="2"/>
  <c r="K16" i="2"/>
  <c r="K26" i="2"/>
  <c r="U51" i="2" l="1"/>
  <c r="U52" i="2"/>
  <c r="K17" i="2"/>
  <c r="K52" i="2"/>
  <c r="K51" i="2"/>
  <c r="W25" i="2"/>
  <c r="Y11" i="2"/>
  <c r="X23" i="2"/>
  <c r="U17" i="2"/>
  <c r="V15" i="2"/>
  <c r="V26" i="2" s="1"/>
  <c r="Y3" i="2"/>
  <c r="X24" i="2"/>
  <c r="X22" i="2"/>
  <c r="X11" i="2"/>
  <c r="X12" i="2" s="1"/>
  <c r="V16" i="2" l="1"/>
  <c r="V17" i="2" s="1"/>
  <c r="Y23" i="2"/>
  <c r="Z11" i="2"/>
  <c r="X25" i="2"/>
  <c r="Z3" i="2"/>
  <c r="AA3" i="2" s="1"/>
  <c r="Y12" i="2"/>
  <c r="Y24" i="2"/>
  <c r="Y22" i="2"/>
  <c r="V28" i="2" l="1"/>
  <c r="W13" i="2"/>
  <c r="W14" i="2" s="1"/>
  <c r="W15" i="2" s="1"/>
  <c r="W26" i="2" s="1"/>
  <c r="AA11" i="2"/>
  <c r="Z23" i="2"/>
  <c r="Y25" i="2"/>
  <c r="Z12" i="2"/>
  <c r="Z24" i="2"/>
  <c r="Z22" i="2"/>
  <c r="W16" i="2" l="1"/>
  <c r="W28" i="2" s="1"/>
  <c r="Z25" i="2"/>
  <c r="AA12" i="2"/>
  <c r="AA24" i="2"/>
  <c r="AA22" i="2"/>
  <c r="AA23" i="2"/>
  <c r="W17" i="2" l="1"/>
  <c r="X13" i="2"/>
  <c r="X14" i="2" s="1"/>
  <c r="AA25" i="2"/>
  <c r="X15" i="2" l="1"/>
  <c r="X26" i="2" s="1"/>
  <c r="X16" i="2" l="1"/>
  <c r="X17" i="2" s="1"/>
  <c r="X28" i="2" l="1"/>
  <c r="Y13" i="2" s="1"/>
  <c r="Y14" i="2" s="1"/>
  <c r="Y15" i="2" l="1"/>
  <c r="Y26" i="2" s="1"/>
  <c r="Y16" i="2" l="1"/>
  <c r="Y17" i="2" s="1"/>
  <c r="Y28" i="2" l="1"/>
  <c r="Z13" i="2" s="1"/>
  <c r="Z14" i="2" s="1"/>
  <c r="Z15" i="2" l="1"/>
  <c r="Z26" i="2" s="1"/>
  <c r="Z16" i="2" l="1"/>
  <c r="Z17" i="2" s="1"/>
  <c r="Z28" i="2" l="1"/>
  <c r="AA13" i="2" s="1"/>
  <c r="AA14" i="2" s="1"/>
  <c r="AA15" i="2" l="1"/>
  <c r="AA26" i="2" s="1"/>
  <c r="AA16" i="2" l="1"/>
  <c r="AA17" i="2" s="1"/>
  <c r="AA28" i="2"/>
  <c r="AB13" i="2" s="1"/>
  <c r="AB14" i="2" s="1"/>
  <c r="AB15" i="2" l="1"/>
  <c r="AB16" i="2" s="1"/>
  <c r="AB28" i="2" l="1"/>
  <c r="AC16" i="2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B17" i="2"/>
  <c r="R7" i="2" l="1"/>
  <c r="R9" i="2" s="1"/>
  <c r="R10" i="2" s="1"/>
  <c r="R12" i="2" s="1"/>
  <c r="AC28" i="2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</calcChain>
</file>

<file path=xl/sharedStrings.xml><?xml version="1.0" encoding="utf-8"?>
<sst xmlns="http://schemas.openxmlformats.org/spreadsheetml/2006/main" count="91" uniqueCount="74">
  <si>
    <t>PYPL</t>
  </si>
  <si>
    <t xml:space="preserve">Price </t>
  </si>
  <si>
    <t>Shares</t>
  </si>
  <si>
    <t>Q224</t>
  </si>
  <si>
    <t>MC</t>
  </si>
  <si>
    <t>Cash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</si>
  <si>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</si>
  <si>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</si>
  <si>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</si>
  <si>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</si>
  <si>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</si>
  <si>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</si>
  <si>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</si>
  <si>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</si>
  <si>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</si>
  <si>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</si>
  <si>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</si>
  <si>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</si>
  <si>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</si>
  <si>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Tramsations expenses</t>
  </si>
  <si>
    <t>Transactions Credit Loss</t>
  </si>
  <si>
    <t>CUstomer Supp Oper</t>
  </si>
  <si>
    <t>SM</t>
  </si>
  <si>
    <t>Development</t>
  </si>
  <si>
    <t>GA</t>
  </si>
  <si>
    <t>Restructure</t>
  </si>
  <si>
    <t>OPEX</t>
  </si>
  <si>
    <t>Operating income</t>
  </si>
  <si>
    <t>Interest Income</t>
  </si>
  <si>
    <t>Pretax</t>
  </si>
  <si>
    <t>TAX</t>
  </si>
  <si>
    <t>Net income</t>
  </si>
  <si>
    <t>EPS</t>
  </si>
  <si>
    <t>revenue y/y</t>
  </si>
  <si>
    <t>SM %</t>
  </si>
  <si>
    <t>D %</t>
  </si>
  <si>
    <t>GA %</t>
  </si>
  <si>
    <t>Operating margin</t>
  </si>
  <si>
    <t>Taxe Rate</t>
  </si>
  <si>
    <t>ROIC</t>
  </si>
  <si>
    <t>MR</t>
  </si>
  <si>
    <t>DR</t>
  </si>
  <si>
    <t>NPV</t>
  </si>
  <si>
    <t>NC</t>
  </si>
  <si>
    <t>True value</t>
  </si>
  <si>
    <t>Per share</t>
  </si>
  <si>
    <t>Current</t>
  </si>
  <si>
    <t>Ratio</t>
  </si>
  <si>
    <t>A/R</t>
  </si>
  <si>
    <t>Loans receiveble</t>
  </si>
  <si>
    <t>Funds receiveble</t>
  </si>
  <si>
    <t>OCA</t>
  </si>
  <si>
    <t>Investments</t>
  </si>
  <si>
    <t>PPE</t>
  </si>
  <si>
    <t>Intangibles</t>
  </si>
  <si>
    <t>Other</t>
  </si>
  <si>
    <t>A/P</t>
  </si>
  <si>
    <t>Funds Payable</t>
  </si>
  <si>
    <t>AE</t>
  </si>
  <si>
    <t>OLL</t>
  </si>
  <si>
    <t>Liabilities</t>
  </si>
  <si>
    <t>Assets</t>
  </si>
  <si>
    <t>S/E</t>
  </si>
  <si>
    <t>L+S/E</t>
  </si>
  <si>
    <t>ROA</t>
  </si>
  <si>
    <t>ROE</t>
  </si>
  <si>
    <t>CFFO</t>
  </si>
  <si>
    <t>CFFI</t>
  </si>
  <si>
    <t>CFFF</t>
  </si>
  <si>
    <t>CFC</t>
  </si>
  <si>
    <t>Q324</t>
  </si>
  <si>
    <t>Q424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</si>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</sst>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0000000"/>
  </numFmts>
  <fonts count="5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3" fontId="0" fillId="2" borderId="0" xfId="0" applyNumberFormat="1" applyFill="1"/>
    <xf numFmtId="1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662940</xdr:colOff>
      <xdr:row>1</xdr:row>
      <xdr:rowOff>22860</xdr:rowOff>
    </xdr:from>
    <xdr:to>
      <xdr:col>10</xdr:col>
      <xdr:colOff>662940</xdr:colOff>
      <xdr:row>35</xdr:row>
      <xdr:rowOff>7620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16495318-1CAB-0D9A-5ABA-7640E1A38BF2}"/>
            </a:ext>
          </a:extLst>
        </xdr:cNvPr>
        <xdr:cNvCxnSpPr/>
      </xdr:nvCxnSpPr>
      <xdr:spPr>
        <a:xfrm>
          <a:off x="16817340" y="19812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33</xdr:row>
      <xdr:rowOff>167640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504A19F5-CAA3-4BDA-8BA0-27AEE63371F4}"/>
            </a:ext>
          </a:extLst>
        </xdr:cNvPr>
        <xdr:cNvCxnSpPr/>
      </xdr:nvCxnSpPr>
      <xdr:spPr>
        <a:xfrm>
          <a:off x="20185380" y="18288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B8EF-A529-4D20-86F5-4E98CB206E60}">
  <dimension ref="B2:M8"/>
  <sheetViews>
    <sheetView topLeftCell="B1" workbookViewId="0">
      <selection activeCell="L9" sqref="L9"/>
    </sheetView>
  </sheetViews>
  <sheetFormatPr defaultRowHeight="14.25" x14ac:dyDescent="0.2"/>
  <sheetData>
    <row r="2" spans="2:13" ht="15" x14ac:dyDescent="0.25">
      <c r="B2" s="1" t="s">
        <v>0</v>
      </c>
      <c r="K2" t="s">
        <v>1</v>
      </c>
      <c r="L2" s="2">
        <v>72</v>
      </c>
    </row>
    <row r="3" spans="2:13" x14ac:dyDescent="0.2">
      <c r="K3" t="s">
        <v>2</v>
      </c>
      <c r="L3" s="2">
        <v>955.37840500000004</v>
      </c>
      <c r="M3" t="s">
        <v>3</v>
      </c>
    </row>
    <row r="4" spans="2:13" x14ac:dyDescent="0.2">
      <c r="K4" t="s">
        <v>4</v>
      </c>
      <c r="L4" s="2">
        <f>+L2*L3</f>
        <v>68787.245160000006</v>
      </c>
    </row>
    <row r="5" spans="2:13" x14ac:dyDescent="0.2">
      <c r="K5" t="s">
        <v>5</v>
      </c>
      <c r="L5" s="2">
        <f>6.688+3.32</f>
        <v>10.007999999999999</v>
      </c>
      <c r="M5" t="s">
        <v>3</v>
      </c>
    </row>
    <row r="6" spans="2:13" x14ac:dyDescent="0.2">
      <c r="K6" t="s">
        <v>6</v>
      </c>
      <c r="L6" s="2">
        <f>40.923+11.296</f>
        <v>52.219000000000001</v>
      </c>
      <c r="M6" t="s">
        <v>3</v>
      </c>
    </row>
    <row r="7" spans="2:13" x14ac:dyDescent="0.2">
      <c r="K7" t="s">
        <v>7</v>
      </c>
      <c r="L7" s="2">
        <f>+L4-L5+L6</f>
        <v>68829.456160000002</v>
      </c>
    </row>
    <row r="8" spans="2:13" x14ac:dyDescent="0.2">
      <c r="M8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F2D4-5B5F-4C5D-9E40-2FF7AF63C1DD}">
  <dimension ref="A2:AV57"/>
  <sheetViews>
    <sheetView tabSelected="1" zoomScale="115" zoomScaleNormal="115" workbookViewId="0">
      <pane xSplit="1" ySplit="2" topLeftCell="K32" activePane="bottomRight" state="frozen"/>
      <selection pane="topRight" activeCell="B1" sqref="B1"/>
      <selection pane="bottomLeft" activeCell="A3" sqref="A3"/>
      <selection pane="bottomRight" activeCell="O40" sqref="O40"/>
    </sheetView>
  </sheetViews>
  <sheetFormatPr defaultRowHeight="14.25" x14ac:dyDescent="0.2"/>
  <cols>
    <col min="1" max="1" width="21.25" bestFit="1" customWidth="1"/>
    <col min="2" max="10" width="21.25" customWidth="1"/>
    <col min="16" max="16" width="12" customWidth="1"/>
    <col min="17" max="17" width="17.125" bestFit="1" customWidth="1"/>
    <col min="18" max="18" width="17.125" customWidth="1"/>
  </cols>
  <sheetData>
    <row r="2" spans="1:48" ht="15" x14ac:dyDescent="0.25">
      <c r="A2" s="11"/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3</v>
      </c>
      <c r="L2" s="11" t="s">
        <v>70</v>
      </c>
      <c r="M2" s="11" t="s">
        <v>71</v>
      </c>
      <c r="N2" s="11" t="s">
        <v>72</v>
      </c>
      <c r="O2" s="11" t="s">
        <v>73</v>
      </c>
      <c r="T2">
        <v>2022</v>
      </c>
      <c r="U2">
        <f>+T2+1</f>
        <v>2023</v>
      </c>
      <c r="V2">
        <f t="shared" ref="V2:AJ2" si="0">+U2+1</f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  <c r="AH2">
        <f t="shared" si="0"/>
        <v>2036</v>
      </c>
      <c r="AI2">
        <f t="shared" si="0"/>
        <v>2037</v>
      </c>
      <c r="AJ2">
        <f t="shared" si="0"/>
        <v>2038</v>
      </c>
      <c r="AK2">
        <f t="shared" ref="AK2" si="1">+AJ2+1</f>
        <v>2039</v>
      </c>
      <c r="AL2">
        <f t="shared" ref="AL2" si="2">+AK2+1</f>
        <v>2040</v>
      </c>
      <c r="AM2">
        <f t="shared" ref="AM2" si="3">+AL2+1</f>
        <v>2041</v>
      </c>
      <c r="AN2">
        <f t="shared" ref="AN2" si="4">+AM2+1</f>
        <v>2042</v>
      </c>
      <c r="AO2">
        <f t="shared" ref="AO2" si="5">+AN2+1</f>
        <v>2043</v>
      </c>
      <c r="AP2">
        <f t="shared" ref="AP2" si="6">+AO2+1</f>
        <v>2044</v>
      </c>
      <c r="AQ2">
        <f t="shared" ref="AQ2" si="7">+AP2+1</f>
        <v>2045</v>
      </c>
      <c r="AR2">
        <f t="shared" ref="AR2" si="8">+AQ2+1</f>
        <v>2046</v>
      </c>
      <c r="AS2">
        <f t="shared" ref="AS2" si="9">+AR2+1</f>
        <v>2047</v>
      </c>
      <c r="AT2">
        <f t="shared" ref="AT2" si="10">+AS2+1</f>
        <v>2048</v>
      </c>
      <c r="AU2">
        <f t="shared" ref="AU2" si="11">+AT2+1</f>
        <v>2049</v>
      </c>
      <c r="AV2">
        <f t="shared" ref="AV2" si="12">+AU2+1</f>
        <v>2050</v>
      </c>
    </row>
    <row r="3" spans="1:48" s="3" customFormat="1" ht="15" x14ac:dyDescent="0.25">
      <c r="A3" s="12" t="s">
        <v>18</v>
      </c>
      <c r="B3" s="13">
        <v>6483</v>
      </c>
      <c r="C3" s="13">
        <v>6806</v>
      </c>
      <c r="D3" s="13">
        <v>6846</v>
      </c>
      <c r="E3" s="13">
        <v>7383</v>
      </c>
      <c r="F3" s="13">
        <v>7040</v>
      </c>
      <c r="G3" s="13">
        <v>7287</v>
      </c>
      <c r="H3" s="13">
        <v>7418</v>
      </c>
      <c r="I3" s="13">
        <f>29771-F3-G3-H3</f>
        <v>8026</v>
      </c>
      <c r="J3" s="13">
        <v>7699</v>
      </c>
      <c r="K3" s="13">
        <v>7885</v>
      </c>
      <c r="L3" s="13">
        <v>7847</v>
      </c>
      <c r="M3" s="8">
        <f>31797-L3-K3-J3</f>
        <v>8366</v>
      </c>
      <c r="N3" s="13">
        <v>7791</v>
      </c>
      <c r="O3" s="13">
        <v>8288</v>
      </c>
      <c r="T3" s="8">
        <f>SUM(B3:E3)</f>
        <v>27518</v>
      </c>
      <c r="U3" s="8">
        <f>SUM(F3:I3)</f>
        <v>29771</v>
      </c>
      <c r="V3" s="8">
        <f t="shared" ref="V3:AV3" si="13">+U3*(1-$R$5)</f>
        <v>30664.13</v>
      </c>
      <c r="W3" s="8">
        <f t="shared" si="13"/>
        <v>31584.053900000003</v>
      </c>
      <c r="X3" s="8">
        <f t="shared" si="13"/>
        <v>32531.575517000005</v>
      </c>
      <c r="Y3" s="8">
        <f t="shared" si="13"/>
        <v>33507.522782510008</v>
      </c>
      <c r="Z3" s="8">
        <f t="shared" si="13"/>
        <v>34512.748465985307</v>
      </c>
      <c r="AA3" s="8">
        <f>+Z3</f>
        <v>34512.748465985307</v>
      </c>
      <c r="AB3" s="8">
        <f t="shared" ref="AB3" si="14">+AA3</f>
        <v>34512.748465985307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5" x14ac:dyDescent="0.25">
      <c r="A4" s="11" t="s">
        <v>19</v>
      </c>
      <c r="B4" s="14">
        <v>2817</v>
      </c>
      <c r="C4" s="14">
        <v>3044</v>
      </c>
      <c r="D4" s="14">
        <v>2988</v>
      </c>
      <c r="E4" s="14">
        <v>3324</v>
      </c>
      <c r="F4" s="14">
        <v>3283</v>
      </c>
      <c r="G4" s="14">
        <v>3541</v>
      </c>
      <c r="H4" s="14">
        <v>3603</v>
      </c>
      <c r="I4" s="14">
        <f>14385-F4-G4-H4</f>
        <v>3958</v>
      </c>
      <c r="J4" s="14">
        <v>3917</v>
      </c>
      <c r="K4" s="14">
        <v>3942</v>
      </c>
      <c r="L4" s="14">
        <v>3841</v>
      </c>
      <c r="M4" s="14">
        <f>15697-L4-K4-J4</f>
        <v>3997</v>
      </c>
      <c r="N4" s="14">
        <v>3704</v>
      </c>
      <c r="O4" s="14">
        <v>3968</v>
      </c>
      <c r="Q4" t="s">
        <v>39</v>
      </c>
      <c r="R4" s="4">
        <v>0.01</v>
      </c>
      <c r="T4" s="2">
        <f t="shared" ref="T4:T10" si="15">SUM(B4:E4)</f>
        <v>12173</v>
      </c>
      <c r="U4" s="2">
        <f>SUM(F4:I4)</f>
        <v>14385</v>
      </c>
      <c r="V4" s="2">
        <f>+U4*1.02</f>
        <v>14672.7</v>
      </c>
      <c r="W4" s="2">
        <f t="shared" ref="W4:AV4" si="16">+V4*1.02</f>
        <v>14966.154</v>
      </c>
      <c r="X4" s="2">
        <f t="shared" si="16"/>
        <v>15265.477080000001</v>
      </c>
      <c r="Y4" s="2">
        <f t="shared" si="16"/>
        <v>15570.7866216</v>
      </c>
      <c r="Z4" s="2">
        <f t="shared" si="16"/>
        <v>15882.202354032001</v>
      </c>
      <c r="AA4" s="2">
        <f t="shared" si="16"/>
        <v>16199.846401112642</v>
      </c>
      <c r="AB4" s="2">
        <f t="shared" ref="AB4:AB6" si="17">+AA4*1.02</f>
        <v>16523.843329134896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5" x14ac:dyDescent="0.25">
      <c r="A5" s="11" t="s">
        <v>20</v>
      </c>
      <c r="B5" s="14">
        <v>369</v>
      </c>
      <c r="C5" s="14">
        <v>448</v>
      </c>
      <c r="D5" s="14">
        <v>367</v>
      </c>
      <c r="E5" s="14">
        <v>388</v>
      </c>
      <c r="F5" s="14">
        <v>442</v>
      </c>
      <c r="G5" s="14">
        <v>398</v>
      </c>
      <c r="H5" s="14">
        <v>446</v>
      </c>
      <c r="I5" s="14">
        <f>1682-F5-G5-H5</f>
        <v>396</v>
      </c>
      <c r="J5" s="14">
        <v>321</v>
      </c>
      <c r="K5" s="14">
        <v>335</v>
      </c>
      <c r="L5" s="14">
        <v>352</v>
      </c>
      <c r="M5" s="2">
        <f>1422-L5-K5-J5</f>
        <v>414</v>
      </c>
      <c r="N5" s="14">
        <v>371</v>
      </c>
      <c r="O5" s="14">
        <v>476</v>
      </c>
      <c r="Q5" t="s">
        <v>40</v>
      </c>
      <c r="R5" s="4">
        <v>-0.03</v>
      </c>
      <c r="T5" s="2">
        <f t="shared" si="15"/>
        <v>1572</v>
      </c>
      <c r="U5" s="2">
        <f t="shared" ref="U5:U10" si="18">SUM(F5:I5)</f>
        <v>1682</v>
      </c>
      <c r="V5" s="2">
        <f t="shared" ref="V5:AV5" si="19">+U5*1.02</f>
        <v>1715.64</v>
      </c>
      <c r="W5" s="2">
        <f t="shared" si="19"/>
        <v>1749.9528</v>
      </c>
      <c r="X5" s="2">
        <f t="shared" si="19"/>
        <v>1784.9518560000001</v>
      </c>
      <c r="Y5" s="2">
        <f t="shared" si="19"/>
        <v>1820.6508931200001</v>
      </c>
      <c r="Z5" s="2">
        <f t="shared" si="19"/>
        <v>1857.0639109824001</v>
      </c>
      <c r="AA5" s="2">
        <f t="shared" si="19"/>
        <v>1894.2051892020481</v>
      </c>
      <c r="AB5" s="2">
        <f t="shared" si="17"/>
        <v>1932.089292986089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15" x14ac:dyDescent="0.25">
      <c r="A6" s="11" t="s">
        <v>21</v>
      </c>
      <c r="B6" s="14">
        <v>534</v>
      </c>
      <c r="C6" s="14">
        <v>536</v>
      </c>
      <c r="D6" s="14">
        <v>509</v>
      </c>
      <c r="E6" s="14">
        <v>541</v>
      </c>
      <c r="F6" s="14">
        <v>488</v>
      </c>
      <c r="G6" s="14">
        <v>492</v>
      </c>
      <c r="H6" s="14">
        <v>474</v>
      </c>
      <c r="I6" s="14">
        <f>1919-F6-G6-H6</f>
        <v>465</v>
      </c>
      <c r="J6" s="14">
        <v>454</v>
      </c>
      <c r="K6" s="14">
        <v>436</v>
      </c>
      <c r="L6" s="14">
        <v>427</v>
      </c>
      <c r="M6" s="2">
        <f>1768-L6-K6-J6</f>
        <v>451</v>
      </c>
      <c r="N6" s="14">
        <v>398</v>
      </c>
      <c r="O6" s="14">
        <v>413</v>
      </c>
      <c r="Q6" t="s">
        <v>41</v>
      </c>
      <c r="R6" s="4">
        <v>0.08</v>
      </c>
      <c r="T6" s="2">
        <f t="shared" si="15"/>
        <v>2120</v>
      </c>
      <c r="U6" s="2">
        <f t="shared" si="18"/>
        <v>1919</v>
      </c>
      <c r="V6" s="2">
        <f t="shared" ref="V6:AV6" si="20">+U6*1.02</f>
        <v>1957.38</v>
      </c>
      <c r="W6" s="2">
        <f t="shared" si="20"/>
        <v>1996.5276000000001</v>
      </c>
      <c r="X6" s="2">
        <f t="shared" si="20"/>
        <v>2036.4581520000002</v>
      </c>
      <c r="Y6" s="2">
        <f t="shared" si="20"/>
        <v>2077.1873150400002</v>
      </c>
      <c r="Z6" s="2">
        <f t="shared" si="20"/>
        <v>2118.7310613408004</v>
      </c>
      <c r="AA6" s="2">
        <f t="shared" si="20"/>
        <v>2161.1056825676164</v>
      </c>
      <c r="AB6" s="2">
        <f t="shared" si="17"/>
        <v>2204.3277962189686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15" x14ac:dyDescent="0.25">
      <c r="A7" s="11" t="s">
        <v>22</v>
      </c>
      <c r="B7" s="14">
        <v>594</v>
      </c>
      <c r="C7" s="14">
        <v>595</v>
      </c>
      <c r="D7" s="14">
        <v>544</v>
      </c>
      <c r="E7" s="14">
        <v>524</v>
      </c>
      <c r="F7" s="14">
        <v>436</v>
      </c>
      <c r="G7" s="14">
        <v>465</v>
      </c>
      <c r="H7" s="14">
        <v>442</v>
      </c>
      <c r="I7" s="14">
        <f>1809-F7-G7-H7</f>
        <v>466</v>
      </c>
      <c r="J7" s="14">
        <v>421</v>
      </c>
      <c r="K7" s="14">
        <v>446</v>
      </c>
      <c r="L7" s="14">
        <v>508</v>
      </c>
      <c r="M7" s="2">
        <f>2001-L7-K7-J7</f>
        <v>626</v>
      </c>
      <c r="N7" s="14">
        <v>488</v>
      </c>
      <c r="O7" s="14">
        <v>583</v>
      </c>
      <c r="Q7" t="s">
        <v>42</v>
      </c>
      <c r="R7" s="5">
        <f>NPV(R6,U16:AV16)</f>
        <v>53709.782111081076</v>
      </c>
      <c r="S7" t="s">
        <v>8</v>
      </c>
      <c r="T7" s="2">
        <f t="shared" si="15"/>
        <v>2257</v>
      </c>
      <c r="U7" s="2">
        <f t="shared" si="18"/>
        <v>1809</v>
      </c>
      <c r="V7" s="2">
        <f>+U7*1.01</f>
        <v>1827.09</v>
      </c>
      <c r="W7" s="2">
        <f t="shared" ref="W7:AV7" si="21">+V7*1.01</f>
        <v>1845.3608999999999</v>
      </c>
      <c r="X7" s="2">
        <f t="shared" si="21"/>
        <v>1863.8145089999998</v>
      </c>
      <c r="Y7" s="2">
        <f t="shared" si="21"/>
        <v>1882.4526540899999</v>
      </c>
      <c r="Z7" s="2">
        <f t="shared" si="21"/>
        <v>1901.2771806308999</v>
      </c>
      <c r="AA7" s="2">
        <f t="shared" si="21"/>
        <v>1920.289952437209</v>
      </c>
      <c r="AB7" s="2">
        <f t="shared" ref="AB7:AB10" si="22">+AA7*1.01</f>
        <v>1939.492851961581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5" x14ac:dyDescent="0.25">
      <c r="A8" s="11" t="s">
        <v>23</v>
      </c>
      <c r="B8" s="14">
        <v>815</v>
      </c>
      <c r="C8" s="14">
        <v>815</v>
      </c>
      <c r="D8" s="14">
        <v>801</v>
      </c>
      <c r="E8" s="14">
        <v>822</v>
      </c>
      <c r="F8" s="14">
        <v>721</v>
      </c>
      <c r="G8" s="14">
        <v>743</v>
      </c>
      <c r="H8" s="14">
        <v>739</v>
      </c>
      <c r="I8" s="14">
        <f>2973-F8-G8-H8</f>
        <v>770</v>
      </c>
      <c r="J8" s="14">
        <v>742</v>
      </c>
      <c r="K8" s="14">
        <v>718</v>
      </c>
      <c r="L8" s="14">
        <v>746</v>
      </c>
      <c r="M8" s="2">
        <f>2979-L8-K8-J8</f>
        <v>773</v>
      </c>
      <c r="N8" s="14">
        <v>731</v>
      </c>
      <c r="O8" s="14">
        <v>767</v>
      </c>
      <c r="Q8" t="s">
        <v>43</v>
      </c>
      <c r="R8" s="2">
        <f>+main!L5-main!L6</f>
        <v>-42.210999999999999</v>
      </c>
      <c r="T8" s="2">
        <f t="shared" si="15"/>
        <v>3253</v>
      </c>
      <c r="U8" s="2">
        <f t="shared" si="18"/>
        <v>2973</v>
      </c>
      <c r="V8" s="2">
        <f t="shared" ref="V8:AV8" si="23">+U8*1.01</f>
        <v>3002.73</v>
      </c>
      <c r="W8" s="2">
        <f t="shared" si="23"/>
        <v>3032.7573000000002</v>
      </c>
      <c r="X8" s="2">
        <f t="shared" si="23"/>
        <v>3063.0848730000002</v>
      </c>
      <c r="Y8" s="2">
        <f t="shared" si="23"/>
        <v>3093.7157217300005</v>
      </c>
      <c r="Z8" s="2">
        <f t="shared" si="23"/>
        <v>3124.6528789473005</v>
      </c>
      <c r="AA8" s="2">
        <f t="shared" si="23"/>
        <v>3155.8994077367734</v>
      </c>
      <c r="AB8" s="2">
        <f t="shared" si="22"/>
        <v>3187.4584018141413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5" x14ac:dyDescent="0.25">
      <c r="A9" s="11" t="s">
        <v>24</v>
      </c>
      <c r="B9" s="14">
        <v>607</v>
      </c>
      <c r="C9" s="14">
        <v>514</v>
      </c>
      <c r="D9" s="14">
        <v>463</v>
      </c>
      <c r="E9" s="14">
        <v>515</v>
      </c>
      <c r="F9" s="14">
        <v>507</v>
      </c>
      <c r="G9" s="14">
        <v>491</v>
      </c>
      <c r="H9" s="14">
        <v>507</v>
      </c>
      <c r="I9" s="14">
        <f>2059-F9-G9-H9</f>
        <v>554</v>
      </c>
      <c r="J9" s="14">
        <v>464</v>
      </c>
      <c r="K9" s="14">
        <v>570</v>
      </c>
      <c r="L9" s="14">
        <v>519</v>
      </c>
      <c r="M9" s="2">
        <f>2147-L9-K9-J9</f>
        <v>594</v>
      </c>
      <c r="N9" s="14">
        <v>503</v>
      </c>
      <c r="O9" s="14">
        <v>461</v>
      </c>
      <c r="Q9" t="s">
        <v>44</v>
      </c>
      <c r="R9" s="6">
        <f>+R7+R8</f>
        <v>53667.571111081073</v>
      </c>
      <c r="T9" s="2">
        <f t="shared" si="15"/>
        <v>2099</v>
      </c>
      <c r="U9" s="2">
        <f t="shared" si="18"/>
        <v>2059</v>
      </c>
      <c r="V9" s="2">
        <f t="shared" ref="V9:AV10" si="24">+U9*1.01</f>
        <v>2079.59</v>
      </c>
      <c r="W9" s="2">
        <f t="shared" si="24"/>
        <v>2100.3859000000002</v>
      </c>
      <c r="X9" s="2">
        <f t="shared" si="24"/>
        <v>2121.3897590000001</v>
      </c>
      <c r="Y9" s="2">
        <f t="shared" si="24"/>
        <v>2142.6036565900004</v>
      </c>
      <c r="Z9" s="2">
        <f t="shared" si="24"/>
        <v>2164.0296931559005</v>
      </c>
      <c r="AA9" s="2">
        <f t="shared" si="24"/>
        <v>2185.6699900874596</v>
      </c>
      <c r="AB9" s="2">
        <f t="shared" si="22"/>
        <v>2207.5266899883341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15" x14ac:dyDescent="0.25">
      <c r="A10" s="11" t="s">
        <v>25</v>
      </c>
      <c r="B10" s="14">
        <v>36</v>
      </c>
      <c r="C10" s="14">
        <v>90</v>
      </c>
      <c r="D10" s="14">
        <v>56</v>
      </c>
      <c r="E10" s="14">
        <v>25</v>
      </c>
      <c r="F10" s="14">
        <v>164</v>
      </c>
      <c r="G10" s="14">
        <v>24</v>
      </c>
      <c r="H10" s="14">
        <v>39</v>
      </c>
      <c r="I10" s="14">
        <f>-84-F10-G10-H10</f>
        <v>-311</v>
      </c>
      <c r="J10" s="14">
        <v>212</v>
      </c>
      <c r="K10" s="14">
        <v>113</v>
      </c>
      <c r="L10" s="14">
        <v>63</v>
      </c>
      <c r="M10" s="2">
        <f>438-L10-K10-J10</f>
        <v>50</v>
      </c>
      <c r="N10" s="14">
        <v>66</v>
      </c>
      <c r="O10" s="14">
        <v>116</v>
      </c>
      <c r="Q10" t="s">
        <v>45</v>
      </c>
      <c r="R10" s="10">
        <f>+R9/main!L3</f>
        <v>56.174151341720005</v>
      </c>
      <c r="T10" s="2">
        <f t="shared" si="15"/>
        <v>207</v>
      </c>
      <c r="U10" s="2">
        <f t="shared" si="18"/>
        <v>-84</v>
      </c>
      <c r="V10" s="2">
        <f t="shared" si="24"/>
        <v>-84.84</v>
      </c>
      <c r="W10" s="2">
        <f t="shared" si="24"/>
        <v>-85.688400000000001</v>
      </c>
      <c r="X10" s="2">
        <f t="shared" si="24"/>
        <v>-86.545283999999995</v>
      </c>
      <c r="Y10" s="2">
        <f t="shared" si="24"/>
        <v>-87.410736839999998</v>
      </c>
      <c r="Z10" s="2">
        <f t="shared" si="24"/>
        <v>-88.284844208400003</v>
      </c>
      <c r="AA10" s="2">
        <f t="shared" si="24"/>
        <v>-89.167692650484</v>
      </c>
      <c r="AB10" s="2">
        <f t="shared" si="22"/>
        <v>-90.059369576988843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15" x14ac:dyDescent="0.25">
      <c r="A11" s="11" t="s">
        <v>26</v>
      </c>
      <c r="B11" s="14">
        <f t="shared" ref="B11:L11" si="25">SUM(B4:B10)</f>
        <v>5772</v>
      </c>
      <c r="C11" s="14">
        <f t="shared" si="25"/>
        <v>6042</v>
      </c>
      <c r="D11" s="14">
        <f t="shared" si="25"/>
        <v>5728</v>
      </c>
      <c r="E11" s="14">
        <f t="shared" si="25"/>
        <v>6139</v>
      </c>
      <c r="F11" s="14">
        <f t="shared" si="25"/>
        <v>6041</v>
      </c>
      <c r="G11" s="14">
        <f t="shared" si="25"/>
        <v>6154</v>
      </c>
      <c r="H11" s="14">
        <f t="shared" si="25"/>
        <v>6250</v>
      </c>
      <c r="I11" s="14">
        <f t="shared" si="25"/>
        <v>6298</v>
      </c>
      <c r="J11" s="14">
        <f t="shared" si="25"/>
        <v>6531</v>
      </c>
      <c r="K11" s="14">
        <f t="shared" si="25"/>
        <v>6560</v>
      </c>
      <c r="L11" s="14">
        <f>SUM(L4:L10)</f>
        <v>6456</v>
      </c>
      <c r="M11" s="14">
        <f>SUM(M4:M10)</f>
        <v>6905</v>
      </c>
      <c r="N11" s="14">
        <f t="shared" ref="M11:O11" si="26">SUM(N4:N10)</f>
        <v>6261</v>
      </c>
      <c r="O11" s="14">
        <f t="shared" si="26"/>
        <v>6784</v>
      </c>
      <c r="Q11" t="s">
        <v>46</v>
      </c>
      <c r="R11" s="2">
        <v>76</v>
      </c>
      <c r="T11" s="2">
        <f>SUM(T4:T10)</f>
        <v>23681</v>
      </c>
      <c r="U11" s="2">
        <f>SUM(U4:U10)</f>
        <v>24743</v>
      </c>
      <c r="V11" s="2">
        <f t="shared" ref="V11:AJ11" si="27">SUM(V4:V10)</f>
        <v>25170.29</v>
      </c>
      <c r="W11" s="2">
        <f t="shared" si="27"/>
        <v>25605.450100000005</v>
      </c>
      <c r="X11" s="2">
        <f t="shared" si="27"/>
        <v>26048.630945000001</v>
      </c>
      <c r="Y11" s="2">
        <f t="shared" si="27"/>
        <v>26499.986125330001</v>
      </c>
      <c r="Z11" s="2">
        <f t="shared" si="27"/>
        <v>26959.672234880905</v>
      </c>
      <c r="AA11" s="2">
        <f t="shared" si="27"/>
        <v>27427.848930493263</v>
      </c>
      <c r="AB11" s="2">
        <f t="shared" ref="AB11" si="28">SUM(AB4:AB10)</f>
        <v>27904.678992527024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" x14ac:dyDescent="0.25">
      <c r="A12" s="12" t="s">
        <v>27</v>
      </c>
      <c r="B12" s="13">
        <f t="shared" ref="B12:L12" si="29">+B3-B11</f>
        <v>711</v>
      </c>
      <c r="C12" s="13">
        <f t="shared" si="29"/>
        <v>764</v>
      </c>
      <c r="D12" s="13">
        <f t="shared" si="29"/>
        <v>1118</v>
      </c>
      <c r="E12" s="13">
        <f t="shared" si="29"/>
        <v>1244</v>
      </c>
      <c r="F12" s="13">
        <f t="shared" si="29"/>
        <v>999</v>
      </c>
      <c r="G12" s="13">
        <f t="shared" si="29"/>
        <v>1133</v>
      </c>
      <c r="H12" s="13">
        <f t="shared" si="29"/>
        <v>1168</v>
      </c>
      <c r="I12" s="13">
        <f t="shared" si="29"/>
        <v>1728</v>
      </c>
      <c r="J12" s="13">
        <f t="shared" si="29"/>
        <v>1168</v>
      </c>
      <c r="K12" s="13">
        <f t="shared" si="29"/>
        <v>1325</v>
      </c>
      <c r="L12" s="13">
        <f>+L3-L11</f>
        <v>1391</v>
      </c>
      <c r="M12" s="13">
        <f>+M3-M11</f>
        <v>1461</v>
      </c>
      <c r="N12" s="13">
        <f t="shared" ref="M12:O12" si="30">+N3-N11</f>
        <v>1530</v>
      </c>
      <c r="O12" s="13">
        <f t="shared" si="30"/>
        <v>1504</v>
      </c>
      <c r="Q12" t="s">
        <v>47</v>
      </c>
      <c r="R12" s="4">
        <f>+R10/R11-1</f>
        <v>-0.26086642971421048</v>
      </c>
      <c r="T12" s="8">
        <f>+T3-T11</f>
        <v>3837</v>
      </c>
      <c r="U12" s="8">
        <f>+U3-U11</f>
        <v>5028</v>
      </c>
      <c r="V12" s="8">
        <f t="shared" ref="V12:AJ12" si="31">+V3-V11</f>
        <v>5493.84</v>
      </c>
      <c r="W12" s="8">
        <f t="shared" si="31"/>
        <v>5978.6037999999971</v>
      </c>
      <c r="X12" s="8">
        <f t="shared" si="31"/>
        <v>6482.944572000004</v>
      </c>
      <c r="Y12" s="8">
        <f t="shared" si="31"/>
        <v>7007.5366571800078</v>
      </c>
      <c r="Z12" s="8">
        <f t="shared" si="31"/>
        <v>7553.0762311044018</v>
      </c>
      <c r="AA12" s="8">
        <f t="shared" si="31"/>
        <v>7084.8995354920444</v>
      </c>
      <c r="AB12" s="8">
        <f t="shared" ref="AB12" si="32">+AB3-AB11</f>
        <v>6608.069473458283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5" x14ac:dyDescent="0.25">
      <c r="A13" s="11" t="s">
        <v>28</v>
      </c>
      <c r="B13" s="14">
        <v>-82</v>
      </c>
      <c r="C13" s="14">
        <v>-715</v>
      </c>
      <c r="D13" s="14">
        <v>460</v>
      </c>
      <c r="E13" s="14">
        <v>-134</v>
      </c>
      <c r="F13" s="14">
        <v>75</v>
      </c>
      <c r="G13" s="14">
        <v>170</v>
      </c>
      <c r="H13" s="14">
        <v>73</v>
      </c>
      <c r="I13" s="14">
        <f>383-F13-G13-H13</f>
        <v>65</v>
      </c>
      <c r="J13" s="14">
        <v>41</v>
      </c>
      <c r="K13" s="14">
        <v>74</v>
      </c>
      <c r="L13" s="14">
        <v>-80</v>
      </c>
      <c r="M13" s="2">
        <f>4-L13-K13-J13</f>
        <v>-31</v>
      </c>
      <c r="N13" s="14">
        <v>73</v>
      </c>
      <c r="O13" s="14">
        <v>25</v>
      </c>
      <c r="T13" s="9">
        <f t="shared" ref="T13:T15" si="33">SUM(B13:E13)</f>
        <v>-471</v>
      </c>
      <c r="U13" s="9">
        <f t="shared" ref="U13:U15" si="34">SUM(F13:I13)</f>
        <v>383</v>
      </c>
      <c r="V13" s="9">
        <f>+U28*$R$4</f>
        <v>43.84</v>
      </c>
      <c r="W13" s="9">
        <f t="shared" ref="W13:AV13" si="35">+V28*$R$4</f>
        <v>85.372600000000006</v>
      </c>
      <c r="X13" s="9">
        <f t="shared" si="35"/>
        <v>130.85242299999999</v>
      </c>
      <c r="Y13" s="9">
        <f t="shared" si="35"/>
        <v>180.45590046250001</v>
      </c>
      <c r="Z13" s="9">
        <f t="shared" si="35"/>
        <v>234.36584464481879</v>
      </c>
      <c r="AA13" s="9">
        <f t="shared" si="35"/>
        <v>292.77166021293795</v>
      </c>
      <c r="AB13" s="9">
        <f t="shared" ref="AB13" si="36">+AA28*$R$4</f>
        <v>348.1041941807253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ht="15" x14ac:dyDescent="0.25">
      <c r="A14" s="11" t="s">
        <v>29</v>
      </c>
      <c r="B14" s="14">
        <f t="shared" ref="B14:L14" si="37">+B12+B13</f>
        <v>629</v>
      </c>
      <c r="C14" s="14">
        <f t="shared" si="37"/>
        <v>49</v>
      </c>
      <c r="D14" s="14">
        <f t="shared" si="37"/>
        <v>1578</v>
      </c>
      <c r="E14" s="14">
        <f t="shared" si="37"/>
        <v>1110</v>
      </c>
      <c r="F14" s="14">
        <f t="shared" si="37"/>
        <v>1074</v>
      </c>
      <c r="G14" s="14">
        <f t="shared" si="37"/>
        <v>1303</v>
      </c>
      <c r="H14" s="14">
        <f t="shared" si="37"/>
        <v>1241</v>
      </c>
      <c r="I14" s="14">
        <f t="shared" si="37"/>
        <v>1793</v>
      </c>
      <c r="J14" s="14">
        <f t="shared" si="37"/>
        <v>1209</v>
      </c>
      <c r="K14" s="14">
        <f t="shared" si="37"/>
        <v>1399</v>
      </c>
      <c r="L14" s="14">
        <f>+L12+L13</f>
        <v>1311</v>
      </c>
      <c r="M14" s="14">
        <f t="shared" ref="M14:O14" si="38">+M12+M13</f>
        <v>1430</v>
      </c>
      <c r="N14" s="14">
        <f t="shared" si="38"/>
        <v>1603</v>
      </c>
      <c r="O14" s="14">
        <f t="shared" si="38"/>
        <v>1529</v>
      </c>
      <c r="R14" t="s">
        <v>8</v>
      </c>
      <c r="S14" t="s">
        <v>8</v>
      </c>
      <c r="T14" s="2">
        <f>+T12+T13</f>
        <v>3366</v>
      </c>
      <c r="U14" s="2">
        <f>+U12+U13</f>
        <v>5411</v>
      </c>
      <c r="V14" s="2">
        <f>+V12+V13</f>
        <v>5537.68</v>
      </c>
      <c r="W14" s="2">
        <f t="shared" ref="W14:AJ14" si="39">+W12+W13</f>
        <v>6063.9763999999968</v>
      </c>
      <c r="X14" s="2">
        <f t="shared" si="39"/>
        <v>6613.7969950000042</v>
      </c>
      <c r="Y14" s="2">
        <f t="shared" si="39"/>
        <v>7187.9925576425076</v>
      </c>
      <c r="Z14" s="2">
        <f t="shared" si="39"/>
        <v>7787.4420757492207</v>
      </c>
      <c r="AA14" s="2">
        <f t="shared" si="39"/>
        <v>7377.671195704982</v>
      </c>
      <c r="AB14" s="2">
        <f t="shared" ref="AB14" si="40">+AB12+AB13</f>
        <v>6956.1736676390083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ht="15" x14ac:dyDescent="0.25">
      <c r="A15" s="11" t="s">
        <v>30</v>
      </c>
      <c r="B15" s="14">
        <v>120</v>
      </c>
      <c r="C15" s="14">
        <v>390</v>
      </c>
      <c r="D15" s="14">
        <v>248</v>
      </c>
      <c r="E15" s="14">
        <v>189</v>
      </c>
      <c r="F15" s="14">
        <v>279</v>
      </c>
      <c r="G15" s="14">
        <v>274</v>
      </c>
      <c r="H15" s="14">
        <v>221</v>
      </c>
      <c r="I15" s="14">
        <f>1165-F15-G15-H15</f>
        <v>391</v>
      </c>
      <c r="J15" s="14">
        <v>321</v>
      </c>
      <c r="K15" s="14">
        <v>271</v>
      </c>
      <c r="L15" s="14">
        <v>301</v>
      </c>
      <c r="M15" s="2">
        <f>1182-L15-K15-J15</f>
        <v>289</v>
      </c>
      <c r="N15" s="14">
        <v>316</v>
      </c>
      <c r="O15" s="14">
        <v>268</v>
      </c>
      <c r="T15" s="2">
        <f t="shared" si="33"/>
        <v>947</v>
      </c>
      <c r="U15" s="2">
        <f t="shared" si="34"/>
        <v>1165</v>
      </c>
      <c r="V15" s="2">
        <f>+V14*0.25</f>
        <v>1384.42</v>
      </c>
      <c r="W15" s="2">
        <f t="shared" ref="W15:AJ15" si="41">+W14*0.25</f>
        <v>1515.9940999999992</v>
      </c>
      <c r="X15" s="2">
        <f t="shared" si="41"/>
        <v>1653.4492487500011</v>
      </c>
      <c r="Y15" s="2">
        <f t="shared" si="41"/>
        <v>1796.9981394106269</v>
      </c>
      <c r="Z15" s="2">
        <f t="shared" si="41"/>
        <v>1946.8605189373052</v>
      </c>
      <c r="AA15" s="2">
        <f t="shared" si="41"/>
        <v>1844.4177989262455</v>
      </c>
      <c r="AB15" s="2">
        <f t="shared" ref="AB15" si="42">+AB14*0.25</f>
        <v>1739.0434169097521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5" x14ac:dyDescent="0.25">
      <c r="A16" s="12" t="s">
        <v>31</v>
      </c>
      <c r="B16" s="13">
        <f t="shared" ref="B16:L16" si="43">+B14-B15</f>
        <v>509</v>
      </c>
      <c r="C16" s="13">
        <f t="shared" si="43"/>
        <v>-341</v>
      </c>
      <c r="D16" s="13">
        <f t="shared" si="43"/>
        <v>1330</v>
      </c>
      <c r="E16" s="13">
        <f t="shared" si="43"/>
        <v>921</v>
      </c>
      <c r="F16" s="13">
        <f t="shared" si="43"/>
        <v>795</v>
      </c>
      <c r="G16" s="13">
        <f t="shared" si="43"/>
        <v>1029</v>
      </c>
      <c r="H16" s="13">
        <f t="shared" si="43"/>
        <v>1020</v>
      </c>
      <c r="I16" s="13">
        <f t="shared" si="43"/>
        <v>1402</v>
      </c>
      <c r="J16" s="13">
        <f t="shared" si="43"/>
        <v>888</v>
      </c>
      <c r="K16" s="13">
        <f t="shared" si="43"/>
        <v>1128</v>
      </c>
      <c r="L16" s="13">
        <f>+L14-L15</f>
        <v>1010</v>
      </c>
      <c r="M16" s="13">
        <f>+M14-M15</f>
        <v>1141</v>
      </c>
      <c r="N16" s="13">
        <f t="shared" ref="M16:O16" si="44">+N14-N15</f>
        <v>1287</v>
      </c>
      <c r="O16" s="13">
        <f t="shared" si="44"/>
        <v>1261</v>
      </c>
      <c r="T16" s="8">
        <f>+T14-T15</f>
        <v>2419</v>
      </c>
      <c r="U16" s="8">
        <f>+U14-U15</f>
        <v>4246</v>
      </c>
      <c r="V16" s="8">
        <f t="shared" ref="V16:AJ16" si="45">+V14-V15</f>
        <v>4153.26</v>
      </c>
      <c r="W16" s="8">
        <f t="shared" si="45"/>
        <v>4547.9822999999978</v>
      </c>
      <c r="X16" s="8">
        <f t="shared" si="45"/>
        <v>4960.3477462500032</v>
      </c>
      <c r="Y16" s="8">
        <f t="shared" si="45"/>
        <v>5390.9944182318804</v>
      </c>
      <c r="Z16" s="8">
        <f t="shared" si="45"/>
        <v>5840.581556811916</v>
      </c>
      <c r="AA16" s="8">
        <f t="shared" si="45"/>
        <v>5533.2533967787367</v>
      </c>
      <c r="AB16" s="8">
        <f t="shared" ref="AB16" si="46">+AB14-AB15</f>
        <v>5217.1302507292567</v>
      </c>
      <c r="AC16" s="8">
        <f>+AB16*0.99</f>
        <v>5164.9589482219644</v>
      </c>
      <c r="AD16" s="8">
        <f t="shared" ref="AD16:AV16" si="47">+AC16*0.99</f>
        <v>5113.3093587397443</v>
      </c>
      <c r="AE16" s="8">
        <f t="shared" si="47"/>
        <v>5062.1762651523468</v>
      </c>
      <c r="AF16" s="8">
        <f t="shared" si="47"/>
        <v>5011.5545025008232</v>
      </c>
      <c r="AG16" s="8">
        <f t="shared" si="47"/>
        <v>4961.4389574758152</v>
      </c>
      <c r="AH16" s="8">
        <f t="shared" si="47"/>
        <v>4911.824567901057</v>
      </c>
      <c r="AI16" s="8">
        <f t="shared" si="47"/>
        <v>4862.7063222220468</v>
      </c>
      <c r="AJ16" s="8">
        <f t="shared" si="47"/>
        <v>4814.0792589998264</v>
      </c>
      <c r="AK16" s="8">
        <f t="shared" si="47"/>
        <v>4765.9384664098279</v>
      </c>
      <c r="AL16" s="8">
        <f t="shared" si="47"/>
        <v>4718.2790817457299</v>
      </c>
      <c r="AM16" s="8">
        <f t="shared" si="47"/>
        <v>4671.0962909282725</v>
      </c>
      <c r="AN16" s="8">
        <f t="shared" si="47"/>
        <v>4624.3853280189896</v>
      </c>
      <c r="AO16" s="8">
        <f t="shared" si="47"/>
        <v>4578.1414747387998</v>
      </c>
      <c r="AP16" s="8">
        <f t="shared" si="47"/>
        <v>4532.3600599914116</v>
      </c>
      <c r="AQ16" s="8">
        <f t="shared" si="47"/>
        <v>4487.0364593914974</v>
      </c>
      <c r="AR16" s="8">
        <f t="shared" si="47"/>
        <v>4442.1660947975824</v>
      </c>
      <c r="AS16" s="8">
        <f t="shared" si="47"/>
        <v>4397.7444338496061</v>
      </c>
      <c r="AT16" s="8">
        <f t="shared" si="47"/>
        <v>4353.7669895111103</v>
      </c>
      <c r="AU16" s="8">
        <f t="shared" si="47"/>
        <v>4310.229319615999</v>
      </c>
      <c r="AV16" s="8">
        <f t="shared" si="47"/>
        <v>4267.1270264198392</v>
      </c>
    </row>
    <row r="17" spans="1:48" s="16" customFormat="1" ht="15" x14ac:dyDescent="0.25">
      <c r="A17" s="15" t="s">
        <v>32</v>
      </c>
      <c r="B17" s="15">
        <f t="shared" ref="B17:K17" si="48">+B16/B18</f>
        <v>0.43766122098022359</v>
      </c>
      <c r="C17" s="15">
        <f t="shared" si="48"/>
        <v>-0.29447322970639034</v>
      </c>
      <c r="D17" s="15">
        <f t="shared" si="48"/>
        <v>1.1525129982668978</v>
      </c>
      <c r="E17" s="15">
        <f t="shared" si="48"/>
        <v>0.80860403863037755</v>
      </c>
      <c r="F17" s="15">
        <f t="shared" si="48"/>
        <v>0.70416297608503098</v>
      </c>
      <c r="G17" s="15">
        <f t="shared" si="48"/>
        <v>0.9261926192619262</v>
      </c>
      <c r="H17" s="15">
        <f t="shared" si="48"/>
        <v>0.93235831809872027</v>
      </c>
      <c r="I17" s="15">
        <f t="shared" si="48"/>
        <v>1.3017641597028784</v>
      </c>
      <c r="J17" s="15">
        <f t="shared" si="48"/>
        <v>0.83458646616541354</v>
      </c>
      <c r="K17" s="15">
        <f t="shared" si="48"/>
        <v>1.0825335892514396</v>
      </c>
      <c r="L17" s="15">
        <f>+L16/L18</f>
        <v>0.99507389162561577</v>
      </c>
      <c r="M17" s="15">
        <f>+M16/M18</f>
        <v>1.1088435374149659</v>
      </c>
      <c r="N17" s="15">
        <f>+N16/N18</f>
        <v>1.3052738336713996</v>
      </c>
      <c r="O17" s="15">
        <f>+O16/O18</f>
        <v>1.3026859504132231</v>
      </c>
      <c r="T17" s="16">
        <f>+T16/T18</f>
        <v>2.0970957954052882</v>
      </c>
      <c r="U17" s="16">
        <f>+U16/U18</f>
        <v>3.8503740648379052</v>
      </c>
      <c r="V17" s="16">
        <f t="shared" ref="V17:AJ17" si="49">+V16/V18</f>
        <v>3.7662752210383137</v>
      </c>
      <c r="W17" s="16">
        <f t="shared" si="49"/>
        <v>4.1242188165948743</v>
      </c>
      <c r="X17" s="16">
        <f t="shared" si="49"/>
        <v>4.4981616379505809</v>
      </c>
      <c r="Y17" s="16">
        <f t="shared" si="49"/>
        <v>4.8886823107974431</v>
      </c>
      <c r="Z17" s="16">
        <f t="shared" si="49"/>
        <v>5.2963786504755532</v>
      </c>
      <c r="AA17" s="16">
        <f t="shared" si="49"/>
        <v>5.0176861453445811</v>
      </c>
      <c r="AB17" s="16">
        <f t="shared" ref="AB17" si="50">+AB16/AB18</f>
        <v>4.7310181371382969</v>
      </c>
    </row>
    <row r="18" spans="1:48" ht="15" x14ac:dyDescent="0.25">
      <c r="A18" s="11" t="s">
        <v>2</v>
      </c>
      <c r="B18" s="14">
        <v>1163</v>
      </c>
      <c r="C18" s="14">
        <v>1158</v>
      </c>
      <c r="D18" s="14">
        <v>1154</v>
      </c>
      <c r="E18" s="14">
        <v>1139</v>
      </c>
      <c r="F18" s="14">
        <v>1129</v>
      </c>
      <c r="G18" s="14">
        <v>1111</v>
      </c>
      <c r="H18" s="14">
        <v>1094</v>
      </c>
      <c r="I18" s="14">
        <v>1077</v>
      </c>
      <c r="J18" s="14">
        <v>1064</v>
      </c>
      <c r="K18" s="14">
        <v>1042</v>
      </c>
      <c r="L18" s="14">
        <v>1015</v>
      </c>
      <c r="M18" s="14">
        <v>1029</v>
      </c>
      <c r="N18" s="14">
        <v>986</v>
      </c>
      <c r="O18" s="14">
        <v>968</v>
      </c>
      <c r="Q18" t="s">
        <v>8</v>
      </c>
      <c r="T18" s="2">
        <f>AVERAGE(B18:E18)</f>
        <v>1153.5</v>
      </c>
      <c r="U18" s="2">
        <f>AVERAGE(F18:I18)</f>
        <v>1102.75</v>
      </c>
      <c r="V18" s="2">
        <f>+U18</f>
        <v>1102.75</v>
      </c>
      <c r="W18" s="2">
        <f t="shared" ref="W18:AJ18" si="51">+V18</f>
        <v>1102.75</v>
      </c>
      <c r="X18" s="2">
        <f t="shared" si="51"/>
        <v>1102.75</v>
      </c>
      <c r="Y18" s="2">
        <f t="shared" si="51"/>
        <v>1102.75</v>
      </c>
      <c r="Z18" s="2">
        <f t="shared" si="51"/>
        <v>1102.75</v>
      </c>
      <c r="AA18" s="2">
        <f t="shared" si="51"/>
        <v>1102.75</v>
      </c>
      <c r="AB18" s="2">
        <f t="shared" ref="AB18" si="52">+AA18</f>
        <v>1102.75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20" spans="1:48" x14ac:dyDescent="0.2">
      <c r="A20" t="s">
        <v>33</v>
      </c>
      <c r="B20" s="4" t="s">
        <v>8</v>
      </c>
      <c r="C20" s="4" t="s">
        <v>8</v>
      </c>
      <c r="D20" s="4" t="s">
        <v>8</v>
      </c>
      <c r="E20" s="4" t="s">
        <v>8</v>
      </c>
      <c r="F20" s="4">
        <f t="shared" ref="F20:J20" si="53">+F3/B3-1</f>
        <v>8.5917013728212144E-2</v>
      </c>
      <c r="G20" s="4">
        <f t="shared" si="53"/>
        <v>7.0672935645019086E-2</v>
      </c>
      <c r="H20" s="4">
        <f t="shared" si="53"/>
        <v>8.3552439380660148E-2</v>
      </c>
      <c r="I20" s="4">
        <f t="shared" si="53"/>
        <v>8.7091968034674228E-2</v>
      </c>
      <c r="J20" s="4">
        <f t="shared" si="53"/>
        <v>9.3607954545454453E-2</v>
      </c>
      <c r="K20" s="4">
        <f>+K3/G3-1</f>
        <v>8.2063949499108002E-2</v>
      </c>
      <c r="L20" s="4">
        <f t="shared" ref="L20:O20" si="54">+L3/H3-1</f>
        <v>5.7832299811269916E-2</v>
      </c>
      <c r="M20" s="4">
        <f t="shared" si="54"/>
        <v>4.2362322452030865E-2</v>
      </c>
      <c r="N20" s="4">
        <f t="shared" si="54"/>
        <v>1.1949603844655154E-2</v>
      </c>
      <c r="O20" s="4">
        <f t="shared" si="54"/>
        <v>5.1109701965757814E-2</v>
      </c>
    </row>
    <row r="22" spans="1:48" x14ac:dyDescent="0.2">
      <c r="A22" t="s">
        <v>34</v>
      </c>
      <c r="F22" s="4">
        <f t="shared" ref="F22:J22" si="55">+F7/F3</f>
        <v>6.1931818181818185E-2</v>
      </c>
      <c r="G22" s="4">
        <f t="shared" si="55"/>
        <v>6.3812268423219437E-2</v>
      </c>
      <c r="H22" s="4">
        <f t="shared" si="55"/>
        <v>5.9584793744944728E-2</v>
      </c>
      <c r="I22" s="4">
        <f t="shared" si="55"/>
        <v>5.8061300772489409E-2</v>
      </c>
      <c r="J22" s="4">
        <f t="shared" si="55"/>
        <v>5.4682426289128457E-2</v>
      </c>
      <c r="K22" s="4">
        <f>+K7/K3</f>
        <v>5.6563094483195943E-2</v>
      </c>
      <c r="L22" s="4">
        <f t="shared" ref="L22:P22" si="56">+L7/L3</f>
        <v>6.4738116477634763E-2</v>
      </c>
      <c r="M22" s="4">
        <f t="shared" si="56"/>
        <v>7.4826679416686595E-2</v>
      </c>
      <c r="N22" s="4">
        <f t="shared" si="56"/>
        <v>6.2636375304838912E-2</v>
      </c>
      <c r="O22" s="4">
        <f t="shared" si="56"/>
        <v>7.0342664092664098E-2</v>
      </c>
      <c r="P22" s="4"/>
      <c r="T22" s="4">
        <f>+T7/T3</f>
        <v>8.2019042081546631E-2</v>
      </c>
      <c r="U22" s="4">
        <f>+U7/U3</f>
        <v>6.0763830573376774E-2</v>
      </c>
      <c r="V22" s="4">
        <f t="shared" ref="V22:AJ22" si="57">+V7/V3</f>
        <v>5.9583950368068482E-2</v>
      </c>
      <c r="W22" s="4">
        <f t="shared" si="57"/>
        <v>5.8426980458008898E-2</v>
      </c>
      <c r="X22" s="4">
        <f t="shared" si="57"/>
        <v>5.72924759830961E-2</v>
      </c>
      <c r="Y22" s="4">
        <f t="shared" si="57"/>
        <v>5.6180000721288405E-2</v>
      </c>
      <c r="Z22" s="4">
        <f t="shared" si="57"/>
        <v>5.5089126920875038E-2</v>
      </c>
      <c r="AA22" s="4">
        <f t="shared" si="57"/>
        <v>5.5640018190083788E-2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 t="s">
        <v>35</v>
      </c>
      <c r="F23" s="4">
        <f t="shared" ref="F23:J23" si="58">+F8/F3</f>
        <v>0.10241477272727273</v>
      </c>
      <c r="G23" s="4">
        <f t="shared" si="58"/>
        <v>0.10196239879236997</v>
      </c>
      <c r="H23" s="4">
        <f t="shared" si="58"/>
        <v>9.9622539768131568E-2</v>
      </c>
      <c r="I23" s="4">
        <f t="shared" si="58"/>
        <v>9.5938200847246455E-2</v>
      </c>
      <c r="J23" s="4">
        <f t="shared" si="58"/>
        <v>9.6376152747110019E-2</v>
      </c>
      <c r="K23" s="4">
        <f>+K8/K3</f>
        <v>9.105897273303741E-2</v>
      </c>
      <c r="L23" s="4">
        <f t="shared" ref="L23:P23" si="59">+L8/L3</f>
        <v>9.5068178921880978E-2</v>
      </c>
      <c r="M23" s="4">
        <f t="shared" si="59"/>
        <v>9.239780062156347E-2</v>
      </c>
      <c r="N23" s="4">
        <f t="shared" si="59"/>
        <v>9.3826209729174687E-2</v>
      </c>
      <c r="O23" s="4">
        <f t="shared" si="59"/>
        <v>9.2543436293436296E-2</v>
      </c>
      <c r="P23" s="4"/>
      <c r="T23" s="4">
        <f>+T8/T3</f>
        <v>0.1182135329602442</v>
      </c>
      <c r="U23" s="4">
        <f>+U8/U3</f>
        <v>9.9862282086594339E-2</v>
      </c>
      <c r="V23" s="4">
        <f t="shared" ref="V23:AJ23" si="60">+V8/V3</f>
        <v>9.7923208648019691E-2</v>
      </c>
      <c r="W23" s="4">
        <f t="shared" si="60"/>
        <v>9.602178712087367E-2</v>
      </c>
      <c r="X23" s="4">
        <f t="shared" si="60"/>
        <v>9.4157286400080004E-2</v>
      </c>
      <c r="Y23" s="4">
        <f t="shared" si="60"/>
        <v>9.2328989576777473E-2</v>
      </c>
      <c r="Z23" s="4">
        <f t="shared" si="60"/>
        <v>9.0536193662665299E-2</v>
      </c>
      <c r="AA23" s="4">
        <f t="shared" si="60"/>
        <v>9.1441555599291943E-2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t="s">
        <v>36</v>
      </c>
      <c r="F24" s="4">
        <f t="shared" ref="F24:J24" si="61">+F9/F3</f>
        <v>7.2017045454545459E-2</v>
      </c>
      <c r="G24" s="4">
        <f t="shared" si="61"/>
        <v>6.7380266227528476E-2</v>
      </c>
      <c r="H24" s="4">
        <f t="shared" si="61"/>
        <v>6.8347263413318954E-2</v>
      </c>
      <c r="I24" s="4">
        <f t="shared" si="61"/>
        <v>6.902566658360329E-2</v>
      </c>
      <c r="J24" s="4">
        <f t="shared" si="61"/>
        <v>6.0267567216521628E-2</v>
      </c>
      <c r="K24" s="4">
        <f>+K9/K3</f>
        <v>7.2289156626506021E-2</v>
      </c>
      <c r="L24" s="4">
        <f t="shared" ref="L24:P24" si="62">+L9/L3</f>
        <v>6.6139926086402442E-2</v>
      </c>
      <c r="M24" s="4">
        <f t="shared" si="62"/>
        <v>7.1001673440114751E-2</v>
      </c>
      <c r="N24" s="4">
        <f t="shared" si="62"/>
        <v>6.4561673726094213E-2</v>
      </c>
      <c r="O24" s="4">
        <f t="shared" si="62"/>
        <v>5.5622586872586872E-2</v>
      </c>
      <c r="P24" s="4"/>
      <c r="T24" s="4">
        <f>+T9/T3</f>
        <v>7.6277345737335564E-2</v>
      </c>
      <c r="U24" s="4">
        <f>+U9/U3</f>
        <v>6.9161264317624538E-2</v>
      </c>
      <c r="V24" s="4">
        <f t="shared" ref="V24:AJ24" si="63">+V9/V3</f>
        <v>6.7818327146408522E-2</v>
      </c>
      <c r="W24" s="4">
        <f t="shared" si="63"/>
        <v>6.6501466425119032E-2</v>
      </c>
      <c r="X24" s="4">
        <f t="shared" si="63"/>
        <v>6.5210175814922541E-2</v>
      </c>
      <c r="Y24" s="4">
        <f t="shared" si="63"/>
        <v>6.3943958808807544E-2</v>
      </c>
      <c r="Z24" s="4">
        <f t="shared" si="63"/>
        <v>6.2702328540675367E-2</v>
      </c>
      <c r="AA24" s="4">
        <f t="shared" si="63"/>
        <v>6.3329351826082125E-2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2">
      <c r="A25" t="s">
        <v>37</v>
      </c>
      <c r="F25" s="4">
        <f t="shared" ref="F25:J25" si="64">+F12/F3</f>
        <v>0.14190340909090909</v>
      </c>
      <c r="G25" s="4">
        <f t="shared" si="64"/>
        <v>0.15548236585700562</v>
      </c>
      <c r="H25" s="4">
        <f t="shared" si="64"/>
        <v>0.15745483957940146</v>
      </c>
      <c r="I25" s="4">
        <f t="shared" si="64"/>
        <v>0.21530027410914529</v>
      </c>
      <c r="J25" s="4">
        <f t="shared" si="64"/>
        <v>0.15170801402779582</v>
      </c>
      <c r="K25" s="4">
        <f>+K12/K3</f>
        <v>0.16804058338617628</v>
      </c>
      <c r="L25" s="4">
        <f t="shared" ref="L25:P25" si="65">+L12/L3</f>
        <v>0.17726519689053141</v>
      </c>
      <c r="M25" s="4">
        <f t="shared" si="65"/>
        <v>0.17463542911785801</v>
      </c>
      <c r="N25" s="4">
        <f t="shared" si="65"/>
        <v>0.19638043896804006</v>
      </c>
      <c r="O25" s="4">
        <f t="shared" si="65"/>
        <v>0.18146718146718147</v>
      </c>
      <c r="P25" s="4"/>
      <c r="T25" s="4">
        <f>+T12/T3</f>
        <v>0.13943600552365723</v>
      </c>
      <c r="U25" s="4">
        <f>+U12/U3</f>
        <v>0.16888918746431092</v>
      </c>
      <c r="V25" s="4">
        <f t="shared" ref="V25:AJ25" si="66">+V12/V3</f>
        <v>0.17916177631649749</v>
      </c>
      <c r="W25" s="4">
        <f t="shared" si="66"/>
        <v>0.18929184388201656</v>
      </c>
      <c r="X25" s="4">
        <f t="shared" si="66"/>
        <v>0.19928160468625983</v>
      </c>
      <c r="Y25" s="4">
        <f t="shared" si="66"/>
        <v>0.20913323562187494</v>
      </c>
      <c r="Z25" s="4">
        <f t="shared" si="66"/>
        <v>0.21884887662738536</v>
      </c>
      <c r="AA25" s="4">
        <f t="shared" si="66"/>
        <v>0.2052835502937328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 t="s">
        <v>38</v>
      </c>
      <c r="F26" s="4">
        <f t="shared" ref="F26:J26" si="67">+F15/F14</f>
        <v>0.25977653631284914</v>
      </c>
      <c r="G26" s="4">
        <f t="shared" si="67"/>
        <v>0.21028396009209516</v>
      </c>
      <c r="H26" s="4">
        <f t="shared" si="67"/>
        <v>0.17808219178082191</v>
      </c>
      <c r="I26" s="4">
        <f t="shared" si="67"/>
        <v>0.2180702732849972</v>
      </c>
      <c r="J26" s="4">
        <f t="shared" si="67"/>
        <v>0.26550868486352358</v>
      </c>
      <c r="K26" s="4">
        <f>+K15/K14</f>
        <v>0.1937097927090779</v>
      </c>
      <c r="L26" s="4">
        <f t="shared" ref="L26:P26" si="68">+L15/L14</f>
        <v>0.2295957284515637</v>
      </c>
      <c r="M26" s="4">
        <f t="shared" si="68"/>
        <v>0.2020979020979021</v>
      </c>
      <c r="N26" s="4">
        <f t="shared" si="68"/>
        <v>0.19713038053649407</v>
      </c>
      <c r="O26" s="4">
        <f t="shared" si="68"/>
        <v>0.17527795945062133</v>
      </c>
      <c r="P26" s="4"/>
      <c r="T26" s="4">
        <f>+T15/T14</f>
        <v>0.28134284016636957</v>
      </c>
      <c r="U26" s="4">
        <f>+U15/U14</f>
        <v>0.21530216226205878</v>
      </c>
      <c r="V26" s="4">
        <f t="shared" ref="V26:AJ26" si="69">+V15/V14</f>
        <v>0.25</v>
      </c>
      <c r="W26" s="4">
        <f t="shared" si="69"/>
        <v>0.25</v>
      </c>
      <c r="X26" s="4">
        <f t="shared" si="69"/>
        <v>0.25</v>
      </c>
      <c r="Y26" s="4">
        <f t="shared" si="69"/>
        <v>0.25</v>
      </c>
      <c r="Z26" s="4">
        <f t="shared" si="69"/>
        <v>0.25</v>
      </c>
      <c r="AA26" s="4">
        <f t="shared" si="69"/>
        <v>0.25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 t="s">
        <v>8</v>
      </c>
      <c r="K27" t="s">
        <v>8</v>
      </c>
    </row>
    <row r="28" spans="1:48" s="3" customFormat="1" ht="15" x14ac:dyDescent="0.25">
      <c r="A28" s="3" t="s">
        <v>43</v>
      </c>
      <c r="K28" s="3">
        <f>+K30-K41</f>
        <v>3889</v>
      </c>
      <c r="O28" s="3">
        <f>6561+4262-9879</f>
        <v>944</v>
      </c>
      <c r="R28" s="7"/>
      <c r="U28" s="3">
        <f>+U30-U41</f>
        <v>4384</v>
      </c>
      <c r="V28" s="3">
        <f>+U28+V16</f>
        <v>8537.26</v>
      </c>
      <c r="W28" s="3">
        <f t="shared" ref="W28:AV28" si="70">+V28+W16</f>
        <v>13085.242299999998</v>
      </c>
      <c r="X28" s="3">
        <f t="shared" si="70"/>
        <v>18045.590046249999</v>
      </c>
      <c r="Y28" s="3">
        <f t="shared" si="70"/>
        <v>23436.584464481879</v>
      </c>
      <c r="Z28" s="3">
        <f t="shared" si="70"/>
        <v>29277.166021293793</v>
      </c>
      <c r="AA28" s="3">
        <f t="shared" si="70"/>
        <v>34810.419418072532</v>
      </c>
      <c r="AB28" s="3">
        <f t="shared" ref="AB28" si="71">+AA28+AB16</f>
        <v>40027.549668801788</v>
      </c>
      <c r="AC28" s="3">
        <f t="shared" ref="AC28" si="72">+AB28+AC16</f>
        <v>45192.508617023756</v>
      </c>
      <c r="AD28" s="3">
        <f t="shared" ref="AD28" si="73">+AC28+AD16</f>
        <v>50305.817975763501</v>
      </c>
      <c r="AE28" s="3">
        <f t="shared" ref="AE28" si="74">+AD28+AE16</f>
        <v>55367.994240915847</v>
      </c>
      <c r="AF28" s="3">
        <f t="shared" ref="AF28" si="75">+AE28+AF16</f>
        <v>60379.548743416672</v>
      </c>
      <c r="AG28" s="3">
        <f t="shared" ref="AG28" si="76">+AF28+AG16</f>
        <v>65340.987700892489</v>
      </c>
      <c r="AH28" s="3">
        <f t="shared" ref="AH28" si="77">+AG28+AH16</f>
        <v>70252.812268793539</v>
      </c>
      <c r="AI28" s="3">
        <f t="shared" ref="AI28" si="78">+AH28+AI16</f>
        <v>75115.518591015585</v>
      </c>
      <c r="AJ28" s="3">
        <f t="shared" ref="AJ28" si="79">+AI28+AJ16</f>
        <v>79929.597850015416</v>
      </c>
      <c r="AK28" s="3">
        <f t="shared" ref="AK28" si="80">+AJ28+AK16</f>
        <v>84695.536316425249</v>
      </c>
      <c r="AL28" s="3">
        <f t="shared" ref="AL28" si="81">+AK28+AL16</f>
        <v>89413.815398170977</v>
      </c>
      <c r="AM28" s="3">
        <f t="shared" ref="AM28" si="82">+AL28+AM16</f>
        <v>94084.911689099245</v>
      </c>
      <c r="AN28" s="3">
        <f t="shared" ref="AN28" si="83">+AM28+AN16</f>
        <v>98709.297017118239</v>
      </c>
      <c r="AO28" s="3">
        <f t="shared" ref="AO28" si="84">+AN28+AO16</f>
        <v>103287.43849185704</v>
      </c>
      <c r="AP28" s="3">
        <f t="shared" ref="AP28" si="85">+AO28+AP16</f>
        <v>107819.79855184845</v>
      </c>
      <c r="AQ28" s="3">
        <f t="shared" ref="AQ28" si="86">+AP28+AQ16</f>
        <v>112306.83501123995</v>
      </c>
      <c r="AR28" s="3">
        <f t="shared" ref="AR28" si="87">+AQ28+AR16</f>
        <v>116749.00110603753</v>
      </c>
      <c r="AS28" s="3">
        <f t="shared" ref="AS28" si="88">+AR28+AS16</f>
        <v>121146.74553988714</v>
      </c>
      <c r="AT28" s="3">
        <f t="shared" ref="AT28" si="89">+AS28+AT16</f>
        <v>125500.51252939826</v>
      </c>
      <c r="AU28" s="3">
        <f t="shared" ref="AU28" si="90">+AT28+AU16</f>
        <v>129810.74184901426</v>
      </c>
      <c r="AV28" s="3">
        <f t="shared" ref="AV28" si="91">+AU28+AV16</f>
        <v>134077.8688754341</v>
      </c>
    </row>
    <row r="29" spans="1:48" x14ac:dyDescent="0.2">
      <c r="R29" s="4"/>
    </row>
    <row r="30" spans="1:48" x14ac:dyDescent="0.2">
      <c r="A30" t="s">
        <v>5</v>
      </c>
      <c r="K30">
        <f>7701+5915</f>
        <v>13616</v>
      </c>
      <c r="L30">
        <f>7272+464</f>
        <v>7736</v>
      </c>
      <c r="O30">
        <f>6688+3320</f>
        <v>10008</v>
      </c>
      <c r="R30" s="4"/>
      <c r="U30">
        <f>9081+4979</f>
        <v>14060</v>
      </c>
    </row>
    <row r="31" spans="1:48" x14ac:dyDescent="0.2">
      <c r="A31" t="s">
        <v>48</v>
      </c>
      <c r="K31">
        <v>987</v>
      </c>
      <c r="L31">
        <v>1038</v>
      </c>
      <c r="O31">
        <v>1009</v>
      </c>
      <c r="R31" s="5"/>
      <c r="U31">
        <v>1069</v>
      </c>
    </row>
    <row r="32" spans="1:48" x14ac:dyDescent="0.2">
      <c r="A32" t="s">
        <v>49</v>
      </c>
      <c r="K32">
        <f>369+5319</f>
        <v>5688</v>
      </c>
      <c r="L32">
        <f>471+6003</f>
        <v>6474</v>
      </c>
      <c r="O32">
        <f>817+6938</f>
        <v>7755</v>
      </c>
      <c r="R32" s="2"/>
      <c r="U32">
        <f>563+5433</f>
        <v>5996</v>
      </c>
    </row>
    <row r="33" spans="1:21" x14ac:dyDescent="0.2">
      <c r="A33" t="s">
        <v>50</v>
      </c>
      <c r="K33">
        <v>38727</v>
      </c>
      <c r="L33">
        <v>39182</v>
      </c>
      <c r="O33">
        <v>38923</v>
      </c>
      <c r="R33" s="6"/>
      <c r="U33">
        <v>38935</v>
      </c>
    </row>
    <row r="34" spans="1:21" x14ac:dyDescent="0.2">
      <c r="A34" t="s">
        <v>51</v>
      </c>
      <c r="K34">
        <v>3954</v>
      </c>
      <c r="L34">
        <v>4060</v>
      </c>
      <c r="O34">
        <v>2094</v>
      </c>
      <c r="U34">
        <v>2509</v>
      </c>
    </row>
    <row r="35" spans="1:21" x14ac:dyDescent="0.2">
      <c r="A35" t="s">
        <v>52</v>
      </c>
      <c r="K35">
        <v>4653</v>
      </c>
      <c r="L35">
        <v>4282</v>
      </c>
      <c r="O35">
        <v>3645</v>
      </c>
      <c r="U35">
        <v>3273</v>
      </c>
    </row>
    <row r="36" spans="1:21" x14ac:dyDescent="0.2">
      <c r="A36" t="s">
        <v>53</v>
      </c>
      <c r="K36">
        <v>1459</v>
      </c>
      <c r="L36">
        <v>1496</v>
      </c>
      <c r="O36">
        <v>1625</v>
      </c>
      <c r="R36" s="2"/>
      <c r="U36">
        <v>1488</v>
      </c>
    </row>
    <row r="37" spans="1:21" x14ac:dyDescent="0.2">
      <c r="A37" t="s">
        <v>54</v>
      </c>
      <c r="K37">
        <f>10816+403</f>
        <v>11219</v>
      </c>
      <c r="L37">
        <f>10996+393</f>
        <v>11389</v>
      </c>
      <c r="O37">
        <f>10976+271</f>
        <v>11247</v>
      </c>
      <c r="R37" s="4"/>
      <c r="U37">
        <f>11026+537</f>
        <v>11563</v>
      </c>
    </row>
    <row r="38" spans="1:21" x14ac:dyDescent="0.2">
      <c r="A38" t="s">
        <v>55</v>
      </c>
      <c r="K38">
        <v>3713</v>
      </c>
      <c r="L38">
        <v>3671</v>
      </c>
      <c r="O38">
        <v>3381</v>
      </c>
      <c r="U38">
        <v>3273</v>
      </c>
    </row>
    <row r="39" spans="1:21" x14ac:dyDescent="0.2">
      <c r="A39" t="s">
        <v>61</v>
      </c>
      <c r="K39">
        <f>SUM(K30:K38)</f>
        <v>84016</v>
      </c>
      <c r="L39">
        <f>SUM(L30:L38)</f>
        <v>79328</v>
      </c>
      <c r="O39">
        <f>SUM(O30:O38)</f>
        <v>79687</v>
      </c>
      <c r="U39">
        <f>SUM(U30:U38)</f>
        <v>82166</v>
      </c>
    </row>
    <row r="41" spans="1:21" x14ac:dyDescent="0.2">
      <c r="A41" t="s">
        <v>6</v>
      </c>
      <c r="K41">
        <v>9727</v>
      </c>
      <c r="L41">
        <v>9976</v>
      </c>
      <c r="O41">
        <v>3230</v>
      </c>
      <c r="U41">
        <v>9676</v>
      </c>
    </row>
    <row r="42" spans="1:21" x14ac:dyDescent="0.2">
      <c r="A42" t="s">
        <v>56</v>
      </c>
      <c r="K42">
        <v>133</v>
      </c>
      <c r="L42">
        <v>165</v>
      </c>
      <c r="O42">
        <v>221</v>
      </c>
      <c r="U42">
        <v>139</v>
      </c>
    </row>
    <row r="43" spans="1:21" x14ac:dyDescent="0.2">
      <c r="A43" t="s">
        <v>57</v>
      </c>
      <c r="K43">
        <v>41727</v>
      </c>
      <c r="L43">
        <v>41182</v>
      </c>
      <c r="O43">
        <v>40923</v>
      </c>
      <c r="U43">
        <v>41935</v>
      </c>
    </row>
    <row r="44" spans="1:21" x14ac:dyDescent="0.2">
      <c r="A44" t="s">
        <v>58</v>
      </c>
      <c r="K44">
        <v>8853</v>
      </c>
      <c r="L44">
        <v>8921</v>
      </c>
      <c r="O44">
        <v>3906</v>
      </c>
      <c r="U44">
        <v>6392</v>
      </c>
    </row>
    <row r="45" spans="1:21" x14ac:dyDescent="0.2">
      <c r="A45" t="s">
        <v>59</v>
      </c>
      <c r="K45">
        <v>2954</v>
      </c>
      <c r="L45">
        <v>3096</v>
      </c>
      <c r="O45">
        <v>11296</v>
      </c>
      <c r="U45">
        <v>2973</v>
      </c>
    </row>
    <row r="46" spans="1:21" x14ac:dyDescent="0.2">
      <c r="A46" t="s">
        <v>60</v>
      </c>
      <c r="K46">
        <f>SUM(K41:K45)</f>
        <v>63394</v>
      </c>
      <c r="L46">
        <f>SUM(L41:L45)</f>
        <v>63340</v>
      </c>
      <c r="O46">
        <f>SUM(O41:O45)</f>
        <v>59576</v>
      </c>
      <c r="U46">
        <f>SUM(U41:U45)</f>
        <v>61115</v>
      </c>
    </row>
    <row r="48" spans="1:21" x14ac:dyDescent="0.2">
      <c r="A48" t="s">
        <v>62</v>
      </c>
      <c r="K48">
        <f>+K39-K46</f>
        <v>20622</v>
      </c>
      <c r="L48">
        <f>+L39-L46</f>
        <v>15988</v>
      </c>
      <c r="O48">
        <f>+O39-O46</f>
        <v>20111</v>
      </c>
      <c r="U48">
        <f>+U39-U46</f>
        <v>21051</v>
      </c>
    </row>
    <row r="49" spans="1:21" x14ac:dyDescent="0.2">
      <c r="A49" t="s">
        <v>63</v>
      </c>
      <c r="K49">
        <f>+K46+K48</f>
        <v>84016</v>
      </c>
      <c r="L49">
        <f>+L46+L48</f>
        <v>79328</v>
      </c>
      <c r="O49">
        <f>+O46+O48</f>
        <v>79687</v>
      </c>
      <c r="U49">
        <f>+U46+U48</f>
        <v>82166</v>
      </c>
    </row>
    <row r="51" spans="1:21" x14ac:dyDescent="0.2">
      <c r="A51" t="s">
        <v>64</v>
      </c>
      <c r="K51" s="4">
        <f>+K16/K39</f>
        <v>1.34260140925538E-2</v>
      </c>
      <c r="L51" s="4">
        <f>+L16/L39</f>
        <v>1.2731948366276724E-2</v>
      </c>
      <c r="M51" s="4"/>
      <c r="N51" s="4"/>
      <c r="O51" s="4">
        <f>+O16/O39</f>
        <v>1.5824413015924806E-2</v>
      </c>
      <c r="U51" s="4">
        <f>+U16/U39</f>
        <v>5.1675875666334005E-2</v>
      </c>
    </row>
    <row r="52" spans="1:21" x14ac:dyDescent="0.2">
      <c r="A52" t="s">
        <v>65</v>
      </c>
      <c r="K52" s="4">
        <f>+K16/K48</f>
        <v>5.4698865289496655E-2</v>
      </c>
      <c r="L52" s="4">
        <f>+L16/L48</f>
        <v>6.3172379284463342E-2</v>
      </c>
      <c r="M52" s="4"/>
      <c r="N52" s="4"/>
      <c r="O52" s="4">
        <f>+O16/O48</f>
        <v>6.2702003878474466E-2</v>
      </c>
      <c r="U52" s="4">
        <f>+U16/U48</f>
        <v>0.20170063179896441</v>
      </c>
    </row>
    <row r="54" spans="1:21" x14ac:dyDescent="0.2">
      <c r="A54" t="s">
        <v>66</v>
      </c>
      <c r="O54">
        <v>2058</v>
      </c>
    </row>
    <row r="55" spans="1:21" x14ac:dyDescent="0.2">
      <c r="A55" t="s">
        <v>67</v>
      </c>
      <c r="O55">
        <v>-3677</v>
      </c>
    </row>
    <row r="56" spans="1:21" x14ac:dyDescent="0.2">
      <c r="A56" t="s">
        <v>68</v>
      </c>
      <c r="O56">
        <v>-2180</v>
      </c>
    </row>
    <row r="57" spans="1:21" x14ac:dyDescent="0.2">
      <c r="A57" t="s">
        <v>69</v>
      </c>
      <c r="O57">
        <f>+O54+O55+O56</f>
        <v>-3799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C5C91-6D09-4CFD-925C-8827B1AAD26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2570eab-4ecf-4bb5-b806-a666b23f79b6"/>
    <ds:schemaRef ds:uri="de0fd296-9832-4e10-a7ad-2bcee574d3b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E1F3D9-0675-4369-93B7-3D3C2C799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53EB0-24E9-4FE6-84FD-65CBC44A7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2024-09-18T11:54:03Z</dcterms:created>
  <dcterms:modified xsi:type="dcterms:W3CDTF">2025-07-30T14:18:00Z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