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Gigs/WorkingFolder/Finance/Stocks/"/>
    </mc:Choice>
  </mc:AlternateContent>
  <xr:revisionPtr revIDLastSave="1084" documentId="8_{432F4035-337E-469E-B283-5A45046071CB}" xr6:coauthVersionLast="47" xr6:coauthVersionMax="47" xr10:uidLastSave="{C3E7251B-1256-4CF2-9B42-E1138E855D51}"/>
  <bookViews>
    <workbookView xWindow="-120" yWindow="-120" windowWidth="29040" windowHeight="15720" activeTab="1" xr2:uid="{18A86E95-8B10-489E-83AC-494A7C661C8F}"/>
  </bookViews>
  <sheets>
    <sheet name="main" sheetId="1" r:id="rId1"/>
    <sheet name="mode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4" i="3" l="1"/>
  <c r="U74" i="3"/>
  <c r="U52" i="3"/>
  <c r="U73" i="3"/>
  <c r="T73" i="3"/>
  <c r="V73" i="3"/>
  <c r="V5" i="3"/>
  <c r="Y13" i="3"/>
  <c r="X13" i="3"/>
  <c r="W13" i="3"/>
  <c r="Y5" i="3"/>
  <c r="Z5" i="3" s="1"/>
  <c r="AA5" i="3" s="1"/>
  <c r="AB5" i="3" s="1"/>
  <c r="X5" i="3"/>
  <c r="W14" i="3"/>
  <c r="V30" i="3"/>
  <c r="V69" i="3"/>
  <c r="N5" i="3"/>
  <c r="O5" i="3" s="1"/>
  <c r="P5" i="3" s="1"/>
  <c r="Q5" i="3" s="1"/>
  <c r="W5" i="3" s="1"/>
  <c r="T5" i="3"/>
  <c r="U5" i="3"/>
  <c r="V46" i="3"/>
  <c r="V47" i="3" s="1"/>
  <c r="V34" i="3"/>
  <c r="V31" i="3"/>
  <c r="N19" i="3"/>
  <c r="O19" i="3" s="1"/>
  <c r="P19" i="3" s="1"/>
  <c r="Q19" i="3" s="1"/>
  <c r="N14" i="3"/>
  <c r="O14" i="3" s="1"/>
  <c r="P14" i="3" s="1"/>
  <c r="Q14" i="3" s="1"/>
  <c r="Q11" i="3"/>
  <c r="P11" i="3"/>
  <c r="O11" i="3"/>
  <c r="N11" i="3"/>
  <c r="Q10" i="3"/>
  <c r="P10" i="3"/>
  <c r="O10" i="3"/>
  <c r="N10" i="3"/>
  <c r="Q9" i="3"/>
  <c r="P9" i="3"/>
  <c r="O9" i="3"/>
  <c r="N9" i="3"/>
  <c r="Q8" i="3"/>
  <c r="P8" i="3"/>
  <c r="O8" i="3"/>
  <c r="N8" i="3"/>
  <c r="N6" i="3" l="1"/>
  <c r="N7" i="3" s="1"/>
  <c r="W10" i="3"/>
  <c r="X10" i="3" s="1"/>
  <c r="Y10" i="3" s="1"/>
  <c r="Z10" i="3" s="1"/>
  <c r="AA10" i="3" s="1"/>
  <c r="AB10" i="3" s="1"/>
  <c r="N12" i="3"/>
  <c r="Q12" i="3"/>
  <c r="P12" i="3"/>
  <c r="Y12" i="3" s="1"/>
  <c r="V39" i="3"/>
  <c r="V48" i="3" s="1"/>
  <c r="V49" i="3" s="1"/>
  <c r="W9" i="3"/>
  <c r="X9" i="3" s="1"/>
  <c r="Y9" i="3" s="1"/>
  <c r="Z9" i="3" s="1"/>
  <c r="AA9" i="3" s="1"/>
  <c r="AB9" i="3" s="1"/>
  <c r="W11" i="3"/>
  <c r="X11" i="3" s="1"/>
  <c r="Y11" i="3" s="1"/>
  <c r="Z11" i="3" s="1"/>
  <c r="AA11" i="3" s="1"/>
  <c r="AB11" i="3" s="1"/>
  <c r="O12" i="3"/>
  <c r="W8" i="3"/>
  <c r="X8" i="3" s="1"/>
  <c r="Y8" i="3" s="1"/>
  <c r="Z8" i="3" s="1"/>
  <c r="AA8" i="3" s="1"/>
  <c r="AB8" i="3" s="1"/>
  <c r="O6" i="3"/>
  <c r="O7" i="3" s="1"/>
  <c r="N13" i="3" l="1"/>
  <c r="N15" i="3" s="1"/>
  <c r="N16" i="3" s="1"/>
  <c r="N17" i="3" s="1"/>
  <c r="N18" i="3" s="1"/>
  <c r="O13" i="3"/>
  <c r="O15" i="3" s="1"/>
  <c r="O16" i="3" s="1"/>
  <c r="O17" i="3" s="1"/>
  <c r="O18" i="3" s="1"/>
  <c r="X12" i="3"/>
  <c r="W12" i="3"/>
  <c r="P6" i="3"/>
  <c r="P7" i="3" s="1"/>
  <c r="P13" i="3" s="1"/>
  <c r="P15" i="3" s="1"/>
  <c r="P16" i="3" l="1"/>
  <c r="P17" i="3" s="1"/>
  <c r="P18" i="3" s="1"/>
  <c r="Q6" i="3"/>
  <c r="Q7" i="3" l="1"/>
  <c r="Q13" i="3" s="1"/>
  <c r="Q15" i="3" s="1"/>
  <c r="Q16" i="3" s="1"/>
  <c r="Q17" i="3" s="1"/>
  <c r="Q18" i="3" s="1"/>
  <c r="W6" i="3"/>
  <c r="X6" i="3" l="1"/>
  <c r="W7" i="3"/>
  <c r="W15" i="3" s="1"/>
  <c r="X7" i="3" l="1"/>
  <c r="Y6" i="3"/>
  <c r="W16" i="3"/>
  <c r="W17" i="3" s="1"/>
  <c r="W30" i="3" l="1"/>
  <c r="X14" i="3" s="1"/>
  <c r="X15" i="3"/>
  <c r="X16" i="3" s="1"/>
  <c r="Z6" i="3"/>
  <c r="Y7" i="3"/>
  <c r="X17" i="3"/>
  <c r="Y17" i="3" s="1"/>
  <c r="X30" i="3" l="1"/>
  <c r="Z17" i="3"/>
  <c r="AA6" i="3"/>
  <c r="Z7" i="3"/>
  <c r="V19" i="3"/>
  <c r="W19" i="3" s="1"/>
  <c r="V16" i="3"/>
  <c r="V14" i="3"/>
  <c r="V11" i="3"/>
  <c r="V26" i="3" s="1"/>
  <c r="V10" i="3"/>
  <c r="V25" i="3" s="1"/>
  <c r="V9" i="3"/>
  <c r="V24" i="3" s="1"/>
  <c r="V8" i="3"/>
  <c r="V23" i="3" s="1"/>
  <c r="V6" i="3"/>
  <c r="V7" i="3" s="1"/>
  <c r="V21" i="3"/>
  <c r="U19" i="3"/>
  <c r="U16" i="3"/>
  <c r="U11" i="3"/>
  <c r="U26" i="3" s="1"/>
  <c r="U10" i="3"/>
  <c r="U25" i="3" s="1"/>
  <c r="U9" i="3"/>
  <c r="U24" i="3" s="1"/>
  <c r="U8" i="3"/>
  <c r="U6" i="3"/>
  <c r="U7" i="3" s="1"/>
  <c r="T19" i="3"/>
  <c r="T16" i="3"/>
  <c r="T11" i="3"/>
  <c r="T26" i="3" s="1"/>
  <c r="T10" i="3"/>
  <c r="T25" i="3" s="1"/>
  <c r="T9" i="3"/>
  <c r="T24" i="3" s="1"/>
  <c r="T8" i="3"/>
  <c r="T23" i="3" s="1"/>
  <c r="T6" i="3"/>
  <c r="T7" i="3" s="1"/>
  <c r="B26" i="3"/>
  <c r="B23" i="3"/>
  <c r="B14" i="3"/>
  <c r="B12" i="3"/>
  <c r="B7" i="3"/>
  <c r="B22" i="3" s="1"/>
  <c r="U2" i="3"/>
  <c r="V2" i="3" s="1"/>
  <c r="W2" i="3" s="1"/>
  <c r="X2" i="3" s="1"/>
  <c r="Y2" i="3" s="1"/>
  <c r="Z2" i="3" s="1"/>
  <c r="AA2" i="3" s="1"/>
  <c r="AB2" i="3" s="1"/>
  <c r="L26" i="3"/>
  <c r="K26" i="3"/>
  <c r="J26" i="3"/>
  <c r="I26" i="3"/>
  <c r="H26" i="3"/>
  <c r="G26" i="3"/>
  <c r="F26" i="3"/>
  <c r="E26" i="3"/>
  <c r="D26" i="3"/>
  <c r="C26" i="3"/>
  <c r="L25" i="3"/>
  <c r="K25" i="3"/>
  <c r="J25" i="3"/>
  <c r="I25" i="3"/>
  <c r="H25" i="3"/>
  <c r="G25" i="3"/>
  <c r="F25" i="3"/>
  <c r="E25" i="3"/>
  <c r="D25" i="3"/>
  <c r="L24" i="3"/>
  <c r="K24" i="3"/>
  <c r="J24" i="3"/>
  <c r="I24" i="3"/>
  <c r="H24" i="3"/>
  <c r="G24" i="3"/>
  <c r="F24" i="3"/>
  <c r="E24" i="3"/>
  <c r="D24" i="3"/>
  <c r="L23" i="3"/>
  <c r="K23" i="3"/>
  <c r="J23" i="3"/>
  <c r="I23" i="3"/>
  <c r="H23" i="3"/>
  <c r="G23" i="3"/>
  <c r="F23" i="3"/>
  <c r="E23" i="3"/>
  <c r="D23" i="3"/>
  <c r="C23" i="3"/>
  <c r="L21" i="3"/>
  <c r="K21" i="3"/>
  <c r="J21" i="3"/>
  <c r="I21" i="3"/>
  <c r="H21" i="3"/>
  <c r="G21" i="3"/>
  <c r="M26" i="3"/>
  <c r="M25" i="3"/>
  <c r="M24" i="3"/>
  <c r="M23" i="3"/>
  <c r="M21" i="3"/>
  <c r="C14" i="3"/>
  <c r="C12" i="3"/>
  <c r="C7" i="3"/>
  <c r="C22" i="3" s="1"/>
  <c r="D14" i="3"/>
  <c r="D7" i="3"/>
  <c r="D22" i="3" s="1"/>
  <c r="D12" i="3"/>
  <c r="E14" i="3"/>
  <c r="E12" i="3"/>
  <c r="E7" i="3"/>
  <c r="F14" i="3"/>
  <c r="F12" i="3"/>
  <c r="F7" i="3"/>
  <c r="J12" i="3"/>
  <c r="J7" i="3"/>
  <c r="J22" i="3" s="1"/>
  <c r="G12" i="3"/>
  <c r="G7" i="3"/>
  <c r="G22" i="3" s="1"/>
  <c r="K12" i="3"/>
  <c r="K7" i="3"/>
  <c r="K22" i="3" s="1"/>
  <c r="I14" i="3"/>
  <c r="I12" i="3"/>
  <c r="I7" i="3"/>
  <c r="I22" i="3" s="1"/>
  <c r="M12" i="3"/>
  <c r="M7" i="3"/>
  <c r="M22" i="3" s="1"/>
  <c r="H14" i="3"/>
  <c r="H7" i="3"/>
  <c r="H22" i="3" s="1"/>
  <c r="L12" i="3"/>
  <c r="L7" i="3"/>
  <c r="L22" i="3" s="1"/>
  <c r="C5" i="1"/>
  <c r="C4" i="1"/>
  <c r="C7" i="1" s="1"/>
  <c r="Y30" i="3" l="1"/>
  <c r="Z14" i="3" s="1"/>
  <c r="Y14" i="3"/>
  <c r="Y15" i="3" s="1"/>
  <c r="Y16" i="3" s="1"/>
  <c r="AB6" i="3"/>
  <c r="AB7" i="3" s="1"/>
  <c r="AA7" i="3"/>
  <c r="AA17" i="3"/>
  <c r="E13" i="3"/>
  <c r="E27" i="3" s="1"/>
  <c r="F13" i="3"/>
  <c r="F27" i="3" s="1"/>
  <c r="T12" i="3"/>
  <c r="U12" i="3"/>
  <c r="U13" i="3" s="1"/>
  <c r="E22" i="3"/>
  <c r="F22" i="3"/>
  <c r="L13" i="3"/>
  <c r="L27" i="3" s="1"/>
  <c r="U14" i="3"/>
  <c r="V12" i="3"/>
  <c r="V13" i="3" s="1"/>
  <c r="T14" i="3"/>
  <c r="U22" i="3"/>
  <c r="T22" i="3"/>
  <c r="V22" i="3"/>
  <c r="U23" i="3"/>
  <c r="U21" i="3"/>
  <c r="W18" i="3"/>
  <c r="X19" i="3"/>
  <c r="Y19" i="3" s="1"/>
  <c r="B13" i="3"/>
  <c r="C13" i="3"/>
  <c r="D13" i="3"/>
  <c r="J13" i="3"/>
  <c r="G13" i="3"/>
  <c r="K13" i="3"/>
  <c r="I13" i="3"/>
  <c r="M13" i="3"/>
  <c r="H13" i="3"/>
  <c r="Z30" i="3" l="1"/>
  <c r="AA14" i="3" s="1"/>
  <c r="Z19" i="3"/>
  <c r="Y18" i="3"/>
  <c r="AB17" i="3"/>
  <c r="AB12" i="3"/>
  <c r="AB13" i="3" s="1"/>
  <c r="AA12" i="3"/>
  <c r="AA13" i="3" s="1"/>
  <c r="Z12" i="3"/>
  <c r="T13" i="3"/>
  <c r="T15" i="3" s="1"/>
  <c r="E15" i="3"/>
  <c r="E28" i="3" s="1"/>
  <c r="F15" i="3"/>
  <c r="F17" i="3" s="1"/>
  <c r="F18" i="3" s="1"/>
  <c r="V15" i="3"/>
  <c r="V27" i="3"/>
  <c r="L15" i="3"/>
  <c r="L28" i="3" s="1"/>
  <c r="J15" i="3"/>
  <c r="J27" i="3"/>
  <c r="X18" i="3"/>
  <c r="C15" i="3"/>
  <c r="C27" i="3"/>
  <c r="H15" i="3"/>
  <c r="H27" i="3"/>
  <c r="I27" i="3"/>
  <c r="I15" i="3"/>
  <c r="I28" i="3" s="1"/>
  <c r="K15" i="3"/>
  <c r="K27" i="3"/>
  <c r="D15" i="3"/>
  <c r="D27" i="3"/>
  <c r="M15" i="3"/>
  <c r="M27" i="3"/>
  <c r="B15" i="3"/>
  <c r="B27" i="3"/>
  <c r="U15" i="3"/>
  <c r="U27" i="3"/>
  <c r="G15" i="3"/>
  <c r="G27" i="3"/>
  <c r="Z13" i="3" l="1"/>
  <c r="Z15" i="3" s="1"/>
  <c r="Z16" i="3" s="1"/>
  <c r="T27" i="3"/>
  <c r="AA15" i="3"/>
  <c r="AA16" i="3" s="1"/>
  <c r="AA30" i="3"/>
  <c r="AB14" i="3" s="1"/>
  <c r="AB15" i="3" s="1"/>
  <c r="AB16" i="3" s="1"/>
  <c r="AB30" i="3"/>
  <c r="L17" i="3"/>
  <c r="L18" i="3" s="1"/>
  <c r="AA19" i="3"/>
  <c r="Z18" i="3"/>
  <c r="E17" i="3"/>
  <c r="E18" i="3" s="1"/>
  <c r="F28" i="3"/>
  <c r="I17" i="3"/>
  <c r="I18" i="3" s="1"/>
  <c r="V17" i="3"/>
  <c r="V28" i="3"/>
  <c r="D17" i="3"/>
  <c r="D18" i="3" s="1"/>
  <c r="D28" i="3"/>
  <c r="U17" i="3"/>
  <c r="U18" i="3" s="1"/>
  <c r="U28" i="3"/>
  <c r="H17" i="3"/>
  <c r="H18" i="3" s="1"/>
  <c r="H28" i="3"/>
  <c r="C17" i="3"/>
  <c r="C18" i="3" s="1"/>
  <c r="C28" i="3"/>
  <c r="B17" i="3"/>
  <c r="B18" i="3" s="1"/>
  <c r="B28" i="3"/>
  <c r="T28" i="3"/>
  <c r="T17" i="3"/>
  <c r="M17" i="3"/>
  <c r="M18" i="3" s="1"/>
  <c r="M28" i="3"/>
  <c r="K17" i="3"/>
  <c r="K18" i="3" s="1"/>
  <c r="K28" i="3"/>
  <c r="G17" i="3"/>
  <c r="G18" i="3" s="1"/>
  <c r="G28" i="3"/>
  <c r="J17" i="3"/>
  <c r="J18" i="3" s="1"/>
  <c r="J28" i="3"/>
  <c r="T18" i="3" l="1"/>
  <c r="T52" i="3"/>
  <c r="AB19" i="3"/>
  <c r="AB18" i="3" s="1"/>
  <c r="AA18" i="3"/>
  <c r="V52" i="3"/>
  <c r="V18" i="3"/>
  <c r="AC17" i="3"/>
  <c r="AC30" i="3" s="1"/>
  <c r="AD17" i="3" l="1"/>
  <c r="AD30" i="3" s="1"/>
  <c r="AE17" i="3" l="1"/>
  <c r="AE30" i="3" s="1"/>
  <c r="AF17" i="3" l="1"/>
  <c r="AF30" i="3" s="1"/>
  <c r="AG17" i="3" l="1"/>
  <c r="AG30" i="3" s="1"/>
  <c r="AH17" i="3" l="1"/>
  <c r="AH30" i="3" s="1"/>
  <c r="AI17" i="3" l="1"/>
  <c r="AJ17" i="3" l="1"/>
  <c r="AK17" i="3" l="1"/>
  <c r="AL17" i="3" l="1"/>
  <c r="AM17" i="3" s="1"/>
  <c r="AN17" i="3" s="1"/>
  <c r="AO17" i="3" s="1"/>
  <c r="P29" i="3" s="1"/>
  <c r="P30" i="3" s="1"/>
  <c r="P3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tc={09640A58-FA03-48FF-8CB7-76AB4219A0BF}</author>
  </authors>
  <commentList>
    <comment ref="N5" authorId="0" shapeId="0" xr:uid="{09640A58-FA03-48FF-8CB7-76AB4219A0BF}">
      <text>
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483m guidance</t>
      </text>
    </comment>
  </commentList>
</comments>
</file>

<file path=xl/sharedStrings.xml><?xml version="1.0" encoding="utf-8"?>
<sst xmlns="http://schemas.openxmlformats.org/spreadsheetml/2006/main" count="124" uniqueCount="109">
  <si>
    <t>Price</t>
  </si>
  <si>
    <t>Shares</t>
  </si>
  <si>
    <t>MC</t>
  </si>
  <si>
    <t>Cash</t>
  </si>
  <si>
    <t>Debt</t>
  </si>
  <si>
    <t>EV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</si>
  <si>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</si>
  <si>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</si>
  <si>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</si>
  <si>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</si>
  <si>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</si>
  <si>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</si>
  <si>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</si>
  <si>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</si>
  <si>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</t>
  </si>
  <si>
    <t>Costs</t>
  </si>
  <si>
    <t>Marketing</t>
  </si>
  <si>
    <t>GA</t>
  </si>
  <si>
    <t>OPEX</t>
  </si>
  <si>
    <t>Taxes</t>
  </si>
  <si>
    <t>NI</t>
  </si>
  <si>
    <t>EPS</t>
  </si>
  <si>
    <t xml:space="preserve"> </t>
  </si>
  <si>
    <t>Pros</t>
  </si>
  <si>
    <t>Cos</t>
  </si>
  <si>
    <t>Easy prescription services</t>
  </si>
  <si>
    <t>Anonymous and Secure Service</t>
  </si>
  <si>
    <t>Premium attention to detail</t>
  </si>
  <si>
    <t xml:space="preserve">Brandind Style </t>
  </si>
  <si>
    <t>Q122</t>
  </si>
  <si>
    <t>Q222</t>
  </si>
  <si>
    <t>Q322</t>
  </si>
  <si>
    <t>Q422</t>
  </si>
  <si>
    <t>Subscription model</t>
  </si>
  <si>
    <t>Competitors</t>
  </si>
  <si>
    <t>Henry Meds</t>
  </si>
  <si>
    <t>Weight Watchers</t>
  </si>
  <si>
    <t>Noom</t>
  </si>
  <si>
    <t>Ro.co</t>
  </si>
  <si>
    <t>Sectors</t>
  </si>
  <si>
    <t>Sexual</t>
  </si>
  <si>
    <t>Dermatology</t>
  </si>
  <si>
    <t>Mental Health</t>
  </si>
  <si>
    <t>Weight Loss</t>
  </si>
  <si>
    <t>80M</t>
  </si>
  <si>
    <t>100M</t>
  </si>
  <si>
    <t>PoP</t>
  </si>
  <si>
    <t>Advertisement Dependent</t>
  </si>
  <si>
    <t>Q125</t>
  </si>
  <si>
    <t xml:space="preserve">Gross profit </t>
  </si>
  <si>
    <t>Operations and Sup</t>
  </si>
  <si>
    <t>Tech and Dev</t>
  </si>
  <si>
    <t>Interest income</t>
  </si>
  <si>
    <t>EBIT</t>
  </si>
  <si>
    <t>Operating Profit</t>
  </si>
  <si>
    <t>rev y/y</t>
  </si>
  <si>
    <t xml:space="preserve">Gross % </t>
  </si>
  <si>
    <t>Marketing %</t>
  </si>
  <si>
    <t>Operating &amp; Sup %</t>
  </si>
  <si>
    <t>Tech e Dev %</t>
  </si>
  <si>
    <t>GA %</t>
  </si>
  <si>
    <t>Operating %</t>
  </si>
  <si>
    <t>Taxe rate</t>
  </si>
  <si>
    <t>NPV</t>
  </si>
  <si>
    <t>Q225</t>
  </si>
  <si>
    <t>Q325</t>
  </si>
  <si>
    <t>Q425</t>
  </si>
  <si>
    <t>ROIC</t>
  </si>
  <si>
    <t>Per Share</t>
  </si>
  <si>
    <t xml:space="preserve">Cash </t>
  </si>
  <si>
    <t xml:space="preserve">Invetory </t>
  </si>
  <si>
    <t>Prepaids</t>
  </si>
  <si>
    <t xml:space="preserve">Goodwill </t>
  </si>
  <si>
    <t>PPE</t>
  </si>
  <si>
    <t>Lease</t>
  </si>
  <si>
    <t>DTA</t>
  </si>
  <si>
    <t>OLTA</t>
  </si>
  <si>
    <t>Assets</t>
  </si>
  <si>
    <t>AP</t>
  </si>
  <si>
    <t>AL</t>
  </si>
  <si>
    <t>DR</t>
  </si>
  <si>
    <t>Earnout</t>
  </si>
  <si>
    <t>OLTL</t>
  </si>
  <si>
    <t>SE</t>
  </si>
  <si>
    <t>L+SE</t>
  </si>
  <si>
    <t>Model NI</t>
  </si>
  <si>
    <t>Reported NI</t>
  </si>
  <si>
    <t>DA</t>
  </si>
  <si>
    <t>SBC</t>
  </si>
  <si>
    <t>Accretion</t>
  </si>
  <si>
    <t>Impairment</t>
  </si>
  <si>
    <t>Other</t>
  </si>
  <si>
    <t>DT</t>
  </si>
  <si>
    <t>Liabilities</t>
  </si>
  <si>
    <t xml:space="preserve">Inventory </t>
  </si>
  <si>
    <t>OCA</t>
  </si>
  <si>
    <t>OLA</t>
  </si>
  <si>
    <t>OLL</t>
  </si>
  <si>
    <t>Earn-out Payable</t>
  </si>
  <si>
    <t>CFFA</t>
  </si>
  <si>
    <t>CFFO</t>
  </si>
  <si>
    <t>CFFF</t>
  </si>
  <si>
    <t>FCF</t>
  </si>
  <si>
    <t>NC</t>
  </si>
  <si>
    <t>Upside</t>
  </si>
  <si>
    <t xml:space="preserve">Wholesale </t>
  </si>
  <si>
    <t>Online</t>
  </si>
  <si>
    <t>CaPex</t>
  </si>
  <si>
    <t>3 party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</si>
</sst>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0" fontId="1" fillId="0" borderId="0" xfId="0" applyFont="1"/>
    <xf numFmtId="9" fontId="0" fillId="0" borderId="0" xfId="0" applyNumberFormat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8" fontId="0" fillId="0" borderId="0" xfId="0" applyNumberFormat="1"/>
    <xf numFmtId="3" fontId="1" fillId="0" borderId="0" xfId="0" applyNumberFormat="1" applyFont="1"/>
    <xf numFmtId="0" fontId="0" fillId="0" borderId="1" xfId="0" applyBorder="1"/>
    <xf numFmtId="3" fontId="1" fillId="0" borderId="1" xfId="0" applyNumberFormat="1" applyFont="1" applyBorder="1"/>
    <xf numFmtId="3" fontId="0" fillId="0" borderId="1" xfId="0" applyNumberFormat="1" applyBorder="1"/>
    <xf numFmtId="9" fontId="0" fillId="0" borderId="1" xfId="0" applyNumberFormat="1" applyBorder="1"/>
    <xf numFmtId="0" fontId="1" fillId="0" borderId="1" xfId="0" applyFont="1" applyBorder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7692A1C1-88C6-4FD8-A4AE-C274C76DB950}" userId="9ffda80931a57275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5" dT="2025-02-24T20:56:16.36" personId="{7692A1C1-88C6-4FD8-A4AE-C274C76DB950}" id="{09640A58-FA03-48FF-8CB7-76AB4219A0BF}">
    <text>483m guidance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B0C66-A6CD-4647-9C91-80E643F65BB5}">
  <dimension ref="B2:M20"/>
  <sheetViews>
    <sheetView workbookViewId="0">
      <selection activeCell="B9" sqref="B9:C12"/>
    </sheetView>
  </sheetViews>
  <sheetFormatPr defaultRowHeight="14.25" x14ac:dyDescent="0.2"/>
  <cols>
    <col min="3" max="3" width="11.875" bestFit="1" customWidth="1"/>
    <col min="9" max="9" width="11.75" bestFit="1" customWidth="1"/>
  </cols>
  <sheetData>
    <row r="2" spans="2:12" x14ac:dyDescent="0.2">
      <c r="B2" t="s">
        <v>0</v>
      </c>
      <c r="C2" s="1">
        <v>27</v>
      </c>
      <c r="I2" t="s">
        <v>46</v>
      </c>
    </row>
    <row r="3" spans="2:12" ht="15" x14ac:dyDescent="0.25">
      <c r="B3" t="s">
        <v>1</v>
      </c>
      <c r="C3" s="1">
        <v>220.8</v>
      </c>
      <c r="D3" t="s">
        <v>13</v>
      </c>
      <c r="G3" s="2" t="s">
        <v>39</v>
      </c>
      <c r="H3" t="s">
        <v>40</v>
      </c>
      <c r="I3" t="s">
        <v>44</v>
      </c>
      <c r="L3" s="2" t="s">
        <v>23</v>
      </c>
    </row>
    <row r="4" spans="2:12" x14ac:dyDescent="0.2">
      <c r="B4" t="s">
        <v>2</v>
      </c>
      <c r="C4" s="1">
        <f>+C3*C2</f>
        <v>5961.6</v>
      </c>
      <c r="H4" t="s">
        <v>41</v>
      </c>
      <c r="I4" t="s">
        <v>44</v>
      </c>
      <c r="L4" t="s">
        <v>33</v>
      </c>
    </row>
    <row r="5" spans="2:12" x14ac:dyDescent="0.2">
      <c r="B5" t="s">
        <v>3</v>
      </c>
      <c r="C5" s="1">
        <f>220.584+79.667</f>
        <v>300.25099999999998</v>
      </c>
      <c r="D5" t="s">
        <v>13</v>
      </c>
      <c r="H5" t="s">
        <v>42</v>
      </c>
      <c r="I5" t="s">
        <v>45</v>
      </c>
      <c r="L5" t="s">
        <v>25</v>
      </c>
    </row>
    <row r="6" spans="2:12" x14ac:dyDescent="0.2">
      <c r="B6" t="s">
        <v>4</v>
      </c>
      <c r="C6" s="1">
        <v>0</v>
      </c>
      <c r="D6" t="s">
        <v>13</v>
      </c>
      <c r="H6" t="s">
        <v>43</v>
      </c>
      <c r="I6" t="s">
        <v>45</v>
      </c>
      <c r="L6" t="s">
        <v>26</v>
      </c>
    </row>
    <row r="7" spans="2:12" x14ac:dyDescent="0.2">
      <c r="B7" t="s">
        <v>5</v>
      </c>
      <c r="C7" s="1">
        <f>+C4-C5+C6</f>
        <v>5661.3490000000002</v>
      </c>
      <c r="D7" t="s">
        <v>22</v>
      </c>
      <c r="L7" t="s">
        <v>27</v>
      </c>
    </row>
    <row r="8" spans="2:12" x14ac:dyDescent="0.2">
      <c r="L8" t="s">
        <v>28</v>
      </c>
    </row>
    <row r="10" spans="2:12" ht="15" x14ac:dyDescent="0.25">
      <c r="L10" s="2" t="s">
        <v>24</v>
      </c>
    </row>
    <row r="11" spans="2:12" x14ac:dyDescent="0.2">
      <c r="L11" t="s">
        <v>47</v>
      </c>
    </row>
    <row r="12" spans="2:12" x14ac:dyDescent="0.2">
      <c r="L12" t="s">
        <v>108</v>
      </c>
    </row>
    <row r="17" spans="12:13" ht="15" x14ac:dyDescent="0.25">
      <c r="L17" s="2" t="s">
        <v>34</v>
      </c>
      <c r="M17" t="s">
        <v>35</v>
      </c>
    </row>
    <row r="18" spans="12:13" x14ac:dyDescent="0.2">
      <c r="M18" t="s">
        <v>36</v>
      </c>
    </row>
    <row r="19" spans="12:13" x14ac:dyDescent="0.2">
      <c r="M19" t="s">
        <v>37</v>
      </c>
    </row>
    <row r="20" spans="12:13" x14ac:dyDescent="0.2">
      <c r="M20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3F435-DD5C-4EED-878E-C94A7C741020}">
  <dimension ref="A2:XFD74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Q24" sqref="Q24"/>
    </sheetView>
  </sheetViews>
  <sheetFormatPr defaultRowHeight="14.25" x14ac:dyDescent="0.2"/>
  <cols>
    <col min="1" max="1" width="17.375" bestFit="1" customWidth="1"/>
    <col min="13" max="13" width="9" style="8"/>
    <col min="16" max="16" width="11.875" bestFit="1" customWidth="1"/>
    <col min="17" max="17" width="9.75" bestFit="1" customWidth="1"/>
    <col min="22" max="22" width="9" style="8" customWidth="1"/>
  </cols>
  <sheetData>
    <row r="2" spans="1:41 16384:16384" x14ac:dyDescent="0.2">
      <c r="B2" t="s">
        <v>29</v>
      </c>
      <c r="C2" t="s">
        <v>30</v>
      </c>
      <c r="D2" t="s">
        <v>31</v>
      </c>
      <c r="E2" t="s">
        <v>32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s="8" t="s">
        <v>13</v>
      </c>
      <c r="N2" t="s">
        <v>48</v>
      </c>
      <c r="O2" t="s">
        <v>64</v>
      </c>
      <c r="P2" t="s">
        <v>65</v>
      </c>
      <c r="Q2" t="s">
        <v>66</v>
      </c>
      <c r="T2" s="1">
        <v>2022</v>
      </c>
      <c r="U2" s="1">
        <f>+T2+1</f>
        <v>2023</v>
      </c>
      <c r="V2" s="10">
        <f t="shared" ref="V2:AB2" si="0">+U2+1</f>
        <v>2024</v>
      </c>
      <c r="W2" s="1">
        <f t="shared" si="0"/>
        <v>2025</v>
      </c>
      <c r="X2" s="1">
        <f t="shared" si="0"/>
        <v>2026</v>
      </c>
      <c r="Y2" s="1">
        <f t="shared" si="0"/>
        <v>2027</v>
      </c>
      <c r="Z2" s="1">
        <f t="shared" si="0"/>
        <v>2028</v>
      </c>
      <c r="AA2" s="1">
        <f t="shared" si="0"/>
        <v>2029</v>
      </c>
      <c r="AB2" s="1">
        <f t="shared" si="0"/>
        <v>2030</v>
      </c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 16384:16384" x14ac:dyDescent="0.2">
      <c r="A3" t="s">
        <v>106</v>
      </c>
      <c r="T3" s="1">
        <v>505.50700000000001</v>
      </c>
      <c r="U3" s="1">
        <v>842.38099999999997</v>
      </c>
      <c r="V3" s="10">
        <v>1437.9369999999999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 16384:16384" x14ac:dyDescent="0.2">
      <c r="A4" t="s">
        <v>105</v>
      </c>
      <c r="T4" s="1">
        <v>24.408999999999999</v>
      </c>
      <c r="U4" s="1">
        <v>29.619</v>
      </c>
      <c r="V4" s="10">
        <v>38.576999999999998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 16384:16384" s="2" customFormat="1" ht="15" x14ac:dyDescent="0.25">
      <c r="A5" s="7" t="s">
        <v>14</v>
      </c>
      <c r="B5" s="7">
        <v>101.31399999999999</v>
      </c>
      <c r="C5" s="7">
        <v>113.563</v>
      </c>
      <c r="D5" s="7">
        <v>144.83600000000001</v>
      </c>
      <c r="E5" s="7">
        <v>167.203</v>
      </c>
      <c r="F5" s="7">
        <v>190.77</v>
      </c>
      <c r="G5" s="7">
        <v>207.91200000000001</v>
      </c>
      <c r="H5" s="7">
        <v>226.69900000000001</v>
      </c>
      <c r="I5" s="7">
        <v>246.619</v>
      </c>
      <c r="J5" s="7">
        <v>278.17099999999999</v>
      </c>
      <c r="K5" s="7">
        <v>315.64800000000002</v>
      </c>
      <c r="L5" s="7">
        <v>401.55599999999998</v>
      </c>
      <c r="M5" s="9">
        <v>481.13900000000001</v>
      </c>
      <c r="N5" s="4">
        <f>+M5+15</f>
        <v>496.13900000000001</v>
      </c>
      <c r="O5" s="4">
        <f t="shared" ref="O5:Q5" si="1">+N5+50</f>
        <v>546.13900000000001</v>
      </c>
      <c r="P5" s="4">
        <f t="shared" si="1"/>
        <v>596.13900000000001</v>
      </c>
      <c r="Q5" s="4">
        <f t="shared" si="1"/>
        <v>646.13900000000001</v>
      </c>
      <c r="T5" s="7">
        <f>+SUM(B5:E5)</f>
        <v>526.91600000000005</v>
      </c>
      <c r="U5" s="7">
        <f>+SUM(F5:I5)</f>
        <v>872.00000000000011</v>
      </c>
      <c r="V5" s="9">
        <f>+SUM(J5:M5)</f>
        <v>1476.5140000000001</v>
      </c>
      <c r="W5" s="7">
        <f>+SUM(N5:Q5)</f>
        <v>2284.556</v>
      </c>
      <c r="X5" s="7">
        <f>+W5*1.25</f>
        <v>2855.6950000000002</v>
      </c>
      <c r="Y5" s="7">
        <f t="shared" ref="Y5:AB5" si="2">+X5*1.25</f>
        <v>3569.6187500000001</v>
      </c>
      <c r="Z5" s="7">
        <f t="shared" si="2"/>
        <v>4462.0234375</v>
      </c>
      <c r="AA5" s="7">
        <f t="shared" si="2"/>
        <v>5577.529296875</v>
      </c>
      <c r="AB5" s="7">
        <f t="shared" si="2"/>
        <v>6971.91162109375</v>
      </c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</row>
    <row r="6" spans="1:41 16384:16384" x14ac:dyDescent="0.2">
      <c r="A6" s="1" t="s">
        <v>15</v>
      </c>
      <c r="B6" s="1">
        <v>26.558</v>
      </c>
      <c r="C6" s="1">
        <v>26.387</v>
      </c>
      <c r="D6" s="1">
        <v>30.382999999999999</v>
      </c>
      <c r="E6" s="1">
        <v>34.866</v>
      </c>
      <c r="F6" s="1">
        <v>37.344999999999999</v>
      </c>
      <c r="G6" s="1">
        <v>37.753999999999998</v>
      </c>
      <c r="H6" s="1">
        <v>39.390999999999998</v>
      </c>
      <c r="I6" s="1">
        <v>42.561</v>
      </c>
      <c r="J6" s="1">
        <v>49.076000000000001</v>
      </c>
      <c r="K6" s="1">
        <v>59.034999999999997</v>
      </c>
      <c r="L6" s="1">
        <v>83.67</v>
      </c>
      <c r="M6" s="10">
        <v>111.59869999999999</v>
      </c>
      <c r="N6" s="5">
        <f>+N5*0.2</f>
        <v>99.227800000000002</v>
      </c>
      <c r="O6" s="5">
        <f>+O5*0.2</f>
        <v>109.2278</v>
      </c>
      <c r="P6" s="5">
        <f>+P5*0.2</f>
        <v>119.2278</v>
      </c>
      <c r="Q6" s="5">
        <f>+Q5*0.2</f>
        <v>129.2278</v>
      </c>
      <c r="T6" s="1">
        <f>+SUM(B6:E6)</f>
        <v>118.194</v>
      </c>
      <c r="U6" s="1">
        <f t="shared" ref="U6:U16" si="3">+SUM(F6:I6)</f>
        <v>157.05099999999999</v>
      </c>
      <c r="V6" s="10">
        <f>+SUM(J6:M6)</f>
        <v>303.37970000000001</v>
      </c>
      <c r="W6" s="1">
        <f>+SUM(N6:Q6)</f>
        <v>456.91120000000001</v>
      </c>
      <c r="X6" s="1">
        <f>+W6*1.2</f>
        <v>548.29344000000003</v>
      </c>
      <c r="Y6" s="1">
        <f t="shared" ref="Y6:AB6" si="4">+X6*1.2</f>
        <v>657.95212800000002</v>
      </c>
      <c r="Z6" s="1">
        <f t="shared" si="4"/>
        <v>789.54255360000002</v>
      </c>
      <c r="AA6" s="1">
        <f t="shared" si="4"/>
        <v>947.45106432</v>
      </c>
      <c r="AB6" s="1">
        <f t="shared" si="4"/>
        <v>1136.941277184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 16384:16384" s="2" customFormat="1" ht="15" x14ac:dyDescent="0.25">
      <c r="A7" s="7" t="s">
        <v>49</v>
      </c>
      <c r="B7" s="7">
        <f t="shared" ref="B7:Q7" si="5">+B5-B6</f>
        <v>74.756</v>
      </c>
      <c r="C7" s="7">
        <f t="shared" si="5"/>
        <v>87.176000000000002</v>
      </c>
      <c r="D7" s="7">
        <f t="shared" si="5"/>
        <v>114.45300000000002</v>
      </c>
      <c r="E7" s="7">
        <f t="shared" si="5"/>
        <v>132.33699999999999</v>
      </c>
      <c r="F7" s="7">
        <f t="shared" si="5"/>
        <v>153.42500000000001</v>
      </c>
      <c r="G7" s="7">
        <f t="shared" si="5"/>
        <v>170.15800000000002</v>
      </c>
      <c r="H7" s="7">
        <f t="shared" si="5"/>
        <v>187.30800000000002</v>
      </c>
      <c r="I7" s="7">
        <f t="shared" si="5"/>
        <v>204.05799999999999</v>
      </c>
      <c r="J7" s="7">
        <f t="shared" si="5"/>
        <v>229.095</v>
      </c>
      <c r="K7" s="7">
        <f t="shared" si="5"/>
        <v>256.61300000000006</v>
      </c>
      <c r="L7" s="7">
        <f t="shared" si="5"/>
        <v>317.88599999999997</v>
      </c>
      <c r="M7" s="9">
        <f t="shared" si="5"/>
        <v>369.5403</v>
      </c>
      <c r="N7" s="4">
        <f t="shared" si="5"/>
        <v>396.91120000000001</v>
      </c>
      <c r="O7" s="4">
        <f t="shared" si="5"/>
        <v>436.91120000000001</v>
      </c>
      <c r="P7" s="4">
        <f t="shared" si="5"/>
        <v>476.91120000000001</v>
      </c>
      <c r="Q7" s="4">
        <f t="shared" si="5"/>
        <v>516.91120000000001</v>
      </c>
      <c r="T7" s="7">
        <f>+T5-T6</f>
        <v>408.72200000000004</v>
      </c>
      <c r="U7" s="7">
        <f>+U5-U6</f>
        <v>714.94900000000007</v>
      </c>
      <c r="V7" s="9">
        <f>+V5-V6</f>
        <v>1173.1343000000002</v>
      </c>
      <c r="W7" s="7">
        <f>+W5-W6</f>
        <v>1827.6448</v>
      </c>
      <c r="X7" s="7">
        <f>+X5-X6</f>
        <v>2307.4015600000002</v>
      </c>
      <c r="Y7" s="7">
        <f t="shared" ref="Y7:AB7" si="6">+Y5-Y6</f>
        <v>2911.6666220000002</v>
      </c>
      <c r="Z7" s="7">
        <f t="shared" si="6"/>
        <v>3672.4808838999998</v>
      </c>
      <c r="AA7" s="7">
        <f t="shared" si="6"/>
        <v>4630.0782325549999</v>
      </c>
      <c r="AB7" s="7">
        <f t="shared" si="6"/>
        <v>5834.9703439097502</v>
      </c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XFD7" s="2" t="s">
        <v>22</v>
      </c>
    </row>
    <row r="8" spans="1:41 16384:16384" x14ac:dyDescent="0.2">
      <c r="A8" s="1" t="s">
        <v>16</v>
      </c>
      <c r="B8" s="1">
        <v>48.093000000000004</v>
      </c>
      <c r="C8" s="1">
        <v>60.49</v>
      </c>
      <c r="D8" s="1">
        <v>78.462000000000003</v>
      </c>
      <c r="E8" s="1">
        <v>85.542000000000002</v>
      </c>
      <c r="F8" s="1">
        <v>97.424999999999997</v>
      </c>
      <c r="G8" s="1">
        <v>107.21899999999999</v>
      </c>
      <c r="H8" s="1">
        <v>116.07599999999999</v>
      </c>
      <c r="I8" s="1">
        <v>125.895</v>
      </c>
      <c r="J8" s="1">
        <v>130.553</v>
      </c>
      <c r="K8" s="1">
        <v>144.922</v>
      </c>
      <c r="L8" s="1">
        <v>182.28399999999999</v>
      </c>
      <c r="M8" s="10">
        <v>221.08500000000001</v>
      </c>
      <c r="N8" s="5">
        <f>+J8*1.5</f>
        <v>195.8295</v>
      </c>
      <c r="O8" s="5">
        <f t="shared" ref="O8:Q8" si="7">+K8*1.3</f>
        <v>188.39860000000002</v>
      </c>
      <c r="P8" s="5">
        <f t="shared" si="7"/>
        <v>236.9692</v>
      </c>
      <c r="Q8" s="5">
        <f t="shared" si="7"/>
        <v>287.41050000000001</v>
      </c>
      <c r="T8" s="1">
        <f t="shared" ref="T8:T16" si="8">+SUM(B8:E8)</f>
        <v>272.58699999999999</v>
      </c>
      <c r="U8" s="1">
        <f t="shared" si="3"/>
        <v>446.61500000000001</v>
      </c>
      <c r="V8" s="10">
        <f t="shared" ref="V8:V16" si="9">+SUM(J8:M8)</f>
        <v>678.84400000000005</v>
      </c>
      <c r="W8" s="1">
        <f t="shared" ref="W8:X12" si="10">+SUM(N8:Q8)</f>
        <v>908.6078</v>
      </c>
      <c r="X8" s="1">
        <f>+W8*1.3</f>
        <v>1181.1901399999999</v>
      </c>
      <c r="Y8" s="1">
        <f t="shared" ref="Y8:AB8" si="11">+X8*1.3</f>
        <v>1535.547182</v>
      </c>
      <c r="Z8" s="1">
        <f t="shared" si="11"/>
        <v>1996.2113366000001</v>
      </c>
      <c r="AA8" s="1">
        <f t="shared" si="11"/>
        <v>2595.0747375800001</v>
      </c>
      <c r="AB8" s="1">
        <f t="shared" si="11"/>
        <v>3373.5971588540001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41 16384:16384" x14ac:dyDescent="0.2">
      <c r="A9" s="1" t="s">
        <v>50</v>
      </c>
      <c r="B9" s="1">
        <v>0</v>
      </c>
      <c r="C9" s="1">
        <v>0</v>
      </c>
      <c r="D9" s="1">
        <v>21.751000000000001</v>
      </c>
      <c r="E9" s="1">
        <v>22.521000000000001</v>
      </c>
      <c r="F9" s="1">
        <v>26.181999999999999</v>
      </c>
      <c r="G9" s="1">
        <v>29.227</v>
      </c>
      <c r="H9" s="1">
        <v>31.068999999999999</v>
      </c>
      <c r="I9" s="1">
        <v>32.838999999999999</v>
      </c>
      <c r="J9" s="1">
        <v>38.747</v>
      </c>
      <c r="K9" s="1">
        <v>41.453000000000003</v>
      </c>
      <c r="L9" s="1">
        <v>47.518999999999998</v>
      </c>
      <c r="M9" s="10">
        <v>58.082999999999998</v>
      </c>
      <c r="N9" s="5">
        <f t="shared" ref="N9:Q11" si="12">+J9*1.2</f>
        <v>46.496400000000001</v>
      </c>
      <c r="O9" s="5">
        <f t="shared" si="12"/>
        <v>49.743600000000001</v>
      </c>
      <c r="P9" s="5">
        <f t="shared" si="12"/>
        <v>57.022799999999997</v>
      </c>
      <c r="Q9" s="5">
        <f t="shared" si="12"/>
        <v>69.69959999999999</v>
      </c>
      <c r="T9" s="1">
        <f t="shared" si="8"/>
        <v>44.272000000000006</v>
      </c>
      <c r="U9" s="1">
        <f t="shared" si="3"/>
        <v>119.31699999999999</v>
      </c>
      <c r="V9" s="10">
        <f t="shared" si="9"/>
        <v>185.80199999999999</v>
      </c>
      <c r="W9" s="1">
        <f t="shared" si="10"/>
        <v>222.9624</v>
      </c>
      <c r="X9" s="1">
        <f>+W9*1.2</f>
        <v>267.55487999999997</v>
      </c>
      <c r="Y9" s="1">
        <f t="shared" ref="Y9:AB9" si="13">+X9*1.2</f>
        <v>321.06585599999994</v>
      </c>
      <c r="Z9" s="1">
        <f t="shared" si="13"/>
        <v>385.27902719999992</v>
      </c>
      <c r="AA9" s="1">
        <f t="shared" si="13"/>
        <v>462.33483263999989</v>
      </c>
      <c r="AB9" s="1">
        <f t="shared" si="13"/>
        <v>554.80179916799989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 16384:16384" x14ac:dyDescent="0.2">
      <c r="A10" s="1" t="s">
        <v>51</v>
      </c>
      <c r="B10" s="1">
        <v>0</v>
      </c>
      <c r="C10" s="1">
        <v>0</v>
      </c>
      <c r="D10" s="1">
        <v>7.9770000000000003</v>
      </c>
      <c r="E10" s="1">
        <v>8.3109999999999999</v>
      </c>
      <c r="F10" s="1">
        <v>10.747999999999999</v>
      </c>
      <c r="G10" s="1">
        <v>11.804</v>
      </c>
      <c r="H10" s="1">
        <v>12.27</v>
      </c>
      <c r="I10" s="1">
        <v>13.404999999999999</v>
      </c>
      <c r="J10" s="1">
        <v>15.324</v>
      </c>
      <c r="K10" s="1">
        <v>18.654</v>
      </c>
      <c r="L10" s="1">
        <v>21.091999999999999</v>
      </c>
      <c r="M10" s="10">
        <v>23.748999999999999</v>
      </c>
      <c r="N10" s="5">
        <f t="shared" si="12"/>
        <v>18.3888</v>
      </c>
      <c r="O10" s="5">
        <f t="shared" si="12"/>
        <v>22.384799999999998</v>
      </c>
      <c r="P10" s="5">
        <f t="shared" si="12"/>
        <v>25.310399999999998</v>
      </c>
      <c r="Q10" s="5">
        <f t="shared" si="12"/>
        <v>28.498799999999999</v>
      </c>
      <c r="T10" s="1">
        <f t="shared" si="8"/>
        <v>16.288</v>
      </c>
      <c r="U10" s="1">
        <f t="shared" si="3"/>
        <v>48.227000000000004</v>
      </c>
      <c r="V10" s="10">
        <f t="shared" si="9"/>
        <v>78.819000000000003</v>
      </c>
      <c r="W10" s="1">
        <f t="shared" si="10"/>
        <v>94.582800000000006</v>
      </c>
      <c r="X10" s="1">
        <f>+W10*1.2</f>
        <v>113.49936000000001</v>
      </c>
      <c r="Y10" s="1">
        <f t="shared" ref="Y10:AB10" si="14">+X10*1.2</f>
        <v>136.19923199999999</v>
      </c>
      <c r="Z10" s="1">
        <f t="shared" si="14"/>
        <v>163.4390784</v>
      </c>
      <c r="AA10" s="1">
        <f t="shared" si="14"/>
        <v>196.12689408</v>
      </c>
      <c r="AB10" s="1">
        <f t="shared" si="14"/>
        <v>235.35227289599999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 spans="1:41 16384:16384" x14ac:dyDescent="0.2">
      <c r="A11" s="1" t="s">
        <v>17</v>
      </c>
      <c r="B11" s="1">
        <v>43.582000000000001</v>
      </c>
      <c r="C11" s="1">
        <v>46.875999999999998</v>
      </c>
      <c r="D11" s="1">
        <v>26.245999999999999</v>
      </c>
      <c r="E11" s="1">
        <v>27.568000000000001</v>
      </c>
      <c r="F11" s="1">
        <v>30.513000000000002</v>
      </c>
      <c r="G11" s="1">
        <v>31.143999999999998</v>
      </c>
      <c r="H11" s="1">
        <v>35.906999999999996</v>
      </c>
      <c r="I11" s="1">
        <v>32.319000000000003</v>
      </c>
      <c r="J11" s="1">
        <v>34.567999999999998</v>
      </c>
      <c r="K11" s="1">
        <v>40.554000000000002</v>
      </c>
      <c r="L11" s="1">
        <v>44.616999999999997</v>
      </c>
      <c r="M11" s="10">
        <v>48.027999999999999</v>
      </c>
      <c r="N11" s="5">
        <f t="shared" si="12"/>
        <v>41.481599999999993</v>
      </c>
      <c r="O11" s="5">
        <f t="shared" si="12"/>
        <v>48.6648</v>
      </c>
      <c r="P11" s="5">
        <f t="shared" si="12"/>
        <v>53.540399999999998</v>
      </c>
      <c r="Q11" s="5">
        <f t="shared" si="12"/>
        <v>57.633599999999994</v>
      </c>
      <c r="T11" s="1">
        <f t="shared" si="8"/>
        <v>144.27199999999999</v>
      </c>
      <c r="U11" s="1">
        <f t="shared" si="3"/>
        <v>129.88299999999998</v>
      </c>
      <c r="V11" s="10">
        <f t="shared" si="9"/>
        <v>167.767</v>
      </c>
      <c r="W11" s="1">
        <f t="shared" si="10"/>
        <v>201.32040000000001</v>
      </c>
      <c r="X11" s="1">
        <f>+W11*1.15</f>
        <v>231.51845999999998</v>
      </c>
      <c r="Y11" s="1">
        <f t="shared" ref="Y11:AB11" si="15">+X11*1.15</f>
        <v>266.24622899999997</v>
      </c>
      <c r="Z11" s="1">
        <f t="shared" si="15"/>
        <v>306.18316334999992</v>
      </c>
      <c r="AA11" s="1">
        <f t="shared" si="15"/>
        <v>352.11063785249985</v>
      </c>
      <c r="AB11" s="1">
        <f t="shared" si="15"/>
        <v>404.92723353037479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spans="1:41 16384:16384" x14ac:dyDescent="0.2">
      <c r="A12" s="1" t="s">
        <v>18</v>
      </c>
      <c r="B12" s="1">
        <f t="shared" ref="B12:G12" si="16">+SUM(B8:B11)</f>
        <v>91.675000000000011</v>
      </c>
      <c r="C12" s="1">
        <f t="shared" si="16"/>
        <v>107.366</v>
      </c>
      <c r="D12" s="1">
        <f t="shared" si="16"/>
        <v>134.43600000000001</v>
      </c>
      <c r="E12" s="1">
        <f t="shared" si="16"/>
        <v>143.94200000000001</v>
      </c>
      <c r="F12" s="1">
        <f t="shared" si="16"/>
        <v>164.86799999999999</v>
      </c>
      <c r="G12" s="1">
        <f t="shared" si="16"/>
        <v>179.39400000000001</v>
      </c>
      <c r="H12" s="1">
        <v>195.86199999999999</v>
      </c>
      <c r="I12" s="1">
        <f>+SUM(I8:I11)</f>
        <v>204.45799999999997</v>
      </c>
      <c r="J12" s="1">
        <f>+SUM(J8:J11)</f>
        <v>219.19200000000001</v>
      </c>
      <c r="K12" s="1">
        <f>+SUM(K8:K11)</f>
        <v>245.583</v>
      </c>
      <c r="L12" s="1">
        <f>+SUM(L8:L11)</f>
        <v>295.512</v>
      </c>
      <c r="M12" s="10">
        <f>+SUM(M8:M11)</f>
        <v>350.94500000000005</v>
      </c>
      <c r="N12" s="5">
        <f t="shared" ref="N12:Q12" si="17">SUM(N8:N11)</f>
        <v>302.19630000000001</v>
      </c>
      <c r="O12" s="5">
        <f t="shared" si="17"/>
        <v>309.1918</v>
      </c>
      <c r="P12" s="5">
        <f t="shared" si="17"/>
        <v>372.84280000000001</v>
      </c>
      <c r="Q12" s="5">
        <f t="shared" si="17"/>
        <v>443.24250000000001</v>
      </c>
      <c r="T12" s="1">
        <f t="shared" si="8"/>
        <v>477.41899999999998</v>
      </c>
      <c r="U12" s="1">
        <f t="shared" si="3"/>
        <v>744.58199999999999</v>
      </c>
      <c r="V12" s="10">
        <f t="shared" si="9"/>
        <v>1111.232</v>
      </c>
      <c r="W12" s="1">
        <f t="shared" si="10"/>
        <v>1427.4734000000001</v>
      </c>
      <c r="X12" s="1">
        <f t="shared" si="10"/>
        <v>1125.2771</v>
      </c>
      <c r="Y12" s="1">
        <f t="shared" ref="Y12" si="18">+SUM(P12:S12)</f>
        <v>816.08529999999996</v>
      </c>
      <c r="Z12" s="1">
        <f t="shared" ref="Z12" si="19">+SUM(Q12:T12)</f>
        <v>920.66149999999993</v>
      </c>
      <c r="AA12" s="1">
        <f t="shared" ref="AA12" si="20">+SUM(R12:U12)</f>
        <v>1222.001</v>
      </c>
      <c r="AB12" s="1">
        <f t="shared" ref="AB12" si="21">+SUM(S12:V12)</f>
        <v>2333.2330000000002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1 16384:16384" s="2" customFormat="1" ht="15" x14ac:dyDescent="0.25">
      <c r="A13" s="7" t="s">
        <v>54</v>
      </c>
      <c r="B13" s="7">
        <f t="shared" ref="B13:F13" si="22">+B7-B12</f>
        <v>-16.919000000000011</v>
      </c>
      <c r="C13" s="7">
        <f t="shared" si="22"/>
        <v>-20.189999999999998</v>
      </c>
      <c r="D13" s="7">
        <f t="shared" si="22"/>
        <v>-19.98299999999999</v>
      </c>
      <c r="E13" s="7">
        <f t="shared" si="22"/>
        <v>-11.605000000000018</v>
      </c>
      <c r="F13" s="7">
        <f t="shared" si="22"/>
        <v>-11.442999999999984</v>
      </c>
      <c r="G13" s="7">
        <f t="shared" ref="G13:M13" si="23">+G7-G12</f>
        <v>-9.23599999999999</v>
      </c>
      <c r="H13" s="7">
        <f t="shared" si="23"/>
        <v>-8.5539999999999736</v>
      </c>
      <c r="I13" s="7">
        <f t="shared" si="23"/>
        <v>-0.39999999999997726</v>
      </c>
      <c r="J13" s="7">
        <f t="shared" si="23"/>
        <v>9.9029999999999916</v>
      </c>
      <c r="K13" s="7">
        <f t="shared" si="23"/>
        <v>11.030000000000058</v>
      </c>
      <c r="L13" s="7">
        <f t="shared" si="23"/>
        <v>22.373999999999967</v>
      </c>
      <c r="M13" s="9">
        <f t="shared" si="23"/>
        <v>18.595299999999952</v>
      </c>
      <c r="N13" s="4">
        <f t="shared" ref="N13:Q13" si="24">N7-N12</f>
        <v>94.7149</v>
      </c>
      <c r="O13" s="4">
        <f t="shared" si="24"/>
        <v>127.71940000000001</v>
      </c>
      <c r="P13" s="4">
        <f t="shared" si="24"/>
        <v>104.0684</v>
      </c>
      <c r="Q13" s="4">
        <f t="shared" si="24"/>
        <v>73.668700000000001</v>
      </c>
      <c r="T13" s="7">
        <f>+T7-T12</f>
        <v>-68.696999999999946</v>
      </c>
      <c r="U13" s="7">
        <f>+U7-U12</f>
        <v>-29.632999999999925</v>
      </c>
      <c r="V13" s="9">
        <f>+V7-V12</f>
        <v>61.902300000000196</v>
      </c>
      <c r="W13" s="7">
        <f>+W7-W12</f>
        <v>400.17139999999995</v>
      </c>
      <c r="X13" s="7">
        <f t="shared" ref="X13:AB13" si="25">+X7-X12</f>
        <v>1182.1244600000002</v>
      </c>
      <c r="Y13" s="7">
        <f t="shared" si="25"/>
        <v>2095.581322</v>
      </c>
      <c r="Z13" s="7">
        <f t="shared" si="25"/>
        <v>2751.8193838999996</v>
      </c>
      <c r="AA13" s="7">
        <f t="shared" si="25"/>
        <v>3408.0772325549997</v>
      </c>
      <c r="AB13" s="7">
        <f t="shared" si="25"/>
        <v>3501.7373439097501</v>
      </c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</row>
    <row r="14" spans="1:41 16384:16384" x14ac:dyDescent="0.2">
      <c r="A14" s="1" t="s">
        <v>52</v>
      </c>
      <c r="B14" s="1">
        <f>0.441+0.32</f>
        <v>0.76100000000000001</v>
      </c>
      <c r="C14" s="1">
        <f>0.121+0.402</f>
        <v>0.52300000000000002</v>
      </c>
      <c r="D14" s="1">
        <f>0.45+0.677</f>
        <v>1.127</v>
      </c>
      <c r="E14" s="1">
        <f>1.519-0.942</f>
        <v>0.57699999999999996</v>
      </c>
      <c r="F14" s="1">
        <f>-0.295+1.877</f>
        <v>1.5820000000000001</v>
      </c>
      <c r="G14" s="1">
        <v>2.2389999999999999</v>
      </c>
      <c r="H14" s="1">
        <f>-0.588+2.226</f>
        <v>1.6379999999999999</v>
      </c>
      <c r="I14" s="1">
        <f>2.615-0.019</f>
        <v>2.5960000000000001</v>
      </c>
      <c r="J14" s="1">
        <v>2.5</v>
      </c>
      <c r="K14" s="1">
        <v>2.3940000000000001</v>
      </c>
      <c r="L14" s="1">
        <v>1.2190000000000001</v>
      </c>
      <c r="M14" s="10">
        <v>3.6949999999999998</v>
      </c>
      <c r="N14" s="5">
        <f>+M14</f>
        <v>3.6949999999999998</v>
      </c>
      <c r="O14" s="5">
        <f>+N14</f>
        <v>3.6949999999999998</v>
      </c>
      <c r="P14" s="5">
        <f>+O14</f>
        <v>3.6949999999999998</v>
      </c>
      <c r="Q14" s="5">
        <f>+P14</f>
        <v>3.6949999999999998</v>
      </c>
      <c r="T14" s="1">
        <f t="shared" si="8"/>
        <v>2.988</v>
      </c>
      <c r="U14" s="1">
        <f t="shared" si="3"/>
        <v>8.0549999999999997</v>
      </c>
      <c r="V14" s="10">
        <f t="shared" si="9"/>
        <v>9.8079999999999998</v>
      </c>
      <c r="W14" s="1">
        <f>+V30*model!$P$28</f>
        <v>15.055349999999999</v>
      </c>
      <c r="X14" s="1">
        <f>+W30*model!$P$28</f>
        <v>39.968954999999994</v>
      </c>
      <c r="Y14" s="1">
        <f>+X30*model!$P$28</f>
        <v>69.865280999999982</v>
      </c>
      <c r="Z14" s="1">
        <f>+Y30*model!$P$28</f>
        <v>105.74087219999997</v>
      </c>
      <c r="AA14" s="1">
        <f>+Z30*model!$P$28</f>
        <v>148.79158163999998</v>
      </c>
      <c r="AB14" s="1">
        <f>+AA30*model!$P$28</f>
        <v>200.45243296799995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spans="1:41 16384:16384" x14ac:dyDescent="0.2">
      <c r="A15" s="1" t="s">
        <v>53</v>
      </c>
      <c r="B15" s="1">
        <f t="shared" ref="B15:M15" si="26">+B13+B14</f>
        <v>-16.158000000000012</v>
      </c>
      <c r="C15" s="1">
        <f t="shared" si="26"/>
        <v>-19.666999999999998</v>
      </c>
      <c r="D15" s="1">
        <f t="shared" si="26"/>
        <v>-18.855999999999991</v>
      </c>
      <c r="E15" s="1">
        <f t="shared" si="26"/>
        <v>-11.028000000000018</v>
      </c>
      <c r="F15" s="1">
        <f t="shared" si="26"/>
        <v>-9.8609999999999829</v>
      </c>
      <c r="G15" s="1">
        <f t="shared" si="26"/>
        <v>-6.9969999999999901</v>
      </c>
      <c r="H15" s="1">
        <f t="shared" si="26"/>
        <v>-6.9159999999999737</v>
      </c>
      <c r="I15" s="1">
        <f t="shared" si="26"/>
        <v>2.1960000000000228</v>
      </c>
      <c r="J15" s="1">
        <f t="shared" si="26"/>
        <v>12.402999999999992</v>
      </c>
      <c r="K15" s="1">
        <f t="shared" si="26"/>
        <v>13.424000000000058</v>
      </c>
      <c r="L15" s="1">
        <f t="shared" si="26"/>
        <v>23.592999999999968</v>
      </c>
      <c r="M15" s="10">
        <f t="shared" si="26"/>
        <v>22.290299999999952</v>
      </c>
      <c r="N15" s="5">
        <f t="shared" ref="N15:Q15" si="27">+N13+N14</f>
        <v>98.409899999999993</v>
      </c>
      <c r="O15" s="5">
        <f t="shared" si="27"/>
        <v>131.4144</v>
      </c>
      <c r="P15" s="5">
        <f t="shared" si="27"/>
        <v>107.76339999999999</v>
      </c>
      <c r="Q15" s="5">
        <f t="shared" si="27"/>
        <v>77.363699999999994</v>
      </c>
      <c r="T15" s="1">
        <f>+T13+T14</f>
        <v>-65.708999999999946</v>
      </c>
      <c r="U15" s="1">
        <f>+U13+U14</f>
        <v>-21.577999999999925</v>
      </c>
      <c r="V15" s="10">
        <f>+V13+V14</f>
        <v>71.710300000000188</v>
      </c>
      <c r="W15" s="1">
        <f>+W13+W14</f>
        <v>415.22674999999992</v>
      </c>
      <c r="X15" s="1">
        <f>+X13+X14</f>
        <v>1222.0934150000003</v>
      </c>
      <c r="Y15" s="1">
        <f t="shared" ref="Y15:AB15" si="28">+Y13+Y14</f>
        <v>2165.4466029999999</v>
      </c>
      <c r="Z15" s="1">
        <f t="shared" si="28"/>
        <v>2857.5602560999996</v>
      </c>
      <c r="AA15" s="1">
        <f t="shared" si="28"/>
        <v>3556.8688141949997</v>
      </c>
      <c r="AB15" s="1">
        <f t="shared" si="28"/>
        <v>3702.1897768777499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spans="1:41 16384:16384" x14ac:dyDescent="0.2">
      <c r="A16" s="1" t="s">
        <v>19</v>
      </c>
      <c r="B16" s="1">
        <v>-9.4E-2</v>
      </c>
      <c r="C16" s="1">
        <v>-0.14499999999999999</v>
      </c>
      <c r="D16" s="1">
        <v>1.6E-2</v>
      </c>
      <c r="E16" s="1">
        <v>0.121</v>
      </c>
      <c r="F16" s="1">
        <v>-0.38600000000000001</v>
      </c>
      <c r="G16" s="1">
        <v>1.2999999999999999E-2</v>
      </c>
      <c r="H16" s="1">
        <v>-0.65100000000000002</v>
      </c>
      <c r="I16" s="1">
        <v>1.2450000000000001</v>
      </c>
      <c r="J16" s="1">
        <v>-1.2749999999999999</v>
      </c>
      <c r="K16" s="1">
        <v>-0.127</v>
      </c>
      <c r="L16" s="1">
        <v>51.994999999999997</v>
      </c>
      <c r="M16" s="10">
        <v>3.734</v>
      </c>
      <c r="N16" s="5">
        <f>+N15*0.1</f>
        <v>9.8409899999999997</v>
      </c>
      <c r="O16" s="5">
        <f>+O15*0.1</f>
        <v>13.141440000000001</v>
      </c>
      <c r="P16" s="5">
        <f>+P15*0.1</f>
        <v>10.776339999999999</v>
      </c>
      <c r="Q16" s="5">
        <f>+Q15*0.1</f>
        <v>7.73637</v>
      </c>
      <c r="T16" s="1">
        <f t="shared" si="8"/>
        <v>-0.10199999999999998</v>
      </c>
      <c r="U16" s="1">
        <f t="shared" si="3"/>
        <v>0.22100000000000009</v>
      </c>
      <c r="V16" s="10">
        <f t="shared" si="9"/>
        <v>54.326999999999998</v>
      </c>
      <c r="W16" s="1">
        <f>+W15*0.2</f>
        <v>83.045349999999985</v>
      </c>
      <c r="X16" s="1">
        <f>+X15*0.2</f>
        <v>244.41868300000007</v>
      </c>
      <c r="Y16" s="1">
        <f t="shared" ref="Y16:AB16" si="29">+Y15*0.2</f>
        <v>433.08932060000001</v>
      </c>
      <c r="Z16" s="1">
        <f t="shared" si="29"/>
        <v>571.51205121999999</v>
      </c>
      <c r="AA16" s="1">
        <f t="shared" si="29"/>
        <v>711.37376283899994</v>
      </c>
      <c r="AB16" s="1">
        <f t="shared" si="29"/>
        <v>740.43795537555002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1:41" s="2" customFormat="1" ht="15" x14ac:dyDescent="0.25">
      <c r="A17" s="7" t="s">
        <v>20</v>
      </c>
      <c r="B17" s="7">
        <f t="shared" ref="B17:M17" si="30">+B15+B16</f>
        <v>-16.252000000000013</v>
      </c>
      <c r="C17" s="7">
        <f t="shared" si="30"/>
        <v>-19.811999999999998</v>
      </c>
      <c r="D17" s="7">
        <f t="shared" si="30"/>
        <v>-18.839999999999993</v>
      </c>
      <c r="E17" s="7">
        <f t="shared" si="30"/>
        <v>-10.907000000000018</v>
      </c>
      <c r="F17" s="7">
        <f t="shared" si="30"/>
        <v>-10.246999999999982</v>
      </c>
      <c r="G17" s="7">
        <f t="shared" si="30"/>
        <v>-6.9839999999999902</v>
      </c>
      <c r="H17" s="7">
        <f t="shared" si="30"/>
        <v>-7.5669999999999735</v>
      </c>
      <c r="I17" s="7">
        <f t="shared" si="30"/>
        <v>3.4410000000000229</v>
      </c>
      <c r="J17" s="7">
        <f t="shared" si="30"/>
        <v>11.127999999999991</v>
      </c>
      <c r="K17" s="7">
        <f t="shared" si="30"/>
        <v>13.297000000000057</v>
      </c>
      <c r="L17" s="7">
        <f t="shared" si="30"/>
        <v>75.587999999999965</v>
      </c>
      <c r="M17" s="9">
        <f t="shared" si="30"/>
        <v>26.024299999999954</v>
      </c>
      <c r="N17" s="4">
        <f t="shared" ref="N17:Q17" si="31">+N15+N16</f>
        <v>108.25089</v>
      </c>
      <c r="O17" s="4">
        <f t="shared" si="31"/>
        <v>144.55583999999999</v>
      </c>
      <c r="P17" s="4">
        <f t="shared" si="31"/>
        <v>118.53973999999999</v>
      </c>
      <c r="Q17" s="4">
        <f t="shared" si="31"/>
        <v>85.100069999999988</v>
      </c>
      <c r="T17" s="7">
        <f>+T15+T16</f>
        <v>-65.81099999999995</v>
      </c>
      <c r="U17" s="7">
        <f>+U15+U16</f>
        <v>-21.356999999999925</v>
      </c>
      <c r="V17" s="9">
        <f>+V15+V16</f>
        <v>126.03730000000019</v>
      </c>
      <c r="W17" s="7">
        <f>+W15+W16</f>
        <v>498.27209999999991</v>
      </c>
      <c r="X17" s="7">
        <f>+W17*1.2</f>
        <v>597.92651999999987</v>
      </c>
      <c r="Y17" s="7">
        <f t="shared" ref="Y17:AB17" si="32">+X17*1.2</f>
        <v>717.51182399999982</v>
      </c>
      <c r="Z17" s="7">
        <f t="shared" si="32"/>
        <v>861.01418879999972</v>
      </c>
      <c r="AA17" s="7">
        <f t="shared" si="32"/>
        <v>1033.2170265599996</v>
      </c>
      <c r="AB17" s="7">
        <f t="shared" si="32"/>
        <v>1239.8604318719995</v>
      </c>
      <c r="AC17" s="7">
        <f>+AB17*0.99</f>
        <v>1227.4618275532794</v>
      </c>
      <c r="AD17" s="7">
        <f t="shared" ref="AD17:AO17" si="33">+AC17*0.99</f>
        <v>1215.1872092777467</v>
      </c>
      <c r="AE17" s="7">
        <f t="shared" si="33"/>
        <v>1203.0353371849692</v>
      </c>
      <c r="AF17" s="7">
        <f t="shared" si="33"/>
        <v>1191.0049838131195</v>
      </c>
      <c r="AG17" s="7">
        <f t="shared" si="33"/>
        <v>1179.0949339749882</v>
      </c>
      <c r="AH17" s="7">
        <f t="shared" si="33"/>
        <v>1167.3039846352383</v>
      </c>
      <c r="AI17" s="7">
        <f t="shared" si="33"/>
        <v>1155.6309447888859</v>
      </c>
      <c r="AJ17" s="7">
        <f t="shared" si="33"/>
        <v>1144.074635340997</v>
      </c>
      <c r="AK17" s="7">
        <f t="shared" si="33"/>
        <v>1132.6338889875869</v>
      </c>
      <c r="AL17" s="7">
        <f t="shared" si="33"/>
        <v>1121.3075500977111</v>
      </c>
      <c r="AM17" s="7">
        <f t="shared" si="33"/>
        <v>1110.094474596734</v>
      </c>
      <c r="AN17" s="7">
        <f t="shared" si="33"/>
        <v>1098.9935298507667</v>
      </c>
      <c r="AO17" s="7">
        <f t="shared" si="33"/>
        <v>1088.0035945522591</v>
      </c>
    </row>
    <row r="18" spans="1:41" x14ac:dyDescent="0.2">
      <c r="A18" s="1" t="s">
        <v>21</v>
      </c>
      <c r="B18" s="1">
        <f t="shared" ref="B18:M18" si="34">+B17/B19</f>
        <v>-8.0179580157379388E-2</v>
      </c>
      <c r="C18" s="1">
        <f t="shared" si="34"/>
        <v>-9.7141932541959006E-2</v>
      </c>
      <c r="D18" s="1">
        <f t="shared" si="34"/>
        <v>-9.17985499337335E-2</v>
      </c>
      <c r="E18" s="1">
        <f t="shared" si="34"/>
        <v>-5.2910643252158815E-2</v>
      </c>
      <c r="F18" s="1">
        <f t="shared" si="34"/>
        <v>-4.946895819252671E-2</v>
      </c>
      <c r="G18" s="1">
        <f t="shared" si="34"/>
        <v>-3.2541538920314188E-2</v>
      </c>
      <c r="H18" s="1">
        <f t="shared" si="34"/>
        <v>-3.6010355297096015E-2</v>
      </c>
      <c r="I18" s="1">
        <f t="shared" si="34"/>
        <v>1.6263044464609907E-2</v>
      </c>
      <c r="J18" s="1">
        <f t="shared" si="34"/>
        <v>5.2133500740213216E-2</v>
      </c>
      <c r="K18" s="1">
        <f t="shared" si="34"/>
        <v>6.1956592643674147E-2</v>
      </c>
      <c r="L18" s="1">
        <f t="shared" si="34"/>
        <v>0.34894768185322467</v>
      </c>
      <c r="M18" s="10">
        <f t="shared" si="34"/>
        <v>0.11881777132499625</v>
      </c>
      <c r="N18" s="5">
        <f t="shared" ref="N18:Q18" si="35">+N17/N19</f>
        <v>0.49423536824227154</v>
      </c>
      <c r="O18" s="5">
        <f t="shared" si="35"/>
        <v>0.65999096001862778</v>
      </c>
      <c r="P18" s="5">
        <f t="shared" si="35"/>
        <v>0.54121062700032418</v>
      </c>
      <c r="Q18" s="5">
        <f t="shared" si="35"/>
        <v>0.38853689271185743</v>
      </c>
      <c r="T18" s="1">
        <f>+T17/T19</f>
        <v>-0.32180788639830982</v>
      </c>
      <c r="U18" s="1">
        <f>+U17/U19</f>
        <v>-0.10128089003125129</v>
      </c>
      <c r="V18" s="10">
        <f>+V17/V19</f>
        <v>0.58369923377414379</v>
      </c>
      <c r="W18" s="1">
        <f>+W17/W19</f>
        <v>2.3075791292024905</v>
      </c>
      <c r="X18" s="1">
        <f t="shared" ref="X18" si="36">+X17/X19</f>
        <v>2.7690949550429882</v>
      </c>
      <c r="Y18" s="1">
        <f t="shared" ref="Y18:AB18" si="37">+Y17/Y19</f>
        <v>3.3229139460515857</v>
      </c>
      <c r="Z18" s="1">
        <f t="shared" si="37"/>
        <v>3.9874967352619026</v>
      </c>
      <c r="AA18" s="1">
        <f t="shared" si="37"/>
        <v>4.784996082314283</v>
      </c>
      <c r="AB18" s="1">
        <f t="shared" si="37"/>
        <v>5.7419952987771392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1:41" x14ac:dyDescent="0.2">
      <c r="A19" s="1" t="s">
        <v>1</v>
      </c>
      <c r="B19" s="1">
        <v>202.69499999999999</v>
      </c>
      <c r="C19" s="1">
        <v>203.94900000000001</v>
      </c>
      <c r="D19" s="1">
        <v>205.232</v>
      </c>
      <c r="E19" s="1">
        <v>206.14</v>
      </c>
      <c r="F19" s="1">
        <v>207.14</v>
      </c>
      <c r="G19" s="1">
        <v>214.61799999999999</v>
      </c>
      <c r="H19" s="1">
        <v>210.13399999999999</v>
      </c>
      <c r="I19" s="1">
        <v>211.584</v>
      </c>
      <c r="J19" s="1">
        <v>213.452</v>
      </c>
      <c r="K19" s="1">
        <v>214.61799999999999</v>
      </c>
      <c r="L19" s="1">
        <v>216.61699999999999</v>
      </c>
      <c r="M19" s="10">
        <v>219.02699999999999</v>
      </c>
      <c r="N19" s="5">
        <f t="shared" ref="N19:Q19" si="38">+M19</f>
        <v>219.02699999999999</v>
      </c>
      <c r="O19" s="5">
        <f t="shared" si="38"/>
        <v>219.02699999999999</v>
      </c>
      <c r="P19" s="5">
        <f t="shared" si="38"/>
        <v>219.02699999999999</v>
      </c>
      <c r="Q19" s="5">
        <f t="shared" si="38"/>
        <v>219.02699999999999</v>
      </c>
      <c r="T19" s="1">
        <f>+AVERAGE(B19:E19)</f>
        <v>204.50399999999999</v>
      </c>
      <c r="U19" s="1">
        <f>+AVERAGE(F19:I19)</f>
        <v>210.86899999999997</v>
      </c>
      <c r="V19" s="10">
        <f>+AVERAGE(J19:M19)</f>
        <v>215.92849999999999</v>
      </c>
      <c r="W19" s="1">
        <f>+V19</f>
        <v>215.92849999999999</v>
      </c>
      <c r="X19" s="1">
        <f t="shared" ref="X19" si="39">+W19</f>
        <v>215.92849999999999</v>
      </c>
      <c r="Y19" s="1">
        <f t="shared" ref="Y19" si="40">+X19</f>
        <v>215.92849999999999</v>
      </c>
      <c r="Z19" s="1">
        <f t="shared" ref="Z19" si="41">+Y19</f>
        <v>215.92849999999999</v>
      </c>
      <c r="AA19" s="1">
        <f t="shared" ref="AA19" si="42">+Z19</f>
        <v>215.92849999999999</v>
      </c>
      <c r="AB19" s="1">
        <f t="shared" ref="AB19" si="43">+AA19</f>
        <v>215.92849999999999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1" spans="1:41" x14ac:dyDescent="0.2">
      <c r="A21" t="s">
        <v>55</v>
      </c>
      <c r="C21" s="3"/>
      <c r="D21" s="3"/>
      <c r="E21" s="3"/>
      <c r="F21" s="3"/>
      <c r="G21" s="3">
        <f t="shared" ref="G21:M21" si="44">+G5/C5-1</f>
        <v>0.83080756936678313</v>
      </c>
      <c r="H21" s="3">
        <f t="shared" si="44"/>
        <v>0.5652116877019524</v>
      </c>
      <c r="I21" s="3">
        <f t="shared" si="44"/>
        <v>0.47496755440990879</v>
      </c>
      <c r="J21" s="3">
        <f t="shared" si="44"/>
        <v>0.45814855585259728</v>
      </c>
      <c r="K21" s="3">
        <f t="shared" si="44"/>
        <v>0.51818076878679453</v>
      </c>
      <c r="L21" s="3">
        <f t="shared" si="44"/>
        <v>0.77131791494448576</v>
      </c>
      <c r="M21" s="11">
        <f t="shared" si="44"/>
        <v>0.95094051958689318</v>
      </c>
      <c r="U21" s="3">
        <f>+U5/T5-1</f>
        <v>0.65491273751413903</v>
      </c>
      <c r="V21" s="11">
        <f>+V5/U5-1</f>
        <v>0.69324999999999992</v>
      </c>
    </row>
    <row r="22" spans="1:41" x14ac:dyDescent="0.2">
      <c r="A22" t="s">
        <v>56</v>
      </c>
      <c r="B22" s="3">
        <f t="shared" ref="B22:M22" si="45">+B7/B5</f>
        <v>0.73786446098268754</v>
      </c>
      <c r="C22" s="3">
        <f t="shared" si="45"/>
        <v>0.76764439121897099</v>
      </c>
      <c r="D22" s="3">
        <f t="shared" si="45"/>
        <v>0.7902248059874617</v>
      </c>
      <c r="E22" s="3">
        <f t="shared" si="45"/>
        <v>0.79147503334270308</v>
      </c>
      <c r="F22" s="3">
        <f t="shared" si="45"/>
        <v>0.80424070870681974</v>
      </c>
      <c r="G22" s="3">
        <f t="shared" si="45"/>
        <v>0.81841355958290052</v>
      </c>
      <c r="H22" s="3">
        <f t="shared" si="45"/>
        <v>0.82624096268620506</v>
      </c>
      <c r="I22" s="3">
        <f t="shared" si="45"/>
        <v>0.82742205588377216</v>
      </c>
      <c r="J22" s="3">
        <f t="shared" si="45"/>
        <v>0.82357614560827697</v>
      </c>
      <c r="K22" s="3">
        <f t="shared" si="45"/>
        <v>0.8129720448094081</v>
      </c>
      <c r="L22" s="3">
        <f t="shared" si="45"/>
        <v>0.7916355377581209</v>
      </c>
      <c r="M22" s="11">
        <f t="shared" si="45"/>
        <v>0.76805309900049668</v>
      </c>
      <c r="T22" s="3">
        <f>+T7/T5</f>
        <v>0.77568720630992416</v>
      </c>
      <c r="U22" s="3">
        <f>+U7/U5</f>
        <v>0.81989564220183486</v>
      </c>
      <c r="V22" s="11">
        <f>+V7/V5</f>
        <v>0.79452975047984653</v>
      </c>
    </row>
    <row r="23" spans="1:41" x14ac:dyDescent="0.2">
      <c r="A23" t="s">
        <v>57</v>
      </c>
      <c r="B23" s="3">
        <f t="shared" ref="B23:M23" si="46">+B8/B5</f>
        <v>0.47469254002408362</v>
      </c>
      <c r="C23" s="3">
        <f t="shared" si="46"/>
        <v>0.53265588263783104</v>
      </c>
      <c r="D23" s="3">
        <f t="shared" si="46"/>
        <v>0.54172995664061419</v>
      </c>
      <c r="E23" s="3">
        <f t="shared" si="46"/>
        <v>0.51160565300861827</v>
      </c>
      <c r="F23" s="3">
        <f t="shared" si="46"/>
        <v>0.51069350526812385</v>
      </c>
      <c r="G23" s="3">
        <f t="shared" si="46"/>
        <v>0.51569413982838885</v>
      </c>
      <c r="H23" s="3">
        <f t="shared" si="46"/>
        <v>0.51202696085999488</v>
      </c>
      <c r="I23" s="3">
        <f t="shared" si="46"/>
        <v>0.51048378267692274</v>
      </c>
      <c r="J23" s="3">
        <f t="shared" si="46"/>
        <v>0.46932642151769954</v>
      </c>
      <c r="K23" s="3">
        <f t="shared" si="46"/>
        <v>0.4591253548256285</v>
      </c>
      <c r="L23" s="3">
        <f t="shared" si="46"/>
        <v>0.45394415722838161</v>
      </c>
      <c r="M23" s="11">
        <f t="shared" si="46"/>
        <v>0.45950338675517888</v>
      </c>
      <c r="T23" s="3">
        <f>+T8/T5</f>
        <v>0.5173253421797781</v>
      </c>
      <c r="U23" s="3">
        <f>+U8/U5</f>
        <v>0.51217316513761457</v>
      </c>
      <c r="V23" s="11">
        <f>+V8/V5</f>
        <v>0.45976130263580295</v>
      </c>
    </row>
    <row r="24" spans="1:41" x14ac:dyDescent="0.2">
      <c r="A24" t="s">
        <v>58</v>
      </c>
      <c r="B24" s="3">
        <v>0</v>
      </c>
      <c r="C24" s="3">
        <v>0</v>
      </c>
      <c r="D24" s="3">
        <f t="shared" ref="D24:M24" si="47">+D9/D5</f>
        <v>0.15017675163633351</v>
      </c>
      <c r="E24" s="3">
        <f t="shared" si="47"/>
        <v>0.1346925593440309</v>
      </c>
      <c r="F24" s="3">
        <f t="shared" si="47"/>
        <v>0.13724380143628451</v>
      </c>
      <c r="G24" s="3">
        <f t="shared" si="47"/>
        <v>0.14057389664858208</v>
      </c>
      <c r="H24" s="3">
        <f t="shared" si="47"/>
        <v>0.13704956792928066</v>
      </c>
      <c r="I24" s="3">
        <f t="shared" si="47"/>
        <v>0.133156812735434</v>
      </c>
      <c r="J24" s="3">
        <f t="shared" si="47"/>
        <v>0.13929201821900916</v>
      </c>
      <c r="K24" s="3">
        <f t="shared" si="47"/>
        <v>0.13132666768045417</v>
      </c>
      <c r="L24" s="3">
        <f t="shared" si="47"/>
        <v>0.11833716841486618</v>
      </c>
      <c r="M24" s="11">
        <f t="shared" si="47"/>
        <v>0.12071979199358189</v>
      </c>
      <c r="T24" s="3">
        <f>+T9/T5</f>
        <v>8.40209824715894E-2</v>
      </c>
      <c r="U24" s="3">
        <f>+U9/U5</f>
        <v>0.13683142201834861</v>
      </c>
      <c r="V24" s="11">
        <f>+V9/V5</f>
        <v>0.12583829208527653</v>
      </c>
    </row>
    <row r="25" spans="1:41" x14ac:dyDescent="0.2">
      <c r="A25" t="s">
        <v>59</v>
      </c>
      <c r="B25" s="3">
        <v>0</v>
      </c>
      <c r="C25" s="3">
        <v>0</v>
      </c>
      <c r="D25" s="3">
        <f t="shared" ref="D25:M25" si="48">+D10/D5</f>
        <v>5.507608605595294E-2</v>
      </c>
      <c r="E25" s="3">
        <f t="shared" si="48"/>
        <v>4.9706045944151719E-2</v>
      </c>
      <c r="F25" s="3">
        <f t="shared" si="48"/>
        <v>5.6340095402841114E-2</v>
      </c>
      <c r="G25" s="3">
        <f t="shared" si="48"/>
        <v>5.6774019777598217E-2</v>
      </c>
      <c r="H25" s="3">
        <f t="shared" si="48"/>
        <v>5.4124632221580149E-2</v>
      </c>
      <c r="I25" s="3">
        <f t="shared" si="48"/>
        <v>5.4355098350086568E-2</v>
      </c>
      <c r="J25" s="3">
        <f t="shared" si="48"/>
        <v>5.5088416837125363E-2</v>
      </c>
      <c r="K25" s="3">
        <f t="shared" si="48"/>
        <v>5.9097475669099751E-2</v>
      </c>
      <c r="L25" s="3">
        <f t="shared" si="48"/>
        <v>5.2525675123768538E-2</v>
      </c>
      <c r="M25" s="11">
        <f t="shared" si="48"/>
        <v>4.9359956270433283E-2</v>
      </c>
      <c r="T25" s="3">
        <f>+T10/T5</f>
        <v>3.091194801448428E-2</v>
      </c>
      <c r="U25" s="3">
        <f>+U10/U5</f>
        <v>5.5306192660550459E-2</v>
      </c>
      <c r="V25" s="11">
        <f>+V10/V5</f>
        <v>5.3381816901160437E-2</v>
      </c>
    </row>
    <row r="26" spans="1:41" x14ac:dyDescent="0.2">
      <c r="A26" t="s">
        <v>60</v>
      </c>
      <c r="B26" s="3">
        <f t="shared" ref="B26:M26" si="49">+B11/B5</f>
        <v>0.43016759776536317</v>
      </c>
      <c r="C26" s="3">
        <f t="shared" si="49"/>
        <v>0.41277528772575572</v>
      </c>
      <c r="D26" s="3">
        <f t="shared" si="49"/>
        <v>0.18121185340661158</v>
      </c>
      <c r="E26" s="3">
        <f t="shared" si="49"/>
        <v>0.16487742444812595</v>
      </c>
      <c r="F26" s="3">
        <f t="shared" si="49"/>
        <v>0.15994653247365939</v>
      </c>
      <c r="G26" s="3">
        <f t="shared" si="49"/>
        <v>0.14979414367617067</v>
      </c>
      <c r="H26" s="3">
        <f t="shared" si="49"/>
        <v>0.15839064133498601</v>
      </c>
      <c r="I26" s="3">
        <f t="shared" si="49"/>
        <v>0.1310482971709398</v>
      </c>
      <c r="J26" s="3">
        <f t="shared" si="49"/>
        <v>0.12426888496644151</v>
      </c>
      <c r="K26" s="3">
        <f t="shared" si="49"/>
        <v>0.12847855839416059</v>
      </c>
      <c r="L26" s="3">
        <f t="shared" si="49"/>
        <v>0.11111028100688322</v>
      </c>
      <c r="M26" s="11">
        <f t="shared" si="49"/>
        <v>9.9821465314597235E-2</v>
      </c>
      <c r="T26" s="3">
        <f>+T11/T5</f>
        <v>0.27380455328743097</v>
      </c>
      <c r="U26" s="3">
        <f>+U11/U5</f>
        <v>0.14894839449541281</v>
      </c>
      <c r="V26" s="11">
        <f>+V11/V5</f>
        <v>0.11362371098411528</v>
      </c>
    </row>
    <row r="27" spans="1:41" x14ac:dyDescent="0.2">
      <c r="A27" t="s">
        <v>61</v>
      </c>
      <c r="B27" s="3">
        <f t="shared" ref="B27:M27" si="50">+B13/B5</f>
        <v>-0.16699567680675931</v>
      </c>
      <c r="C27" s="3">
        <f t="shared" si="50"/>
        <v>-0.17778677914461574</v>
      </c>
      <c r="D27" s="3">
        <f t="shared" si="50"/>
        <v>-0.13796984175205051</v>
      </c>
      <c r="E27" s="3">
        <f t="shared" si="50"/>
        <v>-6.9406649402223755E-2</v>
      </c>
      <c r="F27" s="3">
        <f t="shared" si="50"/>
        <v>-5.9983225874089129E-2</v>
      </c>
      <c r="G27" s="3">
        <f t="shared" si="50"/>
        <v>-4.4422640347839423E-2</v>
      </c>
      <c r="H27" s="3">
        <f t="shared" si="50"/>
        <v>-3.7732852813642644E-2</v>
      </c>
      <c r="I27" s="3">
        <f t="shared" si="50"/>
        <v>-1.6219350496108462E-3</v>
      </c>
      <c r="J27" s="3">
        <f t="shared" si="50"/>
        <v>3.5600404068001308E-2</v>
      </c>
      <c r="K27" s="3">
        <f t="shared" si="50"/>
        <v>3.494398824006506E-2</v>
      </c>
      <c r="L27" s="3">
        <f t="shared" si="50"/>
        <v>5.5718255984221296E-2</v>
      </c>
      <c r="M27" s="11">
        <f t="shared" si="50"/>
        <v>3.8648498666705361E-2</v>
      </c>
      <c r="T27" s="3">
        <f>+T13/T5</f>
        <v>-0.13037561964335859</v>
      </c>
      <c r="U27" s="3">
        <f>+U13/U5</f>
        <v>-3.3982798165137523E-2</v>
      </c>
      <c r="V27" s="11">
        <f>+V13/V5</f>
        <v>4.1924627873491341E-2</v>
      </c>
    </row>
    <row r="28" spans="1:41" x14ac:dyDescent="0.2">
      <c r="A28" t="s">
        <v>62</v>
      </c>
      <c r="B28" s="3">
        <f t="shared" ref="B28" si="51">+B16/B15</f>
        <v>5.8175516771877666E-3</v>
      </c>
      <c r="C28" s="3">
        <f t="shared" ref="C28:L28" si="52">+C16/C15</f>
        <v>7.3727563939594244E-3</v>
      </c>
      <c r="D28" s="3">
        <f t="shared" si="52"/>
        <v>-8.4853627492575349E-4</v>
      </c>
      <c r="E28" s="3">
        <f t="shared" si="52"/>
        <v>-1.0972071091766395E-2</v>
      </c>
      <c r="F28" s="3">
        <f t="shared" si="52"/>
        <v>3.914410303214691E-2</v>
      </c>
      <c r="G28" s="3">
        <f t="shared" si="52"/>
        <v>-1.8579391167643301E-3</v>
      </c>
      <c r="H28" s="3">
        <f t="shared" si="52"/>
        <v>9.4129554655870806E-2</v>
      </c>
      <c r="I28" s="3">
        <f t="shared" si="52"/>
        <v>0.56693989071037665</v>
      </c>
      <c r="J28" s="3">
        <f t="shared" si="52"/>
        <v>-0.10279771023139569</v>
      </c>
      <c r="K28" s="3">
        <f t="shared" si="52"/>
        <v>-9.4606674612633685E-3</v>
      </c>
      <c r="L28" s="3">
        <f t="shared" si="52"/>
        <v>2.2038316449794459</v>
      </c>
      <c r="M28" s="11">
        <f>+M16/M15</f>
        <v>0.16751681224568571</v>
      </c>
      <c r="O28" t="s">
        <v>67</v>
      </c>
      <c r="P28" s="3">
        <v>0.05</v>
      </c>
      <c r="T28" s="3">
        <f t="shared" ref="T28:V28" si="53">+T16/T15</f>
        <v>1.5522987718577374E-3</v>
      </c>
      <c r="U28" s="3">
        <f t="shared" si="53"/>
        <v>-1.0241913059597778E-2</v>
      </c>
      <c r="V28" s="11">
        <f t="shared" si="53"/>
        <v>0.75758991386174446</v>
      </c>
    </row>
    <row r="29" spans="1:41" x14ac:dyDescent="0.2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11"/>
      <c r="O29" t="s">
        <v>63</v>
      </c>
      <c r="P29" s="6">
        <f>NPV(0.08,model!W17:AO17)-main!C5+main!C6</f>
        <v>9182.1124567169154</v>
      </c>
      <c r="T29" s="3"/>
      <c r="U29" s="3"/>
      <c r="V29" s="11"/>
    </row>
    <row r="30" spans="1:41" s="2" customFormat="1" ht="15" x14ac:dyDescent="0.25">
      <c r="A30" s="2" t="s">
        <v>103</v>
      </c>
      <c r="M30" s="12"/>
      <c r="O30" t="s">
        <v>68</v>
      </c>
      <c r="P30">
        <f>+P29/main!C3</f>
        <v>41.585654242377331</v>
      </c>
      <c r="V30" s="9">
        <f>+V31</f>
        <v>301.10699999999997</v>
      </c>
      <c r="W30" s="7">
        <f>+V30+W17</f>
        <v>799.37909999999988</v>
      </c>
      <c r="X30" s="7">
        <f t="shared" ref="X30:AH30" si="54">+W30+X17</f>
        <v>1397.3056199999996</v>
      </c>
      <c r="Y30" s="7">
        <f t="shared" si="54"/>
        <v>2114.8174439999993</v>
      </c>
      <c r="Z30" s="7">
        <f t="shared" si="54"/>
        <v>2975.8316327999992</v>
      </c>
      <c r="AA30" s="7">
        <f t="shared" si="54"/>
        <v>4009.048659359999</v>
      </c>
      <c r="AB30" s="7">
        <f t="shared" si="54"/>
        <v>5248.9090912319989</v>
      </c>
      <c r="AC30" s="7">
        <f t="shared" si="54"/>
        <v>6476.3709187852783</v>
      </c>
      <c r="AD30" s="7">
        <f t="shared" si="54"/>
        <v>7691.5581280630249</v>
      </c>
      <c r="AE30" s="7">
        <f t="shared" si="54"/>
        <v>8894.5934652479937</v>
      </c>
      <c r="AF30" s="7">
        <f t="shared" si="54"/>
        <v>10085.598449061114</v>
      </c>
      <c r="AG30" s="7">
        <f t="shared" si="54"/>
        <v>11264.693383036101</v>
      </c>
      <c r="AH30" s="7">
        <f t="shared" si="54"/>
        <v>12431.99736767134</v>
      </c>
    </row>
    <row r="31" spans="1:41" ht="15" x14ac:dyDescent="0.25">
      <c r="A31" t="s">
        <v>69</v>
      </c>
      <c r="O31" s="2" t="s">
        <v>104</v>
      </c>
      <c r="P31" s="13">
        <f>+P30/main!C2-1</f>
        <v>0.54020941638434561</v>
      </c>
      <c r="V31" s="10">
        <f>220.584+79.667+0.856</f>
        <v>301.10699999999997</v>
      </c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41" x14ac:dyDescent="0.2">
      <c r="A32" t="s">
        <v>70</v>
      </c>
      <c r="V32" s="10">
        <v>64.427000000000007</v>
      </c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x14ac:dyDescent="0.2">
      <c r="A33" t="s">
        <v>71</v>
      </c>
      <c r="V33" s="10">
        <v>31.152999999999999</v>
      </c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ht="15" x14ac:dyDescent="0.25">
      <c r="A34" t="s">
        <v>72</v>
      </c>
      <c r="P34" s="1"/>
      <c r="Q34" s="7"/>
      <c r="V34" s="10">
        <f>112.728+43.41</f>
        <v>156.13799999999998</v>
      </c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x14ac:dyDescent="0.2">
      <c r="A35" t="s">
        <v>73</v>
      </c>
      <c r="V35" s="10">
        <v>82.082999999999998</v>
      </c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x14ac:dyDescent="0.2">
      <c r="A36" t="s">
        <v>74</v>
      </c>
      <c r="V36" s="10">
        <v>10.881</v>
      </c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x14ac:dyDescent="0.2">
      <c r="A37" t="s">
        <v>75</v>
      </c>
      <c r="V37" s="10">
        <v>61.603000000000002</v>
      </c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x14ac:dyDescent="0.2">
      <c r="A38" t="s">
        <v>76</v>
      </c>
      <c r="V38" s="10">
        <v>0.14699999999999999</v>
      </c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x14ac:dyDescent="0.2">
      <c r="A39" t="s">
        <v>77</v>
      </c>
      <c r="V39" s="10">
        <f>SUM(V31:V38)</f>
        <v>707.53899999999999</v>
      </c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1" spans="1:34" x14ac:dyDescent="0.2">
      <c r="A41" t="s">
        <v>4</v>
      </c>
      <c r="V41" s="8">
        <v>0</v>
      </c>
    </row>
    <row r="42" spans="1:34" x14ac:dyDescent="0.2">
      <c r="A42" t="s">
        <v>78</v>
      </c>
      <c r="V42" s="8">
        <v>91.18</v>
      </c>
    </row>
    <row r="43" spans="1:34" x14ac:dyDescent="0.2">
      <c r="A43" t="s">
        <v>79</v>
      </c>
      <c r="V43" s="8">
        <v>53.012999999999998</v>
      </c>
    </row>
    <row r="44" spans="1:34" x14ac:dyDescent="0.2">
      <c r="A44" t="s">
        <v>80</v>
      </c>
      <c r="V44" s="8">
        <v>75.284999999999997</v>
      </c>
    </row>
    <row r="45" spans="1:34" x14ac:dyDescent="0.2">
      <c r="A45" t="s">
        <v>81</v>
      </c>
      <c r="V45" s="8">
        <v>0</v>
      </c>
    </row>
    <row r="46" spans="1:34" x14ac:dyDescent="0.2">
      <c r="A46" t="s">
        <v>74</v>
      </c>
      <c r="V46" s="8">
        <f>1.889+9.456</f>
        <v>11.344999999999999</v>
      </c>
    </row>
    <row r="47" spans="1:34" x14ac:dyDescent="0.2">
      <c r="A47" t="s">
        <v>82</v>
      </c>
      <c r="V47" s="8">
        <f>SUM(V42:V46)</f>
        <v>230.82300000000001</v>
      </c>
    </row>
    <row r="48" spans="1:34" x14ac:dyDescent="0.2">
      <c r="A48" t="s">
        <v>93</v>
      </c>
      <c r="V48" s="8">
        <f>+V39-V47</f>
        <v>476.71600000000001</v>
      </c>
      <c r="W48" t="s">
        <v>22</v>
      </c>
    </row>
    <row r="49" spans="1:22" x14ac:dyDescent="0.2">
      <c r="A49" t="s">
        <v>83</v>
      </c>
      <c r="V49" s="8">
        <f>+V47+V48</f>
        <v>707.53899999999999</v>
      </c>
    </row>
    <row r="50" spans="1:22" x14ac:dyDescent="0.2">
      <c r="A50" t="s">
        <v>84</v>
      </c>
    </row>
    <row r="52" spans="1:22" x14ac:dyDescent="0.2">
      <c r="A52" t="s">
        <v>85</v>
      </c>
      <c r="T52">
        <f t="shared" ref="T52:U52" si="55">+T17</f>
        <v>-65.81099999999995</v>
      </c>
      <c r="U52">
        <f t="shared" si="55"/>
        <v>-21.356999999999925</v>
      </c>
      <c r="V52" s="8">
        <f>+V17</f>
        <v>126.03730000000019</v>
      </c>
    </row>
    <row r="53" spans="1:22" x14ac:dyDescent="0.2">
      <c r="A53" t="s">
        <v>86</v>
      </c>
      <c r="T53">
        <v>-65.677999999999997</v>
      </c>
      <c r="U53">
        <v>-23.545999999999999</v>
      </c>
      <c r="V53" s="8">
        <v>126.038</v>
      </c>
    </row>
    <row r="54" spans="1:22" x14ac:dyDescent="0.2">
      <c r="A54" t="s">
        <v>87</v>
      </c>
      <c r="V54" s="8">
        <v>17.068000000000001</v>
      </c>
    </row>
    <row r="55" spans="1:22" x14ac:dyDescent="0.2">
      <c r="A55" t="s">
        <v>88</v>
      </c>
      <c r="V55" s="8">
        <v>92.322000000000003</v>
      </c>
    </row>
    <row r="56" spans="1:22" x14ac:dyDescent="0.2">
      <c r="A56" t="s">
        <v>89</v>
      </c>
      <c r="V56" s="8">
        <v>-4.3550000000000004</v>
      </c>
    </row>
    <row r="57" spans="1:22" x14ac:dyDescent="0.2">
      <c r="A57" t="s">
        <v>92</v>
      </c>
      <c r="V57" s="8">
        <v>-61.649000000000001</v>
      </c>
    </row>
    <row r="58" spans="1:22" x14ac:dyDescent="0.2">
      <c r="A58" t="s">
        <v>90</v>
      </c>
      <c r="V58" s="8">
        <v>0.114</v>
      </c>
    </row>
    <row r="59" spans="1:22" x14ac:dyDescent="0.2">
      <c r="A59" t="s">
        <v>74</v>
      </c>
      <c r="V59" s="8">
        <v>2.5459999999999998</v>
      </c>
    </row>
    <row r="60" spans="1:22" x14ac:dyDescent="0.2">
      <c r="A60" t="s">
        <v>91</v>
      </c>
      <c r="V60" s="8">
        <v>0.35699999999999998</v>
      </c>
    </row>
    <row r="61" spans="1:22" x14ac:dyDescent="0.2">
      <c r="A61" t="s">
        <v>94</v>
      </c>
      <c r="V61" s="8">
        <v>-41.612000000000002</v>
      </c>
    </row>
    <row r="62" spans="1:22" x14ac:dyDescent="0.2">
      <c r="A62" t="s">
        <v>95</v>
      </c>
      <c r="V62" s="8">
        <v>-9.4939999999999998</v>
      </c>
    </row>
    <row r="63" spans="1:22" x14ac:dyDescent="0.2">
      <c r="A63" t="s">
        <v>96</v>
      </c>
      <c r="V63" s="8">
        <v>-5.6000000000000001E-2</v>
      </c>
    </row>
    <row r="64" spans="1:22" x14ac:dyDescent="0.2">
      <c r="A64" t="s">
        <v>78</v>
      </c>
      <c r="V64" s="8">
        <v>43.71</v>
      </c>
    </row>
    <row r="65" spans="1:22" x14ac:dyDescent="0.2">
      <c r="A65" t="s">
        <v>79</v>
      </c>
      <c r="V65" s="8">
        <v>23.791</v>
      </c>
    </row>
    <row r="66" spans="1:22" x14ac:dyDescent="0.2">
      <c r="A66" t="s">
        <v>80</v>
      </c>
      <c r="V66" s="8">
        <v>67.552000000000007</v>
      </c>
    </row>
    <row r="67" spans="1:22" x14ac:dyDescent="0.2">
      <c r="A67" t="s">
        <v>97</v>
      </c>
      <c r="V67" s="8">
        <v>-2.4430000000000001</v>
      </c>
    </row>
    <row r="68" spans="1:22" x14ac:dyDescent="0.2">
      <c r="A68" t="s">
        <v>98</v>
      </c>
      <c r="V68" s="8">
        <v>-2.8250000000000002</v>
      </c>
    </row>
    <row r="69" spans="1:22" x14ac:dyDescent="0.2">
      <c r="A69" t="s">
        <v>100</v>
      </c>
      <c r="T69">
        <v>-26.530999999999999</v>
      </c>
      <c r="U69">
        <v>73.483000000000004</v>
      </c>
      <c r="V69" s="8">
        <f>+SUM(V53:V68)</f>
        <v>251.06399999999999</v>
      </c>
    </row>
    <row r="70" spans="1:22" x14ac:dyDescent="0.2">
      <c r="A70" t="s">
        <v>99</v>
      </c>
      <c r="T70">
        <v>34.698999999999998</v>
      </c>
      <c r="U70">
        <v>-12.106</v>
      </c>
      <c r="V70" s="8">
        <v>-19.047999999999998</v>
      </c>
    </row>
    <row r="71" spans="1:22" x14ac:dyDescent="0.2">
      <c r="A71" t="s">
        <v>101</v>
      </c>
      <c r="T71">
        <v>-33.127000000000002</v>
      </c>
      <c r="U71">
        <v>-11.475</v>
      </c>
      <c r="V71" s="8">
        <v>-107.845</v>
      </c>
    </row>
    <row r="72" spans="1:22" x14ac:dyDescent="0.2">
      <c r="A72" t="s">
        <v>107</v>
      </c>
      <c r="T72">
        <v>-2.714</v>
      </c>
      <c r="U72">
        <v>-17.22</v>
      </c>
      <c r="V72" s="8">
        <v>-41.655000000000001</v>
      </c>
    </row>
    <row r="73" spans="1:22" x14ac:dyDescent="0.2">
      <c r="A73" t="s">
        <v>102</v>
      </c>
      <c r="T73">
        <f t="shared" ref="T73:U73" si="56">+T69+T70+T71+T72</f>
        <v>-27.673000000000002</v>
      </c>
      <c r="U73">
        <f t="shared" si="56"/>
        <v>32.682000000000002</v>
      </c>
      <c r="V73" s="8">
        <f>+V69+V70+V71+V72</f>
        <v>82.515999999999991</v>
      </c>
    </row>
    <row r="74" spans="1:22" x14ac:dyDescent="0.2">
      <c r="T74" s="3" t="s">
        <v>22</v>
      </c>
      <c r="U74" s="3">
        <f>+ABS(U73/T73-1)</f>
        <v>2.1810067574892495</v>
      </c>
      <c r="V74" s="11">
        <f t="shared" ref="V74" si="57">+ABS(V73/U73-1)</f>
        <v>1.5248148828101091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Simão Clemente</dc:creator>
  <cp:lastModifiedBy>Simão Clemente</cp:lastModifiedBy>
  <dcterms:created xsi:type="dcterms:W3CDTF">2025-03-05T14:12:05Z</dcterms:created>
  <dcterms:modified xsi:type="dcterms:W3CDTF">2025-04-23T20:19:32Z</dcterms:modified>
</cp:coreProperties>
</file>