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155" documentId="13_ncr:1_{8ED4B32B-C225-494B-AA6C-9AF7B16F9417}" xr6:coauthVersionLast="47" xr6:coauthVersionMax="47" xr10:uidLastSave="{DE037B48-E010-468D-A0B8-500701F6FB51}"/>
  <bookViews>
    <workbookView xWindow="31170" yWindow="1440" windowWidth="23190" windowHeight="13170" activeTab="1" xr2:uid="{49A7E2C0-5FA9-401A-994E-082C7F248662}"/>
  </bookViews>
  <sheets>
    <sheet name="main" sheetId="1" r:id="rId1"/>
    <sheet name="model " sheetId="2" r:id="rId2"/>
  </sheets>
  <calcPr calcId="191028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2" l="1"/>
  <c r="V10" i="2" s="1"/>
  <c r="W10" i="2" s="1"/>
  <c r="X10" i="2" s="1"/>
  <c r="Y10" i="2" s="1"/>
  <c r="T10" i="2"/>
  <c r="V5" i="2"/>
  <c r="W5" i="2" s="1"/>
  <c r="X5" i="2" s="1"/>
  <c r="Y5" i="2" s="1"/>
  <c r="U5" i="2"/>
  <c r="T5" i="2"/>
  <c r="T16" i="2"/>
  <c r="K37" i="2"/>
  <c r="P8" i="2"/>
  <c r="S25" i="2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S22" i="2"/>
  <c r="S21" i="2"/>
  <c r="S19" i="2"/>
  <c r="S18" i="2"/>
  <c r="T18" i="2" s="1"/>
  <c r="U18" i="2" s="1"/>
  <c r="V18" i="2" s="1"/>
  <c r="W18" i="2" s="1"/>
  <c r="X18" i="2" s="1"/>
  <c r="Y18" i="2" s="1"/>
  <c r="S17" i="2"/>
  <c r="T17" i="2" s="1"/>
  <c r="U17" i="2" s="1"/>
  <c r="V17" i="2" s="1"/>
  <c r="W17" i="2" s="1"/>
  <c r="X17" i="2" s="1"/>
  <c r="Y17" i="2" s="1"/>
  <c r="S13" i="2"/>
  <c r="T13" i="2" s="1"/>
  <c r="U13" i="2" s="1"/>
  <c r="V13" i="2" s="1"/>
  <c r="W13" i="2" s="1"/>
  <c r="X13" i="2" s="1"/>
  <c r="Y13" i="2" s="1"/>
  <c r="S12" i="2"/>
  <c r="T12" i="2" s="1"/>
  <c r="U12" i="2" s="1"/>
  <c r="V12" i="2" s="1"/>
  <c r="W12" i="2" s="1"/>
  <c r="X12" i="2" s="1"/>
  <c r="Y12" i="2" s="1"/>
  <c r="S11" i="2"/>
  <c r="T11" i="2" s="1"/>
  <c r="U11" i="2" s="1"/>
  <c r="V11" i="2" s="1"/>
  <c r="W11" i="2" s="1"/>
  <c r="X11" i="2" s="1"/>
  <c r="Y11" i="2" s="1"/>
  <c r="S10" i="2"/>
  <c r="S7" i="2"/>
  <c r="T7" i="2" s="1"/>
  <c r="U7" i="2" s="1"/>
  <c r="V7" i="2" s="1"/>
  <c r="W7" i="2" s="1"/>
  <c r="X7" i="2" s="1"/>
  <c r="Y7" i="2" s="1"/>
  <c r="S6" i="2"/>
  <c r="T6" i="2" s="1"/>
  <c r="S4" i="2"/>
  <c r="S3" i="2"/>
  <c r="R25" i="2"/>
  <c r="R22" i="2"/>
  <c r="R21" i="2"/>
  <c r="R19" i="2"/>
  <c r="R18" i="2"/>
  <c r="R17" i="2"/>
  <c r="R13" i="2"/>
  <c r="R12" i="2"/>
  <c r="R11" i="2"/>
  <c r="R10" i="2"/>
  <c r="R7" i="2"/>
  <c r="R6" i="2"/>
  <c r="R4" i="2"/>
  <c r="R3" i="2"/>
  <c r="B16" i="2"/>
  <c r="B14" i="2"/>
  <c r="B8" i="2"/>
  <c r="B5" i="2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C16" i="2"/>
  <c r="C14" i="2"/>
  <c r="C8" i="2"/>
  <c r="C5" i="2"/>
  <c r="D16" i="2"/>
  <c r="D14" i="2"/>
  <c r="D8" i="2"/>
  <c r="D5" i="2"/>
  <c r="H16" i="2"/>
  <c r="H14" i="2"/>
  <c r="H8" i="2"/>
  <c r="H5" i="2"/>
  <c r="E16" i="2"/>
  <c r="E14" i="2"/>
  <c r="E8" i="2"/>
  <c r="E5" i="2"/>
  <c r="I16" i="2"/>
  <c r="I14" i="2"/>
  <c r="I8" i="2"/>
  <c r="I5" i="2"/>
  <c r="R16" i="2" l="1"/>
  <c r="R5" i="2"/>
  <c r="S8" i="2"/>
  <c r="R8" i="2"/>
  <c r="U6" i="2"/>
  <c r="V6" i="2" s="1"/>
  <c r="W6" i="2" s="1"/>
  <c r="X6" i="2" s="1"/>
  <c r="Y6" i="2" s="1"/>
  <c r="Y8" i="2" s="1"/>
  <c r="T8" i="2"/>
  <c r="R14" i="2"/>
  <c r="R9" i="2"/>
  <c r="R27" i="2" s="1"/>
  <c r="S5" i="2"/>
  <c r="T14" i="2"/>
  <c r="S14" i="2"/>
  <c r="B9" i="2"/>
  <c r="B15" i="2" s="1"/>
  <c r="I9" i="2"/>
  <c r="I27" i="2" s="1"/>
  <c r="C9" i="2"/>
  <c r="H32" i="2"/>
  <c r="D9" i="2"/>
  <c r="H9" i="2"/>
  <c r="E9" i="2"/>
  <c r="I32" i="2"/>
  <c r="F16" i="2"/>
  <c r="F14" i="2"/>
  <c r="F8" i="2"/>
  <c r="F5" i="2"/>
  <c r="J16" i="2"/>
  <c r="J14" i="2"/>
  <c r="J8" i="2"/>
  <c r="J5" i="2"/>
  <c r="K16" i="2"/>
  <c r="K14" i="2"/>
  <c r="K8" i="2"/>
  <c r="K5" i="2"/>
  <c r="G16" i="2"/>
  <c r="G14" i="2"/>
  <c r="G8" i="2"/>
  <c r="G5" i="2"/>
  <c r="G32" i="2" s="1"/>
  <c r="L7" i="1"/>
  <c r="L4" i="1"/>
  <c r="L5" i="1" s="1"/>
  <c r="L8" i="1" s="1"/>
  <c r="X8" i="2" l="1"/>
  <c r="B27" i="2"/>
  <c r="V8" i="2"/>
  <c r="U8" i="2"/>
  <c r="S9" i="2"/>
  <c r="S33" i="2" s="1"/>
  <c r="R15" i="2"/>
  <c r="R20" i="2" s="1"/>
  <c r="T32" i="2"/>
  <c r="W8" i="2"/>
  <c r="S32" i="2"/>
  <c r="U14" i="2"/>
  <c r="I15" i="2"/>
  <c r="I20" i="2" s="1"/>
  <c r="S16" i="2"/>
  <c r="B20" i="2"/>
  <c r="B28" i="2"/>
  <c r="C15" i="2"/>
  <c r="C27" i="2"/>
  <c r="D15" i="2"/>
  <c r="D27" i="2"/>
  <c r="H33" i="2"/>
  <c r="H15" i="2"/>
  <c r="H27" i="2"/>
  <c r="E15" i="2"/>
  <c r="E27" i="2"/>
  <c r="I33" i="2"/>
  <c r="K9" i="2"/>
  <c r="K27" i="2" s="1"/>
  <c r="K32" i="2"/>
  <c r="F9" i="2"/>
  <c r="J32" i="2"/>
  <c r="J9" i="2"/>
  <c r="G9" i="2"/>
  <c r="U9" i="2" l="1"/>
  <c r="U15" i="2" s="1"/>
  <c r="S27" i="2"/>
  <c r="R28" i="2"/>
  <c r="T9" i="2"/>
  <c r="T15" i="2" s="1"/>
  <c r="T28" i="2" s="1"/>
  <c r="S20" i="2"/>
  <c r="S30" i="2" s="1"/>
  <c r="S15" i="2"/>
  <c r="S34" i="2" s="1"/>
  <c r="S28" i="2"/>
  <c r="I28" i="2"/>
  <c r="R23" i="2"/>
  <c r="R30" i="2"/>
  <c r="I34" i="2"/>
  <c r="V14" i="2"/>
  <c r="B23" i="2"/>
  <c r="B30" i="2"/>
  <c r="I23" i="2"/>
  <c r="I24" i="2" s="1"/>
  <c r="I30" i="2"/>
  <c r="C20" i="2"/>
  <c r="C28" i="2"/>
  <c r="D28" i="2"/>
  <c r="D20" i="2"/>
  <c r="D30" i="2" s="1"/>
  <c r="H34" i="2"/>
  <c r="H28" i="2"/>
  <c r="H20" i="2"/>
  <c r="E20" i="2"/>
  <c r="E30" i="2" s="1"/>
  <c r="E28" i="2"/>
  <c r="K15" i="2"/>
  <c r="K28" i="2" s="1"/>
  <c r="G33" i="2"/>
  <c r="G27" i="2"/>
  <c r="F15" i="2"/>
  <c r="F27" i="2"/>
  <c r="J33" i="2"/>
  <c r="J15" i="2"/>
  <c r="J27" i="2"/>
  <c r="G15" i="2"/>
  <c r="K33" i="2"/>
  <c r="T20" i="2" l="1"/>
  <c r="T21" i="2" s="1"/>
  <c r="T30" i="2" s="1"/>
  <c r="T33" i="2"/>
  <c r="V9" i="2"/>
  <c r="V15" i="2" s="1"/>
  <c r="U32" i="2"/>
  <c r="S23" i="2"/>
  <c r="T27" i="2"/>
  <c r="I29" i="2"/>
  <c r="T34" i="2"/>
  <c r="S35" i="2"/>
  <c r="W9" i="2"/>
  <c r="R29" i="2"/>
  <c r="R24" i="2"/>
  <c r="W14" i="2"/>
  <c r="U27" i="2"/>
  <c r="U33" i="2"/>
  <c r="U34" i="2"/>
  <c r="U28" i="2"/>
  <c r="S29" i="2"/>
  <c r="S24" i="2"/>
  <c r="B24" i="2"/>
  <c r="B29" i="2"/>
  <c r="C23" i="2"/>
  <c r="C24" i="2" s="1"/>
  <c r="C30" i="2"/>
  <c r="K20" i="2"/>
  <c r="H23" i="2"/>
  <c r="H29" i="2" s="1"/>
  <c r="H30" i="2"/>
  <c r="D23" i="2"/>
  <c r="D24" i="2" s="1"/>
  <c r="E23" i="2"/>
  <c r="I35" i="2" s="1"/>
  <c r="K34" i="2"/>
  <c r="G34" i="2"/>
  <c r="G28" i="2"/>
  <c r="F28" i="2"/>
  <c r="F20" i="2"/>
  <c r="J34" i="2"/>
  <c r="J20" i="2"/>
  <c r="J28" i="2"/>
  <c r="G20" i="2"/>
  <c r="V32" i="2" l="1"/>
  <c r="C29" i="2"/>
  <c r="H24" i="2"/>
  <c r="W15" i="2"/>
  <c r="T23" i="2"/>
  <c r="T37" i="2" s="1"/>
  <c r="U16" i="2" s="1"/>
  <c r="U20" i="2" s="1"/>
  <c r="U21" i="2" s="1"/>
  <c r="V27" i="2"/>
  <c r="V33" i="2"/>
  <c r="V34" i="2"/>
  <c r="V28" i="2"/>
  <c r="X14" i="2"/>
  <c r="X9" i="2"/>
  <c r="W32" i="2"/>
  <c r="F23" i="2"/>
  <c r="F29" i="2" s="1"/>
  <c r="F30" i="2"/>
  <c r="G23" i="2"/>
  <c r="G29" i="2" s="1"/>
  <c r="G30" i="2"/>
  <c r="K23" i="2"/>
  <c r="K30" i="2"/>
  <c r="J23" i="2"/>
  <c r="J24" i="2" s="1"/>
  <c r="J30" i="2"/>
  <c r="E24" i="2"/>
  <c r="H35" i="2"/>
  <c r="E29" i="2"/>
  <c r="D29" i="2"/>
  <c r="G35" i="2" l="1"/>
  <c r="K35" i="2"/>
  <c r="F24" i="2"/>
  <c r="G24" i="2"/>
  <c r="X15" i="2"/>
  <c r="T29" i="2"/>
  <c r="T24" i="2"/>
  <c r="T35" i="2"/>
  <c r="U30" i="2"/>
  <c r="U23" i="2"/>
  <c r="U37" i="2" s="1"/>
  <c r="V16" i="2" s="1"/>
  <c r="V20" i="2" s="1"/>
  <c r="V21" i="2" s="1"/>
  <c r="V30" i="2" s="1"/>
  <c r="W34" i="2"/>
  <c r="W28" i="2"/>
  <c r="Y9" i="2"/>
  <c r="X32" i="2"/>
  <c r="Y14" i="2"/>
  <c r="W27" i="2"/>
  <c r="W33" i="2"/>
  <c r="K29" i="2"/>
  <c r="K24" i="2"/>
  <c r="J35" i="2"/>
  <c r="J29" i="2"/>
  <c r="Y15" i="2" l="1"/>
  <c r="U35" i="2"/>
  <c r="U29" i="2"/>
  <c r="U24" i="2"/>
  <c r="V23" i="2"/>
  <c r="V24" i="2" s="1"/>
  <c r="X27" i="2"/>
  <c r="X33" i="2"/>
  <c r="X34" i="2"/>
  <c r="X28" i="2"/>
  <c r="Y32" i="2"/>
  <c r="V29" i="2" l="1"/>
  <c r="V35" i="2"/>
  <c r="V37" i="2"/>
  <c r="W16" i="2" s="1"/>
  <c r="W20" i="2" s="1"/>
  <c r="W21" i="2" s="1"/>
  <c r="W30" i="2" s="1"/>
  <c r="Y27" i="2"/>
  <c r="Y33" i="2"/>
  <c r="Y28" i="2"/>
  <c r="Y34" i="2"/>
  <c r="W23" i="2" l="1"/>
  <c r="W37" i="2" s="1"/>
  <c r="X16" i="2" s="1"/>
  <c r="X20" i="2" s="1"/>
  <c r="X21" i="2" s="1"/>
  <c r="X30" i="2" s="1"/>
  <c r="W29" i="2"/>
  <c r="W35" i="2"/>
  <c r="W24" i="2"/>
  <c r="X23" i="2" l="1"/>
  <c r="X37" i="2" s="1"/>
  <c r="Y16" i="2" s="1"/>
  <c r="Y20" i="2" s="1"/>
  <c r="Y21" i="2" s="1"/>
  <c r="Y30" i="2" s="1"/>
  <c r="Y23" i="2"/>
  <c r="X29" i="2"/>
  <c r="X35" i="2"/>
  <c r="X24" i="2"/>
  <c r="Y37" i="2" l="1"/>
  <c r="Z23" i="2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Y35" i="2"/>
  <c r="Y24" i="2"/>
  <c r="Y29" i="2"/>
  <c r="Z24" i="2" l="1"/>
  <c r="AA24" i="2" l="1"/>
  <c r="AB24" i="2" l="1"/>
  <c r="AC24" i="2" l="1"/>
  <c r="AD24" i="2" l="1"/>
  <c r="AE24" i="2" l="1"/>
  <c r="AF24" i="2" l="1"/>
  <c r="AG24" i="2" l="1"/>
  <c r="AH24" i="2" l="1"/>
  <c r="AI24" i="2" l="1"/>
  <c r="AJ24" i="2" l="1"/>
  <c r="AK24" i="2" l="1"/>
  <c r="AL24" i="2" l="1"/>
  <c r="AM24" i="2" l="1"/>
  <c r="P7" i="2"/>
  <c r="P9" i="2" s="1"/>
  <c r="P10" i="2" s="1"/>
  <c r="P12" i="2" s="1"/>
</calcChain>
</file>

<file path=xl/sharedStrings.xml><?xml version="1.0" encoding="utf-8"?>
<sst xmlns="http://schemas.openxmlformats.org/spreadsheetml/2006/main" count="74" uniqueCount="56">
  <si>
    <t>GCT</t>
  </si>
  <si>
    <t xml:space="preserve">Price </t>
  </si>
  <si>
    <t>Shares</t>
  </si>
  <si>
    <t>Q224</t>
  </si>
  <si>
    <t>MC</t>
  </si>
  <si>
    <t>931M</t>
  </si>
  <si>
    <t>Cash</t>
  </si>
  <si>
    <t>Debt</t>
  </si>
  <si>
    <t>EV</t>
  </si>
  <si>
    <t xml:space="preserve"> 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</si>
  <si>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</si>
  <si>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</si>
  <si>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</si>
  <si>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</si>
  <si>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</si>
  <si>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</si>
  <si>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</si>
  <si>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</si>
  <si>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</si>
  <si>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Services</t>
  </si>
  <si>
    <t>Products</t>
  </si>
  <si>
    <t>Revenue</t>
  </si>
  <si>
    <t>COGS</t>
  </si>
  <si>
    <t>Gross Profit</t>
  </si>
  <si>
    <t>SM</t>
  </si>
  <si>
    <t>GA</t>
  </si>
  <si>
    <t>RD</t>
  </si>
  <si>
    <t>Depreciation of equipment</t>
  </si>
  <si>
    <t>OPEX</t>
  </si>
  <si>
    <t>Operating Profit</t>
  </si>
  <si>
    <t>Interest Income</t>
  </si>
  <si>
    <t>LC Loss</t>
  </si>
  <si>
    <t>Subsidies</t>
  </si>
  <si>
    <t>Other Net</t>
  </si>
  <si>
    <t>Pretaxe</t>
  </si>
  <si>
    <t>Taxes</t>
  </si>
  <si>
    <t>Other Adjustments</t>
  </si>
  <si>
    <t>Net Income</t>
  </si>
  <si>
    <t>EPS</t>
  </si>
  <si>
    <t>Gross Margin</t>
  </si>
  <si>
    <t>Operating Margin</t>
  </si>
  <si>
    <t>Net Margin</t>
  </si>
  <si>
    <t>Taxe Rate</t>
  </si>
  <si>
    <t>Revenue y/y</t>
  </si>
  <si>
    <t>Gross Margin y/y</t>
  </si>
  <si>
    <t>Operating Margin y/y</t>
  </si>
  <si>
    <t>Net Margin y/y</t>
  </si>
  <si>
    <t>ROIC</t>
  </si>
  <si>
    <t>MR</t>
  </si>
  <si>
    <t>DR</t>
  </si>
  <si>
    <t>NPV</t>
  </si>
  <si>
    <t>NC</t>
  </si>
  <si>
    <t>Total Value</t>
  </si>
  <si>
    <t>Per share</t>
  </si>
  <si>
    <t>Current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</si>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</sst>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0"/>
  </numFmts>
  <fonts count="3" x14ac:knownFonts="1"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4" fontId="0" fillId="0" borderId="0" xfId="0" applyNumberFormat="1"/>
    <xf numFmtId="4" fontId="2" fillId="0" borderId="0" xfId="0" applyNumberFormat="1" applyFont="1"/>
    <xf numFmtId="9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4" fontId="0" fillId="2" borderId="0" xfId="0" applyNumberFormat="1" applyFill="1"/>
    <xf numFmtId="8" fontId="0" fillId="0" borderId="0" xfId="0" applyNumberFormat="1"/>
    <xf numFmtId="3" fontId="2" fillId="0" borderId="0" xfId="0" applyNumberFormat="1" applyFon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674370</xdr:colOff>
      <xdr:row>0</xdr:row>
      <xdr:rowOff>60960</xdr:rowOff>
    </xdr:from>
    <xdr:to>
      <xdr:col>10</xdr:col>
      <xdr:colOff>674370</xdr:colOff>
      <xdr:row>35</xdr:row>
      <xdr:rowOff>68580</xdr:rowOff>
    </xdr:to>
    <xdr:cxnSp macro="">
      <xdr:nvCxnSpPr>
        <xdr:cNvPr id="5" name="Conexão reta 4">
          <a:extLst>
            <a:ext uri="{FF2B5EF4-FFF2-40B4-BE49-F238E27FC236}">
              <a16:creationId xmlns:a16="http://schemas.microsoft.com/office/drawing/2014/main" id="{1F7F9219-0099-4836-1C34-D36181425710}"/>
            </a:ext>
          </a:extLst>
        </xdr:cNvPr>
        <xdr:cNvCxnSpPr/>
      </xdr:nvCxnSpPr>
      <xdr:spPr>
        <a:xfrm>
          <a:off x="9627870" y="60960"/>
          <a:ext cx="0" cy="64084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</xdr:colOff>
      <xdr:row>0</xdr:row>
      <xdr:rowOff>99060</xdr:rowOff>
    </xdr:from>
    <xdr:to>
      <xdr:col>19</xdr:col>
      <xdr:colOff>7620</xdr:colOff>
      <xdr:row>35</xdr:row>
      <xdr:rowOff>106680</xdr:rowOff>
    </xdr:to>
    <xdr:cxnSp macro="">
      <xdr:nvCxnSpPr>
        <xdr:cNvPr id="7" name="Conexão reta 6">
          <a:extLst>
            <a:ext uri="{FF2B5EF4-FFF2-40B4-BE49-F238E27FC236}">
              <a16:creationId xmlns:a16="http://schemas.microsoft.com/office/drawing/2014/main" id="{DFD6E2C5-923F-4C83-8F8B-765BAA43AA0A}"/>
            </a:ext>
          </a:extLst>
        </xdr:cNvPr>
        <xdr:cNvCxnSpPr/>
      </xdr:nvCxnSpPr>
      <xdr:spPr>
        <a:xfrm>
          <a:off x="12854940" y="99060"/>
          <a:ext cx="0" cy="61417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7F7C-F6B4-4282-8DB3-DDDDCE22AF5C}">
  <dimension ref="B2:M12"/>
  <sheetViews>
    <sheetView topLeftCell="D1" workbookViewId="0">
      <selection activeCell="K12" sqref="K12"/>
    </sheetView>
  </sheetViews>
  <sheetFormatPr defaultRowHeight="14.25" x14ac:dyDescent="0.2"/>
  <sheetData>
    <row r="2" spans="2:13" ht="15" x14ac:dyDescent="0.25">
      <c r="B2" s="1" t="s">
        <v>0</v>
      </c>
    </row>
    <row r="3" spans="2:13" x14ac:dyDescent="0.2">
      <c r="K3" t="s">
        <v>1</v>
      </c>
      <c r="L3" s="2">
        <v>22.5</v>
      </c>
    </row>
    <row r="4" spans="2:13" x14ac:dyDescent="0.2">
      <c r="K4" t="s">
        <v>2</v>
      </c>
      <c r="L4" s="2">
        <f>33.286162+8.076732</f>
        <v>41.362893999999997</v>
      </c>
      <c r="M4" t="s">
        <v>3</v>
      </c>
    </row>
    <row r="5" spans="2:13" x14ac:dyDescent="0.2">
      <c r="K5" t="s">
        <v>4</v>
      </c>
      <c r="L5" s="2">
        <f>+L4*L3</f>
        <v>930.6651149999999</v>
      </c>
      <c r="M5" t="s">
        <v>5</v>
      </c>
    </row>
    <row r="6" spans="2:13" x14ac:dyDescent="0.2">
      <c r="K6" t="s">
        <v>6</v>
      </c>
      <c r="L6" s="2">
        <v>185.62299999999999</v>
      </c>
      <c r="M6" t="s">
        <v>3</v>
      </c>
    </row>
    <row r="7" spans="2:13" x14ac:dyDescent="0.2">
      <c r="K7" t="s">
        <v>7</v>
      </c>
      <c r="L7" s="2">
        <f>6.497+71.754+79.855</f>
        <v>158.10599999999999</v>
      </c>
      <c r="M7" t="s">
        <v>3</v>
      </c>
    </row>
    <row r="8" spans="2:13" x14ac:dyDescent="0.2">
      <c r="K8" t="s">
        <v>8</v>
      </c>
      <c r="L8" s="2">
        <f>+L5-L6+L7</f>
        <v>903.14811499999996</v>
      </c>
    </row>
    <row r="9" spans="2:13" x14ac:dyDescent="0.2">
      <c r="M9" t="s">
        <v>9</v>
      </c>
    </row>
    <row r="12" spans="2:13" x14ac:dyDescent="0.2">
      <c r="K12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51A5-A28B-4287-B996-DB1868A5B70D}">
  <dimension ref="A1:AM46"/>
  <sheetViews>
    <sheetView tabSelected="1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T25" sqref="T25"/>
    </sheetView>
  </sheetViews>
  <sheetFormatPr defaultRowHeight="14.25" x14ac:dyDescent="0.2"/>
  <cols>
    <col min="1" max="2" width="22.75" customWidth="1"/>
    <col min="14" max="14" width="10.75" customWidth="1"/>
    <col min="15" max="15" width="16.5" bestFit="1" customWidth="1"/>
    <col min="16" max="16" width="16.5" customWidth="1"/>
    <col min="20" max="20" width="6.375" bestFit="1" customWidth="1"/>
    <col min="21" max="21" width="9" customWidth="1"/>
    <col min="22" max="22" width="6.375" bestFit="1" customWidth="1"/>
    <col min="23" max="23" width="6.875" customWidth="1"/>
    <col min="24" max="24" width="7.625" customWidth="1"/>
    <col min="25" max="25" width="7.875" customWidth="1"/>
    <col min="26" max="26" width="6.75" customWidth="1"/>
    <col min="27" max="27" width="8.875" customWidth="1"/>
    <col min="28" max="28" width="6.625" customWidth="1"/>
    <col min="29" max="29" width="7.25" customWidth="1"/>
    <col min="30" max="30" width="7.75" customWidth="1"/>
    <col min="31" max="31" width="7.25" customWidth="1"/>
    <col min="32" max="32" width="8.75" customWidth="1"/>
    <col min="33" max="33" width="10.125" customWidth="1"/>
    <col min="34" max="34" width="7.75" customWidth="1"/>
    <col min="35" max="35" width="9.75" customWidth="1"/>
    <col min="36" max="36" width="7.75" customWidth="1"/>
    <col min="37" max="37" width="7.625" customWidth="1"/>
    <col min="38" max="39" width="6.875" customWidth="1"/>
    <col min="46" max="46" width="8.75" customWidth="1"/>
  </cols>
  <sheetData>
    <row r="1" spans="1:39" x14ac:dyDescent="0.2">
      <c r="T1" t="s">
        <v>9</v>
      </c>
    </row>
    <row r="2" spans="1:39" x14ac:dyDescent="0.2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3</v>
      </c>
      <c r="R2">
        <v>2022</v>
      </c>
      <c r="S2">
        <f>+R2+1</f>
        <v>2023</v>
      </c>
      <c r="T2">
        <f t="shared" ref="T2:AM2" si="0">+S2+1</f>
        <v>2024</v>
      </c>
      <c r="U2">
        <f t="shared" si="0"/>
        <v>2025</v>
      </c>
      <c r="V2">
        <f t="shared" si="0"/>
        <v>2026</v>
      </c>
      <c r="W2">
        <f t="shared" si="0"/>
        <v>2027</v>
      </c>
      <c r="X2">
        <f t="shared" si="0"/>
        <v>2028</v>
      </c>
      <c r="Y2">
        <f t="shared" si="0"/>
        <v>2029</v>
      </c>
      <c r="Z2">
        <f t="shared" si="0"/>
        <v>2030</v>
      </c>
      <c r="AA2">
        <f t="shared" si="0"/>
        <v>2031</v>
      </c>
      <c r="AB2">
        <f t="shared" si="0"/>
        <v>2032</v>
      </c>
      <c r="AC2">
        <f t="shared" si="0"/>
        <v>2033</v>
      </c>
      <c r="AD2">
        <f t="shared" si="0"/>
        <v>2034</v>
      </c>
      <c r="AE2">
        <f t="shared" si="0"/>
        <v>2035</v>
      </c>
      <c r="AF2">
        <f t="shared" si="0"/>
        <v>2036</v>
      </c>
      <c r="AG2">
        <f t="shared" si="0"/>
        <v>2037</v>
      </c>
      <c r="AH2">
        <f t="shared" si="0"/>
        <v>2038</v>
      </c>
      <c r="AI2">
        <f t="shared" si="0"/>
        <v>2039</v>
      </c>
      <c r="AJ2">
        <f t="shared" si="0"/>
        <v>2040</v>
      </c>
      <c r="AK2">
        <f t="shared" si="0"/>
        <v>2041</v>
      </c>
      <c r="AL2">
        <f t="shared" si="0"/>
        <v>2042</v>
      </c>
      <c r="AM2">
        <f t="shared" si="0"/>
        <v>2043</v>
      </c>
    </row>
    <row r="3" spans="1:39" s="2" customFormat="1" x14ac:dyDescent="0.2">
      <c r="A3" t="s">
        <v>19</v>
      </c>
      <c r="B3" s="4">
        <v>31.218</v>
      </c>
      <c r="C3" s="4">
        <v>32.823</v>
      </c>
      <c r="D3" s="7">
        <v>40.518000000000001</v>
      </c>
      <c r="E3" s="7">
        <v>36.069000000000003</v>
      </c>
      <c r="F3" s="7">
        <v>35.095999999999997</v>
      </c>
      <c r="G3" s="7">
        <v>43.277999999999999</v>
      </c>
      <c r="H3" s="7">
        <v>51.473999999999997</v>
      </c>
      <c r="I3" s="7">
        <v>69.335999999999999</v>
      </c>
      <c r="J3" s="7">
        <v>67.415000000000006</v>
      </c>
      <c r="K3" s="7">
        <v>85.378</v>
      </c>
      <c r="L3" s="7"/>
      <c r="M3" s="7"/>
      <c r="N3"/>
      <c r="O3"/>
      <c r="P3"/>
      <c r="Q3"/>
      <c r="R3" s="4">
        <f>SUM(B3:E3)</f>
        <v>140.62799999999999</v>
      </c>
      <c r="S3" s="4">
        <f>SUM(F3:I3)</f>
        <v>199.18399999999997</v>
      </c>
    </row>
    <row r="4" spans="1:39" s="2" customFormat="1" x14ac:dyDescent="0.2">
      <c r="A4" t="s">
        <v>20</v>
      </c>
      <c r="B4" s="4">
        <v>81.224000000000004</v>
      </c>
      <c r="C4" s="4">
        <v>91.203999999999994</v>
      </c>
      <c r="D4" s="7">
        <v>87.48</v>
      </c>
      <c r="E4" s="7">
        <v>89.534999999999997</v>
      </c>
      <c r="F4" s="7">
        <v>92.700999999999993</v>
      </c>
      <c r="G4" s="7">
        <v>109.852</v>
      </c>
      <c r="H4" s="7">
        <v>126.693</v>
      </c>
      <c r="I4" s="7">
        <v>175.40100000000001</v>
      </c>
      <c r="J4" s="7">
        <v>183.66200000000001</v>
      </c>
      <c r="K4" s="7">
        <v>225.489</v>
      </c>
      <c r="L4" s="7"/>
      <c r="M4" s="7"/>
      <c r="N4"/>
      <c r="O4" t="s">
        <v>47</v>
      </c>
      <c r="P4" s="6">
        <v>0.01</v>
      </c>
      <c r="Q4"/>
      <c r="R4" s="4">
        <f>SUM(B4:E4)</f>
        <v>349.44299999999998</v>
      </c>
      <c r="S4" s="4">
        <f>SUM(F4:I4)</f>
        <v>504.64699999999999</v>
      </c>
    </row>
    <row r="5" spans="1:39" s="11" customFormat="1" ht="15" x14ac:dyDescent="0.25">
      <c r="A5" s="3" t="s">
        <v>21</v>
      </c>
      <c r="B5" s="8">
        <f t="shared" ref="B5:K5" si="1">+B3+B4</f>
        <v>112.44200000000001</v>
      </c>
      <c r="C5" s="8">
        <f t="shared" si="1"/>
        <v>124.02699999999999</v>
      </c>
      <c r="D5" s="8">
        <f t="shared" si="1"/>
        <v>127.998</v>
      </c>
      <c r="E5" s="8">
        <f t="shared" si="1"/>
        <v>125.604</v>
      </c>
      <c r="F5" s="8">
        <f t="shared" si="1"/>
        <v>127.797</v>
      </c>
      <c r="G5" s="8">
        <f t="shared" si="1"/>
        <v>153.13</v>
      </c>
      <c r="H5" s="8">
        <f t="shared" si="1"/>
        <v>178.167</v>
      </c>
      <c r="I5" s="8">
        <f t="shared" si="1"/>
        <v>244.73700000000002</v>
      </c>
      <c r="J5" s="8">
        <f t="shared" si="1"/>
        <v>251.077</v>
      </c>
      <c r="K5" s="8">
        <f t="shared" si="1"/>
        <v>310.86700000000002</v>
      </c>
      <c r="L5" s="8"/>
      <c r="M5" s="8"/>
      <c r="N5" s="3"/>
      <c r="O5" t="s">
        <v>48</v>
      </c>
      <c r="P5" s="6">
        <v>0</v>
      </c>
      <c r="Q5" s="3"/>
      <c r="R5" s="5">
        <f>+R3+R4</f>
        <v>490.07099999999997</v>
      </c>
      <c r="S5" s="5">
        <f>+S3+S4</f>
        <v>703.8309999999999</v>
      </c>
      <c r="T5" s="11">
        <f>+S5*1.1</f>
        <v>774.21409999999992</v>
      </c>
      <c r="U5" s="11">
        <f t="shared" ref="U5:Y5" si="2">+T5*1.1</f>
        <v>851.63550999999995</v>
      </c>
      <c r="V5" s="11">
        <f t="shared" si="2"/>
        <v>936.79906100000005</v>
      </c>
      <c r="W5" s="11">
        <f t="shared" si="2"/>
        <v>1030.4789671000001</v>
      </c>
      <c r="X5" s="11">
        <f t="shared" si="2"/>
        <v>1133.5268638100001</v>
      </c>
      <c r="Y5" s="11">
        <f t="shared" si="2"/>
        <v>1246.8795501910001</v>
      </c>
    </row>
    <row r="6" spans="1:39" s="2" customFormat="1" x14ac:dyDescent="0.2">
      <c r="A6" t="s">
        <v>19</v>
      </c>
      <c r="B6" s="7">
        <v>29.201000000000001</v>
      </c>
      <c r="C6" s="7">
        <v>28.344000000000001</v>
      </c>
      <c r="D6" s="7">
        <v>32.630000000000003</v>
      </c>
      <c r="E6" s="7">
        <v>29.927</v>
      </c>
      <c r="F6" s="7">
        <v>28.766999999999999</v>
      </c>
      <c r="G6" s="7">
        <v>34.781999999999996</v>
      </c>
      <c r="H6" s="7">
        <v>40.375</v>
      </c>
      <c r="I6" s="7">
        <v>57.290999999999997</v>
      </c>
      <c r="J6" s="7">
        <v>54.430999999999997</v>
      </c>
      <c r="K6" s="7">
        <v>74.040000000000006</v>
      </c>
      <c r="L6" s="7"/>
      <c r="M6" s="7"/>
      <c r="N6"/>
      <c r="O6" t="s">
        <v>49</v>
      </c>
      <c r="P6" s="6">
        <v>0.11</v>
      </c>
      <c r="Q6"/>
      <c r="R6" s="4">
        <f t="shared" ref="R6:R7" si="3">SUM(B6:E6)</f>
        <v>120.102</v>
      </c>
      <c r="S6" s="4">
        <f t="shared" ref="S6:S7" si="4">SUM(F6:I6)</f>
        <v>161.21499999999997</v>
      </c>
      <c r="T6" s="2">
        <f t="shared" ref="T6:Y7" si="5">+S6*1.05</f>
        <v>169.27574999999999</v>
      </c>
      <c r="U6" s="2">
        <f t="shared" si="5"/>
        <v>177.73953749999998</v>
      </c>
      <c r="V6" s="2">
        <f t="shared" si="5"/>
        <v>186.626514375</v>
      </c>
      <c r="W6" s="2">
        <f t="shared" si="5"/>
        <v>195.95784009375001</v>
      </c>
      <c r="X6" s="2">
        <f t="shared" si="5"/>
        <v>205.75573209843751</v>
      </c>
      <c r="Y6" s="2">
        <f t="shared" si="5"/>
        <v>216.04351870335938</v>
      </c>
    </row>
    <row r="7" spans="1:39" s="2" customFormat="1" x14ac:dyDescent="0.2">
      <c r="A7" t="s">
        <v>20</v>
      </c>
      <c r="B7" s="7">
        <v>66.370999999999995</v>
      </c>
      <c r="C7" s="7">
        <v>78.662000000000006</v>
      </c>
      <c r="D7" s="7">
        <v>72.819000000000003</v>
      </c>
      <c r="E7" s="7">
        <v>69.003</v>
      </c>
      <c r="F7" s="7">
        <v>69.456000000000003</v>
      </c>
      <c r="G7" s="7">
        <v>77.983999999999995</v>
      </c>
      <c r="H7" s="7">
        <v>88.933999999999997</v>
      </c>
      <c r="I7" s="7">
        <v>117.60899999999999</v>
      </c>
      <c r="J7" s="7">
        <v>130.09800000000001</v>
      </c>
      <c r="K7" s="7">
        <v>160.38</v>
      </c>
      <c r="L7" s="7"/>
      <c r="M7" s="7"/>
      <c r="N7"/>
      <c r="O7" t="s">
        <v>50</v>
      </c>
      <c r="P7" s="10">
        <f>NPV(P6,T23:AM23)</f>
        <v>2436.7393833231154</v>
      </c>
      <c r="Q7"/>
      <c r="R7" s="4">
        <f t="shared" si="3"/>
        <v>286.85500000000002</v>
      </c>
      <c r="S7" s="4">
        <f t="shared" si="4"/>
        <v>353.983</v>
      </c>
      <c r="T7" s="2">
        <f t="shared" si="5"/>
        <v>371.68215000000004</v>
      </c>
      <c r="U7" s="2">
        <f t="shared" ref="U7:Y7" si="6">+T7*1.05</f>
        <v>390.26625750000005</v>
      </c>
      <c r="V7" s="2">
        <f t="shared" si="6"/>
        <v>409.77957037500005</v>
      </c>
      <c r="W7" s="2">
        <f t="shared" si="6"/>
        <v>430.26854889375005</v>
      </c>
      <c r="X7" s="2">
        <f t="shared" si="6"/>
        <v>451.78197633843757</v>
      </c>
      <c r="Y7" s="2">
        <f t="shared" si="6"/>
        <v>474.37107515535945</v>
      </c>
    </row>
    <row r="8" spans="1:39" s="2" customFormat="1" x14ac:dyDescent="0.2">
      <c r="A8" t="s">
        <v>22</v>
      </c>
      <c r="B8" s="7">
        <f t="shared" ref="B8:K8" si="7">+B6+B7</f>
        <v>95.572000000000003</v>
      </c>
      <c r="C8" s="7">
        <f t="shared" si="7"/>
        <v>107.006</v>
      </c>
      <c r="D8" s="7">
        <f t="shared" si="7"/>
        <v>105.44900000000001</v>
      </c>
      <c r="E8" s="7">
        <f t="shared" si="7"/>
        <v>98.93</v>
      </c>
      <c r="F8" s="7">
        <f t="shared" si="7"/>
        <v>98.222999999999999</v>
      </c>
      <c r="G8" s="7">
        <f t="shared" si="7"/>
        <v>112.76599999999999</v>
      </c>
      <c r="H8" s="7">
        <f t="shared" si="7"/>
        <v>129.309</v>
      </c>
      <c r="I8" s="7">
        <f t="shared" si="7"/>
        <v>174.89999999999998</v>
      </c>
      <c r="J8" s="7">
        <f t="shared" si="7"/>
        <v>184.529</v>
      </c>
      <c r="K8" s="7">
        <f t="shared" si="7"/>
        <v>234.42000000000002</v>
      </c>
      <c r="L8" s="7"/>
      <c r="M8" s="7"/>
      <c r="N8"/>
      <c r="O8" t="s">
        <v>51</v>
      </c>
      <c r="P8" s="2">
        <f>+main!L6-main!L7</f>
        <v>27.516999999999996</v>
      </c>
      <c r="Q8"/>
      <c r="R8" s="4">
        <f>+R6+R7</f>
        <v>406.95699999999999</v>
      </c>
      <c r="S8" s="4">
        <f>+S6+S7</f>
        <v>515.19799999999998</v>
      </c>
      <c r="T8" s="4">
        <f t="shared" ref="T8:Y8" si="8">+T6+T7</f>
        <v>540.9579</v>
      </c>
      <c r="U8" s="4">
        <f t="shared" si="8"/>
        <v>568.00579500000003</v>
      </c>
      <c r="V8" s="4">
        <f t="shared" si="8"/>
        <v>596.40608474999999</v>
      </c>
      <c r="W8" s="4">
        <f t="shared" si="8"/>
        <v>626.22638898750006</v>
      </c>
      <c r="X8" s="4">
        <f t="shared" si="8"/>
        <v>657.53770843687505</v>
      </c>
      <c r="Y8" s="4">
        <f t="shared" si="8"/>
        <v>690.41459385871883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1:39" s="11" customFormat="1" ht="15" x14ac:dyDescent="0.25">
      <c r="A9" s="3" t="s">
        <v>23</v>
      </c>
      <c r="B9" s="8">
        <f t="shared" ref="B9:K9" si="9">+B5-B8</f>
        <v>16.870000000000005</v>
      </c>
      <c r="C9" s="8">
        <f t="shared" si="9"/>
        <v>17.020999999999987</v>
      </c>
      <c r="D9" s="8">
        <f t="shared" si="9"/>
        <v>22.548999999999992</v>
      </c>
      <c r="E9" s="8">
        <f t="shared" si="9"/>
        <v>26.673999999999992</v>
      </c>
      <c r="F9" s="8">
        <f t="shared" si="9"/>
        <v>29.573999999999998</v>
      </c>
      <c r="G9" s="8">
        <f t="shared" si="9"/>
        <v>40.364000000000004</v>
      </c>
      <c r="H9" s="8">
        <f t="shared" si="9"/>
        <v>48.858000000000004</v>
      </c>
      <c r="I9" s="8">
        <f t="shared" si="9"/>
        <v>69.837000000000046</v>
      </c>
      <c r="J9" s="8">
        <f t="shared" si="9"/>
        <v>66.548000000000002</v>
      </c>
      <c r="K9" s="8">
        <f t="shared" si="9"/>
        <v>76.447000000000003</v>
      </c>
      <c r="L9" s="8"/>
      <c r="M9" s="8"/>
      <c r="N9" s="3"/>
      <c r="O9" t="s">
        <v>52</v>
      </c>
      <c r="P9" s="7">
        <f>+P7+P8</f>
        <v>2464.2563833231152</v>
      </c>
      <c r="Q9" s="3"/>
      <c r="R9" s="5">
        <f>+R5-R8</f>
        <v>83.113999999999976</v>
      </c>
      <c r="S9" s="5">
        <f>+S5-S8</f>
        <v>188.63299999999992</v>
      </c>
      <c r="T9" s="5">
        <f t="shared" ref="T9:Y9" si="10">+T5-T8</f>
        <v>233.25619999999992</v>
      </c>
      <c r="U9" s="5">
        <f t="shared" si="10"/>
        <v>283.62971499999992</v>
      </c>
      <c r="V9" s="5">
        <f t="shared" si="10"/>
        <v>340.39297625000006</v>
      </c>
      <c r="W9" s="5">
        <f t="shared" si="10"/>
        <v>404.25257811250003</v>
      </c>
      <c r="X9" s="5">
        <f t="shared" si="10"/>
        <v>475.98915537312507</v>
      </c>
      <c r="Y9" s="5">
        <f t="shared" si="10"/>
        <v>556.4649563322813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s="2" customFormat="1" ht="15" x14ac:dyDescent="0.25">
      <c r="A10" t="s">
        <v>24</v>
      </c>
      <c r="B10" s="7">
        <v>5.5620000000000003</v>
      </c>
      <c r="C10" s="7">
        <v>5.452</v>
      </c>
      <c r="D10" s="7">
        <v>6.7679999999999998</v>
      </c>
      <c r="E10" s="7">
        <v>6.2560000000000002</v>
      </c>
      <c r="F10" s="7">
        <v>6.8959999999999999</v>
      </c>
      <c r="G10" s="7">
        <v>9.5350000000000001</v>
      </c>
      <c r="H10" s="7">
        <v>10.951000000000001</v>
      </c>
      <c r="I10" s="7">
        <v>14.004</v>
      </c>
      <c r="J10" s="7">
        <v>14.58</v>
      </c>
      <c r="K10" s="7">
        <v>19.46</v>
      </c>
      <c r="L10" s="7"/>
      <c r="M10" s="7"/>
      <c r="N10"/>
      <c r="O10" t="s">
        <v>53</v>
      </c>
      <c r="P10">
        <f>+P9/main!L4</f>
        <v>59.576498281844479</v>
      </c>
      <c r="Q10"/>
      <c r="R10" s="4">
        <f t="shared" ref="R10:R13" si="11">SUM(B10:E10)</f>
        <v>24.038</v>
      </c>
      <c r="S10" s="4">
        <f t="shared" ref="S10:S13" si="12">SUM(F10:I10)</f>
        <v>41.386000000000003</v>
      </c>
      <c r="T10" s="2">
        <f>+S10*1.08</f>
        <v>44.696880000000007</v>
      </c>
      <c r="U10" s="2">
        <f t="shared" ref="U10:Y10" si="13">+T10*1.08</f>
        <v>48.272630400000011</v>
      </c>
      <c r="V10" s="2">
        <f t="shared" si="13"/>
        <v>52.134440832000017</v>
      </c>
      <c r="W10" s="2">
        <f t="shared" si="13"/>
        <v>56.305196098560025</v>
      </c>
      <c r="X10" s="2">
        <f t="shared" si="13"/>
        <v>60.809611786444833</v>
      </c>
      <c r="Y10" s="2">
        <f t="shared" si="13"/>
        <v>65.674380729360422</v>
      </c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spans="1:39" s="2" customFormat="1" ht="15" x14ac:dyDescent="0.25">
      <c r="A11" t="s">
        <v>25</v>
      </c>
      <c r="B11" s="7">
        <v>3.827</v>
      </c>
      <c r="C11" s="7">
        <v>3.3359999999999999</v>
      </c>
      <c r="D11" s="7">
        <v>11.532999999999999</v>
      </c>
      <c r="E11" s="7">
        <v>3.931</v>
      </c>
      <c r="F11" s="7">
        <v>4.1500000000000004</v>
      </c>
      <c r="G11" s="7">
        <v>6.8970000000000002</v>
      </c>
      <c r="H11" s="7">
        <v>5.8310000000000004</v>
      </c>
      <c r="I11" s="7">
        <v>13.13</v>
      </c>
      <c r="J11" s="7">
        <v>15.388999999999999</v>
      </c>
      <c r="K11" s="7">
        <v>26.28</v>
      </c>
      <c r="L11" s="7"/>
      <c r="M11" s="7"/>
      <c r="N11"/>
      <c r="O11" t="s">
        <v>54</v>
      </c>
      <c r="P11">
        <v>18</v>
      </c>
      <c r="Q11"/>
      <c r="R11" s="4">
        <f t="shared" si="11"/>
        <v>22.626999999999999</v>
      </c>
      <c r="S11" s="4">
        <f t="shared" si="12"/>
        <v>30.008000000000003</v>
      </c>
      <c r="T11" s="2">
        <f t="shared" ref="T11:Y11" si="14">+S11*1.05</f>
        <v>31.508400000000005</v>
      </c>
      <c r="U11" s="2">
        <f t="shared" si="14"/>
        <v>33.08382000000001</v>
      </c>
      <c r="V11" s="2">
        <f t="shared" si="14"/>
        <v>34.738011000000014</v>
      </c>
      <c r="W11" s="2">
        <f t="shared" si="14"/>
        <v>36.474911550000016</v>
      </c>
      <c r="X11" s="2">
        <f t="shared" si="14"/>
        <v>38.298657127500022</v>
      </c>
      <c r="Y11" s="2">
        <f t="shared" si="14"/>
        <v>40.213589983875025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spans="1:39" s="2" customFormat="1" ht="15" x14ac:dyDescent="0.25">
      <c r="A12" t="s">
        <v>26</v>
      </c>
      <c r="B12" s="7">
        <v>0</v>
      </c>
      <c r="C12" s="7">
        <v>0</v>
      </c>
      <c r="D12" s="7">
        <v>0</v>
      </c>
      <c r="E12" s="7">
        <v>1.4259999999999999</v>
      </c>
      <c r="F12" s="7">
        <v>0.67200000000000004</v>
      </c>
      <c r="G12" s="7">
        <v>0.53200000000000003</v>
      </c>
      <c r="H12" s="7">
        <v>0.377</v>
      </c>
      <c r="I12" s="7">
        <v>2.3439999999999999</v>
      </c>
      <c r="J12" s="7">
        <v>1.756</v>
      </c>
      <c r="K12" s="7">
        <v>3.097</v>
      </c>
      <c r="L12" s="7"/>
      <c r="M12" s="7"/>
      <c r="N12"/>
      <c r="O12" t="s">
        <v>55</v>
      </c>
      <c r="P12" s="6">
        <f>+P10/P11-1</f>
        <v>2.3098054601024711</v>
      </c>
      <c r="Q12"/>
      <c r="R12" s="4">
        <f t="shared" si="11"/>
        <v>1.4259999999999999</v>
      </c>
      <c r="S12" s="4">
        <f t="shared" si="12"/>
        <v>3.9249999999999998</v>
      </c>
      <c r="T12" s="2">
        <f t="shared" ref="T12:Y12" si="15">+S12*1.05</f>
        <v>4.1212499999999999</v>
      </c>
      <c r="U12" s="2">
        <f t="shared" si="15"/>
        <v>4.3273124999999997</v>
      </c>
      <c r="V12" s="2">
        <f t="shared" si="15"/>
        <v>4.5436781249999996</v>
      </c>
      <c r="W12" s="2">
        <f t="shared" si="15"/>
        <v>4.7708620312500001</v>
      </c>
      <c r="X12" s="2">
        <f t="shared" si="15"/>
        <v>5.0094051328125007</v>
      </c>
      <c r="Y12" s="2">
        <f t="shared" si="15"/>
        <v>5.2598753894531258</v>
      </c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 spans="1:39" s="2" customFormat="1" x14ac:dyDescent="0.2">
      <c r="A13" t="s">
        <v>27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3.2360000000000002</v>
      </c>
      <c r="J13" s="7">
        <v>6.0000000000000001E-3</v>
      </c>
      <c r="K13" s="7">
        <v>0.16200000000000001</v>
      </c>
      <c r="L13" s="7"/>
      <c r="M13" s="7"/>
      <c r="N13"/>
      <c r="O13"/>
      <c r="P13" t="s">
        <v>9</v>
      </c>
      <c r="Q13"/>
      <c r="R13" s="4">
        <f t="shared" si="11"/>
        <v>0</v>
      </c>
      <c r="S13" s="4">
        <f t="shared" si="12"/>
        <v>3.2360000000000002</v>
      </c>
      <c r="T13" s="2">
        <f>+S13*1.01</f>
        <v>3.2683600000000004</v>
      </c>
      <c r="U13" s="2">
        <f t="shared" ref="U13:Y13" si="16">+T13*1.01</f>
        <v>3.3010436000000003</v>
      </c>
      <c r="V13" s="2">
        <f t="shared" si="16"/>
        <v>3.3340540360000004</v>
      </c>
      <c r="W13" s="2">
        <f t="shared" si="16"/>
        <v>3.3673945763600006</v>
      </c>
      <c r="X13" s="2">
        <f t="shared" si="16"/>
        <v>3.4010685221236008</v>
      </c>
      <c r="Y13" s="2">
        <f t="shared" si="16"/>
        <v>3.4350792073448368</v>
      </c>
    </row>
    <row r="14" spans="1:39" s="2" customFormat="1" x14ac:dyDescent="0.2">
      <c r="A14" t="s">
        <v>28</v>
      </c>
      <c r="B14" s="7">
        <f>+B10+B11+B12+B13</f>
        <v>9.3889999999999993</v>
      </c>
      <c r="C14" s="7">
        <f>+C10+C11+C12+C13</f>
        <v>8.7880000000000003</v>
      </c>
      <c r="D14" s="7">
        <f>+D10+D11+D12+D13</f>
        <v>18.300999999999998</v>
      </c>
      <c r="E14" s="7">
        <f>+E10+E11+E12+E13</f>
        <v>11.613000000000001</v>
      </c>
      <c r="F14" s="7">
        <f>+F10+F11+F12+F13</f>
        <v>11.718</v>
      </c>
      <c r="G14" s="7">
        <f>+G10+G11+G12+G13</f>
        <v>16.964000000000002</v>
      </c>
      <c r="H14" s="7">
        <f>+H10+H11+H12+H13</f>
        <v>17.158999999999999</v>
      </c>
      <c r="I14" s="7">
        <f>+I10+I11+I12+I13</f>
        <v>32.713999999999999</v>
      </c>
      <c r="J14" s="7">
        <f>+J10+J11+J12+J13</f>
        <v>31.731000000000002</v>
      </c>
      <c r="K14" s="7">
        <f>+K10+K11+K12+K13</f>
        <v>48.999000000000002</v>
      </c>
      <c r="L14" s="7"/>
      <c r="M14" s="7"/>
      <c r="N14"/>
      <c r="O14"/>
      <c r="P14"/>
      <c r="Q14" t="s">
        <v>9</v>
      </c>
      <c r="R14" s="4">
        <f>+R10+R11+R12+R13</f>
        <v>48.091000000000001</v>
      </c>
      <c r="S14" s="4">
        <f>+S10+S11+S12+S13</f>
        <v>78.555000000000007</v>
      </c>
      <c r="T14" s="2">
        <f>+T10+T11+T12+T13</f>
        <v>83.594890000000021</v>
      </c>
      <c r="U14" s="2">
        <f>+U10+U11+U12+U13</f>
        <v>88.984806500000033</v>
      </c>
      <c r="V14" s="2">
        <f>+V10+V11+V12+V13</f>
        <v>94.750183993000022</v>
      </c>
      <c r="W14" s="2">
        <f>+W10+W11+W12+W13</f>
        <v>100.91836425617004</v>
      </c>
      <c r="X14" s="2">
        <f>+X10+X11+X12+X13</f>
        <v>107.51874256888095</v>
      </c>
      <c r="Y14" s="2">
        <f>+Y10+Y11+Y12+Y13</f>
        <v>114.58292531003342</v>
      </c>
    </row>
    <row r="15" spans="1:39" s="11" customFormat="1" ht="15" x14ac:dyDescent="0.25">
      <c r="A15" s="3" t="s">
        <v>29</v>
      </c>
      <c r="B15" s="8">
        <f>+B9-B14</f>
        <v>7.4810000000000052</v>
      </c>
      <c r="C15" s="8">
        <f>+C9-C14</f>
        <v>8.2329999999999863</v>
      </c>
      <c r="D15" s="8">
        <f>+D9-D14</f>
        <v>4.247999999999994</v>
      </c>
      <c r="E15" s="8">
        <f>+E9-E14</f>
        <v>15.060999999999991</v>
      </c>
      <c r="F15" s="8">
        <f>+F9-F14</f>
        <v>17.855999999999998</v>
      </c>
      <c r="G15" s="8">
        <f>+G9-G14</f>
        <v>23.400000000000002</v>
      </c>
      <c r="H15" s="8">
        <f>+H9-H14</f>
        <v>31.699000000000005</v>
      </c>
      <c r="I15" s="8">
        <f>+I9-I14</f>
        <v>37.123000000000047</v>
      </c>
      <c r="J15" s="8">
        <f>+J9-J14</f>
        <v>34.817</v>
      </c>
      <c r="K15" s="8">
        <f>+K9-K14</f>
        <v>27.448</v>
      </c>
      <c r="L15" s="8"/>
      <c r="M15" s="8"/>
      <c r="N15" s="3" t="s">
        <v>9</v>
      </c>
      <c r="O15" s="3"/>
      <c r="P15" s="3"/>
      <c r="Q15" s="3"/>
      <c r="R15" s="5">
        <f>+R9-R14</f>
        <v>35.022999999999975</v>
      </c>
      <c r="S15" s="5">
        <f>+S9-S14</f>
        <v>110.07799999999992</v>
      </c>
      <c r="T15" s="11">
        <f>+T9-T14</f>
        <v>149.6613099999999</v>
      </c>
      <c r="U15" s="11">
        <f>+U9-U14</f>
        <v>194.64490849999987</v>
      </c>
      <c r="V15" s="11">
        <f>+V9-V14</f>
        <v>245.64279225700005</v>
      </c>
      <c r="W15" s="11">
        <f>+W9-W14</f>
        <v>303.33421385633</v>
      </c>
      <c r="X15" s="11">
        <f>+X9-X14</f>
        <v>368.47041280424412</v>
      </c>
      <c r="Y15" s="11">
        <f>+Y9-Y14</f>
        <v>441.88203102224787</v>
      </c>
    </row>
    <row r="16" spans="1:39" s="2" customFormat="1" x14ac:dyDescent="0.2">
      <c r="A16" t="s">
        <v>30</v>
      </c>
      <c r="B16" s="7">
        <f>-0.164+0.092</f>
        <v>-7.2000000000000008E-2</v>
      </c>
      <c r="C16" s="7">
        <f>-0.136+0.032</f>
        <v>-0.10400000000000001</v>
      </c>
      <c r="D16" s="7">
        <f>-0.139+0.094</f>
        <v>-4.5000000000000012E-2</v>
      </c>
      <c r="E16" s="7">
        <f>-0.129+0.254</f>
        <v>0.125</v>
      </c>
      <c r="F16" s="7">
        <f>0.59-0.113</f>
        <v>0.47699999999999998</v>
      </c>
      <c r="G16" s="7">
        <f>-0.804+0.484</f>
        <v>-0.32000000000000006</v>
      </c>
      <c r="H16" s="7">
        <f>0.937-0.215</f>
        <v>0.72200000000000009</v>
      </c>
      <c r="I16" s="7">
        <f>-0.108+1.293</f>
        <v>1.1849999999999998</v>
      </c>
      <c r="J16" s="7">
        <f>1.609-0.081</f>
        <v>1.528</v>
      </c>
      <c r="K16" s="7">
        <f>-0.059+2.244</f>
        <v>2.1850000000000001</v>
      </c>
      <c r="L16" s="7"/>
      <c r="M16" s="7"/>
      <c r="N16" s="6" t="s">
        <v>9</v>
      </c>
      <c r="O16" s="6" t="s">
        <v>9</v>
      </c>
      <c r="P16" s="6" t="s">
        <v>9</v>
      </c>
      <c r="Q16" s="6" t="s">
        <v>9</v>
      </c>
      <c r="R16" s="9">
        <f t="shared" ref="R16:R19" si="17">SUM(B16:E16)</f>
        <v>-9.600000000000003E-2</v>
      </c>
      <c r="S16" s="9">
        <f t="shared" ref="S16:S19" si="18">SUM(F16:I16)</f>
        <v>2.0640000000000001</v>
      </c>
      <c r="T16" s="12">
        <f>+S37*$P$4</f>
        <v>0.28000000000000003</v>
      </c>
      <c r="U16" s="12">
        <f t="shared" ref="U16:Y16" si="19">+T37*$P$4</f>
        <v>1.5822146199999991</v>
      </c>
      <c r="V16" s="12">
        <f t="shared" si="19"/>
        <v>3.2788677383699985</v>
      </c>
      <c r="W16" s="12">
        <f t="shared" si="19"/>
        <v>5.4244808329991443</v>
      </c>
      <c r="X16" s="12">
        <f t="shared" si="19"/>
        <v>8.0798147963286269</v>
      </c>
      <c r="Y16" s="12">
        <f t="shared" si="19"/>
        <v>11.312534975641132</v>
      </c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 spans="1:39" s="2" customFormat="1" x14ac:dyDescent="0.2">
      <c r="A17" t="s">
        <v>31</v>
      </c>
      <c r="B17" s="7">
        <v>-1.23</v>
      </c>
      <c r="C17" s="7">
        <v>-1.0620000000000001</v>
      </c>
      <c r="D17" s="7">
        <v>-1.538</v>
      </c>
      <c r="E17" s="7">
        <v>-1.024</v>
      </c>
      <c r="F17" s="7">
        <v>1.385</v>
      </c>
      <c r="G17" s="7">
        <v>-0.81499999999999995</v>
      </c>
      <c r="H17" s="7">
        <v>-2.7229999999999999</v>
      </c>
      <c r="I17" s="7">
        <v>4.2389999999999999</v>
      </c>
      <c r="J17" s="7">
        <v>-2.7090000000000001</v>
      </c>
      <c r="K17" s="7">
        <v>-1.107</v>
      </c>
      <c r="L17" s="7"/>
      <c r="M17" s="7"/>
      <c r="N17"/>
      <c r="O17"/>
      <c r="P17"/>
      <c r="Q17"/>
      <c r="R17" s="4">
        <f t="shared" si="17"/>
        <v>-4.8540000000000001</v>
      </c>
      <c r="S17" s="4">
        <f t="shared" si="18"/>
        <v>2.0860000000000003</v>
      </c>
      <c r="T17" s="2">
        <f>+S17*1.05</f>
        <v>2.1903000000000006</v>
      </c>
      <c r="U17" s="2">
        <f t="shared" ref="U17:Y17" si="20">+T17*1.05</f>
        <v>2.2998150000000006</v>
      </c>
      <c r="V17" s="2">
        <f t="shared" si="20"/>
        <v>2.4148057500000006</v>
      </c>
      <c r="W17" s="2">
        <f t="shared" si="20"/>
        <v>2.535546037500001</v>
      </c>
      <c r="X17" s="2">
        <f t="shared" si="20"/>
        <v>2.6623233393750012</v>
      </c>
      <c r="Y17" s="2">
        <f t="shared" si="20"/>
        <v>2.7954395063437514</v>
      </c>
    </row>
    <row r="18" spans="1:39" s="2" customFormat="1" x14ac:dyDescent="0.2">
      <c r="A18" t="s">
        <v>32</v>
      </c>
      <c r="B18" s="7">
        <v>0</v>
      </c>
      <c r="C18" s="7">
        <v>0</v>
      </c>
      <c r="D18" s="7">
        <v>0</v>
      </c>
      <c r="E18" s="7">
        <v>1.085</v>
      </c>
      <c r="F18" s="7">
        <v>0</v>
      </c>
      <c r="G18" s="7">
        <v>0.39500000000000002</v>
      </c>
      <c r="H18" s="7">
        <v>7.8E-2</v>
      </c>
      <c r="I18" s="7">
        <v>0.438</v>
      </c>
      <c r="J18" s="7">
        <v>6.0000000000000001E-3</v>
      </c>
      <c r="K18" s="7">
        <v>2E-3</v>
      </c>
      <c r="L18" s="7"/>
      <c r="M18" s="7"/>
      <c r="N18"/>
      <c r="O18"/>
      <c r="P18"/>
      <c r="Q18"/>
      <c r="R18" s="4">
        <f t="shared" si="17"/>
        <v>1.085</v>
      </c>
      <c r="S18" s="4">
        <f t="shared" si="18"/>
        <v>0.91100000000000003</v>
      </c>
      <c r="T18" s="2">
        <f>+S18*1.01</f>
        <v>0.92011000000000009</v>
      </c>
      <c r="U18" s="2">
        <f t="shared" ref="U18:Y18" si="21">+T18*1.01</f>
        <v>0.92931110000000006</v>
      </c>
      <c r="V18" s="2">
        <f t="shared" si="21"/>
        <v>0.93860421100000002</v>
      </c>
      <c r="W18" s="2">
        <f t="shared" si="21"/>
        <v>0.94799025311000007</v>
      </c>
      <c r="X18" s="2">
        <f t="shared" si="21"/>
        <v>0.95747015564110005</v>
      </c>
      <c r="Y18" s="2">
        <f t="shared" si="21"/>
        <v>0.9670448571975111</v>
      </c>
    </row>
    <row r="19" spans="1:39" s="2" customFormat="1" x14ac:dyDescent="0.2">
      <c r="A19" t="s">
        <v>33</v>
      </c>
      <c r="B19" s="7">
        <v>0.16700000000000001</v>
      </c>
      <c r="C19" s="7">
        <v>0.26900000000000002</v>
      </c>
      <c r="D19" s="7">
        <v>-3.4000000000000002E-2</v>
      </c>
      <c r="E19" s="7">
        <v>-0.39600000000000002</v>
      </c>
      <c r="F19" s="7">
        <v>-2.1000000000000001E-2</v>
      </c>
      <c r="G19" s="7">
        <v>-1E-3</v>
      </c>
      <c r="H19" s="7">
        <v>1.4999999999999999E-2</v>
      </c>
      <c r="I19" s="7">
        <v>-0.13700000000000001</v>
      </c>
      <c r="J19" s="7">
        <v>-0.32200000000000001</v>
      </c>
      <c r="K19" s="7">
        <v>0.50600000000000001</v>
      </c>
      <c r="L19" s="7"/>
      <c r="M19" s="7"/>
      <c r="N19"/>
      <c r="O19"/>
      <c r="P19"/>
      <c r="Q19"/>
      <c r="R19" s="4">
        <f t="shared" si="17"/>
        <v>6.0000000000000053E-3</v>
      </c>
      <c r="S19" s="4">
        <f t="shared" si="18"/>
        <v>-0.14400000000000002</v>
      </c>
      <c r="T19" s="2">
        <v>0.15</v>
      </c>
      <c r="U19" s="2">
        <v>0.15</v>
      </c>
      <c r="V19" s="2">
        <v>0.15</v>
      </c>
      <c r="W19" s="2">
        <v>0.15</v>
      </c>
      <c r="X19" s="2">
        <v>0.15</v>
      </c>
      <c r="Y19" s="2">
        <v>0.15</v>
      </c>
    </row>
    <row r="20" spans="1:39" s="2" customFormat="1" x14ac:dyDescent="0.2">
      <c r="A20" t="s">
        <v>34</v>
      </c>
      <c r="B20" s="7">
        <f t="shared" ref="B20:K20" si="22">+B15+B16+B17+B18+B19</f>
        <v>6.3460000000000054</v>
      </c>
      <c r="C20" s="7">
        <f t="shared" si="22"/>
        <v>7.335999999999987</v>
      </c>
      <c r="D20" s="7">
        <f t="shared" si="22"/>
        <v>2.630999999999994</v>
      </c>
      <c r="E20" s="7">
        <f t="shared" si="22"/>
        <v>14.850999999999992</v>
      </c>
      <c r="F20" s="7">
        <f t="shared" si="22"/>
        <v>19.696999999999999</v>
      </c>
      <c r="G20" s="7">
        <f t="shared" si="22"/>
        <v>22.658999999999999</v>
      </c>
      <c r="H20" s="7">
        <f t="shared" si="22"/>
        <v>29.791000000000007</v>
      </c>
      <c r="I20" s="7">
        <f t="shared" si="22"/>
        <v>42.848000000000049</v>
      </c>
      <c r="J20" s="7">
        <f t="shared" si="22"/>
        <v>33.319999999999993</v>
      </c>
      <c r="K20" s="7">
        <f t="shared" si="22"/>
        <v>29.033999999999999</v>
      </c>
      <c r="L20" s="7"/>
      <c r="M20" s="7"/>
      <c r="N20"/>
      <c r="O20"/>
      <c r="P20"/>
      <c r="Q20"/>
      <c r="R20" s="4">
        <f>+R15+R16+R17+R18+R19</f>
        <v>31.16399999999998</v>
      </c>
      <c r="S20" s="4">
        <f>+S15+S16+S17+S18+S19</f>
        <v>114.99499999999991</v>
      </c>
      <c r="T20" s="2">
        <f t="shared" ref="T20:Y20" si="23">+T15+T16+T17+T18+T19</f>
        <v>153.20171999999991</v>
      </c>
      <c r="U20" s="2">
        <f t="shared" si="23"/>
        <v>199.60624921999988</v>
      </c>
      <c r="V20" s="2">
        <f t="shared" si="23"/>
        <v>252.42506995637007</v>
      </c>
      <c r="W20" s="2">
        <f t="shared" si="23"/>
        <v>312.39223097993914</v>
      </c>
      <c r="X20" s="2">
        <f t="shared" si="23"/>
        <v>380.3200210955888</v>
      </c>
      <c r="Y20" s="2">
        <f t="shared" si="23"/>
        <v>457.10705036143025</v>
      </c>
    </row>
    <row r="21" spans="1:39" s="2" customFormat="1" x14ac:dyDescent="0.2">
      <c r="A21" t="s">
        <v>35</v>
      </c>
      <c r="B21" s="7">
        <v>1.607</v>
      </c>
      <c r="C21" s="7">
        <v>1.236</v>
      </c>
      <c r="D21" s="7">
        <v>1.974</v>
      </c>
      <c r="E21" s="7">
        <v>2.375</v>
      </c>
      <c r="F21" s="7">
        <v>3.7559999999999998</v>
      </c>
      <c r="G21" s="7">
        <v>4.2690000000000001</v>
      </c>
      <c r="H21" s="7">
        <v>5.5890000000000004</v>
      </c>
      <c r="I21" s="7">
        <v>7.2729999999999997</v>
      </c>
      <c r="J21" s="7">
        <v>6.125</v>
      </c>
      <c r="K21" s="7">
        <v>2.0649999999999999</v>
      </c>
      <c r="L21" s="7"/>
      <c r="M21" s="7"/>
      <c r="N21"/>
      <c r="O21"/>
      <c r="P21"/>
      <c r="Q21"/>
      <c r="R21" s="4">
        <f t="shared" ref="R21:R22" si="24">SUM(B21:E21)</f>
        <v>7.1920000000000002</v>
      </c>
      <c r="S21" s="4">
        <f>SUM(F21:I21)</f>
        <v>20.887</v>
      </c>
      <c r="T21" s="2">
        <f>+T20*0.15</f>
        <v>22.980257999999985</v>
      </c>
      <c r="U21" s="2">
        <f t="shared" ref="U21:Y21" si="25">+U20*0.15</f>
        <v>29.94093738299998</v>
      </c>
      <c r="V21" s="2">
        <f t="shared" si="25"/>
        <v>37.863760493455509</v>
      </c>
      <c r="W21" s="2">
        <f t="shared" si="25"/>
        <v>46.858834646990871</v>
      </c>
      <c r="X21" s="2">
        <f t="shared" si="25"/>
        <v>57.048003164338319</v>
      </c>
      <c r="Y21" s="2">
        <f t="shared" si="25"/>
        <v>68.566057554214538</v>
      </c>
    </row>
    <row r="22" spans="1:39" s="2" customFormat="1" x14ac:dyDescent="0.2">
      <c r="A22" t="s">
        <v>36</v>
      </c>
      <c r="B22" s="7">
        <v>-6.9000000000000006E-2</v>
      </c>
      <c r="C22" s="7">
        <v>-1.7170000000000001</v>
      </c>
      <c r="D22" s="7">
        <v>-0.19700000000000001</v>
      </c>
      <c r="E22" s="7">
        <v>3.44</v>
      </c>
      <c r="F22" s="7">
        <v>-0.19400000000000001</v>
      </c>
      <c r="G22" s="7">
        <v>-0.307</v>
      </c>
      <c r="H22" s="7">
        <v>-8.9999999999999993E-3</v>
      </c>
      <c r="I22" s="7">
        <v>0.23200000000000001</v>
      </c>
      <c r="J22" s="7">
        <v>-0.112</v>
      </c>
      <c r="K22" s="7">
        <v>-0.26400000000000001</v>
      </c>
      <c r="L22" s="7"/>
      <c r="M22" s="7"/>
      <c r="N22"/>
      <c r="O22"/>
      <c r="P22"/>
      <c r="Q22"/>
      <c r="R22" s="4">
        <f t="shared" si="24"/>
        <v>1.4569999999999999</v>
      </c>
      <c r="S22" s="4">
        <f>SUM(F22:I22)</f>
        <v>-0.27800000000000002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</row>
    <row r="23" spans="1:39" s="11" customFormat="1" ht="15" x14ac:dyDescent="0.25">
      <c r="A23" s="3" t="s">
        <v>37</v>
      </c>
      <c r="B23" s="8">
        <f t="shared" ref="B23:J23" si="26">+B20-B21+B22</f>
        <v>4.6700000000000053</v>
      </c>
      <c r="C23" s="8">
        <f t="shared" si="26"/>
        <v>4.3829999999999867</v>
      </c>
      <c r="D23" s="8">
        <f t="shared" si="26"/>
        <v>0.45999999999999402</v>
      </c>
      <c r="E23" s="8">
        <f t="shared" si="26"/>
        <v>15.915999999999991</v>
      </c>
      <c r="F23" s="8">
        <f t="shared" si="26"/>
        <v>15.746999999999998</v>
      </c>
      <c r="G23" s="8">
        <f t="shared" si="26"/>
        <v>18.083000000000002</v>
      </c>
      <c r="H23" s="8">
        <f t="shared" si="26"/>
        <v>24.193000000000005</v>
      </c>
      <c r="I23" s="8">
        <f t="shared" si="26"/>
        <v>35.807000000000045</v>
      </c>
      <c r="J23" s="8">
        <f t="shared" si="26"/>
        <v>27.082999999999995</v>
      </c>
      <c r="K23" s="8">
        <f>+K20-K21+K22</f>
        <v>26.704999999999998</v>
      </c>
      <c r="L23" s="8"/>
      <c r="M23" s="8"/>
      <c r="N23" s="3"/>
      <c r="O23" s="3"/>
      <c r="P23" s="3"/>
      <c r="Q23" s="3"/>
      <c r="R23" s="5">
        <f>+R20-R21+R22</f>
        <v>25.428999999999981</v>
      </c>
      <c r="S23" s="5">
        <f>+S20-S21+S22</f>
        <v>93.829999999999899</v>
      </c>
      <c r="T23" s="11">
        <f t="shared" ref="T23:Y23" si="27">+T20-T21+T22</f>
        <v>130.22146199999992</v>
      </c>
      <c r="U23" s="11">
        <f t="shared" si="27"/>
        <v>169.6653118369999</v>
      </c>
      <c r="V23" s="11">
        <f t="shared" si="27"/>
        <v>214.56130946291455</v>
      </c>
      <c r="W23" s="11">
        <f t="shared" si="27"/>
        <v>265.53339633294826</v>
      </c>
      <c r="X23" s="11">
        <f t="shared" si="27"/>
        <v>323.2720179312505</v>
      </c>
      <c r="Y23" s="11">
        <f t="shared" si="27"/>
        <v>388.54099280721573</v>
      </c>
      <c r="Z23" s="11">
        <f>+Y23*(1-$P$5)</f>
        <v>388.54099280721573</v>
      </c>
      <c r="AA23" s="11">
        <f t="shared" ref="AA23:AM23" si="28">+Z23*(1-$P$5)</f>
        <v>388.54099280721573</v>
      </c>
      <c r="AB23" s="11">
        <f t="shared" si="28"/>
        <v>388.54099280721573</v>
      </c>
      <c r="AC23" s="11">
        <f t="shared" si="28"/>
        <v>388.54099280721573</v>
      </c>
      <c r="AD23" s="11">
        <f t="shared" si="28"/>
        <v>388.54099280721573</v>
      </c>
      <c r="AE23" s="11">
        <f t="shared" si="28"/>
        <v>388.54099280721573</v>
      </c>
      <c r="AF23" s="11">
        <f t="shared" si="28"/>
        <v>388.54099280721573</v>
      </c>
      <c r="AG23" s="11">
        <f t="shared" si="28"/>
        <v>388.54099280721573</v>
      </c>
      <c r="AH23" s="11">
        <f t="shared" si="28"/>
        <v>388.54099280721573</v>
      </c>
      <c r="AI23" s="11">
        <f t="shared" si="28"/>
        <v>388.54099280721573</v>
      </c>
      <c r="AJ23" s="11">
        <f t="shared" si="28"/>
        <v>388.54099280721573</v>
      </c>
      <c r="AK23" s="11">
        <f t="shared" si="28"/>
        <v>388.54099280721573</v>
      </c>
      <c r="AL23" s="11">
        <f t="shared" si="28"/>
        <v>388.54099280721573</v>
      </c>
      <c r="AM23" s="11">
        <f t="shared" si="28"/>
        <v>388.54099280721573</v>
      </c>
    </row>
    <row r="24" spans="1:39" s="2" customFormat="1" x14ac:dyDescent="0.2">
      <c r="A24" t="s">
        <v>38</v>
      </c>
      <c r="B24" s="4">
        <f t="shared" ref="B24:K24" si="29">+B23/B25</f>
        <v>0.3592311560950916</v>
      </c>
      <c r="C24" s="4">
        <f t="shared" si="29"/>
        <v>0.27608455784046987</v>
      </c>
      <c r="D24" s="4">
        <f t="shared" si="29"/>
        <v>1.6582114106357394E-2</v>
      </c>
      <c r="E24" s="4">
        <f t="shared" si="29"/>
        <v>0.39113262335078453</v>
      </c>
      <c r="F24" s="4">
        <f t="shared" si="29"/>
        <v>0.3867473779242474</v>
      </c>
      <c r="G24" s="4">
        <f t="shared" si="29"/>
        <v>0.44167462265555607</v>
      </c>
      <c r="H24" s="4">
        <f t="shared" si="29"/>
        <v>0.59341337885329626</v>
      </c>
      <c r="I24" s="4">
        <f t="shared" si="29"/>
        <v>0.8782493349052406</v>
      </c>
      <c r="J24" s="4">
        <f t="shared" si="29"/>
        <v>0.66398360053914973</v>
      </c>
      <c r="K24" s="4">
        <f t="shared" si="29"/>
        <v>0.64668507848463597</v>
      </c>
      <c r="L24" s="4"/>
      <c r="M24" s="4"/>
      <c r="N24"/>
      <c r="O24"/>
      <c r="P24"/>
      <c r="Q24"/>
      <c r="R24">
        <f>+R23/R25</f>
        <v>1.0452954869144342</v>
      </c>
      <c r="S24">
        <f>+S23/S25</f>
        <v>2.2997759550568411</v>
      </c>
      <c r="T24" s="2">
        <f t="shared" ref="T24:AM24" si="30">+T23/T25</f>
        <v>3.1917317184263907</v>
      </c>
      <c r="U24" s="2">
        <f t="shared" si="30"/>
        <v>4.1585015940525807</v>
      </c>
      <c r="V24" s="2">
        <f t="shared" si="30"/>
        <v>5.2589037662615503</v>
      </c>
      <c r="W24" s="2">
        <f t="shared" si="30"/>
        <v>6.5082310577756939</v>
      </c>
      <c r="X24" s="2">
        <f t="shared" si="30"/>
        <v>7.9234063069486798</v>
      </c>
      <c r="Y24" s="2">
        <f t="shared" si="30"/>
        <v>9.5231507280395249</v>
      </c>
      <c r="Z24" s="2">
        <f t="shared" si="30"/>
        <v>9.5231507280395249</v>
      </c>
      <c r="AA24" s="2">
        <f t="shared" si="30"/>
        <v>9.5231507280395249</v>
      </c>
      <c r="AB24" s="2">
        <f t="shared" si="30"/>
        <v>9.5231507280395249</v>
      </c>
      <c r="AC24" s="2">
        <f t="shared" si="30"/>
        <v>9.5231507280395249</v>
      </c>
      <c r="AD24" s="2">
        <f t="shared" si="30"/>
        <v>9.5231507280395249</v>
      </c>
      <c r="AE24" s="2">
        <f t="shared" si="30"/>
        <v>9.5231507280395249</v>
      </c>
      <c r="AF24" s="2">
        <f t="shared" si="30"/>
        <v>9.5231507280395249</v>
      </c>
      <c r="AG24" s="2">
        <f t="shared" si="30"/>
        <v>9.5231507280395249</v>
      </c>
      <c r="AH24" s="2">
        <f t="shared" si="30"/>
        <v>9.5231507280395249</v>
      </c>
      <c r="AI24" s="2">
        <f t="shared" si="30"/>
        <v>9.5231507280395249</v>
      </c>
      <c r="AJ24" s="2">
        <f t="shared" si="30"/>
        <v>9.5231507280395249</v>
      </c>
      <c r="AK24" s="2">
        <f t="shared" si="30"/>
        <v>9.5231507280395249</v>
      </c>
      <c r="AL24" s="2">
        <f t="shared" si="30"/>
        <v>9.5231507280395249</v>
      </c>
      <c r="AM24" s="2">
        <f t="shared" si="30"/>
        <v>9.5231507280395249</v>
      </c>
    </row>
    <row r="25" spans="1:39" s="2" customFormat="1" x14ac:dyDescent="0.2">
      <c r="A25" t="s">
        <v>2</v>
      </c>
      <c r="B25" s="7">
        <v>12.999986</v>
      </c>
      <c r="C25" s="7">
        <v>15.875571000000001</v>
      </c>
      <c r="D25" s="7">
        <v>27.740732999999999</v>
      </c>
      <c r="E25" s="7">
        <v>40.692079999999997</v>
      </c>
      <c r="F25" s="7">
        <v>40.716501000000001</v>
      </c>
      <c r="G25" s="7">
        <v>40.941904000000001</v>
      </c>
      <c r="H25" s="7">
        <v>40.769219</v>
      </c>
      <c r="I25" s="7">
        <v>40.770882</v>
      </c>
      <c r="J25" s="7">
        <v>40.788657999999998</v>
      </c>
      <c r="K25" s="7">
        <v>41.295216000000003</v>
      </c>
      <c r="L25" s="7"/>
      <c r="M25" s="7"/>
      <c r="N25"/>
      <c r="O25"/>
      <c r="P25"/>
      <c r="Q25"/>
      <c r="R25" s="7">
        <f>AVERAGE(B25:E25)</f>
        <v>24.327092499999999</v>
      </c>
      <c r="S25" s="7">
        <f>AVERAGE(F25:I25)</f>
        <v>40.799626500000002</v>
      </c>
      <c r="T25" s="2">
        <f>+S25</f>
        <v>40.799626500000002</v>
      </c>
      <c r="U25" s="2">
        <f t="shared" ref="U25:AM25" si="31">+T25</f>
        <v>40.799626500000002</v>
      </c>
      <c r="V25" s="2">
        <f t="shared" si="31"/>
        <v>40.799626500000002</v>
      </c>
      <c r="W25" s="2">
        <f t="shared" si="31"/>
        <v>40.799626500000002</v>
      </c>
      <c r="X25" s="2">
        <f t="shared" si="31"/>
        <v>40.799626500000002</v>
      </c>
      <c r="Y25" s="2">
        <f t="shared" si="31"/>
        <v>40.799626500000002</v>
      </c>
      <c r="Z25" s="2">
        <f t="shared" si="31"/>
        <v>40.799626500000002</v>
      </c>
      <c r="AA25" s="2">
        <f t="shared" si="31"/>
        <v>40.799626500000002</v>
      </c>
      <c r="AB25" s="2">
        <f t="shared" si="31"/>
        <v>40.799626500000002</v>
      </c>
      <c r="AC25" s="2">
        <f t="shared" si="31"/>
        <v>40.799626500000002</v>
      </c>
      <c r="AD25" s="2">
        <f t="shared" si="31"/>
        <v>40.799626500000002</v>
      </c>
      <c r="AE25" s="2">
        <f t="shared" si="31"/>
        <v>40.799626500000002</v>
      </c>
      <c r="AF25" s="2">
        <f t="shared" si="31"/>
        <v>40.799626500000002</v>
      </c>
      <c r="AG25" s="2">
        <f t="shared" si="31"/>
        <v>40.799626500000002</v>
      </c>
      <c r="AH25" s="2">
        <f t="shared" si="31"/>
        <v>40.799626500000002</v>
      </c>
      <c r="AI25" s="2">
        <f t="shared" si="31"/>
        <v>40.799626500000002</v>
      </c>
      <c r="AJ25" s="2">
        <f t="shared" si="31"/>
        <v>40.799626500000002</v>
      </c>
      <c r="AK25" s="2">
        <f t="shared" si="31"/>
        <v>40.799626500000002</v>
      </c>
      <c r="AL25" s="2">
        <f t="shared" si="31"/>
        <v>40.799626500000002</v>
      </c>
      <c r="AM25" s="2">
        <f t="shared" si="31"/>
        <v>40.799626500000002</v>
      </c>
    </row>
    <row r="26" spans="1:39" x14ac:dyDescent="0.2">
      <c r="F26" t="s">
        <v>9</v>
      </c>
    </row>
    <row r="27" spans="1:39" x14ac:dyDescent="0.2">
      <c r="A27" t="s">
        <v>39</v>
      </c>
      <c r="B27" s="6">
        <f>+B9/B5</f>
        <v>0.15003290585368459</v>
      </c>
      <c r="C27" s="6">
        <f>+C9/C5</f>
        <v>0.13723624694622935</v>
      </c>
      <c r="D27" s="6">
        <f>+D9/D5</f>
        <v>0.17616681510648596</v>
      </c>
      <c r="E27" s="6">
        <f>+E9/E5</f>
        <v>0.21236584822139418</v>
      </c>
      <c r="F27" s="6">
        <f>+F9/F5</f>
        <v>0.23141388295499893</v>
      </c>
      <c r="G27" s="6">
        <f>+G9/G5</f>
        <v>0.26359302553386016</v>
      </c>
      <c r="H27" s="6">
        <f>+H9/H5</f>
        <v>0.27422586674299959</v>
      </c>
      <c r="I27" s="6">
        <f>+I9/I5</f>
        <v>0.28535529977077451</v>
      </c>
      <c r="J27" s="6">
        <f>+J9/J5</f>
        <v>0.26505016389394487</v>
      </c>
      <c r="K27" s="6">
        <f>+K9/K5</f>
        <v>0.24591545580585908</v>
      </c>
      <c r="L27" s="6"/>
      <c r="M27" s="6"/>
      <c r="R27" s="6">
        <f>+R9/R5</f>
        <v>0.16959583407302203</v>
      </c>
      <c r="S27" s="6">
        <f>+S9/S5</f>
        <v>0.2680089396460229</v>
      </c>
      <c r="T27" s="6">
        <f>+T9/T5</f>
        <v>0.30128126057120369</v>
      </c>
      <c r="U27" s="6">
        <f>+U9/U5</f>
        <v>0.33304120327251258</v>
      </c>
      <c r="V27" s="6">
        <f>+V9/V5</f>
        <v>0.36335751221467122</v>
      </c>
      <c r="W27" s="6">
        <f>+W9/W5</f>
        <v>0.3922958071140043</v>
      </c>
      <c r="X27" s="6">
        <f>+X9/X5</f>
        <v>0.41991872497245869</v>
      </c>
      <c r="Y27" s="6">
        <f>+Y9/Y5</f>
        <v>0.4462860556555287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1:39" x14ac:dyDescent="0.2">
      <c r="A28" t="s">
        <v>40</v>
      </c>
      <c r="B28" s="6">
        <f>+B15/B5</f>
        <v>6.6532078760605504E-2</v>
      </c>
      <c r="C28" s="6">
        <f>+C15/C5</f>
        <v>6.6380707426608621E-2</v>
      </c>
      <c r="D28" s="6">
        <f>+D15/D5</f>
        <v>3.3188018562789995E-2</v>
      </c>
      <c r="E28" s="6">
        <f>+E15/E5</f>
        <v>0.11990860163689047</v>
      </c>
      <c r="F28" s="6">
        <f>+F15/F5</f>
        <v>0.1397215897086786</v>
      </c>
      <c r="G28" s="6">
        <f>+G15/G5</f>
        <v>0.15281133677267683</v>
      </c>
      <c r="H28" s="6">
        <f>+H15/H5</f>
        <v>0.1779173472079566</v>
      </c>
      <c r="I28" s="6">
        <f>+I15/I5</f>
        <v>0.1516852784826162</v>
      </c>
      <c r="J28" s="6">
        <f>+J15/J5</f>
        <v>0.13867060702493658</v>
      </c>
      <c r="K28" s="6">
        <f>+K15/K5</f>
        <v>8.8294994322330761E-2</v>
      </c>
      <c r="L28" s="6"/>
      <c r="M28" s="6"/>
      <c r="R28" s="6">
        <f>+R15/R5</f>
        <v>7.1465155048962239E-2</v>
      </c>
      <c r="S28" s="6">
        <f>+S15/S5</f>
        <v>0.15639833994240085</v>
      </c>
      <c r="T28" s="6">
        <f>+T15/T5</f>
        <v>0.1933073939108057</v>
      </c>
      <c r="U28" s="6">
        <f>+U15/U5</f>
        <v>0.22855424206066735</v>
      </c>
      <c r="V28" s="6">
        <f>+V15/V5</f>
        <v>0.26221502826314214</v>
      </c>
      <c r="W28" s="6">
        <f>+W15/W5</f>
        <v>0.29436235337241362</v>
      </c>
      <c r="X28" s="6">
        <f>+X15/X5</f>
        <v>0.32506544358882217</v>
      </c>
      <c r="Y28" s="6">
        <f>+Y15/Y5</f>
        <v>0.35439031055931525</v>
      </c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39" x14ac:dyDescent="0.2">
      <c r="A29" t="s">
        <v>41</v>
      </c>
      <c r="B29" s="6">
        <f>+B23/B5</f>
        <v>4.1532523434303949E-2</v>
      </c>
      <c r="C29" s="6">
        <f>+C23/C5</f>
        <v>3.5339079394002812E-2</v>
      </c>
      <c r="D29" s="6">
        <f>+D23/D5</f>
        <v>3.5938061532210974E-3</v>
      </c>
      <c r="E29" s="6">
        <f>+E23/E5</f>
        <v>0.12671570969077411</v>
      </c>
      <c r="F29" s="6">
        <f>+F23/F5</f>
        <v>0.12321885490269724</v>
      </c>
      <c r="G29" s="6">
        <f>+G23/G5</f>
        <v>0.11808920525044082</v>
      </c>
      <c r="H29" s="6">
        <f>+H23/H5</f>
        <v>0.13578833341752403</v>
      </c>
      <c r="I29" s="6">
        <f>+I23/I5</f>
        <v>0.14630807765070275</v>
      </c>
      <c r="J29" s="6">
        <f>+J23/J5</f>
        <v>0.1078673076386925</v>
      </c>
      <c r="K29" s="6">
        <f>+K23/K5</f>
        <v>8.5904904669842713E-2</v>
      </c>
      <c r="L29" s="6"/>
      <c r="M29" s="6"/>
      <c r="R29" s="6">
        <f>+R23/R5</f>
        <v>5.1888399844104184E-2</v>
      </c>
      <c r="S29" s="6">
        <f>+S23/S5</f>
        <v>0.13331325275527778</v>
      </c>
      <c r="T29" s="6">
        <f>+T23/T5</f>
        <v>0.16819825678710829</v>
      </c>
      <c r="U29" s="6">
        <f>+U23/U5</f>
        <v>0.19922291854293384</v>
      </c>
      <c r="V29" s="6">
        <f>+V23/V5</f>
        <v>0.22903664018821485</v>
      </c>
      <c r="W29" s="6">
        <f>+W23/W5</f>
        <v>0.25767958862878981</v>
      </c>
      <c r="X29" s="6">
        <f>+X23/X5</f>
        <v>0.28519131592935659</v>
      </c>
      <c r="Y29" s="6">
        <f>+Y23/Y5</f>
        <v>0.31161068665188874</v>
      </c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 spans="1:39" x14ac:dyDescent="0.2">
      <c r="A30" t="s">
        <v>42</v>
      </c>
      <c r="B30" s="6">
        <f>+B21/B20</f>
        <v>0.2532303813425778</v>
      </c>
      <c r="C30" s="6">
        <f>+C21/C20</f>
        <v>0.16848418756815733</v>
      </c>
      <c r="D30" s="6">
        <f t="shared" ref="D30:K30" si="32">+D21/D20</f>
        <v>0.75028506271379869</v>
      </c>
      <c r="E30" s="6">
        <f t="shared" si="32"/>
        <v>0.15992189078176564</v>
      </c>
      <c r="F30" s="6">
        <f t="shared" si="32"/>
        <v>0.19068893740163476</v>
      </c>
      <c r="G30" s="6">
        <f t="shared" si="32"/>
        <v>0.18840195948629684</v>
      </c>
      <c r="H30" s="6">
        <f t="shared" si="32"/>
        <v>0.18760699540129566</v>
      </c>
      <c r="I30" s="6">
        <f t="shared" si="32"/>
        <v>0.16973954443614617</v>
      </c>
      <c r="J30" s="6">
        <f t="shared" si="32"/>
        <v>0.18382352941176475</v>
      </c>
      <c r="K30" s="6">
        <f t="shared" si="32"/>
        <v>7.1123510367155751E-2</v>
      </c>
      <c r="L30" s="6"/>
      <c r="M30" s="6"/>
      <c r="O30" t="s">
        <v>9</v>
      </c>
      <c r="R30" s="6">
        <f t="shared" ref="R30:S30" si="33">+R21/R20</f>
        <v>0.23077910409446814</v>
      </c>
      <c r="S30" s="6">
        <f t="shared" si="33"/>
        <v>0.18163398408626477</v>
      </c>
      <c r="T30" s="6">
        <f t="shared" ref="T30:Y30" si="34">+T21/T20</f>
        <v>0.15</v>
      </c>
      <c r="U30" s="6">
        <f t="shared" si="34"/>
        <v>0.15</v>
      </c>
      <c r="V30" s="6">
        <f t="shared" si="34"/>
        <v>0.15</v>
      </c>
      <c r="W30" s="6">
        <f t="shared" si="34"/>
        <v>0.15</v>
      </c>
      <c r="X30" s="6">
        <f t="shared" si="34"/>
        <v>0.15</v>
      </c>
      <c r="Y30" s="6">
        <f t="shared" si="34"/>
        <v>0.15</v>
      </c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2" spans="1:39" x14ac:dyDescent="0.2">
      <c r="A32" t="s">
        <v>43</v>
      </c>
      <c r="B32" s="6"/>
      <c r="C32" s="6"/>
      <c r="D32" s="6"/>
      <c r="E32" s="6"/>
      <c r="F32" s="6"/>
      <c r="G32" s="6">
        <f>+G5/C5-1</f>
        <v>0.23465051964491601</v>
      </c>
      <c r="H32" s="6">
        <f>+H5/D5-1</f>
        <v>0.39195143674119914</v>
      </c>
      <c r="I32" s="6">
        <f>+I5/E5-1</f>
        <v>0.94848094009744943</v>
      </c>
      <c r="J32" s="6">
        <f>+J5/F5-1</f>
        <v>0.96465488235248098</v>
      </c>
      <c r="K32" s="6">
        <f>+K5/G5-1</f>
        <v>1.0300855482269968</v>
      </c>
      <c r="L32" s="6"/>
      <c r="M32" s="6"/>
      <c r="S32" s="6">
        <f>+S5/R5-1</f>
        <v>0.43618169612158231</v>
      </c>
      <c r="T32" s="6">
        <f>+T5/S5-1</f>
        <v>0.10000000000000009</v>
      </c>
      <c r="U32" s="6">
        <f>+U5/T5-1</f>
        <v>0.10000000000000009</v>
      </c>
      <c r="V32" s="6">
        <f>+V5/U5-1</f>
        <v>0.10000000000000009</v>
      </c>
      <c r="W32" s="6">
        <f>+W5/V5-1</f>
        <v>0.10000000000000009</v>
      </c>
      <c r="X32" s="6">
        <f>+X5/W5-1</f>
        <v>0.10000000000000009</v>
      </c>
      <c r="Y32" s="6">
        <f>+Y5/X5-1</f>
        <v>0.10000000000000009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1:39" x14ac:dyDescent="0.2">
      <c r="A33" t="s">
        <v>44</v>
      </c>
      <c r="B33" s="6"/>
      <c r="C33" s="6"/>
      <c r="D33" s="6"/>
      <c r="E33" s="6"/>
      <c r="F33" s="6"/>
      <c r="G33" s="6">
        <f>+G9/C9-1</f>
        <v>1.3714235356324562</v>
      </c>
      <c r="H33" s="6">
        <f>+H9/D9-1</f>
        <v>1.1667479710851931</v>
      </c>
      <c r="I33" s="6">
        <f>+I9/E9-1</f>
        <v>1.6181675039364198</v>
      </c>
      <c r="J33" s="6">
        <f>+J9/F9-1</f>
        <v>1.2502197876513157</v>
      </c>
      <c r="K33" s="6">
        <f>+K9/G9-1</f>
        <v>0.89394014468338101</v>
      </c>
      <c r="L33" s="6"/>
      <c r="M33" s="6"/>
      <c r="S33" s="6">
        <f>+S9/R9-1</f>
        <v>1.2695695069422719</v>
      </c>
      <c r="T33" s="6">
        <f>+T9/S9-1</f>
        <v>0.23656094108666048</v>
      </c>
      <c r="U33" s="6">
        <f>+U9/T9-1</f>
        <v>0.21595788236282676</v>
      </c>
      <c r="V33" s="6">
        <f>+V9/U9-1</f>
        <v>0.20013157383738922</v>
      </c>
      <c r="W33" s="6">
        <f>+W9/V9-1</f>
        <v>0.18760552161216926</v>
      </c>
      <c r="X33" s="6">
        <f>+X9/W9-1</f>
        <v>0.17745484171200854</v>
      </c>
      <c r="Y33" s="6">
        <f>+Y9/X9-1</f>
        <v>0.16907066064576992</v>
      </c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1:39" x14ac:dyDescent="0.2">
      <c r="A34" t="s">
        <v>45</v>
      </c>
      <c r="B34" s="6"/>
      <c r="C34" s="6"/>
      <c r="D34" s="6"/>
      <c r="E34" s="6"/>
      <c r="F34" s="6"/>
      <c r="G34" s="6">
        <f>+G15/C15-1</f>
        <v>1.8422203328070013</v>
      </c>
      <c r="H34" s="6">
        <f>+H15/D15-1</f>
        <v>6.4620998116760946</v>
      </c>
      <c r="I34" s="6">
        <f>+I15/E15-1</f>
        <v>1.4648429719142202</v>
      </c>
      <c r="J34" s="6">
        <f>+J15/F15-1</f>
        <v>0.94987679211469556</v>
      </c>
      <c r="K34" s="6">
        <f>+K15/G15-1</f>
        <v>0.17299145299145291</v>
      </c>
      <c r="L34" s="6"/>
      <c r="M34" s="6"/>
      <c r="S34" s="6">
        <f>+S15/R15-1</f>
        <v>2.1430203009450932</v>
      </c>
      <c r="T34" s="6">
        <f t="shared" ref="T34:Y34" si="35">+T15/S15-1</f>
        <v>0.35959328839550153</v>
      </c>
      <c r="U34" s="6">
        <f t="shared" si="35"/>
        <v>0.30056932215814491</v>
      </c>
      <c r="V34" s="6">
        <f t="shared" si="35"/>
        <v>0.26200471489342969</v>
      </c>
      <c r="W34" s="6">
        <f t="shared" si="35"/>
        <v>0.23485900428525963</v>
      </c>
      <c r="X34" s="6">
        <f t="shared" si="35"/>
        <v>0.21473409847121627</v>
      </c>
      <c r="Y34" s="6">
        <f t="shared" si="35"/>
        <v>0.19923341377481196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spans="1:39" x14ac:dyDescent="0.2">
      <c r="A35" t="s">
        <v>46</v>
      </c>
      <c r="B35" s="6"/>
      <c r="C35" s="6"/>
      <c r="D35" s="6"/>
      <c r="E35" s="6"/>
      <c r="F35" s="6"/>
      <c r="G35" s="6">
        <f>+G23/C23-1</f>
        <v>3.1257129819758287</v>
      </c>
      <c r="H35" s="6">
        <f>+H23/D23-1</f>
        <v>51.593478260870256</v>
      </c>
      <c r="I35" s="6">
        <f>+I23/E23-1</f>
        <v>1.2497486805730125</v>
      </c>
      <c r="J35" s="6">
        <f>+J23/F23-1</f>
        <v>0.71988315234647859</v>
      </c>
      <c r="K35" s="6">
        <f>+K23/G23-1</f>
        <v>0.47680141569429835</v>
      </c>
      <c r="L35" s="6"/>
      <c r="M35" s="6"/>
      <c r="S35" s="6">
        <f>+S23/R23-1</f>
        <v>2.6898816312084617</v>
      </c>
      <c r="T35" s="6">
        <f t="shared" ref="T35:Y35" si="36">+T23/S23-1</f>
        <v>0.38784463391239532</v>
      </c>
      <c r="U35" s="6">
        <f t="shared" si="36"/>
        <v>0.30289822607735739</v>
      </c>
      <c r="V35" s="6">
        <f t="shared" si="36"/>
        <v>0.2646150656242976</v>
      </c>
      <c r="W35" s="6">
        <f t="shared" si="36"/>
        <v>0.2375642048308988</v>
      </c>
      <c r="X35" s="6">
        <f t="shared" si="36"/>
        <v>0.2174439162669568</v>
      </c>
      <c r="Y35" s="6">
        <f t="shared" si="36"/>
        <v>0.20190109646250254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7" spans="1:39" s="3" customFormat="1" ht="15" x14ac:dyDescent="0.25">
      <c r="A37" s="3" t="s">
        <v>51</v>
      </c>
      <c r="K37" s="11">
        <f>+main!L6-main!L7</f>
        <v>27.516999999999996</v>
      </c>
      <c r="L37" s="11"/>
      <c r="M37" s="11"/>
      <c r="S37" s="11">
        <v>28</v>
      </c>
      <c r="T37" s="11">
        <f>+S37+T23</f>
        <v>158.22146199999992</v>
      </c>
      <c r="U37" s="11">
        <f t="shared" ref="U37:Y37" si="37">+T37+U23</f>
        <v>327.88677383699985</v>
      </c>
      <c r="V37" s="11">
        <f t="shared" si="37"/>
        <v>542.4480832999144</v>
      </c>
      <c r="W37" s="11">
        <f t="shared" si="37"/>
        <v>807.9814796328626</v>
      </c>
      <c r="X37" s="11">
        <f t="shared" si="37"/>
        <v>1131.2534975641131</v>
      </c>
      <c r="Y37" s="11">
        <f t="shared" si="37"/>
        <v>1519.7944903713287</v>
      </c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spans="1:39" x14ac:dyDescent="0.2">
      <c r="P38" s="6"/>
    </row>
    <row r="39" spans="1:39" x14ac:dyDescent="0.2">
      <c r="P39" s="6"/>
    </row>
    <row r="40" spans="1:39" x14ac:dyDescent="0.2">
      <c r="P40" s="6"/>
    </row>
    <row r="41" spans="1:39" x14ac:dyDescent="0.2">
      <c r="P41" s="10"/>
    </row>
    <row r="42" spans="1:39" x14ac:dyDescent="0.2">
      <c r="P42" s="2"/>
    </row>
    <row r="43" spans="1:39" x14ac:dyDescent="0.2">
      <c r="P43" s="7"/>
    </row>
    <row r="46" spans="1:39" x14ac:dyDescent="0.2">
      <c r="P4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Simão Clemente</dc:creator>
  <cp:keywords/>
  <dc:description/>
  <cp:lastModifiedBy>Simão Clemente</cp:lastModifiedBy>
  <cp:revision/>
  <dcterms:created xsi:type="dcterms:W3CDTF">2024-08-16T09:30:17Z</dcterms:created>
  <dcterms:modified xsi:type="dcterms:W3CDTF">2025-05-02T21:40:54Z</dcterms:modified>
  <cp:category/>
  <cp:contentStatus/>
</cp:coreProperties>
</file>