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95" documentId="8_{91A85DBD-37F5-495F-9D0D-AFC39F49FA9F}" xr6:coauthVersionLast="47" xr6:coauthVersionMax="47" xr10:uidLastSave="{81DA1163-5BD7-4139-9D09-FD36EBC7579F}"/>
  <bookViews>
    <workbookView xWindow="31170" yWindow="1440" windowWidth="23190" windowHeight="13170" activeTab="1" xr2:uid="{A4478C07-9115-4914-9DE9-A3B7CC45EB2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2" l="1"/>
  <c r="V3" i="2"/>
  <c r="W8" i="2"/>
  <c r="X8" i="2" s="1"/>
  <c r="Y8" i="2" s="1"/>
  <c r="Z8" i="2" s="1"/>
  <c r="AA8" i="2" s="1"/>
  <c r="V8" i="2"/>
  <c r="W6" i="2"/>
  <c r="X6" i="2" s="1"/>
  <c r="Y6" i="2" s="1"/>
  <c r="Z6" i="2" s="1"/>
  <c r="AA6" i="2" s="1"/>
  <c r="V6" i="2"/>
  <c r="V5" i="2"/>
  <c r="X3" i="2" l="1"/>
  <c r="Y3" i="2" s="1"/>
  <c r="Z3" i="2" s="1"/>
  <c r="AA3" i="2" s="1"/>
  <c r="AA5" i="2" s="1"/>
  <c r="W5" i="2"/>
  <c r="X5" i="2"/>
  <c r="U47" i="2"/>
  <c r="U54" i="2" s="1"/>
  <c r="U43" i="2"/>
  <c r="U45" i="2" s="1"/>
  <c r="L3" i="1"/>
  <c r="Q22" i="2"/>
  <c r="Q19" i="2"/>
  <c r="J24" i="2"/>
  <c r="I24" i="2"/>
  <c r="H24" i="2"/>
  <c r="G24" i="2"/>
  <c r="F24" i="2"/>
  <c r="E24" i="2"/>
  <c r="D24" i="2"/>
  <c r="C24" i="2"/>
  <c r="B24" i="2"/>
  <c r="J23" i="2"/>
  <c r="I23" i="2"/>
  <c r="H23" i="2"/>
  <c r="G23" i="2"/>
  <c r="F23" i="2"/>
  <c r="E23" i="2"/>
  <c r="D23" i="2"/>
  <c r="C23" i="2"/>
  <c r="B23" i="2"/>
  <c r="J22" i="2"/>
  <c r="I22" i="2"/>
  <c r="H22" i="2"/>
  <c r="G22" i="2"/>
  <c r="F22" i="2"/>
  <c r="E22" i="2"/>
  <c r="D22" i="2"/>
  <c r="C22" i="2"/>
  <c r="B22" i="2"/>
  <c r="K24" i="2"/>
  <c r="K23" i="2"/>
  <c r="K22" i="2"/>
  <c r="Y5" i="2" l="1"/>
  <c r="Z5" i="2"/>
  <c r="U56" i="2"/>
  <c r="U57" i="2" s="1"/>
  <c r="U33" i="2"/>
  <c r="U11" i="2" l="1"/>
  <c r="V11" i="2"/>
  <c r="U16" i="2"/>
  <c r="V16" i="2" s="1"/>
  <c r="W16" i="2" s="1"/>
  <c r="X16" i="2" s="1"/>
  <c r="Y16" i="2" s="1"/>
  <c r="Z16" i="2" s="1"/>
  <c r="AA16" i="2" s="1"/>
  <c r="U13" i="2"/>
  <c r="U8" i="2"/>
  <c r="U7" i="2"/>
  <c r="V7" i="2" s="1"/>
  <c r="W7" i="2" s="1"/>
  <c r="X7" i="2" s="1"/>
  <c r="Y7" i="2" s="1"/>
  <c r="Z7" i="2" s="1"/>
  <c r="AA7" i="2" s="1"/>
  <c r="U6" i="2"/>
  <c r="U4" i="2"/>
  <c r="U3" i="2"/>
  <c r="T16" i="2"/>
  <c r="T13" i="2"/>
  <c r="T11" i="2"/>
  <c r="T8" i="2"/>
  <c r="T7" i="2"/>
  <c r="T6" i="2"/>
  <c r="T4" i="2"/>
  <c r="T3" i="2"/>
  <c r="U2" i="2"/>
  <c r="V2" i="2" s="1"/>
  <c r="W2" i="2" s="1"/>
  <c r="X2" i="2" s="1"/>
  <c r="Y2" i="2" s="1"/>
  <c r="Z2" i="2" s="1"/>
  <c r="AA2" i="2" s="1"/>
  <c r="B9" i="2"/>
  <c r="B5" i="2"/>
  <c r="B21" i="2" s="1"/>
  <c r="C9" i="2"/>
  <c r="C5" i="2"/>
  <c r="C21" i="2" s="1"/>
  <c r="D9" i="2"/>
  <c r="D5" i="2"/>
  <c r="D21" i="2" s="1"/>
  <c r="H9" i="2"/>
  <c r="H5" i="2"/>
  <c r="E9" i="2"/>
  <c r="E5" i="2"/>
  <c r="I9" i="2"/>
  <c r="I5" i="2"/>
  <c r="I21" i="2" s="1"/>
  <c r="F9" i="2"/>
  <c r="F5" i="2"/>
  <c r="F21" i="2" s="1"/>
  <c r="J5" i="2"/>
  <c r="J21" i="2" s="1"/>
  <c r="J9" i="2"/>
  <c r="G5" i="2"/>
  <c r="G21" i="2" s="1"/>
  <c r="G9" i="2"/>
  <c r="K9" i="2"/>
  <c r="T5" i="2" l="1"/>
  <c r="T21" i="2" s="1"/>
  <c r="J10" i="2"/>
  <c r="J25" i="2" s="1"/>
  <c r="U23" i="2"/>
  <c r="T24" i="2"/>
  <c r="T22" i="2"/>
  <c r="U18" i="2"/>
  <c r="J12" i="2"/>
  <c r="U5" i="2"/>
  <c r="H10" i="2"/>
  <c r="H21" i="2"/>
  <c r="T9" i="2"/>
  <c r="U22" i="2"/>
  <c r="I18" i="2"/>
  <c r="J18" i="2"/>
  <c r="E10" i="2"/>
  <c r="E21" i="2"/>
  <c r="U24" i="2"/>
  <c r="T23" i="2"/>
  <c r="U9" i="2"/>
  <c r="F18" i="2"/>
  <c r="G18" i="2"/>
  <c r="H18" i="2"/>
  <c r="B10" i="2"/>
  <c r="C10" i="2"/>
  <c r="D10" i="2"/>
  <c r="I10" i="2"/>
  <c r="F10" i="2"/>
  <c r="G10" i="2"/>
  <c r="T10" i="2" l="1"/>
  <c r="T25" i="2" s="1"/>
  <c r="H12" i="2"/>
  <c r="H25" i="2"/>
  <c r="J14" i="2"/>
  <c r="J26" i="2"/>
  <c r="E12" i="2"/>
  <c r="E25" i="2"/>
  <c r="G12" i="2"/>
  <c r="G25" i="2"/>
  <c r="F12" i="2"/>
  <c r="F25" i="2"/>
  <c r="C12" i="2"/>
  <c r="C25" i="2"/>
  <c r="B12" i="2"/>
  <c r="B25" i="2"/>
  <c r="U21" i="2"/>
  <c r="U10" i="2"/>
  <c r="U12" i="2" s="1"/>
  <c r="I12" i="2"/>
  <c r="I25" i="2"/>
  <c r="D12" i="2"/>
  <c r="D25" i="2"/>
  <c r="V24" i="2"/>
  <c r="V18" i="2"/>
  <c r="V21" i="2"/>
  <c r="V23" i="2"/>
  <c r="K5" i="2"/>
  <c r="L6" i="1"/>
  <c r="L5" i="1"/>
  <c r="L4" i="1"/>
  <c r="T12" i="2" l="1"/>
  <c r="T26" i="2" s="1"/>
  <c r="K10" i="2"/>
  <c r="K21" i="2"/>
  <c r="K18" i="2"/>
  <c r="G14" i="2"/>
  <c r="G26" i="2"/>
  <c r="C14" i="2"/>
  <c r="C26" i="2"/>
  <c r="V22" i="2"/>
  <c r="V9" i="2"/>
  <c r="V10" i="2" s="1"/>
  <c r="B14" i="2"/>
  <c r="B26" i="2"/>
  <c r="E14" i="2"/>
  <c r="E26" i="2"/>
  <c r="D14" i="2"/>
  <c r="D26" i="2"/>
  <c r="I14" i="2"/>
  <c r="I26" i="2"/>
  <c r="J15" i="2"/>
  <c r="J27" i="2"/>
  <c r="W24" i="2"/>
  <c r="W23" i="2"/>
  <c r="W18" i="2"/>
  <c r="U25" i="2"/>
  <c r="F14" i="2"/>
  <c r="F26" i="2"/>
  <c r="H14" i="2"/>
  <c r="H26" i="2"/>
  <c r="L7" i="1"/>
  <c r="T14" i="2" l="1"/>
  <c r="T27" i="2" s="1"/>
  <c r="F19" i="2"/>
  <c r="G19" i="2"/>
  <c r="H19" i="2"/>
  <c r="I19" i="2"/>
  <c r="J19" i="2"/>
  <c r="D15" i="2"/>
  <c r="D27" i="2"/>
  <c r="G15" i="2"/>
  <c r="G27" i="2"/>
  <c r="H15" i="2"/>
  <c r="H27" i="2"/>
  <c r="W21" i="2"/>
  <c r="C15" i="2"/>
  <c r="C27" i="2"/>
  <c r="B15" i="2"/>
  <c r="B27" i="2"/>
  <c r="X18" i="2"/>
  <c r="X23" i="2"/>
  <c r="X24" i="2"/>
  <c r="I15" i="2"/>
  <c r="I27" i="2"/>
  <c r="F15" i="2"/>
  <c r="F27" i="2"/>
  <c r="E15" i="2"/>
  <c r="E27" i="2"/>
  <c r="U14" i="2"/>
  <c r="U26" i="2"/>
  <c r="V25" i="2"/>
  <c r="W22" i="2"/>
  <c r="W9" i="2"/>
  <c r="W10" i="2" s="1"/>
  <c r="K12" i="2"/>
  <c r="K25" i="2"/>
  <c r="T15" i="2" l="1"/>
  <c r="U19" i="2"/>
  <c r="L9" i="1"/>
  <c r="U61" i="2"/>
  <c r="U60" i="2"/>
  <c r="Y24" i="2"/>
  <c r="Y18" i="2"/>
  <c r="Y23" i="2"/>
  <c r="Y21" i="2"/>
  <c r="U27" i="2"/>
  <c r="U15" i="2"/>
  <c r="W25" i="2"/>
  <c r="K14" i="2"/>
  <c r="K19" i="2" s="1"/>
  <c r="K26" i="2"/>
  <c r="X22" i="2"/>
  <c r="X9" i="2"/>
  <c r="X10" i="2" s="1"/>
  <c r="X21" i="2"/>
  <c r="X25" i="2" l="1"/>
  <c r="K15" i="2"/>
  <c r="K27" i="2"/>
  <c r="Z21" i="2"/>
  <c r="Z18" i="2"/>
  <c r="Z24" i="2"/>
  <c r="Z23" i="2"/>
  <c r="Y22" i="2"/>
  <c r="Y9" i="2"/>
  <c r="Y10" i="2" s="1"/>
  <c r="AA23" i="2" l="1"/>
  <c r="AA18" i="2"/>
  <c r="AA21" i="2"/>
  <c r="AA24" i="2"/>
  <c r="Y25" i="2"/>
  <c r="Z22" i="2"/>
  <c r="Z9" i="2"/>
  <c r="Z10" i="2" s="1"/>
  <c r="Z25" i="2" l="1"/>
  <c r="AA22" i="2"/>
  <c r="AA9" i="2"/>
  <c r="AA10" i="2" s="1"/>
  <c r="AA25" i="2" l="1"/>
  <c r="V12" i="2" l="1"/>
  <c r="V13" i="2" s="1"/>
  <c r="V26" i="2" l="1"/>
  <c r="V14" i="2" l="1"/>
  <c r="V33" i="2" l="1"/>
  <c r="W11" i="2" s="1"/>
  <c r="W12" i="2" s="1"/>
  <c r="W13" i="2" s="1"/>
  <c r="V27" i="2"/>
  <c r="V19" i="2"/>
  <c r="V15" i="2"/>
  <c r="W26" i="2" l="1"/>
  <c r="W14" i="2" l="1"/>
  <c r="W33" i="2" l="1"/>
  <c r="W15" i="2"/>
  <c r="W27" i="2"/>
  <c r="W19" i="2"/>
  <c r="X11" i="2" l="1"/>
  <c r="X12" i="2" s="1"/>
  <c r="X13" i="2" s="1"/>
  <c r="X26" i="2" l="1"/>
  <c r="X14" i="2" l="1"/>
  <c r="X33" i="2" l="1"/>
  <c r="X19" i="2"/>
  <c r="X15" i="2"/>
  <c r="X27" i="2"/>
  <c r="Y11" i="2" l="1"/>
  <c r="Y12" i="2" s="1"/>
  <c r="Y13" i="2" s="1"/>
  <c r="Y26" i="2" l="1"/>
  <c r="Y14" i="2" l="1"/>
  <c r="Y33" i="2" s="1"/>
  <c r="Y27" i="2" l="1"/>
  <c r="Y15" i="2"/>
  <c r="Y19" i="2"/>
  <c r="Z11" i="2"/>
  <c r="Z12" i="2" s="1"/>
  <c r="Z13" i="2" s="1"/>
  <c r="Z26" i="2" l="1"/>
  <c r="Z14" i="2" l="1"/>
  <c r="Z33" i="2" s="1"/>
  <c r="Z15" i="2" l="1"/>
  <c r="Z27" i="2"/>
  <c r="Z19" i="2"/>
  <c r="AA11" i="2" l="1"/>
  <c r="AA12" i="2" s="1"/>
  <c r="AA13" i="2" s="1"/>
  <c r="AA26" i="2" l="1"/>
  <c r="AA14" i="2" l="1"/>
  <c r="AA33" i="2" l="1"/>
  <c r="AB14" i="2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AA19" i="2"/>
  <c r="AA15" i="2"/>
  <c r="AA27" i="2"/>
  <c r="AB33" i="2" l="1"/>
  <c r="AC33" i="2" l="1"/>
  <c r="AD33" i="2" l="1"/>
  <c r="AE33" i="2" l="1"/>
  <c r="AF33" i="2" l="1"/>
  <c r="AG33" i="2" l="1"/>
  <c r="AH33" i="2" l="1"/>
  <c r="AI33" i="2" l="1"/>
  <c r="AJ33" i="2" l="1"/>
  <c r="AK33" i="2" l="1"/>
  <c r="AL33" i="2" l="1"/>
  <c r="AM33" i="2" l="1"/>
  <c r="Q18" i="2"/>
  <c r="Q20" i="2" s="1"/>
  <c r="Q21" i="2" s="1"/>
  <c r="Q23" i="2" s="1"/>
</calcChain>
</file>

<file path=xl/sharedStrings.xml><?xml version="1.0" encoding="utf-8"?>
<sst xmlns="http://schemas.openxmlformats.org/spreadsheetml/2006/main" count="96" uniqueCount="74">
  <si>
    <t>META</t>
  </si>
  <si>
    <t>Price</t>
  </si>
  <si>
    <t>Shares</t>
  </si>
  <si>
    <t>MC</t>
  </si>
  <si>
    <t>Cash</t>
  </si>
  <si>
    <t>Debt</t>
  </si>
  <si>
    <t>EV</t>
  </si>
  <si>
    <t>Q24</t>
  </si>
  <si>
    <t>1.35T</t>
  </si>
  <si>
    <t>Revenue</t>
  </si>
  <si>
    <t xml:space="preserve"> 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</si>
  <si>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</si>
  <si>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</si>
  <si>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</si>
  <si>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</si>
  <si>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</si>
  <si>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</si>
  <si>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</si>
  <si>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</si>
  <si>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</si>
  <si>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Cost of revenue</t>
  </si>
  <si>
    <t>Gross Margin</t>
  </si>
  <si>
    <t>RD</t>
  </si>
  <si>
    <t>MS</t>
  </si>
  <si>
    <t>GA</t>
  </si>
  <si>
    <t>Operating Profit</t>
  </si>
  <si>
    <t>Interest income</t>
  </si>
  <si>
    <t>Pretaxe</t>
  </si>
  <si>
    <t>Taxes</t>
  </si>
  <si>
    <t>Net Income</t>
  </si>
  <si>
    <t>EPS</t>
  </si>
  <si>
    <t>OPEX</t>
  </si>
  <si>
    <t>Q122</t>
  </si>
  <si>
    <t>revenue y/y</t>
  </si>
  <si>
    <t>ROIC</t>
  </si>
  <si>
    <t>MR</t>
  </si>
  <si>
    <t>DR</t>
  </si>
  <si>
    <t>NPV</t>
  </si>
  <si>
    <t>True value</t>
  </si>
  <si>
    <t>Per share</t>
  </si>
  <si>
    <t>Current value</t>
  </si>
  <si>
    <t>Ratio</t>
  </si>
  <si>
    <t>Operating Margin</t>
  </si>
  <si>
    <t>RD %</t>
  </si>
  <si>
    <t>MS %</t>
  </si>
  <si>
    <t>GA%</t>
  </si>
  <si>
    <t>Taxe Rate</t>
  </si>
  <si>
    <t>Net Margin</t>
  </si>
  <si>
    <t>NC</t>
  </si>
  <si>
    <t xml:space="preserve">Cash </t>
  </si>
  <si>
    <t>Assets</t>
  </si>
  <si>
    <t>A/R</t>
  </si>
  <si>
    <t>OCA</t>
  </si>
  <si>
    <t>Equity Securities</t>
  </si>
  <si>
    <t>PPE</t>
  </si>
  <si>
    <t>OLA</t>
  </si>
  <si>
    <t>Intangibles</t>
  </si>
  <si>
    <t>Other</t>
  </si>
  <si>
    <t>A/P</t>
  </si>
  <si>
    <t>P/P</t>
  </si>
  <si>
    <t>OLL</t>
  </si>
  <si>
    <t>AE</t>
  </si>
  <si>
    <t>ONCLL</t>
  </si>
  <si>
    <t>Líabilities</t>
  </si>
  <si>
    <t>S/E</t>
  </si>
  <si>
    <t>L+S/E</t>
  </si>
  <si>
    <t>Net Cash</t>
  </si>
  <si>
    <t>ROA</t>
  </si>
  <si>
    <t>ROE</t>
  </si>
  <si>
    <t>NI y/y/</t>
  </si>
  <si>
    <t>EV/E 24</t>
  </si>
  <si>
    <t>Q324</t>
  </si>
  <si>
    <t>Q424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</si>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</sst>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1" fillId="0" borderId="0" xfId="0" applyNumberFormat="1" applyFont="1"/>
    <xf numFmtId="4" fontId="0" fillId="0" borderId="0" xfId="0" applyNumberFormat="1"/>
    <xf numFmtId="9" fontId="0" fillId="0" borderId="0" xfId="0" applyNumberFormat="1"/>
    <xf numFmtId="3" fontId="0" fillId="2" borderId="0" xfId="0" applyNumberFormat="1" applyFill="1"/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893445</xdr:colOff>
      <xdr:row>0</xdr:row>
      <xdr:rowOff>53340</xdr:rowOff>
    </xdr:from>
    <xdr:to>
      <xdr:col>13</xdr:col>
      <xdr:colOff>893445</xdr:colOff>
      <xdr:row>32</xdr:row>
      <xdr:rowOff>106680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5BA44343-9DBC-E0B6-7DFD-0271366DA2B9}"/>
            </a:ext>
          </a:extLst>
        </xdr:cNvPr>
        <xdr:cNvCxnSpPr/>
      </xdr:nvCxnSpPr>
      <xdr:spPr>
        <a:xfrm>
          <a:off x="10694670" y="53340"/>
          <a:ext cx="0" cy="5882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60960</xdr:rowOff>
    </xdr:from>
    <xdr:to>
      <xdr:col>21</xdr:col>
      <xdr:colOff>0</xdr:colOff>
      <xdr:row>32</xdr:row>
      <xdr:rowOff>114300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EB626176-F129-4BA2-B233-260AEF30A47E}"/>
            </a:ext>
          </a:extLst>
        </xdr:cNvPr>
        <xdr:cNvCxnSpPr/>
      </xdr:nvCxnSpPr>
      <xdr:spPr>
        <a:xfrm>
          <a:off x="15224760" y="60960"/>
          <a:ext cx="0" cy="56616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E39A-A4CD-4185-A30A-7652841AFB33}">
  <dimension ref="B2:M9"/>
  <sheetViews>
    <sheetView topLeftCell="D1" workbookViewId="0">
      <selection activeCell="K10" sqref="K10"/>
    </sheetView>
  </sheetViews>
  <sheetFormatPr defaultRowHeight="14.25" x14ac:dyDescent="0.2"/>
  <cols>
    <col min="13" max="13" width="9.5" bestFit="1" customWidth="1"/>
  </cols>
  <sheetData>
    <row r="2" spans="2:13" ht="15" x14ac:dyDescent="0.25">
      <c r="B2" s="2" t="s">
        <v>0</v>
      </c>
      <c r="K2" t="s">
        <v>1</v>
      </c>
      <c r="L2" s="3">
        <v>537.5</v>
      </c>
    </row>
    <row r="3" spans="2:13" x14ac:dyDescent="0.2">
      <c r="K3" t="s">
        <v>2</v>
      </c>
      <c r="L3" s="3">
        <f>2184.728795+345.087958</f>
        <v>2529.8167530000001</v>
      </c>
      <c r="M3" t="s">
        <v>7</v>
      </c>
    </row>
    <row r="4" spans="2:13" x14ac:dyDescent="0.2">
      <c r="K4" t="s">
        <v>3</v>
      </c>
      <c r="L4" s="3">
        <f>+L2*L3</f>
        <v>1359776.5047375001</v>
      </c>
      <c r="M4" t="s">
        <v>8</v>
      </c>
    </row>
    <row r="5" spans="2:13" x14ac:dyDescent="0.2">
      <c r="K5" t="s">
        <v>4</v>
      </c>
      <c r="L5" s="3">
        <f>32045</f>
        <v>32045</v>
      </c>
      <c r="M5" t="s">
        <v>7</v>
      </c>
    </row>
    <row r="6" spans="2:13" x14ac:dyDescent="0.2">
      <c r="K6" t="s">
        <v>5</v>
      </c>
      <c r="L6" s="3">
        <f>18389</f>
        <v>18389</v>
      </c>
      <c r="M6" t="s">
        <v>7</v>
      </c>
    </row>
    <row r="7" spans="2:13" x14ac:dyDescent="0.2">
      <c r="K7" t="s">
        <v>6</v>
      </c>
      <c r="L7" s="3">
        <f>+L4-L5+L6</f>
        <v>1346120.5047375001</v>
      </c>
    </row>
    <row r="8" spans="2:13" x14ac:dyDescent="0.2">
      <c r="M8" s="3" t="s">
        <v>10</v>
      </c>
    </row>
    <row r="9" spans="2:13" x14ac:dyDescent="0.2">
      <c r="K9" t="s">
        <v>70</v>
      </c>
      <c r="L9">
        <f>+L7/model!U14</f>
        <v>34.207690316926467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6DA0-8374-4467-8FA3-46D3F4C0B8C0}">
  <dimension ref="A2:BH61"/>
  <sheetViews>
    <sheetView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Y9" sqref="Y9"/>
    </sheetView>
  </sheetViews>
  <sheetFormatPr defaultRowHeight="14.25" x14ac:dyDescent="0.2"/>
  <cols>
    <col min="1" max="1" width="14.875" bestFit="1" customWidth="1"/>
    <col min="2" max="2" width="14.75" customWidth="1"/>
    <col min="14" max="14" width="11.75" bestFit="1" customWidth="1"/>
    <col min="15" max="15" width="11.75" customWidth="1"/>
    <col min="16" max="16" width="17.625" bestFit="1" customWidth="1"/>
    <col min="17" max="18" width="17.625" customWidth="1"/>
    <col min="22" max="22" width="9" bestFit="1" customWidth="1"/>
  </cols>
  <sheetData>
    <row r="2" spans="1:60" x14ac:dyDescent="0.2">
      <c r="A2" t="s">
        <v>10</v>
      </c>
      <c r="B2" t="s">
        <v>32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71</v>
      </c>
      <c r="M2" t="s">
        <v>72</v>
      </c>
      <c r="N2" t="s">
        <v>73</v>
      </c>
      <c r="T2">
        <v>2022</v>
      </c>
      <c r="U2">
        <f>+T2+1</f>
        <v>2023</v>
      </c>
      <c r="V2">
        <f t="shared" ref="V2:AM2" si="0">+U2+1</f>
        <v>2024</v>
      </c>
      <c r="W2">
        <f t="shared" si="0"/>
        <v>2025</v>
      </c>
      <c r="X2">
        <f t="shared" si="0"/>
        <v>2026</v>
      </c>
      <c r="Y2">
        <f t="shared" si="0"/>
        <v>2027</v>
      </c>
      <c r="Z2">
        <f t="shared" si="0"/>
        <v>2028</v>
      </c>
      <c r="AA2">
        <f t="shared" si="0"/>
        <v>2029</v>
      </c>
    </row>
    <row r="3" spans="1:60" s="4" customFormat="1" ht="15" x14ac:dyDescent="0.25">
      <c r="A3" s="1" t="s">
        <v>9</v>
      </c>
      <c r="B3" s="4">
        <v>27908</v>
      </c>
      <c r="C3" s="4">
        <v>28822</v>
      </c>
      <c r="D3" s="4">
        <v>27714</v>
      </c>
      <c r="E3" s="4">
        <v>32165</v>
      </c>
      <c r="F3" s="4">
        <v>28645</v>
      </c>
      <c r="G3" s="4">
        <v>31999</v>
      </c>
      <c r="H3" s="4">
        <v>34146</v>
      </c>
      <c r="I3" s="4">
        <v>40111</v>
      </c>
      <c r="J3" s="4">
        <v>36455</v>
      </c>
      <c r="K3" s="4">
        <v>39071</v>
      </c>
      <c r="T3" s="4">
        <f>SUM(B3:E3)</f>
        <v>116609</v>
      </c>
      <c r="U3" s="4">
        <f>SUM(F3:I3)</f>
        <v>134901</v>
      </c>
      <c r="V3" s="4">
        <f>+U3*1.2</f>
        <v>161881.19999999998</v>
      </c>
      <c r="W3" s="4">
        <f t="shared" ref="W3" si="1">+V3*1.2</f>
        <v>194257.43999999997</v>
      </c>
      <c r="X3" s="4">
        <f t="shared" ref="W3:X3" si="2">+W3*1.15</f>
        <v>223396.05599999995</v>
      </c>
      <c r="Y3" s="4">
        <f t="shared" ref="W3:AA3" si="3">+X3*1.1</f>
        <v>245735.66159999996</v>
      </c>
      <c r="Z3" s="4">
        <f t="shared" si="3"/>
        <v>270309.22775999998</v>
      </c>
      <c r="AA3" s="4">
        <f t="shared" si="3"/>
        <v>297340.15053600003</v>
      </c>
    </row>
    <row r="4" spans="1:60" s="3" customFormat="1" x14ac:dyDescent="0.2">
      <c r="A4" t="s">
        <v>20</v>
      </c>
      <c r="B4" s="3">
        <v>6005</v>
      </c>
      <c r="C4" s="3">
        <v>5192</v>
      </c>
      <c r="D4" s="3">
        <v>5716</v>
      </c>
      <c r="E4" s="3">
        <v>8336</v>
      </c>
      <c r="F4" s="3">
        <v>6108</v>
      </c>
      <c r="G4" s="3">
        <v>5945</v>
      </c>
      <c r="H4" s="3">
        <v>6210</v>
      </c>
      <c r="I4" s="3">
        <v>7695</v>
      </c>
      <c r="J4" s="3">
        <v>6640</v>
      </c>
      <c r="K4" s="3">
        <v>7308</v>
      </c>
      <c r="Q4" s="3" t="s">
        <v>10</v>
      </c>
      <c r="T4" s="3">
        <f>SUM(B4:E4)</f>
        <v>25249</v>
      </c>
      <c r="U4" s="3">
        <f>SUM(F4:I4)</f>
        <v>25958</v>
      </c>
    </row>
    <row r="5" spans="1:60" s="4" customFormat="1" ht="15" x14ac:dyDescent="0.25">
      <c r="A5" s="1" t="s">
        <v>21</v>
      </c>
      <c r="B5" s="4">
        <f t="shared" ref="B5:K5" si="4">+B3-B4</f>
        <v>21903</v>
      </c>
      <c r="C5" s="4">
        <f t="shared" si="4"/>
        <v>23630</v>
      </c>
      <c r="D5" s="4">
        <f t="shared" si="4"/>
        <v>21998</v>
      </c>
      <c r="E5" s="4">
        <f t="shared" si="4"/>
        <v>23829</v>
      </c>
      <c r="F5" s="4">
        <f t="shared" si="4"/>
        <v>22537</v>
      </c>
      <c r="G5" s="4">
        <f t="shared" si="4"/>
        <v>26054</v>
      </c>
      <c r="H5" s="4">
        <f t="shared" si="4"/>
        <v>27936</v>
      </c>
      <c r="I5" s="4">
        <f t="shared" si="4"/>
        <v>32416</v>
      </c>
      <c r="J5" s="4">
        <f t="shared" si="4"/>
        <v>29815</v>
      </c>
      <c r="K5" s="4">
        <f t="shared" si="4"/>
        <v>31763</v>
      </c>
      <c r="R5" s="4" t="s">
        <v>10</v>
      </c>
      <c r="T5" s="4">
        <f>+T3-T4</f>
        <v>91360</v>
      </c>
      <c r="U5" s="4">
        <f>+U3-U4</f>
        <v>108943</v>
      </c>
      <c r="V5" s="4">
        <f>+V3*0.8</f>
        <v>129504.95999999999</v>
      </c>
      <c r="W5" s="4">
        <f t="shared" ref="W5:AA5" si="5">+W3*0.8</f>
        <v>155405.95199999999</v>
      </c>
      <c r="X5" s="4">
        <f t="shared" si="5"/>
        <v>178716.84479999996</v>
      </c>
      <c r="Y5" s="4">
        <f t="shared" si="5"/>
        <v>196588.52927999999</v>
      </c>
      <c r="Z5" s="4">
        <f t="shared" si="5"/>
        <v>216247.382208</v>
      </c>
      <c r="AA5" s="4">
        <f t="shared" si="5"/>
        <v>237872.12042880003</v>
      </c>
    </row>
    <row r="6" spans="1:60" s="3" customFormat="1" x14ac:dyDescent="0.2">
      <c r="A6" t="s">
        <v>22</v>
      </c>
      <c r="B6" s="3">
        <v>7707</v>
      </c>
      <c r="C6" s="3">
        <v>8690</v>
      </c>
      <c r="D6" s="3">
        <v>9170</v>
      </c>
      <c r="E6" s="3">
        <v>9771</v>
      </c>
      <c r="F6" s="3">
        <v>9381</v>
      </c>
      <c r="G6" s="3">
        <v>9344</v>
      </c>
      <c r="H6" s="3">
        <v>9241</v>
      </c>
      <c r="I6" s="3">
        <v>10517</v>
      </c>
      <c r="J6" s="3">
        <v>9978</v>
      </c>
      <c r="K6" s="3">
        <v>10537</v>
      </c>
      <c r="P6" s="3" t="s">
        <v>10</v>
      </c>
      <c r="T6" s="3">
        <f>SUM(B6:E6)</f>
        <v>35338</v>
      </c>
      <c r="U6" s="3">
        <f>SUM(F6:I6)</f>
        <v>38483</v>
      </c>
      <c r="V6" s="3">
        <f>+U6*1.05</f>
        <v>40407.15</v>
      </c>
      <c r="W6" s="3">
        <f t="shared" ref="W6:AA6" si="6">+V6*1.05</f>
        <v>42427.5075</v>
      </c>
      <c r="X6" s="3">
        <f t="shared" si="6"/>
        <v>44548.882875000003</v>
      </c>
      <c r="Y6" s="3">
        <f t="shared" si="6"/>
        <v>46776.327018750002</v>
      </c>
      <c r="Z6" s="3">
        <f t="shared" si="6"/>
        <v>49115.143369687503</v>
      </c>
      <c r="AA6" s="3">
        <f t="shared" si="6"/>
        <v>51570.900538171882</v>
      </c>
    </row>
    <row r="7" spans="1:60" s="3" customFormat="1" x14ac:dyDescent="0.2">
      <c r="A7" t="s">
        <v>23</v>
      </c>
      <c r="B7" s="3">
        <v>3312</v>
      </c>
      <c r="C7" s="3">
        <v>3595</v>
      </c>
      <c r="D7" s="3">
        <v>3780</v>
      </c>
      <c r="E7" s="3">
        <v>4574</v>
      </c>
      <c r="F7" s="3">
        <v>3044</v>
      </c>
      <c r="G7" s="3">
        <v>3154</v>
      </c>
      <c r="H7" s="3">
        <v>2877</v>
      </c>
      <c r="I7" s="3">
        <v>3226</v>
      </c>
      <c r="J7" s="3">
        <v>2564</v>
      </c>
      <c r="K7" s="3">
        <v>2721</v>
      </c>
      <c r="T7" s="3">
        <f>SUM(B7:E7)</f>
        <v>15261</v>
      </c>
      <c r="U7" s="3">
        <f>SUM(F7:I7)</f>
        <v>12301</v>
      </c>
      <c r="V7" s="3">
        <f t="shared" ref="V7:AM7" si="7">+U7*1.03</f>
        <v>12670.03</v>
      </c>
      <c r="W7" s="3">
        <f t="shared" si="7"/>
        <v>13050.1309</v>
      </c>
      <c r="X7" s="3">
        <f t="shared" si="7"/>
        <v>13441.634827</v>
      </c>
      <c r="Y7" s="3">
        <f t="shared" si="7"/>
        <v>13844.88387181</v>
      </c>
      <c r="Z7" s="3">
        <f t="shared" si="7"/>
        <v>14260.2303879643</v>
      </c>
      <c r="AA7" s="3">
        <f t="shared" si="7"/>
        <v>14688.037299603229</v>
      </c>
    </row>
    <row r="8" spans="1:60" s="3" customFormat="1" x14ac:dyDescent="0.2">
      <c r="A8" t="s">
        <v>24</v>
      </c>
      <c r="B8" s="3">
        <v>2360</v>
      </c>
      <c r="C8" s="3">
        <v>2987</v>
      </c>
      <c r="D8" s="3">
        <v>3384</v>
      </c>
      <c r="E8" s="3">
        <v>3085</v>
      </c>
      <c r="F8" s="3">
        <v>2885</v>
      </c>
      <c r="G8" s="3">
        <v>4164</v>
      </c>
      <c r="H8" s="3">
        <v>2070</v>
      </c>
      <c r="I8" s="3">
        <v>2289</v>
      </c>
      <c r="J8" s="3">
        <v>3455</v>
      </c>
      <c r="K8" s="3">
        <v>3658</v>
      </c>
      <c r="T8" s="3">
        <f>SUM(B8:E8)</f>
        <v>11816</v>
      </c>
      <c r="U8" s="3">
        <f>SUM(F8:I8)</f>
        <v>11408</v>
      </c>
      <c r="V8" s="3">
        <f>+U8</f>
        <v>11408</v>
      </c>
      <c r="W8" s="3">
        <f t="shared" ref="W8:AA8" si="8">+V8</f>
        <v>11408</v>
      </c>
      <c r="X8" s="3">
        <f t="shared" si="8"/>
        <v>11408</v>
      </c>
      <c r="Y8" s="3">
        <f t="shared" si="8"/>
        <v>11408</v>
      </c>
      <c r="Z8" s="3">
        <f t="shared" si="8"/>
        <v>11408</v>
      </c>
      <c r="AA8" s="3">
        <f t="shared" si="8"/>
        <v>11408</v>
      </c>
    </row>
    <row r="9" spans="1:60" s="3" customFormat="1" x14ac:dyDescent="0.2">
      <c r="A9" t="s">
        <v>31</v>
      </c>
      <c r="B9" s="3">
        <f t="shared" ref="B9:K9" si="9">+B6+B7+B8</f>
        <v>13379</v>
      </c>
      <c r="C9" s="3">
        <f t="shared" si="9"/>
        <v>15272</v>
      </c>
      <c r="D9" s="3">
        <f t="shared" si="9"/>
        <v>16334</v>
      </c>
      <c r="E9" s="3">
        <f t="shared" si="9"/>
        <v>17430</v>
      </c>
      <c r="F9" s="3">
        <f t="shared" si="9"/>
        <v>15310</v>
      </c>
      <c r="G9" s="3">
        <f t="shared" si="9"/>
        <v>16662</v>
      </c>
      <c r="H9" s="3">
        <f t="shared" si="9"/>
        <v>14188</v>
      </c>
      <c r="I9" s="3">
        <f t="shared" si="9"/>
        <v>16032</v>
      </c>
      <c r="J9" s="3">
        <f t="shared" si="9"/>
        <v>15997</v>
      </c>
      <c r="K9" s="3">
        <f t="shared" si="9"/>
        <v>16916</v>
      </c>
      <c r="T9" s="3">
        <f t="shared" ref="T9:AM9" si="10">+T6+T7+T8</f>
        <v>62415</v>
      </c>
      <c r="U9" s="3">
        <f t="shared" si="10"/>
        <v>62192</v>
      </c>
      <c r="V9" s="3">
        <f t="shared" si="10"/>
        <v>64485.18</v>
      </c>
      <c r="W9" s="3">
        <f t="shared" si="10"/>
        <v>66885.638399999996</v>
      </c>
      <c r="X9" s="3">
        <f t="shared" si="10"/>
        <v>69398.517702000012</v>
      </c>
      <c r="Y9" s="3">
        <f t="shared" si="10"/>
        <v>72029.210890560003</v>
      </c>
      <c r="Z9" s="3">
        <f t="shared" si="10"/>
        <v>74783.373757651803</v>
      </c>
      <c r="AA9" s="3">
        <f t="shared" si="10"/>
        <v>77666.937837775113</v>
      </c>
    </row>
    <row r="10" spans="1:60" s="4" customFormat="1" ht="15" x14ac:dyDescent="0.25">
      <c r="A10" s="1" t="s">
        <v>25</v>
      </c>
      <c r="B10" s="4">
        <f t="shared" ref="B10:K10" si="11">+B5-B9</f>
        <v>8524</v>
      </c>
      <c r="C10" s="4">
        <f t="shared" si="11"/>
        <v>8358</v>
      </c>
      <c r="D10" s="4">
        <f t="shared" si="11"/>
        <v>5664</v>
      </c>
      <c r="E10" s="4">
        <f t="shared" si="11"/>
        <v>6399</v>
      </c>
      <c r="F10" s="4">
        <f t="shared" si="11"/>
        <v>7227</v>
      </c>
      <c r="G10" s="4">
        <f t="shared" si="11"/>
        <v>9392</v>
      </c>
      <c r="H10" s="4">
        <f t="shared" si="11"/>
        <v>13748</v>
      </c>
      <c r="I10" s="4">
        <f t="shared" si="11"/>
        <v>16384</v>
      </c>
      <c r="J10" s="4">
        <f t="shared" si="11"/>
        <v>13818</v>
      </c>
      <c r="K10" s="4">
        <f t="shared" si="11"/>
        <v>14847</v>
      </c>
      <c r="T10" s="4">
        <f t="shared" ref="T10:AM10" si="12">+T5-T9</f>
        <v>28945</v>
      </c>
      <c r="U10" s="4">
        <f t="shared" si="12"/>
        <v>46751</v>
      </c>
      <c r="V10" s="4">
        <f t="shared" si="12"/>
        <v>65019.779999999992</v>
      </c>
      <c r="W10" s="4">
        <f t="shared" si="12"/>
        <v>88520.313599999994</v>
      </c>
      <c r="X10" s="4">
        <f t="shared" si="12"/>
        <v>109318.32709799995</v>
      </c>
      <c r="Y10" s="4">
        <f t="shared" si="12"/>
        <v>124559.31838943998</v>
      </c>
      <c r="Z10" s="4">
        <f t="shared" si="12"/>
        <v>141464.00845034819</v>
      </c>
      <c r="AA10" s="4">
        <f t="shared" si="12"/>
        <v>160205.1825910249</v>
      </c>
    </row>
    <row r="11" spans="1:60" s="7" customFormat="1" x14ac:dyDescent="0.2">
      <c r="A11" t="s">
        <v>26</v>
      </c>
      <c r="B11" s="7">
        <v>384</v>
      </c>
      <c r="C11" s="7">
        <v>-172</v>
      </c>
      <c r="D11" s="7">
        <v>-88</v>
      </c>
      <c r="E11" s="7">
        <v>-250</v>
      </c>
      <c r="F11" s="7">
        <v>80</v>
      </c>
      <c r="G11" s="7">
        <v>-99</v>
      </c>
      <c r="H11" s="7">
        <v>272</v>
      </c>
      <c r="I11" s="7">
        <v>424</v>
      </c>
      <c r="J11" s="7">
        <v>365</v>
      </c>
      <c r="K11" s="7">
        <v>259</v>
      </c>
      <c r="N11" s="3"/>
      <c r="O11" s="3"/>
      <c r="P11" s="3"/>
      <c r="Q11" s="3"/>
      <c r="R11" s="3"/>
      <c r="S11" s="3" t="s">
        <v>10</v>
      </c>
      <c r="T11" s="7">
        <f>SUM(B11:E11)</f>
        <v>-126</v>
      </c>
      <c r="U11" s="7">
        <f>+(U33*$Q$15)</f>
        <v>931.40000000000009</v>
      </c>
      <c r="V11" s="7">
        <f>+U33*$Q$15</f>
        <v>931.40000000000009</v>
      </c>
      <c r="W11" s="7">
        <f t="shared" ref="W11:AM11" si="13">+V33*$Q$15</f>
        <v>3569.4471999999996</v>
      </c>
      <c r="X11" s="7">
        <f t="shared" si="13"/>
        <v>7253.0376319999987</v>
      </c>
      <c r="Y11" s="7">
        <f t="shared" si="13"/>
        <v>11915.892221199996</v>
      </c>
      <c r="Z11" s="7">
        <f t="shared" si="13"/>
        <v>17374.900645625596</v>
      </c>
      <c r="AA11" s="7">
        <f t="shared" si="13"/>
        <v>23728.457009464546</v>
      </c>
    </row>
    <row r="12" spans="1:60" s="3" customFormat="1" x14ac:dyDescent="0.2">
      <c r="A12" t="s">
        <v>27</v>
      </c>
      <c r="B12" s="3">
        <f t="shared" ref="B12:K12" si="14">+B10+B11</f>
        <v>8908</v>
      </c>
      <c r="C12" s="3">
        <f t="shared" si="14"/>
        <v>8186</v>
      </c>
      <c r="D12" s="3">
        <f t="shared" si="14"/>
        <v>5576</v>
      </c>
      <c r="E12" s="3">
        <f t="shared" si="14"/>
        <v>6149</v>
      </c>
      <c r="F12" s="3">
        <f t="shared" si="14"/>
        <v>7307</v>
      </c>
      <c r="G12" s="3">
        <f t="shared" si="14"/>
        <v>9293</v>
      </c>
      <c r="H12" s="3">
        <f t="shared" si="14"/>
        <v>14020</v>
      </c>
      <c r="I12" s="3">
        <f t="shared" si="14"/>
        <v>16808</v>
      </c>
      <c r="J12" s="3">
        <f t="shared" si="14"/>
        <v>14183</v>
      </c>
      <c r="K12" s="3">
        <f t="shared" si="14"/>
        <v>15106</v>
      </c>
      <c r="T12" s="3">
        <f t="shared" ref="T12:AM12" si="15">+T10+T11</f>
        <v>28819</v>
      </c>
      <c r="U12" s="3">
        <f>+U10+U11</f>
        <v>47682.400000000001</v>
      </c>
      <c r="V12" s="3">
        <f>+V10+V11</f>
        <v>65951.179999999993</v>
      </c>
      <c r="W12" s="3">
        <f t="shared" si="15"/>
        <v>92089.760799999989</v>
      </c>
      <c r="X12" s="3">
        <f t="shared" si="15"/>
        <v>116571.36472999994</v>
      </c>
      <c r="Y12" s="3">
        <f t="shared" si="15"/>
        <v>136475.21061063997</v>
      </c>
      <c r="Z12" s="3">
        <f t="shared" si="15"/>
        <v>158838.9090959738</v>
      </c>
      <c r="AA12" s="3">
        <f t="shared" si="15"/>
        <v>183933.63960048946</v>
      </c>
    </row>
    <row r="13" spans="1:60" s="3" customFormat="1" x14ac:dyDescent="0.2">
      <c r="A13" t="s">
        <v>28</v>
      </c>
      <c r="B13" s="3">
        <v>1443</v>
      </c>
      <c r="C13" s="3">
        <v>1499</v>
      </c>
      <c r="D13" s="3">
        <v>1181</v>
      </c>
      <c r="E13" s="3">
        <v>1497</v>
      </c>
      <c r="F13" s="3">
        <v>1598</v>
      </c>
      <c r="G13" s="3">
        <v>1505</v>
      </c>
      <c r="H13" s="3">
        <v>2437</v>
      </c>
      <c r="I13" s="3">
        <v>2791</v>
      </c>
      <c r="J13" s="3">
        <v>1814</v>
      </c>
      <c r="K13" s="3">
        <v>1641</v>
      </c>
      <c r="T13" s="3">
        <f>SUM(B13:E13)</f>
        <v>5620</v>
      </c>
      <c r="U13" s="3">
        <f>SUM(F13:I13)</f>
        <v>8331</v>
      </c>
      <c r="V13" s="3">
        <f>+V12*0.2</f>
        <v>13190.235999999999</v>
      </c>
      <c r="W13" s="3">
        <f t="shared" ref="W13:AA13" si="16">+W12*0.2</f>
        <v>18417.952159999997</v>
      </c>
      <c r="X13" s="3">
        <f t="shared" si="16"/>
        <v>23314.27294599999</v>
      </c>
      <c r="Y13" s="3">
        <f t="shared" si="16"/>
        <v>27295.042122127998</v>
      </c>
      <c r="Z13" s="3">
        <f t="shared" si="16"/>
        <v>31767.781819194759</v>
      </c>
      <c r="AA13" s="3">
        <f t="shared" si="16"/>
        <v>36786.727920097896</v>
      </c>
    </row>
    <row r="14" spans="1:60" s="4" customFormat="1" ht="15" x14ac:dyDescent="0.25">
      <c r="A14" s="1" t="s">
        <v>29</v>
      </c>
      <c r="B14" s="4">
        <f t="shared" ref="B14:K14" si="17">+B12-B13</f>
        <v>7465</v>
      </c>
      <c r="C14" s="4">
        <f t="shared" si="17"/>
        <v>6687</v>
      </c>
      <c r="D14" s="4">
        <f t="shared" si="17"/>
        <v>4395</v>
      </c>
      <c r="E14" s="4">
        <f t="shared" si="17"/>
        <v>4652</v>
      </c>
      <c r="F14" s="4">
        <f t="shared" si="17"/>
        <v>5709</v>
      </c>
      <c r="G14" s="4">
        <f t="shared" si="17"/>
        <v>7788</v>
      </c>
      <c r="H14" s="4">
        <f t="shared" si="17"/>
        <v>11583</v>
      </c>
      <c r="I14" s="4">
        <f t="shared" si="17"/>
        <v>14017</v>
      </c>
      <c r="J14" s="4">
        <f t="shared" si="17"/>
        <v>12369</v>
      </c>
      <c r="K14" s="4">
        <f t="shared" si="17"/>
        <v>13465</v>
      </c>
      <c r="S14" s="4" t="s">
        <v>10</v>
      </c>
      <c r="T14" s="4">
        <f t="shared" ref="T14:AM14" si="18">+T12-T13</f>
        <v>23199</v>
      </c>
      <c r="U14" s="4">
        <f t="shared" si="18"/>
        <v>39351.4</v>
      </c>
      <c r="V14" s="4">
        <f t="shared" si="18"/>
        <v>52760.943999999996</v>
      </c>
      <c r="W14" s="4">
        <f t="shared" si="18"/>
        <v>73671.808639999988</v>
      </c>
      <c r="X14" s="4">
        <f t="shared" si="18"/>
        <v>93257.09178399996</v>
      </c>
      <c r="Y14" s="4">
        <f t="shared" si="18"/>
        <v>109180.16848851198</v>
      </c>
      <c r="Z14" s="4">
        <f t="shared" si="18"/>
        <v>127071.12727677904</v>
      </c>
      <c r="AA14" s="4">
        <f t="shared" si="18"/>
        <v>147146.91168039158</v>
      </c>
      <c r="AB14" s="4">
        <f>+AA14*0.99</f>
        <v>145675.44256358765</v>
      </c>
      <c r="AC14" s="4">
        <f t="shared" ref="AC14:BH14" si="19">+AB14*0.99</f>
        <v>144218.68813795177</v>
      </c>
      <c r="AD14" s="4">
        <f t="shared" si="19"/>
        <v>142776.50125657226</v>
      </c>
      <c r="AE14" s="4">
        <f t="shared" si="19"/>
        <v>141348.73624400652</v>
      </c>
      <c r="AF14" s="4">
        <f t="shared" si="19"/>
        <v>139935.24888156645</v>
      </c>
      <c r="AG14" s="4">
        <f t="shared" si="19"/>
        <v>138535.89639275079</v>
      </c>
      <c r="AH14" s="4">
        <f t="shared" si="19"/>
        <v>137150.53742882327</v>
      </c>
      <c r="AI14" s="4">
        <f t="shared" si="19"/>
        <v>135779.03205453503</v>
      </c>
      <c r="AJ14" s="4">
        <f t="shared" si="19"/>
        <v>134421.24173398968</v>
      </c>
      <c r="AK14" s="4">
        <f t="shared" si="19"/>
        <v>133077.02931664977</v>
      </c>
      <c r="AL14" s="4">
        <f t="shared" si="19"/>
        <v>131746.25902348326</v>
      </c>
      <c r="AM14" s="4">
        <f t="shared" si="19"/>
        <v>130428.79643324843</v>
      </c>
      <c r="AN14" s="4">
        <f t="shared" si="19"/>
        <v>129124.50846891594</v>
      </c>
      <c r="AO14" s="4">
        <f t="shared" si="19"/>
        <v>127833.26338422678</v>
      </c>
      <c r="AP14" s="4">
        <f t="shared" si="19"/>
        <v>126554.93075038452</v>
      </c>
      <c r="AQ14" s="4">
        <f t="shared" si="19"/>
        <v>125289.38144288068</v>
      </c>
      <c r="AR14" s="4">
        <f t="shared" si="19"/>
        <v>124036.48762845187</v>
      </c>
      <c r="AS14" s="4">
        <f t="shared" si="19"/>
        <v>122796.12275216734</v>
      </c>
      <c r="AT14" s="4">
        <f t="shared" si="19"/>
        <v>121568.16152464566</v>
      </c>
      <c r="AU14" s="4">
        <f t="shared" si="19"/>
        <v>120352.4799093992</v>
      </c>
      <c r="AV14" s="4">
        <f t="shared" si="19"/>
        <v>119148.95511030521</v>
      </c>
      <c r="AW14" s="4">
        <f t="shared" si="19"/>
        <v>117957.46555920216</v>
      </c>
      <c r="AX14" s="4">
        <f t="shared" si="19"/>
        <v>116777.89090361014</v>
      </c>
      <c r="AY14" s="4">
        <f t="shared" si="19"/>
        <v>115610.11199457404</v>
      </c>
      <c r="AZ14" s="4">
        <f t="shared" si="19"/>
        <v>114454.01087462829</v>
      </c>
      <c r="BA14" s="4">
        <f t="shared" si="19"/>
        <v>113309.47076588201</v>
      </c>
      <c r="BB14" s="4">
        <f t="shared" si="19"/>
        <v>112176.37605822319</v>
      </c>
      <c r="BC14" s="4">
        <f t="shared" si="19"/>
        <v>111054.61229764095</v>
      </c>
      <c r="BD14" s="4">
        <f t="shared" si="19"/>
        <v>109944.06617466455</v>
      </c>
      <c r="BE14" s="4">
        <f t="shared" si="19"/>
        <v>108844.6255129179</v>
      </c>
      <c r="BF14" s="4">
        <f t="shared" si="19"/>
        <v>107756.17925778872</v>
      </c>
      <c r="BG14" s="4">
        <f t="shared" si="19"/>
        <v>106678.61746521083</v>
      </c>
      <c r="BH14" s="4">
        <f t="shared" si="19"/>
        <v>105611.83129055872</v>
      </c>
    </row>
    <row r="15" spans="1:60" s="3" customFormat="1" x14ac:dyDescent="0.2">
      <c r="A15" t="s">
        <v>30</v>
      </c>
      <c r="B15" s="5">
        <f t="shared" ref="B15:K15" si="20">+B14/B16</f>
        <v>2.7394495412844035</v>
      </c>
      <c r="C15" s="5">
        <f t="shared" si="20"/>
        <v>2.4730029585798818</v>
      </c>
      <c r="D15" s="5">
        <f t="shared" si="20"/>
        <v>1.638702460850112</v>
      </c>
      <c r="E15" s="5">
        <f t="shared" si="20"/>
        <v>1.7634571645185746</v>
      </c>
      <c r="F15" s="5">
        <f t="shared" si="20"/>
        <v>2.206803247004252</v>
      </c>
      <c r="G15" s="5">
        <f t="shared" si="20"/>
        <v>3.0327102803738319</v>
      </c>
      <c r="H15" s="5">
        <f t="shared" si="20"/>
        <v>4.4965062111801242</v>
      </c>
      <c r="I15" s="5">
        <f t="shared" si="20"/>
        <v>5.4625876851130162</v>
      </c>
      <c r="J15" s="5">
        <f t="shared" si="20"/>
        <v>4.8601178781925345</v>
      </c>
      <c r="K15" s="5">
        <f t="shared" si="20"/>
        <v>5.3137332280978686</v>
      </c>
      <c r="L15" s="5"/>
      <c r="M15" s="5"/>
      <c r="P15" t="s">
        <v>34</v>
      </c>
      <c r="Q15" s="6">
        <v>0.05</v>
      </c>
      <c r="T15" s="5">
        <f t="shared" ref="T15:AM15" si="21">+T14/T16</f>
        <v>8.6329891152665361</v>
      </c>
      <c r="U15" s="5">
        <f t="shared" si="21"/>
        <v>15.286549480431194</v>
      </c>
      <c r="V15" s="5">
        <f t="shared" si="21"/>
        <v>20.495656599009418</v>
      </c>
      <c r="W15" s="5">
        <f t="shared" si="21"/>
        <v>28.618746679615416</v>
      </c>
      <c r="X15" s="5">
        <f t="shared" si="21"/>
        <v>36.226897847528392</v>
      </c>
      <c r="Y15" s="5">
        <f t="shared" si="21"/>
        <v>42.41241856405243</v>
      </c>
      <c r="Z15" s="5">
        <f t="shared" si="21"/>
        <v>49.362387987483359</v>
      </c>
      <c r="AA15" s="5">
        <f t="shared" si="21"/>
        <v>57.161080578961474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60" s="3" customFormat="1" x14ac:dyDescent="0.2">
      <c r="A16" t="s">
        <v>2</v>
      </c>
      <c r="B16" s="3">
        <v>2725</v>
      </c>
      <c r="C16" s="3">
        <v>2704</v>
      </c>
      <c r="D16" s="3">
        <v>2682</v>
      </c>
      <c r="E16" s="3">
        <v>2638</v>
      </c>
      <c r="F16" s="3">
        <v>2587</v>
      </c>
      <c r="G16" s="3">
        <v>2568</v>
      </c>
      <c r="H16" s="3">
        <v>2576</v>
      </c>
      <c r="I16" s="3">
        <v>2566</v>
      </c>
      <c r="J16" s="3">
        <v>2545</v>
      </c>
      <c r="K16" s="3">
        <v>2534</v>
      </c>
      <c r="P16" t="s">
        <v>35</v>
      </c>
      <c r="Q16" s="6" t="s">
        <v>10</v>
      </c>
      <c r="R16" s="6"/>
      <c r="S16" s="3" t="s">
        <v>10</v>
      </c>
      <c r="T16" s="3">
        <f>AVERAGE(B16:E16)</f>
        <v>2687.25</v>
      </c>
      <c r="U16" s="3">
        <f>AVERAGE(F16:I16)</f>
        <v>2574.25</v>
      </c>
      <c r="V16" s="3">
        <f>+U16</f>
        <v>2574.25</v>
      </c>
      <c r="W16" s="3">
        <f t="shared" ref="W16:AM16" si="22">+V16</f>
        <v>2574.25</v>
      </c>
      <c r="X16" s="3">
        <f t="shared" si="22"/>
        <v>2574.25</v>
      </c>
      <c r="Y16" s="3">
        <f t="shared" si="22"/>
        <v>2574.25</v>
      </c>
      <c r="Z16" s="3">
        <f t="shared" si="22"/>
        <v>2574.25</v>
      </c>
      <c r="AA16" s="3">
        <f t="shared" si="22"/>
        <v>2574.25</v>
      </c>
    </row>
    <row r="17" spans="1:39" x14ac:dyDescent="0.2">
      <c r="A17" t="s">
        <v>10</v>
      </c>
      <c r="P17" t="s">
        <v>36</v>
      </c>
      <c r="Q17" s="6">
        <v>7.0000000000000007E-2</v>
      </c>
      <c r="R17" s="6"/>
    </row>
    <row r="18" spans="1:39" x14ac:dyDescent="0.2">
      <c r="A18" t="s">
        <v>33</v>
      </c>
      <c r="F18" s="6">
        <f t="shared" ref="F18:H18" si="23">+F5/B5-1</f>
        <v>2.8945806510523697E-2</v>
      </c>
      <c r="G18" s="6">
        <f t="shared" si="23"/>
        <v>0.1025814642403724</v>
      </c>
      <c r="H18" s="6">
        <f t="shared" si="23"/>
        <v>0.26993363033002993</v>
      </c>
      <c r="I18" s="6">
        <f>+I5/E5-1</f>
        <v>0.36035922615300686</v>
      </c>
      <c r="J18" s="6">
        <f t="shared" ref="J18:K18" si="24">+J5/F5-1</f>
        <v>0.32293561698540185</v>
      </c>
      <c r="K18" s="6">
        <f t="shared" si="24"/>
        <v>0.21912182390419899</v>
      </c>
      <c r="L18" s="6"/>
      <c r="M18" s="6"/>
      <c r="P18" t="s">
        <v>37</v>
      </c>
      <c r="Q18" s="8">
        <f>NPV(Q17,T14:BH14)</f>
        <v>1437578.4343841327</v>
      </c>
      <c r="R18" s="6"/>
      <c r="T18" t="s">
        <v>10</v>
      </c>
      <c r="U18" s="6">
        <f>+U3/T3-1</f>
        <v>0.15686610810486323</v>
      </c>
      <c r="V18" s="6">
        <f t="shared" ref="V18:AM18" si="25">+V3/U3-1</f>
        <v>0.19999999999999996</v>
      </c>
      <c r="W18" s="6">
        <f t="shared" si="25"/>
        <v>0.19999999999999996</v>
      </c>
      <c r="X18" s="6">
        <f t="shared" si="25"/>
        <v>0.14999999999999991</v>
      </c>
      <c r="Y18" s="6">
        <f t="shared" si="25"/>
        <v>0.10000000000000009</v>
      </c>
      <c r="Z18" s="6">
        <f t="shared" si="25"/>
        <v>0.10000000000000009</v>
      </c>
      <c r="AA18" s="6">
        <f t="shared" si="25"/>
        <v>0.10000000000000009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x14ac:dyDescent="0.2">
      <c r="A19" t="s">
        <v>69</v>
      </c>
      <c r="F19" s="6">
        <f t="shared" ref="F19:J19" si="26">+F14/B14-1</f>
        <v>-0.23523107836570667</v>
      </c>
      <c r="G19" s="6">
        <f t="shared" si="26"/>
        <v>0.16464782413638401</v>
      </c>
      <c r="H19" s="6">
        <f t="shared" si="26"/>
        <v>1.6354948805460752</v>
      </c>
      <c r="I19" s="6">
        <f t="shared" si="26"/>
        <v>2.0131126397248496</v>
      </c>
      <c r="J19" s="6">
        <f t="shared" si="26"/>
        <v>1.16657908565423</v>
      </c>
      <c r="K19" s="6">
        <f>+K14/G14-1</f>
        <v>0.72894196199280947</v>
      </c>
      <c r="L19" s="6"/>
      <c r="M19" s="6"/>
      <c r="P19" t="s">
        <v>48</v>
      </c>
      <c r="Q19" s="3">
        <f>+main!L5-main!L6</f>
        <v>13656</v>
      </c>
      <c r="R19" s="8"/>
      <c r="T19" t="s">
        <v>10</v>
      </c>
      <c r="U19" s="6">
        <f>+U14/T14-1</f>
        <v>0.6962541488857279</v>
      </c>
      <c r="V19" s="6">
        <f t="shared" ref="V19:AM19" si="27">+V14/U14-1</f>
        <v>0.34076408971472416</v>
      </c>
      <c r="W19" s="6">
        <f t="shared" si="27"/>
        <v>0.39633226880853378</v>
      </c>
      <c r="X19" s="6">
        <f t="shared" si="27"/>
        <v>0.26584501596403287</v>
      </c>
      <c r="Y19" s="6">
        <f t="shared" si="27"/>
        <v>0.17074386944633324</v>
      </c>
      <c r="Z19" s="6">
        <f t="shared" si="27"/>
        <v>0.16386637826218009</v>
      </c>
      <c r="AA19" s="6">
        <f t="shared" si="27"/>
        <v>0.15798855990223992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x14ac:dyDescent="0.2">
      <c r="P20" t="s">
        <v>38</v>
      </c>
      <c r="Q20" s="9">
        <f>+Q18-Q19</f>
        <v>1423922.4343841327</v>
      </c>
      <c r="R20" s="3"/>
    </row>
    <row r="21" spans="1:39" x14ac:dyDescent="0.2">
      <c r="A21" t="s">
        <v>21</v>
      </c>
      <c r="B21" s="6">
        <f t="shared" ref="B21:J21" si="28">+B5/B3</f>
        <v>0.78482872294682526</v>
      </c>
      <c r="C21" s="6">
        <f t="shared" si="28"/>
        <v>0.81985982929706469</v>
      </c>
      <c r="D21" s="6">
        <f t="shared" si="28"/>
        <v>0.79375045103557773</v>
      </c>
      <c r="E21" s="6">
        <f t="shared" si="28"/>
        <v>0.74083631276231932</v>
      </c>
      <c r="F21" s="6">
        <f t="shared" si="28"/>
        <v>0.7867690696456624</v>
      </c>
      <c r="G21" s="6">
        <f t="shared" si="28"/>
        <v>0.81421294415450485</v>
      </c>
      <c r="H21" s="6">
        <f t="shared" si="28"/>
        <v>0.81813389562467054</v>
      </c>
      <c r="I21" s="6">
        <f t="shared" si="28"/>
        <v>0.80815736331679588</v>
      </c>
      <c r="J21" s="6">
        <f t="shared" si="28"/>
        <v>0.81785763269784661</v>
      </c>
      <c r="K21" s="6">
        <f>+K5/K3</f>
        <v>0.81295590079598679</v>
      </c>
      <c r="L21" s="6"/>
      <c r="M21" s="6"/>
      <c r="P21" t="s">
        <v>39</v>
      </c>
      <c r="Q21">
        <f>+Q20/main!L3</f>
        <v>562.85595891305752</v>
      </c>
      <c r="R21" s="9"/>
      <c r="T21" s="6">
        <f t="shared" ref="T21:AM21" si="29">+T5/T3</f>
        <v>0.78347297378418479</v>
      </c>
      <c r="U21" s="6">
        <f t="shared" si="29"/>
        <v>0.80757740861817184</v>
      </c>
      <c r="V21" s="6">
        <f t="shared" si="29"/>
        <v>0.8</v>
      </c>
      <c r="W21" s="6">
        <f t="shared" si="29"/>
        <v>0.8</v>
      </c>
      <c r="X21" s="6">
        <f t="shared" si="29"/>
        <v>0.8</v>
      </c>
      <c r="Y21" s="6">
        <f t="shared" si="29"/>
        <v>0.8</v>
      </c>
      <c r="Z21" s="6">
        <f t="shared" si="29"/>
        <v>0.8</v>
      </c>
      <c r="AA21" s="6">
        <f t="shared" si="29"/>
        <v>0.8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x14ac:dyDescent="0.2">
      <c r="A22" t="s">
        <v>43</v>
      </c>
      <c r="B22" s="6">
        <f t="shared" ref="B22:J22" si="30">+B6/B3</f>
        <v>0.27615737422961156</v>
      </c>
      <c r="C22" s="6">
        <f t="shared" si="30"/>
        <v>0.30150579418499757</v>
      </c>
      <c r="D22" s="6">
        <f t="shared" si="30"/>
        <v>0.33087969979071952</v>
      </c>
      <c r="E22" s="6">
        <f t="shared" si="30"/>
        <v>0.30377739779263174</v>
      </c>
      <c r="F22" s="6">
        <f t="shared" si="30"/>
        <v>0.32749170884971202</v>
      </c>
      <c r="G22" s="6">
        <f t="shared" si="30"/>
        <v>0.29200912528516515</v>
      </c>
      <c r="H22" s="6">
        <f t="shared" si="30"/>
        <v>0.27063199203420607</v>
      </c>
      <c r="I22" s="6">
        <f t="shared" si="30"/>
        <v>0.26219740220887039</v>
      </c>
      <c r="J22" s="6">
        <f t="shared" si="30"/>
        <v>0.27370731038266355</v>
      </c>
      <c r="K22" s="6">
        <f>+K6/K3</f>
        <v>0.26968851577896652</v>
      </c>
      <c r="L22" s="6"/>
      <c r="M22" s="6"/>
      <c r="P22" t="s">
        <v>40</v>
      </c>
      <c r="Q22" s="3">
        <f>+main!L2</f>
        <v>537.5</v>
      </c>
      <c r="T22" s="6">
        <f t="shared" ref="T22:AM22" si="31">+T6/T3</f>
        <v>0.30304693462768739</v>
      </c>
      <c r="U22" s="6">
        <f t="shared" si="31"/>
        <v>0.28526845612708579</v>
      </c>
      <c r="V22" s="6">
        <f t="shared" si="31"/>
        <v>0.2496098991112001</v>
      </c>
      <c r="W22" s="6">
        <f t="shared" si="31"/>
        <v>0.21840866172230008</v>
      </c>
      <c r="X22" s="6">
        <f t="shared" si="31"/>
        <v>0.19941660418123056</v>
      </c>
      <c r="Y22" s="6">
        <f t="shared" si="31"/>
        <v>0.19035221308208369</v>
      </c>
      <c r="Z22" s="6">
        <f t="shared" si="31"/>
        <v>0.18169983976017079</v>
      </c>
      <c r="AA22" s="6">
        <f t="shared" si="31"/>
        <v>0.17344075613470844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x14ac:dyDescent="0.2">
      <c r="A23" t="s">
        <v>44</v>
      </c>
      <c r="B23" s="6">
        <f t="shared" ref="B23:J23" si="32">+B7/B3</f>
        <v>0.11867564855955282</v>
      </c>
      <c r="C23" s="6">
        <f t="shared" si="32"/>
        <v>0.12473110818125044</v>
      </c>
      <c r="D23" s="6">
        <f t="shared" si="32"/>
        <v>0.13639315869235766</v>
      </c>
      <c r="E23" s="6">
        <f t="shared" si="32"/>
        <v>0.142204259288046</v>
      </c>
      <c r="F23" s="6">
        <f t="shared" si="32"/>
        <v>0.10626636411241054</v>
      </c>
      <c r="G23" s="6">
        <f t="shared" si="32"/>
        <v>9.8565580174380454E-2</v>
      </c>
      <c r="H23" s="6">
        <f t="shared" si="32"/>
        <v>8.4255842558425581E-2</v>
      </c>
      <c r="I23" s="6">
        <f t="shared" si="32"/>
        <v>8.0426815586746775E-2</v>
      </c>
      <c r="J23" s="6">
        <f t="shared" si="32"/>
        <v>7.0333287614867651E-2</v>
      </c>
      <c r="K23" s="6">
        <f>+K7/K3</f>
        <v>6.9642445803793099E-2</v>
      </c>
      <c r="L23" s="6"/>
      <c r="M23" s="6"/>
      <c r="P23" t="s">
        <v>41</v>
      </c>
      <c r="Q23" s="6">
        <f>+Q21/Q22-1</f>
        <v>4.717387704754894E-2</v>
      </c>
      <c r="R23" s="3"/>
      <c r="T23" s="6">
        <f t="shared" ref="T23:AM23" si="33">+T7/T3</f>
        <v>0.13087326021147597</v>
      </c>
      <c r="U23" s="6">
        <f t="shared" si="33"/>
        <v>9.1185387802907317E-2</v>
      </c>
      <c r="V23" s="6">
        <f t="shared" si="33"/>
        <v>7.8267457864162129E-2</v>
      </c>
      <c r="W23" s="6">
        <f t="shared" si="33"/>
        <v>6.7179568000072493E-2</v>
      </c>
      <c r="X23" s="6">
        <f t="shared" si="33"/>
        <v>6.0169526121804061E-2</v>
      </c>
      <c r="Y23" s="6">
        <f t="shared" si="33"/>
        <v>5.6340556277689254E-2</v>
      </c>
      <c r="Z23" s="6">
        <f t="shared" si="33"/>
        <v>5.2755248150927206E-2</v>
      </c>
      <c r="AA23" s="6">
        <f t="shared" si="33"/>
        <v>4.9398095995868196E-2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x14ac:dyDescent="0.2">
      <c r="A24" t="s">
        <v>45</v>
      </c>
      <c r="B24" s="6">
        <f t="shared" ref="B24:J24" si="34">+B8/B3</f>
        <v>8.4563566002579901E-2</v>
      </c>
      <c r="C24" s="6">
        <f t="shared" si="34"/>
        <v>0.1036361113038651</v>
      </c>
      <c r="D24" s="6">
        <f t="shared" si="34"/>
        <v>0.12210435159125352</v>
      </c>
      <c r="E24" s="6">
        <f t="shared" si="34"/>
        <v>9.5911705269703093E-2</v>
      </c>
      <c r="F24" s="6">
        <f t="shared" si="34"/>
        <v>0.10071565718275441</v>
      </c>
      <c r="G24" s="6">
        <f t="shared" si="34"/>
        <v>0.13012906653332917</v>
      </c>
      <c r="H24" s="6">
        <f t="shared" si="34"/>
        <v>6.062203479177649E-2</v>
      </c>
      <c r="I24" s="6">
        <f t="shared" si="34"/>
        <v>5.7066640073795215E-2</v>
      </c>
      <c r="J24" s="6">
        <f t="shared" si="34"/>
        <v>9.4774379371828282E-2</v>
      </c>
      <c r="K24" s="6">
        <f>+K8/K3</f>
        <v>9.3624427324614165E-2</v>
      </c>
      <c r="L24" s="6"/>
      <c r="M24" s="6"/>
      <c r="Q24" s="6"/>
      <c r="R24" s="6"/>
      <c r="T24" s="6">
        <f t="shared" ref="T24:AM24" si="35">+T8/T3</f>
        <v>0.10133008601394404</v>
      </c>
      <c r="U24" s="6">
        <f t="shared" si="35"/>
        <v>8.4565718563983955E-2</v>
      </c>
      <c r="V24" s="6">
        <f t="shared" si="35"/>
        <v>7.04714321366533E-2</v>
      </c>
      <c r="W24" s="6">
        <f t="shared" si="35"/>
        <v>5.8726193447211091E-2</v>
      </c>
      <c r="X24" s="6">
        <f t="shared" si="35"/>
        <v>5.1066255171487905E-2</v>
      </c>
      <c r="Y24" s="6">
        <f t="shared" si="35"/>
        <v>4.6423868337716279E-2</v>
      </c>
      <c r="Z24" s="6">
        <f t="shared" si="35"/>
        <v>4.2203516670651156E-2</v>
      </c>
      <c r="AA24" s="6">
        <f t="shared" si="35"/>
        <v>3.8366833336955591E-2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x14ac:dyDescent="0.2">
      <c r="A25" t="s">
        <v>42</v>
      </c>
      <c r="B25" s="6">
        <f t="shared" ref="B25:J25" si="36">+B10/B3</f>
        <v>0.30543213415508097</v>
      </c>
      <c r="C25" s="6">
        <f t="shared" si="36"/>
        <v>0.28998681562695161</v>
      </c>
      <c r="D25" s="6">
        <f t="shared" si="36"/>
        <v>0.20437324096124701</v>
      </c>
      <c r="E25" s="6">
        <f t="shared" si="36"/>
        <v>0.19894295041193844</v>
      </c>
      <c r="F25" s="6">
        <f t="shared" si="36"/>
        <v>0.25229533950078548</v>
      </c>
      <c r="G25" s="6">
        <f t="shared" si="36"/>
        <v>0.29350917216163003</v>
      </c>
      <c r="H25" s="6">
        <f t="shared" si="36"/>
        <v>0.40262402624026239</v>
      </c>
      <c r="I25" s="6">
        <f t="shared" si="36"/>
        <v>0.4084665054473835</v>
      </c>
      <c r="J25" s="6">
        <f t="shared" si="36"/>
        <v>0.37904265532848719</v>
      </c>
      <c r="K25" s="6">
        <f>+K10/K3</f>
        <v>0.38000051188861306</v>
      </c>
      <c r="L25" s="6"/>
      <c r="M25" s="6"/>
      <c r="T25" s="6">
        <f t="shared" ref="T25:AM25" si="37">+T10/T3</f>
        <v>0.24822269293107735</v>
      </c>
      <c r="U25" s="6">
        <f t="shared" si="37"/>
        <v>0.34655784612419477</v>
      </c>
      <c r="V25" s="6">
        <f t="shared" si="37"/>
        <v>0.4016512108879845</v>
      </c>
      <c r="W25" s="6">
        <f t="shared" si="37"/>
        <v>0.45568557683041644</v>
      </c>
      <c r="X25" s="6">
        <f t="shared" si="37"/>
        <v>0.48934761452547743</v>
      </c>
      <c r="Y25" s="6">
        <f t="shared" si="37"/>
        <v>0.50688336230251085</v>
      </c>
      <c r="Z25" s="6">
        <f t="shared" si="37"/>
        <v>0.52334139541825087</v>
      </c>
      <c r="AA25" s="6">
        <f t="shared" si="37"/>
        <v>0.53879431453246773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x14ac:dyDescent="0.2">
      <c r="A26" t="s">
        <v>46</v>
      </c>
      <c r="B26" s="6">
        <f t="shared" ref="B26:J26" si="38">+B13/B12</f>
        <v>0.1619892231701841</v>
      </c>
      <c r="C26" s="6">
        <f t="shared" si="38"/>
        <v>0.18311751771316884</v>
      </c>
      <c r="D26" s="6">
        <f t="shared" si="38"/>
        <v>0.21180057388809181</v>
      </c>
      <c r="E26" s="6">
        <f t="shared" si="38"/>
        <v>0.24345422019840623</v>
      </c>
      <c r="F26" s="6">
        <f t="shared" si="38"/>
        <v>0.21869440262761736</v>
      </c>
      <c r="G26" s="6">
        <f t="shared" si="38"/>
        <v>0.16194985472936618</v>
      </c>
      <c r="H26" s="6">
        <f t="shared" si="38"/>
        <v>0.1738231098430813</v>
      </c>
      <c r="I26" s="6">
        <f t="shared" si="38"/>
        <v>0.16605188005711566</v>
      </c>
      <c r="J26" s="6">
        <f t="shared" si="38"/>
        <v>0.12789959811041388</v>
      </c>
      <c r="K26" s="6">
        <f>+K13/K12</f>
        <v>0.10863233152389778</v>
      </c>
      <c r="L26" s="6"/>
      <c r="M26" s="6"/>
      <c r="T26" s="6">
        <f t="shared" ref="T26:AM26" si="39">+T13/T12</f>
        <v>0.19501023630243935</v>
      </c>
      <c r="U26" s="6">
        <f t="shared" si="39"/>
        <v>0.17471855443517942</v>
      </c>
      <c r="V26" s="6">
        <f t="shared" si="39"/>
        <v>0.2</v>
      </c>
      <c r="W26" s="6">
        <f t="shared" si="39"/>
        <v>0.19999999999999998</v>
      </c>
      <c r="X26" s="6">
        <f t="shared" si="39"/>
        <v>0.2</v>
      </c>
      <c r="Y26" s="6">
        <f t="shared" si="39"/>
        <v>0.2</v>
      </c>
      <c r="Z26" s="6">
        <f t="shared" si="39"/>
        <v>0.2</v>
      </c>
      <c r="AA26" s="6">
        <f t="shared" si="39"/>
        <v>0.2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x14ac:dyDescent="0.2">
      <c r="A27" t="s">
        <v>47</v>
      </c>
      <c r="B27" s="6">
        <f t="shared" ref="B27:K27" si="40">+B14/B3</f>
        <v>0.26748602551239786</v>
      </c>
      <c r="C27" s="6">
        <f t="shared" si="40"/>
        <v>0.23201026993269031</v>
      </c>
      <c r="D27" s="6">
        <f t="shared" si="40"/>
        <v>0.15858410911452694</v>
      </c>
      <c r="E27" s="6">
        <f t="shared" si="40"/>
        <v>0.1446292554018343</v>
      </c>
      <c r="F27" s="6">
        <f t="shared" si="40"/>
        <v>0.19930179787048349</v>
      </c>
      <c r="G27" s="6">
        <f t="shared" si="40"/>
        <v>0.24338260570642833</v>
      </c>
      <c r="H27" s="6">
        <f t="shared" si="40"/>
        <v>0.33921982076963625</v>
      </c>
      <c r="I27" s="6">
        <f t="shared" si="40"/>
        <v>0.34945526164892421</v>
      </c>
      <c r="J27" s="6">
        <f t="shared" si="40"/>
        <v>0.33929502125908656</v>
      </c>
      <c r="K27" s="6">
        <f t="shared" si="40"/>
        <v>0.34462900872770086</v>
      </c>
      <c r="L27" s="6"/>
      <c r="M27" s="6"/>
      <c r="T27" s="6">
        <f t="shared" ref="T27:AM27" si="41">+T14/T3</f>
        <v>0.19894690804311846</v>
      </c>
      <c r="U27" s="6">
        <f t="shared" si="41"/>
        <v>0.29170576941609033</v>
      </c>
      <c r="V27" s="6">
        <f t="shared" si="41"/>
        <v>0.32592385032974802</v>
      </c>
      <c r="W27" s="6">
        <f t="shared" si="41"/>
        <v>0.37924832449145834</v>
      </c>
      <c r="X27" s="6">
        <f t="shared" si="41"/>
        <v>0.41745182727845465</v>
      </c>
      <c r="Y27" s="6">
        <f t="shared" si="41"/>
        <v>0.44429924325038217</v>
      </c>
      <c r="Z27" s="6">
        <f t="shared" si="41"/>
        <v>0.47009541009677236</v>
      </c>
      <c r="AA27" s="6">
        <f t="shared" si="41"/>
        <v>0.49487736995874015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30" spans="1:39" x14ac:dyDescent="0.2">
      <c r="X30" t="s">
        <v>10</v>
      </c>
    </row>
    <row r="31" spans="1:39" x14ac:dyDescent="0.2">
      <c r="T31" t="s">
        <v>10</v>
      </c>
    </row>
    <row r="33" spans="1:39" s="1" customFormat="1" ht="15" x14ac:dyDescent="0.25">
      <c r="A33" s="1" t="s">
        <v>66</v>
      </c>
      <c r="S33" s="1" t="s">
        <v>10</v>
      </c>
      <c r="U33" s="1">
        <f>+U36-U47</f>
        <v>18628</v>
      </c>
      <c r="V33" s="4">
        <f>+U33+V14</f>
        <v>71388.943999999989</v>
      </c>
      <c r="W33" s="4">
        <f t="shared" ref="W33:AM33" si="42">+V33+W14</f>
        <v>145060.75263999996</v>
      </c>
      <c r="X33" s="4">
        <f t="shared" si="42"/>
        <v>238317.84442399992</v>
      </c>
      <c r="Y33" s="4">
        <f t="shared" si="42"/>
        <v>347498.01291251188</v>
      </c>
      <c r="Z33" s="4">
        <f t="shared" si="42"/>
        <v>474569.14018929092</v>
      </c>
      <c r="AA33" s="4">
        <f t="shared" si="42"/>
        <v>621716.0518696825</v>
      </c>
      <c r="AB33" s="4">
        <f t="shared" si="42"/>
        <v>767391.49443327019</v>
      </c>
      <c r="AC33" s="4">
        <f t="shared" si="42"/>
        <v>911610.18257122196</v>
      </c>
      <c r="AD33" s="4">
        <f t="shared" si="42"/>
        <v>1054386.6838277942</v>
      </c>
      <c r="AE33" s="4">
        <f t="shared" si="42"/>
        <v>1195735.4200718007</v>
      </c>
      <c r="AF33" s="4">
        <f t="shared" si="42"/>
        <v>1335670.668953367</v>
      </c>
      <c r="AG33" s="4">
        <f t="shared" si="42"/>
        <v>1474206.5653461178</v>
      </c>
      <c r="AH33" s="4">
        <f t="shared" si="42"/>
        <v>1611357.1027749411</v>
      </c>
      <c r="AI33" s="4">
        <f t="shared" si="42"/>
        <v>1747136.1348294762</v>
      </c>
      <c r="AJ33" s="4">
        <f t="shared" si="42"/>
        <v>1881557.3765634659</v>
      </c>
      <c r="AK33" s="4">
        <f t="shared" si="42"/>
        <v>2014634.4058801157</v>
      </c>
      <c r="AL33" s="4">
        <f t="shared" si="42"/>
        <v>2146380.6649035988</v>
      </c>
      <c r="AM33" s="4">
        <f t="shared" si="42"/>
        <v>2276809.4613368474</v>
      </c>
    </row>
    <row r="36" spans="1:39" x14ac:dyDescent="0.2">
      <c r="A36" t="s">
        <v>49</v>
      </c>
      <c r="U36">
        <v>41862</v>
      </c>
    </row>
    <row r="37" spans="1:39" x14ac:dyDescent="0.2">
      <c r="A37" t="s">
        <v>23</v>
      </c>
      <c r="U37">
        <v>23541</v>
      </c>
    </row>
    <row r="38" spans="1:39" ht="15" x14ac:dyDescent="0.25">
      <c r="A38" t="s">
        <v>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>
        <v>16169</v>
      </c>
    </row>
    <row r="39" spans="1:39" x14ac:dyDescent="0.2">
      <c r="A39" t="s">
        <v>52</v>
      </c>
      <c r="U39">
        <v>3793</v>
      </c>
    </row>
    <row r="40" spans="1:39" x14ac:dyDescent="0.2">
      <c r="A40" t="s">
        <v>53</v>
      </c>
      <c r="U40">
        <v>6141</v>
      </c>
    </row>
    <row r="41" spans="1:39" x14ac:dyDescent="0.2">
      <c r="A41" t="s">
        <v>54</v>
      </c>
      <c r="U41">
        <v>96587</v>
      </c>
    </row>
    <row r="42" spans="1:39" x14ac:dyDescent="0.2">
      <c r="A42" t="s">
        <v>55</v>
      </c>
      <c r="U42">
        <v>13294</v>
      </c>
    </row>
    <row r="43" spans="1:39" x14ac:dyDescent="0.2">
      <c r="A43" t="s">
        <v>56</v>
      </c>
      <c r="U43">
        <f>788+20654</f>
        <v>21442</v>
      </c>
    </row>
    <row r="44" spans="1:39" x14ac:dyDescent="0.2">
      <c r="A44" t="s">
        <v>57</v>
      </c>
      <c r="U44">
        <v>6794</v>
      </c>
    </row>
    <row r="45" spans="1:39" ht="15" x14ac:dyDescent="0.25">
      <c r="A45" s="1" t="s">
        <v>50</v>
      </c>
      <c r="T45" t="s">
        <v>10</v>
      </c>
      <c r="U45" s="1">
        <f>SUM(U36:U44)</f>
        <v>229623</v>
      </c>
    </row>
    <row r="47" spans="1:39" ht="15" x14ac:dyDescent="0.25">
      <c r="A47" t="s">
        <v>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>
        <f>4849+18385</f>
        <v>23234</v>
      </c>
    </row>
    <row r="48" spans="1:39" x14ac:dyDescent="0.2">
      <c r="A48" t="s">
        <v>58</v>
      </c>
      <c r="U48">
        <v>863</v>
      </c>
    </row>
    <row r="49" spans="1:21" s="1" customFormat="1" ht="15" x14ac:dyDescent="0.25">
      <c r="A49" t="s">
        <v>59</v>
      </c>
      <c r="U49">
        <v>1623</v>
      </c>
    </row>
    <row r="50" spans="1:21" s="1" customFormat="1" ht="15" x14ac:dyDescent="0.25">
      <c r="A50" t="s">
        <v>60</v>
      </c>
      <c r="U50">
        <v>24625</v>
      </c>
    </row>
    <row r="51" spans="1:21" x14ac:dyDescent="0.2">
      <c r="A51" t="s">
        <v>61</v>
      </c>
      <c r="U51">
        <v>17226</v>
      </c>
    </row>
    <row r="52" spans="1:21" x14ac:dyDescent="0.2">
      <c r="A52" t="s">
        <v>62</v>
      </c>
      <c r="U52">
        <v>884</v>
      </c>
    </row>
    <row r="53" spans="1:21" x14ac:dyDescent="0.2">
      <c r="A53" t="s">
        <v>57</v>
      </c>
      <c r="U53">
        <v>8884</v>
      </c>
    </row>
    <row r="54" spans="1:21" ht="15" x14ac:dyDescent="0.25">
      <c r="A54" s="1" t="s">
        <v>63</v>
      </c>
      <c r="U54" s="1">
        <f>SUM(U47:U53)</f>
        <v>77339</v>
      </c>
    </row>
    <row r="56" spans="1:21" ht="15" x14ac:dyDescent="0.25">
      <c r="A56" s="1" t="s">
        <v>64</v>
      </c>
      <c r="U56" s="1">
        <f>+U45-U54</f>
        <v>152284</v>
      </c>
    </row>
    <row r="57" spans="1:21" ht="15" x14ac:dyDescent="0.25">
      <c r="A57" s="1" t="s">
        <v>65</v>
      </c>
      <c r="U57" s="1">
        <f>+U54+U56</f>
        <v>229623</v>
      </c>
    </row>
    <row r="60" spans="1:21" x14ac:dyDescent="0.2">
      <c r="A60" t="s">
        <v>67</v>
      </c>
      <c r="U60" s="6">
        <f>+U14/U45</f>
        <v>0.17137394773171677</v>
      </c>
    </row>
    <row r="61" spans="1:21" x14ac:dyDescent="0.2">
      <c r="A61" t="s">
        <v>68</v>
      </c>
      <c r="U61" s="6">
        <f>+U14/(U45-U54)</f>
        <v>0.25840797457382259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CBFEB144F63F4E9EB43CF067A3FDD2" ma:contentTypeVersion="9" ma:contentTypeDescription="Criar um novo documento." ma:contentTypeScope="" ma:versionID="f59182e7d3e0cf5298e8ad942a121699">
  <xsd:schema xmlns:xsd="http://www.w3.org/2001/XMLSchema" xmlns:xs="http://www.w3.org/2001/XMLSchema" xmlns:p="http://schemas.microsoft.com/office/2006/metadata/properties" xmlns:ns3="de0fd296-9832-4e10-a7ad-2bcee574d3b0" xmlns:ns4="02570eab-4ecf-4bb5-b806-a666b23f79b6" targetNamespace="http://schemas.microsoft.com/office/2006/metadata/properties" ma:root="true" ma:fieldsID="f61c57c9eb7d1a1f1952f23e1a76f510" ns3:_="" ns4:_="">
    <xsd:import namespace="de0fd296-9832-4e10-a7ad-2bcee574d3b0"/>
    <xsd:import namespace="02570eab-4ecf-4bb5-b806-a666b23f7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0fd296-9832-4e10-a7ad-2bcee574d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70eab-4ecf-4bb5-b806-a666b23f7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0fd296-9832-4e10-a7ad-2bcee574d3b0" xsi:nil="true"/>
  </documentManagement>
</p:properties>
</file>

<file path=customXml/itemProps1.xml><?xml version="1.0" encoding="utf-8"?>
<ds:datastoreItem xmlns:ds="http://schemas.openxmlformats.org/officeDocument/2006/customXml" ds:itemID="{20302561-F91D-4714-9836-447F718E17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0fd296-9832-4e10-a7ad-2bcee574d3b0"/>
    <ds:schemaRef ds:uri="02570eab-4ecf-4bb5-b806-a666b23f7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CAFD1E-70C1-468B-BCA7-27CB3B3A9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E1E6AC-BE1F-4454-ACC0-808E93021859}">
  <ds:schemaRefs>
    <ds:schemaRef ds:uri="http://schemas.microsoft.com/office/2006/documentManagement/types"/>
    <ds:schemaRef ds:uri="02570eab-4ecf-4bb5-b806-a666b23f79b6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e0fd296-9832-4e10-a7ad-2bcee574d3b0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2024-09-19T10:36:20Z</dcterms:created>
  <dcterms:modified xsi:type="dcterms:W3CDTF">2025-05-02T21:45:26Z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0x01010078CBFEB144F63F4E9EB43CF067A3FDD2</vt:lpwstr>
  </property>
</Properties>
</file>