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4" documentId="8_{22983583-9359-4F45-91C1-1F2B8DCC0E57}" xr6:coauthVersionLast="47" xr6:coauthVersionMax="47" xr10:uidLastSave="{4E6AF476-6EC1-4278-BE79-976599406419}"/>
  <bookViews>
    <workbookView xWindow="-105" yWindow="0" windowWidth="14610" windowHeight="15585" activeTab="1" xr2:uid="{F8D720D6-6235-4291-8274-52EC6A7140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2" l="1"/>
  <c r="W57" i="2"/>
  <c r="Z28" i="2"/>
  <c r="AA28" i="2" s="1"/>
  <c r="AB28" i="2" s="1"/>
  <c r="Y28" i="2"/>
  <c r="X28" i="2"/>
  <c r="Y57" i="2"/>
  <c r="AF9" i="2"/>
  <c r="AG9" i="2"/>
  <c r="AG14" i="2" s="1"/>
  <c r="AH9" i="2"/>
  <c r="AH14" i="2" s="1"/>
  <c r="AI9" i="2"/>
  <c r="AI14" i="2" s="1"/>
  <c r="AJ9" i="2"/>
  <c r="AJ14" i="2" s="1"/>
  <c r="AF13" i="2"/>
  <c r="AG13" i="2"/>
  <c r="AH13" i="2"/>
  <c r="AI13" i="2"/>
  <c r="AJ13" i="2"/>
  <c r="AF14" i="2"/>
  <c r="AF17" i="2"/>
  <c r="AG17" i="2"/>
  <c r="AH17" i="2"/>
  <c r="AI17" i="2"/>
  <c r="AF20" i="2"/>
  <c r="AG20" i="2"/>
  <c r="AH20" i="2"/>
  <c r="AI20" i="2" s="1"/>
  <c r="AJ20" i="2" s="1"/>
  <c r="X30" i="2"/>
  <c r="Y51" i="2"/>
  <c r="Y44" i="2"/>
  <c r="Y52" i="2" s="1"/>
  <c r="Y36" i="2"/>
  <c r="Y35" i="2"/>
  <c r="Y30" i="2"/>
  <c r="Y39" i="2" s="1"/>
  <c r="Z20" i="2"/>
  <c r="AA20" i="2" s="1"/>
  <c r="AB20" i="2" s="1"/>
  <c r="AC20" i="2" s="1"/>
  <c r="AD20" i="2" s="1"/>
  <c r="AE20" i="2" s="1"/>
  <c r="Y15" i="2"/>
  <c r="Y13" i="2"/>
  <c r="Z13" i="2" s="1"/>
  <c r="AA13" i="2" s="1"/>
  <c r="AB13" i="2" s="1"/>
  <c r="AC13" i="2" s="1"/>
  <c r="AD13" i="2" s="1"/>
  <c r="AE13" i="2" s="1"/>
  <c r="Y8" i="2"/>
  <c r="Y5" i="2"/>
  <c r="Z5" i="2" s="1"/>
  <c r="X15" i="2"/>
  <c r="X13" i="2"/>
  <c r="X8" i="2"/>
  <c r="X5" i="2"/>
  <c r="W15" i="2"/>
  <c r="W13" i="2"/>
  <c r="W8" i="2"/>
  <c r="W5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N17" i="2"/>
  <c r="N12" i="2"/>
  <c r="N11" i="2"/>
  <c r="N10" i="2"/>
  <c r="N7" i="2"/>
  <c r="N6" i="2"/>
  <c r="N4" i="2"/>
  <c r="N3" i="2"/>
  <c r="I15" i="2"/>
  <c r="I13" i="2"/>
  <c r="I8" i="2"/>
  <c r="I5" i="2"/>
  <c r="F15" i="2"/>
  <c r="F8" i="2"/>
  <c r="F13" i="2"/>
  <c r="F5" i="2"/>
  <c r="L15" i="2"/>
  <c r="M15" i="2"/>
  <c r="M13" i="2"/>
  <c r="M8" i="2"/>
  <c r="M5" i="2"/>
  <c r="M22" i="2" s="1"/>
  <c r="L7" i="1"/>
  <c r="L5" i="1"/>
  <c r="H15" i="2"/>
  <c r="H8" i="2"/>
  <c r="H13" i="2"/>
  <c r="H5" i="2"/>
  <c r="L13" i="2"/>
  <c r="L5" i="2"/>
  <c r="K15" i="2"/>
  <c r="K13" i="2"/>
  <c r="K8" i="2"/>
  <c r="K5" i="2"/>
  <c r="O13" i="2"/>
  <c r="O8" i="2"/>
  <c r="Z15" i="2" l="1"/>
  <c r="AJ17" i="2"/>
  <c r="W9" i="2"/>
  <c r="W14" i="2" s="1"/>
  <c r="W16" i="2" s="1"/>
  <c r="W18" i="2" s="1"/>
  <c r="W19" i="2" s="1"/>
  <c r="N5" i="2"/>
  <c r="N22" i="2" s="1"/>
  <c r="I22" i="2"/>
  <c r="L22" i="2"/>
  <c r="Z9" i="2"/>
  <c r="AA5" i="2"/>
  <c r="N15" i="2"/>
  <c r="N13" i="2"/>
  <c r="N8" i="2"/>
  <c r="N9" i="2" s="1"/>
  <c r="M9" i="2"/>
  <c r="F9" i="2"/>
  <c r="F23" i="2" s="1"/>
  <c r="Y9" i="2"/>
  <c r="Y14" i="2" s="1"/>
  <c r="Y16" i="2" s="1"/>
  <c r="Y18" i="2" s="1"/>
  <c r="Y19" i="2" s="1"/>
  <c r="X9" i="2"/>
  <c r="X14" i="2" s="1"/>
  <c r="X16" i="2" s="1"/>
  <c r="X18" i="2" s="1"/>
  <c r="X19" i="2" s="1"/>
  <c r="I9" i="2"/>
  <c r="K9" i="2"/>
  <c r="H9" i="2"/>
  <c r="L9" i="2"/>
  <c r="O15" i="2"/>
  <c r="O5" i="2"/>
  <c r="L3" i="1"/>
  <c r="L4" i="1"/>
  <c r="F14" i="2" l="1"/>
  <c r="F16" i="2" s="1"/>
  <c r="L14" i="2"/>
  <c r="L23" i="2"/>
  <c r="H14" i="2"/>
  <c r="H23" i="2"/>
  <c r="AB5" i="2"/>
  <c r="AA9" i="2"/>
  <c r="Z17" i="2"/>
  <c r="Z14" i="2"/>
  <c r="Z16" i="2" s="1"/>
  <c r="Z18" i="2" s="1"/>
  <c r="K14" i="2"/>
  <c r="K23" i="2"/>
  <c r="I14" i="2"/>
  <c r="I23" i="2"/>
  <c r="M14" i="2"/>
  <c r="M23" i="2"/>
  <c r="N14" i="2"/>
  <c r="N23" i="2"/>
  <c r="O9" i="2"/>
  <c r="O22" i="2"/>
  <c r="F24" i="2" l="1"/>
  <c r="Z19" i="2"/>
  <c r="AA15" i="2"/>
  <c r="N16" i="2"/>
  <c r="N24" i="2"/>
  <c r="H16" i="2"/>
  <c r="H24" i="2"/>
  <c r="M16" i="2"/>
  <c r="M24" i="2"/>
  <c r="I16" i="2"/>
  <c r="I24" i="2"/>
  <c r="L16" i="2"/>
  <c r="L24" i="2"/>
  <c r="F18" i="2"/>
  <c r="F19" i="2" s="1"/>
  <c r="F25" i="2"/>
  <c r="K16" i="2"/>
  <c r="K24" i="2"/>
  <c r="AA17" i="2"/>
  <c r="AA14" i="2"/>
  <c r="O14" i="2"/>
  <c r="O23" i="2"/>
  <c r="AC5" i="2"/>
  <c r="AB9" i="2"/>
  <c r="AA16" i="2" l="1"/>
  <c r="AA18" i="2" s="1"/>
  <c r="O24" i="2"/>
  <c r="O16" i="2"/>
  <c r="M18" i="2"/>
  <c r="M25" i="2"/>
  <c r="H18" i="2"/>
  <c r="H19" i="2" s="1"/>
  <c r="H25" i="2"/>
  <c r="K18" i="2"/>
  <c r="K19" i="2" s="1"/>
  <c r="K25" i="2"/>
  <c r="N18" i="2"/>
  <c r="N19" i="2" s="1"/>
  <c r="N25" i="2"/>
  <c r="L18" i="2"/>
  <c r="L25" i="2"/>
  <c r="AB17" i="2"/>
  <c r="AB14" i="2"/>
  <c r="AD5" i="2"/>
  <c r="AC9" i="2"/>
  <c r="I18" i="2"/>
  <c r="I19" i="2" s="1"/>
  <c r="I25" i="2"/>
  <c r="AA19" i="2" l="1"/>
  <c r="AB15" i="2"/>
  <c r="AB16" i="2" s="1"/>
  <c r="AB18" i="2" s="1"/>
  <c r="AC17" i="2"/>
  <c r="AC14" i="2"/>
  <c r="M19" i="2"/>
  <c r="M26" i="2"/>
  <c r="AE5" i="2"/>
  <c r="AD9" i="2"/>
  <c r="O18" i="2"/>
  <c r="O25" i="2"/>
  <c r="L19" i="2"/>
  <c r="L26" i="2"/>
  <c r="AE9" i="2" l="1"/>
  <c r="AE17" i="2" s="1"/>
  <c r="AF5" i="2"/>
  <c r="AB19" i="2"/>
  <c r="AD17" i="2"/>
  <c r="AD14" i="2"/>
  <c r="O19" i="2"/>
  <c r="O26" i="2"/>
  <c r="AG5" i="2" l="1"/>
  <c r="AE14" i="2"/>
  <c r="AC15" i="2"/>
  <c r="AC16" i="2" s="1"/>
  <c r="AC18" i="2" s="1"/>
  <c r="AC19" i="2" l="1"/>
  <c r="AC28" i="2"/>
  <c r="AD28" i="2" s="1"/>
  <c r="AD15" i="2"/>
  <c r="AD16" i="2" s="1"/>
  <c r="AD18" i="2" s="1"/>
  <c r="AD19" i="2" s="1"/>
  <c r="AH5" i="2"/>
  <c r="AE28" i="2" l="1"/>
  <c r="AI5" i="2"/>
  <c r="AE15" i="2"/>
  <c r="AE16" i="2" s="1"/>
  <c r="AE18" i="2" s="1"/>
  <c r="AE19" i="2" s="1"/>
  <c r="AF15" i="2" l="1"/>
  <c r="AF16" i="2" s="1"/>
  <c r="AF18" i="2" s="1"/>
  <c r="AF19" i="2" s="1"/>
  <c r="AJ5" i="2"/>
  <c r="AF28" i="2" l="1"/>
  <c r="AG15" i="2"/>
  <c r="AG16" i="2" s="1"/>
  <c r="AG18" i="2" s="1"/>
  <c r="AG19" i="2" s="1"/>
  <c r="AG28" i="2" l="1"/>
  <c r="AH15" i="2"/>
  <c r="AH16" i="2" s="1"/>
  <c r="AH18" i="2" s="1"/>
  <c r="AH19" i="2" s="1"/>
  <c r="AI15" i="2"/>
  <c r="AI16" i="2" s="1"/>
  <c r="AI18" i="2" s="1"/>
  <c r="AI19" i="2" s="1"/>
  <c r="AH28" i="2" l="1"/>
  <c r="AI28" i="2" s="1"/>
  <c r="AJ15" i="2"/>
  <c r="AJ16" i="2" s="1"/>
  <c r="AJ18" i="2" s="1"/>
  <c r="AJ28" i="2" l="1"/>
  <c r="AJ19" i="2"/>
  <c r="AK18" i="2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R14" i="2" l="1"/>
  <c r="R15" i="2" s="1"/>
  <c r="R16" i="2" s="1"/>
</calcChain>
</file>

<file path=xl/sharedStrings.xml><?xml version="1.0" encoding="utf-8"?>
<sst xmlns="http://schemas.openxmlformats.org/spreadsheetml/2006/main" count="101" uniqueCount="75">
  <si>
    <t>Price</t>
  </si>
  <si>
    <t>MC</t>
  </si>
  <si>
    <t>Shares</t>
  </si>
  <si>
    <t>Cash</t>
  </si>
  <si>
    <t>Debt</t>
  </si>
  <si>
    <t>EV</t>
  </si>
  <si>
    <t>ceo</t>
  </si>
  <si>
    <t>staff</t>
  </si>
  <si>
    <t>Pos</t>
  </si>
  <si>
    <t>cos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</si>
  <si>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</si>
  <si>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</si>
  <si>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</si>
  <si>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</si>
  <si>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</si>
  <si>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</si>
  <si>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</si>
  <si>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</si>
  <si>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</si>
  <si>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</si>
  <si>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</si>
  <si>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</si>
  <si>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</si>
  <si>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Genomics</t>
  </si>
  <si>
    <t>Data and services</t>
  </si>
  <si>
    <t>Revenue</t>
  </si>
  <si>
    <t>COGS</t>
  </si>
  <si>
    <t>RD</t>
  </si>
  <si>
    <t>SGA</t>
  </si>
  <si>
    <t>OPEX</t>
  </si>
  <si>
    <t>Interest Income</t>
  </si>
  <si>
    <t>PRETAX</t>
  </si>
  <si>
    <t>TAX</t>
  </si>
  <si>
    <t xml:space="preserve">NI </t>
  </si>
  <si>
    <t>EPS</t>
  </si>
  <si>
    <t>Tecnhology RD</t>
  </si>
  <si>
    <t>Gross Profit</t>
  </si>
  <si>
    <t>Operating Profit</t>
  </si>
  <si>
    <t xml:space="preserve"> </t>
  </si>
  <si>
    <t>NC</t>
  </si>
  <si>
    <t xml:space="preserve">Cash </t>
  </si>
  <si>
    <t>AR</t>
  </si>
  <si>
    <t>Inventory</t>
  </si>
  <si>
    <t>OCA</t>
  </si>
  <si>
    <t>PPE</t>
  </si>
  <si>
    <t>Intangibles</t>
  </si>
  <si>
    <t>Investments</t>
  </si>
  <si>
    <t>Leases</t>
  </si>
  <si>
    <t>Restricted Cash</t>
  </si>
  <si>
    <t>AP</t>
  </si>
  <si>
    <t>AE</t>
  </si>
  <si>
    <t>OCL</t>
  </si>
  <si>
    <t>DR</t>
  </si>
  <si>
    <t>Licensing fees</t>
  </si>
  <si>
    <t>OLL</t>
  </si>
  <si>
    <t>Convertibles</t>
  </si>
  <si>
    <t>Interest payable</t>
  </si>
  <si>
    <t>Liabilities</t>
  </si>
  <si>
    <t xml:space="preserve">Assets  </t>
  </si>
  <si>
    <t>x</t>
  </si>
  <si>
    <t>Gross Margin</t>
  </si>
  <si>
    <t>Operating Margin</t>
  </si>
  <si>
    <t>Tax Rate</t>
  </si>
  <si>
    <t>NI y/y</t>
  </si>
  <si>
    <t>rev q/q</t>
  </si>
  <si>
    <t xml:space="preserve">  </t>
  </si>
  <si>
    <t>NPV</t>
  </si>
  <si>
    <t>MR</t>
  </si>
  <si>
    <t>Per Share</t>
  </si>
  <si>
    <t>Upside</t>
  </si>
  <si>
    <t>cff</t>
  </si>
  <si>
    <t>CFFO</t>
  </si>
  <si>
    <t>CFFF</t>
  </si>
  <si>
    <t>CFFI</t>
  </si>
  <si>
    <t>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</si>
</sst>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Font="1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9" fontId="0" fillId="0" borderId="0" xfId="0" applyNumberFormat="1"/>
    <xf numFmtId="8" fontId="1" fillId="0" borderId="0" xfId="0" applyNumberFormat="1" applyFont="1"/>
    <xf numFmtId="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9C81-97FB-420F-B4DF-442BF911F655}">
  <dimension ref="B2:L12"/>
  <sheetViews>
    <sheetView workbookViewId="0">
      <selection activeCell="L8" sqref="L8"/>
    </sheetView>
  </sheetViews>
  <sheetFormatPr defaultRowHeight="15" x14ac:dyDescent="0.25"/>
  <sheetData>
    <row r="2" spans="2:12" x14ac:dyDescent="0.25">
      <c r="B2" t="s">
        <v>6</v>
      </c>
      <c r="K2" t="s">
        <v>0</v>
      </c>
      <c r="L2" s="1">
        <v>58.92</v>
      </c>
    </row>
    <row r="3" spans="2:12" x14ac:dyDescent="0.25">
      <c r="K3" t="s">
        <v>2</v>
      </c>
      <c r="L3" s="1">
        <f>168.072456+5.043789</f>
        <v>173.11624499999999</v>
      </c>
    </row>
    <row r="4" spans="2:12" x14ac:dyDescent="0.25">
      <c r="K4" t="s">
        <v>1</v>
      </c>
      <c r="L4" s="1">
        <f>+L2*L3</f>
        <v>10200.009155399999</v>
      </c>
    </row>
    <row r="5" spans="2:12" x14ac:dyDescent="0.25">
      <c r="B5" t="s">
        <v>7</v>
      </c>
      <c r="K5" t="s">
        <v>3</v>
      </c>
      <c r="L5">
        <f>151.603+67.183</f>
        <v>218.786</v>
      </c>
    </row>
    <row r="6" spans="2:12" x14ac:dyDescent="0.25">
      <c r="K6" t="s">
        <v>4</v>
      </c>
      <c r="L6" s="1">
        <v>467.14400000000001</v>
      </c>
    </row>
    <row r="7" spans="2:12" x14ac:dyDescent="0.25">
      <c r="K7" t="s">
        <v>5</v>
      </c>
      <c r="L7" s="1">
        <f>+L4-L5+L6</f>
        <v>10448.367155399999</v>
      </c>
    </row>
    <row r="9" spans="2:12" x14ac:dyDescent="0.25">
      <c r="B9" t="s">
        <v>8</v>
      </c>
    </row>
    <row r="12" spans="2:12" x14ac:dyDescent="0.25">
      <c r="B1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B3B-A836-4379-8809-2E1DB20C5D54}">
  <dimension ref="A1:XFD57"/>
  <sheetViews>
    <sheetView tabSelected="1" topLeftCell="B1" zoomScale="130" zoomScaleNormal="130" workbookViewId="0">
      <pane xSplit="1" ySplit="2" topLeftCell="P3" activePane="bottomRight" state="frozen"/>
      <selection activeCell="B1" sqref="B1"/>
      <selection pane="topRight" activeCell="C1" sqref="C1"/>
      <selection pane="bottomLeft" activeCell="B3" sqref="B3"/>
      <selection pane="bottomRight" activeCell="R21" sqref="R21"/>
    </sheetView>
  </sheetViews>
  <sheetFormatPr defaultRowHeight="15" x14ac:dyDescent="0.25"/>
  <cols>
    <col min="2" max="2" width="16.7109375" bestFit="1" customWidth="1"/>
    <col min="17" max="17" width="13.28515625" bestFit="1" customWidth="1"/>
    <col min="18" max="18" width="11" bestFit="1" customWidth="1"/>
  </cols>
  <sheetData>
    <row r="1" spans="2:36 16384:16384" x14ac:dyDescent="0.25">
      <c r="H1" t="s">
        <v>59</v>
      </c>
      <c r="I1" t="s">
        <v>59</v>
      </c>
      <c r="K1" t="s">
        <v>59</v>
      </c>
      <c r="L1" t="s">
        <v>59</v>
      </c>
      <c r="M1" t="s">
        <v>59</v>
      </c>
      <c r="O1" t="s">
        <v>59</v>
      </c>
    </row>
    <row r="2" spans="2:36 16384:16384" x14ac:dyDescent="0.25">
      <c r="B2" s="4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W2">
        <v>2022</v>
      </c>
      <c r="X2">
        <f>+W2+1</f>
        <v>2023</v>
      </c>
      <c r="Y2">
        <f t="shared" ref="Y2:AE2" si="0">+X2+1</f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  <c r="AF2">
        <f t="shared" ref="AF2:AI2" si="1">+AE2+1</f>
        <v>2031</v>
      </c>
      <c r="AG2">
        <f t="shared" si="1"/>
        <v>2032</v>
      </c>
      <c r="AH2">
        <f t="shared" si="1"/>
        <v>2033</v>
      </c>
      <c r="AI2">
        <f t="shared" si="1"/>
        <v>2034</v>
      </c>
      <c r="AJ2">
        <f t="shared" ref="AJ2" si="2">+AI2+1</f>
        <v>2035</v>
      </c>
    </row>
    <row r="3" spans="2:36 16384:16384" x14ac:dyDescent="0.25">
      <c r="B3" s="4" t="s">
        <v>23</v>
      </c>
      <c r="C3" s="4"/>
      <c r="D3" s="4"/>
      <c r="E3" s="4"/>
      <c r="F3" s="4">
        <v>82.058000000000007</v>
      </c>
      <c r="G3" s="4"/>
      <c r="H3" s="4">
        <v>91.924000000000007</v>
      </c>
      <c r="I3" s="4">
        <v>96.814999999999998</v>
      </c>
      <c r="K3" s="4">
        <v>102.569</v>
      </c>
      <c r="L3" s="4">
        <v>112.324</v>
      </c>
      <c r="M3" s="4">
        <v>116.422</v>
      </c>
      <c r="N3" s="4">
        <f>451.749-M3-L3-K3</f>
        <v>120.43399999999998</v>
      </c>
      <c r="O3" s="4">
        <v>193.804</v>
      </c>
      <c r="W3">
        <v>197.98400000000001</v>
      </c>
      <c r="X3">
        <v>363.02199999999999</v>
      </c>
      <c r="Y3">
        <v>451.74900000000002</v>
      </c>
    </row>
    <row r="4" spans="2:36 16384:16384" x14ac:dyDescent="0.25">
      <c r="B4" s="4" t="s">
        <v>24</v>
      </c>
      <c r="C4" s="4"/>
      <c r="D4" s="4"/>
      <c r="E4" s="4"/>
      <c r="F4" s="4">
        <v>33.566000000000003</v>
      </c>
      <c r="G4" s="4"/>
      <c r="H4" s="4">
        <v>40.493000000000002</v>
      </c>
      <c r="I4" s="4">
        <v>39.241999999999997</v>
      </c>
      <c r="K4" s="4">
        <v>43.250999999999998</v>
      </c>
      <c r="L4" s="4">
        <v>53.645000000000003</v>
      </c>
      <c r="M4" s="4">
        <v>64.507000000000005</v>
      </c>
      <c r="N4" s="4">
        <f>241.649-M4-L4-K4</f>
        <v>80.245999999999981</v>
      </c>
      <c r="O4" s="4">
        <v>61.933</v>
      </c>
      <c r="W4">
        <v>122.684</v>
      </c>
      <c r="X4">
        <v>168.8</v>
      </c>
      <c r="Y4">
        <v>241.649</v>
      </c>
    </row>
    <row r="5" spans="2:36 16384:16384" s="2" customFormat="1" x14ac:dyDescent="0.25">
      <c r="B5" s="5" t="s">
        <v>25</v>
      </c>
      <c r="C5" s="5"/>
      <c r="D5" s="5"/>
      <c r="E5" s="5"/>
      <c r="F5" s="5">
        <f>+F3+F4</f>
        <v>115.62400000000001</v>
      </c>
      <c r="G5" s="5"/>
      <c r="H5" s="5">
        <f>+H3+H4</f>
        <v>132.417</v>
      </c>
      <c r="I5" s="5">
        <f>+I3+I4</f>
        <v>136.05699999999999</v>
      </c>
      <c r="K5" s="5">
        <f>+K3+K4</f>
        <v>145.82</v>
      </c>
      <c r="L5" s="5">
        <f>+L3+L4</f>
        <v>165.96899999999999</v>
      </c>
      <c r="M5" s="5">
        <f>+M3+M4</f>
        <v>180.929</v>
      </c>
      <c r="N5" s="5">
        <f>+N3+N4</f>
        <v>200.67999999999995</v>
      </c>
      <c r="O5" s="5">
        <f>+O3+O4</f>
        <v>255.73699999999999</v>
      </c>
      <c r="W5" s="2">
        <f>+W3+W4</f>
        <v>320.66800000000001</v>
      </c>
      <c r="X5" s="2">
        <f>+X3+X4</f>
        <v>531.822</v>
      </c>
      <c r="Y5" s="2">
        <f>+Y3+Y4</f>
        <v>693.39800000000002</v>
      </c>
      <c r="Z5" s="2">
        <f>+Y5*1.3</f>
        <v>901.41740000000004</v>
      </c>
      <c r="AA5" s="2">
        <f t="shared" ref="AA5:AE5" si="3">+Z5*1.3</f>
        <v>1171.8426200000001</v>
      </c>
      <c r="AB5" s="2">
        <f t="shared" si="3"/>
        <v>1523.3954060000003</v>
      </c>
      <c r="AC5" s="2">
        <f t="shared" si="3"/>
        <v>1980.4140278000004</v>
      </c>
      <c r="AD5" s="2">
        <f t="shared" si="3"/>
        <v>2574.5382361400007</v>
      </c>
      <c r="AE5" s="2">
        <f t="shared" si="3"/>
        <v>3346.8997069820011</v>
      </c>
      <c r="AF5" s="2">
        <f t="shared" ref="AF5:AI5" si="4">+AE5*1.3</f>
        <v>4350.9696190766017</v>
      </c>
      <c r="AG5" s="2">
        <f t="shared" si="4"/>
        <v>5656.2605047995821</v>
      </c>
      <c r="AH5" s="2">
        <f t="shared" si="4"/>
        <v>7353.1386562394573</v>
      </c>
      <c r="AI5" s="2">
        <f t="shared" si="4"/>
        <v>9559.080253111295</v>
      </c>
      <c r="AJ5" s="2">
        <f t="shared" ref="AJ5" si="5">+AI5*1.3</f>
        <v>12426.804329044684</v>
      </c>
    </row>
    <row r="6" spans="2:36 16384:16384" x14ac:dyDescent="0.25">
      <c r="B6" s="4" t="s">
        <v>23</v>
      </c>
      <c r="C6" s="4"/>
      <c r="D6" s="4"/>
      <c r="E6" s="4"/>
      <c r="F6" s="4">
        <v>45.28</v>
      </c>
      <c r="G6" s="4"/>
      <c r="H6" s="4">
        <v>46.960999999999999</v>
      </c>
      <c r="I6" s="4">
        <v>46.54</v>
      </c>
      <c r="K6" s="4">
        <v>52.835000000000001</v>
      </c>
      <c r="L6" s="4">
        <v>68.323999999999998</v>
      </c>
      <c r="M6" s="4">
        <v>60.125999999999998</v>
      </c>
      <c r="N6" s="4">
        <f>243.467-M6-L6-K6</f>
        <v>62.182000000000009</v>
      </c>
      <c r="O6" s="4">
        <v>84.783000000000001</v>
      </c>
      <c r="W6">
        <v>150.255</v>
      </c>
      <c r="X6">
        <v>189.16499999999999</v>
      </c>
      <c r="Y6">
        <v>243.46700000000001</v>
      </c>
    </row>
    <row r="7" spans="2:36 16384:16384" x14ac:dyDescent="0.25">
      <c r="B7" s="4" t="s">
        <v>24</v>
      </c>
      <c r="C7" s="4"/>
      <c r="D7" s="4"/>
      <c r="E7" s="4"/>
      <c r="F7" s="4">
        <v>11.393000000000001</v>
      </c>
      <c r="G7" s="4"/>
      <c r="H7" s="4">
        <v>13.807</v>
      </c>
      <c r="I7" s="4">
        <v>15.49</v>
      </c>
      <c r="K7" s="4">
        <v>15.288</v>
      </c>
      <c r="L7" s="4">
        <v>22.132000000000001</v>
      </c>
      <c r="M7" s="4">
        <v>14.964</v>
      </c>
      <c r="N7" s="4">
        <f>68.818-M7-L7-K7</f>
        <v>16.433999999999997</v>
      </c>
      <c r="O7" s="4">
        <v>15.750999999999999</v>
      </c>
      <c r="W7">
        <v>40.226999999999997</v>
      </c>
      <c r="X7">
        <v>56.481999999999999</v>
      </c>
      <c r="Y7">
        <v>68.817999999999998</v>
      </c>
    </row>
    <row r="8" spans="2:36 16384:16384" s="3" customFormat="1" x14ac:dyDescent="0.25">
      <c r="B8" s="6" t="s">
        <v>26</v>
      </c>
      <c r="C8" s="6"/>
      <c r="D8" s="6"/>
      <c r="E8" s="6"/>
      <c r="F8" s="6">
        <f>+F6+F7</f>
        <v>56.673000000000002</v>
      </c>
      <c r="G8" s="6"/>
      <c r="H8" s="6">
        <f>+H6+H7</f>
        <v>60.768000000000001</v>
      </c>
      <c r="I8" s="6">
        <f>+I6+I7</f>
        <v>62.03</v>
      </c>
      <c r="K8" s="6">
        <f>+K6+K7</f>
        <v>68.123000000000005</v>
      </c>
      <c r="L8" s="6">
        <v>77.908000000000001</v>
      </c>
      <c r="M8" s="6">
        <f>+M6+M7</f>
        <v>75.09</v>
      </c>
      <c r="N8" s="6">
        <f>+N6+N7</f>
        <v>78.616000000000014</v>
      </c>
      <c r="O8" s="6">
        <f>+O6+O7</f>
        <v>100.53400000000001</v>
      </c>
      <c r="W8" s="3">
        <f>+W6+W7</f>
        <v>190.482</v>
      </c>
      <c r="X8" s="3">
        <f>+X6+X7</f>
        <v>245.64699999999999</v>
      </c>
      <c r="Y8" s="3">
        <f>+Y6+Y7</f>
        <v>312.28500000000003</v>
      </c>
    </row>
    <row r="9" spans="2:36 16384:16384" s="2" customFormat="1" x14ac:dyDescent="0.25">
      <c r="B9" s="5" t="s">
        <v>36</v>
      </c>
      <c r="C9" s="5"/>
      <c r="D9" s="5"/>
      <c r="E9" s="5"/>
      <c r="F9" s="5">
        <f>+F5-F8</f>
        <v>58.951000000000008</v>
      </c>
      <c r="G9" s="5"/>
      <c r="H9" s="5">
        <f>+H5-H8</f>
        <v>71.649000000000001</v>
      </c>
      <c r="I9" s="5">
        <f>+I5-I8</f>
        <v>74.026999999999987</v>
      </c>
      <c r="K9" s="5">
        <f>+K5-K8</f>
        <v>77.696999999999989</v>
      </c>
      <c r="L9" s="5">
        <f>+L5-L8</f>
        <v>88.060999999999993</v>
      </c>
      <c r="M9" s="5">
        <f>+M5-M8</f>
        <v>105.839</v>
      </c>
      <c r="N9" s="5">
        <f>+N5-N8</f>
        <v>122.06399999999994</v>
      </c>
      <c r="O9" s="5">
        <f>+O5-O8</f>
        <v>155.20299999999997</v>
      </c>
      <c r="W9" s="2">
        <f>+W5-W8</f>
        <v>130.18600000000001</v>
      </c>
      <c r="X9" s="2">
        <f>+X5-X8</f>
        <v>286.17500000000001</v>
      </c>
      <c r="Y9" s="2">
        <f>+Y5-Y8</f>
        <v>381.113</v>
      </c>
      <c r="Z9" s="2">
        <f>+Z5*0.6</f>
        <v>540.85044000000005</v>
      </c>
      <c r="AA9" s="2">
        <f t="shared" ref="AA9:AE9" si="6">+AA5*0.6</f>
        <v>703.10557200000005</v>
      </c>
      <c r="AB9" s="2">
        <f t="shared" si="6"/>
        <v>914.03724360000012</v>
      </c>
      <c r="AC9" s="2">
        <f t="shared" si="6"/>
        <v>1188.2484166800002</v>
      </c>
      <c r="AD9" s="2">
        <f t="shared" si="6"/>
        <v>1544.7229416840003</v>
      </c>
      <c r="AE9" s="2">
        <f t="shared" si="6"/>
        <v>2008.1398241892007</v>
      </c>
      <c r="AF9" s="2">
        <f t="shared" ref="AF9:AI9" si="7">+AF5*0.6</f>
        <v>2610.5817714459608</v>
      </c>
      <c r="AG9" s="2">
        <f t="shared" si="7"/>
        <v>3393.756302879749</v>
      </c>
      <c r="AH9" s="2">
        <f t="shared" si="7"/>
        <v>4411.8831937436744</v>
      </c>
      <c r="AI9" s="2">
        <f t="shared" si="7"/>
        <v>5735.4481518667772</v>
      </c>
      <c r="AJ9" s="2">
        <f t="shared" ref="AJ9" si="8">+AJ5*0.6</f>
        <v>7456.08259742681</v>
      </c>
      <c r="XFD9" s="2" t="s">
        <v>38</v>
      </c>
    </row>
    <row r="10" spans="2:36 16384:16384" x14ac:dyDescent="0.25">
      <c r="B10" s="4" t="s">
        <v>35</v>
      </c>
      <c r="C10" s="4"/>
      <c r="D10" s="4"/>
      <c r="E10" s="4"/>
      <c r="F10" s="6">
        <v>22.902000000000001</v>
      </c>
      <c r="G10" s="4"/>
      <c r="H10" s="6">
        <v>23.427</v>
      </c>
      <c r="I10" s="6">
        <v>24.155999999999999</v>
      </c>
      <c r="K10" s="4">
        <v>27.067</v>
      </c>
      <c r="L10" s="6">
        <v>77.908000000000001</v>
      </c>
      <c r="M10" s="4">
        <v>30.68</v>
      </c>
      <c r="N10" s="4">
        <f>167.519-M10-L10-K10</f>
        <v>31.863999999999997</v>
      </c>
      <c r="O10" s="4">
        <v>33.390999999999998</v>
      </c>
      <c r="P10" s="3"/>
      <c r="W10" s="3">
        <v>79.082999999999998</v>
      </c>
      <c r="X10" s="3">
        <v>95.155000000000001</v>
      </c>
      <c r="Y10" s="3">
        <v>167.51900000000001</v>
      </c>
    </row>
    <row r="11" spans="2:36 16384:16384" x14ac:dyDescent="0.25">
      <c r="B11" s="4" t="s">
        <v>27</v>
      </c>
      <c r="C11" s="4"/>
      <c r="D11" s="4"/>
      <c r="E11" s="4"/>
      <c r="F11" s="4">
        <v>20.863</v>
      </c>
      <c r="G11" s="4"/>
      <c r="H11" s="4">
        <v>22.170999999999999</v>
      </c>
      <c r="I11" s="4">
        <v>23.234000000000002</v>
      </c>
      <c r="K11" s="4">
        <v>24.34</v>
      </c>
      <c r="L11" s="4">
        <v>68.025000000000006</v>
      </c>
      <c r="M11" s="4">
        <v>27.347999999999999</v>
      </c>
      <c r="N11" s="4">
        <f>149.325-M11-L11-K11</f>
        <v>29.611999999999984</v>
      </c>
      <c r="O11" s="4">
        <v>35.874000000000002</v>
      </c>
      <c r="P11" s="3"/>
      <c r="W11" s="3">
        <v>83.158000000000001</v>
      </c>
      <c r="X11" s="3">
        <v>90.343000000000004</v>
      </c>
      <c r="Y11" s="3">
        <v>149.32499999999999</v>
      </c>
    </row>
    <row r="12" spans="2:36 16384:16384" x14ac:dyDescent="0.25">
      <c r="B12" s="4" t="s">
        <v>28</v>
      </c>
      <c r="C12" s="4"/>
      <c r="D12" s="4"/>
      <c r="E12" s="4"/>
      <c r="F12" s="4">
        <v>69.046999999999997</v>
      </c>
      <c r="G12" s="4"/>
      <c r="H12" s="4">
        <v>71.188999999999993</v>
      </c>
      <c r="I12" s="4">
        <v>71.426000000000002</v>
      </c>
      <c r="K12" s="4">
        <v>79.563999999999993</v>
      </c>
      <c r="L12" s="4">
        <v>463.072</v>
      </c>
      <c r="M12" s="4">
        <v>101.42700000000001</v>
      </c>
      <c r="N12" s="4">
        <f>755.351-M12-L12-K12</f>
        <v>111.28799999999998</v>
      </c>
      <c r="O12" s="4">
        <v>154.62700000000001</v>
      </c>
      <c r="Q12" t="s">
        <v>67</v>
      </c>
      <c r="R12" s="9">
        <v>0.02</v>
      </c>
      <c r="W12" s="3">
        <v>233.37700000000001</v>
      </c>
      <c r="X12" s="3">
        <v>296.76</v>
      </c>
      <c r="Y12" s="3">
        <v>755.351</v>
      </c>
    </row>
    <row r="13" spans="2:36 16384:16384" x14ac:dyDescent="0.25">
      <c r="B13" s="4" t="s">
        <v>29</v>
      </c>
      <c r="C13" s="4"/>
      <c r="D13" s="4"/>
      <c r="E13" s="4"/>
      <c r="F13" s="4">
        <f>+F10+F11+F12</f>
        <v>112.812</v>
      </c>
      <c r="G13" s="4"/>
      <c r="H13" s="4">
        <f>+H10+H11+H12</f>
        <v>116.78699999999999</v>
      </c>
      <c r="I13" s="4">
        <f>+I10+I11+I12</f>
        <v>118.816</v>
      </c>
      <c r="K13" s="4">
        <f>+K10+K11+K12</f>
        <v>130.971</v>
      </c>
      <c r="L13" s="4">
        <f>+L10+L11+L12</f>
        <v>609.005</v>
      </c>
      <c r="M13" s="4">
        <f>+M10+M11+M12</f>
        <v>159.45500000000001</v>
      </c>
      <c r="N13" s="4">
        <f>+N10+N11+N12</f>
        <v>172.76399999999995</v>
      </c>
      <c r="O13" s="4">
        <f>+O10+O11+O12</f>
        <v>223.892</v>
      </c>
      <c r="Q13" t="s">
        <v>52</v>
      </c>
      <c r="R13" s="9">
        <v>0.09</v>
      </c>
      <c r="W13">
        <f>+W12+W11+W10</f>
        <v>395.61800000000005</v>
      </c>
      <c r="X13">
        <f>+X12+X11+X10</f>
        <v>482.25800000000004</v>
      </c>
      <c r="Y13">
        <f>+Y12+Y11+Y10</f>
        <v>1072.1949999999999</v>
      </c>
      <c r="Z13">
        <f>+Y13*1.1</f>
        <v>1179.4145000000001</v>
      </c>
      <c r="AA13">
        <f t="shared" ref="AA13:AE13" si="9">+Z13*1.1</f>
        <v>1297.3559500000001</v>
      </c>
      <c r="AB13">
        <f t="shared" si="9"/>
        <v>1427.0915450000002</v>
      </c>
      <c r="AC13">
        <f t="shared" si="9"/>
        <v>1569.8006995000003</v>
      </c>
      <c r="AD13">
        <f t="shared" si="9"/>
        <v>1726.7807694500004</v>
      </c>
      <c r="AE13">
        <f t="shared" si="9"/>
        <v>1899.4588463950006</v>
      </c>
      <c r="AF13">
        <f t="shared" ref="AF13:AI13" si="10">+AE13*1.1</f>
        <v>2089.4047310345009</v>
      </c>
      <c r="AG13">
        <f t="shared" si="10"/>
        <v>2298.345204137951</v>
      </c>
      <c r="AH13">
        <f t="shared" si="10"/>
        <v>2528.1797245517464</v>
      </c>
      <c r="AI13">
        <f t="shared" si="10"/>
        <v>2780.997697006921</v>
      </c>
      <c r="AJ13">
        <f t="shared" ref="AJ13" si="11">+AI13*1.1</f>
        <v>3059.0974667076134</v>
      </c>
    </row>
    <row r="14" spans="2:36 16384:16384" s="2" customFormat="1" x14ac:dyDescent="0.25">
      <c r="B14" s="5" t="s">
        <v>37</v>
      </c>
      <c r="C14" s="5"/>
      <c r="D14" s="5"/>
      <c r="E14" s="5"/>
      <c r="F14" s="5">
        <f>+F9-F13</f>
        <v>-53.86099999999999</v>
      </c>
      <c r="G14" s="5"/>
      <c r="H14" s="5">
        <f>+H9-H13</f>
        <v>-45.137999999999991</v>
      </c>
      <c r="I14" s="5">
        <f>+I9-I13</f>
        <v>-44.789000000000016</v>
      </c>
      <c r="K14" s="5">
        <f>+K9-K13</f>
        <v>-53.274000000000015</v>
      </c>
      <c r="L14" s="5">
        <f>+L9-L13</f>
        <v>-520.94399999999996</v>
      </c>
      <c r="M14" s="5">
        <f>+M9-M13</f>
        <v>-53.616000000000014</v>
      </c>
      <c r="N14" s="5">
        <f>+N9-N13</f>
        <v>-50.700000000000017</v>
      </c>
      <c r="O14" s="5">
        <f>+O9-O13</f>
        <v>-68.689000000000021</v>
      </c>
      <c r="Q14" s="2" t="s">
        <v>66</v>
      </c>
      <c r="R14" s="10">
        <f>+NPV(R13,Z18:BF18)</f>
        <v>18108.022937169764</v>
      </c>
      <c r="W14" s="2">
        <f>+W9-W13</f>
        <v>-265.43200000000002</v>
      </c>
      <c r="X14" s="2">
        <f>+X9-X13</f>
        <v>-196.08300000000003</v>
      </c>
      <c r="Y14" s="2">
        <f>+Y9-Y13</f>
        <v>-691.08199999999988</v>
      </c>
      <c r="Z14" s="2">
        <f t="shared" ref="Z14:AE14" si="12">+Z9-Z13</f>
        <v>-638.56406000000004</v>
      </c>
      <c r="AA14" s="2">
        <f t="shared" si="12"/>
        <v>-594.25037800000007</v>
      </c>
      <c r="AB14" s="2">
        <f t="shared" si="12"/>
        <v>-513.0543014000001</v>
      </c>
      <c r="AC14" s="2">
        <f t="shared" si="12"/>
        <v>-381.55228282000007</v>
      </c>
      <c r="AD14" s="2">
        <f t="shared" si="12"/>
        <v>-182.05782776600017</v>
      </c>
      <c r="AE14" s="2">
        <f t="shared" si="12"/>
        <v>108.68097779420009</v>
      </c>
      <c r="AF14" s="2">
        <f t="shared" ref="AF14" si="13">+AF9-AF13</f>
        <v>521.17704041145998</v>
      </c>
      <c r="AG14" s="2">
        <f t="shared" ref="AG14" si="14">+AG9-AG13</f>
        <v>1095.411098741798</v>
      </c>
      <c r="AH14" s="2">
        <f t="shared" ref="AH14" si="15">+AH9-AH13</f>
        <v>1883.703469191928</v>
      </c>
      <c r="AI14" s="2">
        <f t="shared" ref="AI14:AJ14" si="16">+AI9-AI13</f>
        <v>2954.4504548598561</v>
      </c>
      <c r="AJ14" s="2">
        <f t="shared" si="16"/>
        <v>4396.9851307191966</v>
      </c>
    </row>
    <row r="15" spans="2:36 16384:16384" s="3" customFormat="1" x14ac:dyDescent="0.25">
      <c r="B15" s="6" t="s">
        <v>30</v>
      </c>
      <c r="C15" s="6"/>
      <c r="D15" s="6"/>
      <c r="E15" s="6"/>
      <c r="F15" s="6">
        <f>2.424-9.191+6.388</f>
        <v>-0.37900000000000134</v>
      </c>
      <c r="G15" s="6" t="s">
        <v>38</v>
      </c>
      <c r="H15" s="6">
        <f>1.957-11.712+-0.766</f>
        <v>-10.520999999999999</v>
      </c>
      <c r="I15" s="6">
        <f>1.483-12.342-2.287</f>
        <v>-13.146000000000001</v>
      </c>
      <c r="J15" s="3" t="s">
        <v>38</v>
      </c>
      <c r="K15" s="6">
        <f>1.031-13.238+0.749</f>
        <v>-11.457999999999998</v>
      </c>
      <c r="L15" s="6">
        <f>-1.718-13.295-7.048</f>
        <v>-22.061</v>
      </c>
      <c r="M15" s="6">
        <f>4.789-13.761-11.522</f>
        <v>-20.494</v>
      </c>
      <c r="N15" s="6">
        <f>11.084-53.653+32.336-M15-L15-K15</f>
        <v>43.779999999999994</v>
      </c>
      <c r="O15" s="6">
        <f>1.813-18.003-27.455</f>
        <v>-43.644999999999996</v>
      </c>
      <c r="Q15" s="3" t="s">
        <v>68</v>
      </c>
      <c r="R15" s="3">
        <f>+R14/main!L3</f>
        <v>104.60036801959149</v>
      </c>
      <c r="W15" s="3">
        <f>3.032-21.894-4.846</f>
        <v>-23.707999999999998</v>
      </c>
      <c r="X15" s="3">
        <f>7.601-46.869+21.822</f>
        <v>-17.446000000000002</v>
      </c>
      <c r="Y15" s="3">
        <f>11.084-53.653+32.336</f>
        <v>-10.233000000000004</v>
      </c>
      <c r="Z15" s="3">
        <f>+V28*0.05</f>
        <v>0</v>
      </c>
      <c r="AA15" s="3">
        <f>+W28*0.05</f>
        <v>0</v>
      </c>
      <c r="AB15" s="3">
        <f>+X28*0.05</f>
        <v>-2.9483500000000009</v>
      </c>
      <c r="AC15" s="3">
        <f>+Y28*0.05</f>
        <v>-38.027399999999993</v>
      </c>
      <c r="AD15" s="3">
        <f>+Z28*0.05</f>
        <v>-68.333051679999997</v>
      </c>
      <c r="AE15" s="3">
        <f>+AA28*0.05</f>
        <v>-95.936253863999994</v>
      </c>
      <c r="AF15" s="3">
        <f>+AB28*0.05</f>
        <v>-118.99427470320001</v>
      </c>
      <c r="AG15" s="3">
        <f>+AC28*0.05</f>
        <v>-136.40851359415998</v>
      </c>
      <c r="AH15" s="3">
        <f>+AD28*0.05</f>
        <v>-144.29388874140801</v>
      </c>
      <c r="AI15" s="3">
        <f>+AE28*0.05</f>
        <v>-137.63223307233039</v>
      </c>
      <c r="AJ15" s="3">
        <f>+AF28*0.05</f>
        <v>-109.69134947257949</v>
      </c>
    </row>
    <row r="16" spans="2:36 16384:16384" s="2" customFormat="1" x14ac:dyDescent="0.25">
      <c r="B16" s="5" t="s">
        <v>31</v>
      </c>
      <c r="C16" s="5"/>
      <c r="D16" s="5"/>
      <c r="E16" s="5"/>
      <c r="F16" s="5">
        <f>+F14+F15</f>
        <v>-54.239999999999995</v>
      </c>
      <c r="G16" s="5"/>
      <c r="H16" s="5">
        <f>+H14+H15</f>
        <v>-55.658999999999992</v>
      </c>
      <c r="I16" s="5">
        <f>+I14+I15</f>
        <v>-57.935000000000016</v>
      </c>
      <c r="K16" s="5">
        <f>+K14+K15</f>
        <v>-64.732000000000014</v>
      </c>
      <c r="L16" s="5">
        <f>+L14+L15</f>
        <v>-543.005</v>
      </c>
      <c r="M16" s="5">
        <f>+M14+M15</f>
        <v>-74.110000000000014</v>
      </c>
      <c r="N16" s="5">
        <f>+N14+N15</f>
        <v>-6.920000000000023</v>
      </c>
      <c r="O16" s="5">
        <f>+O14+O15</f>
        <v>-112.33400000000002</v>
      </c>
      <c r="Q16" s="2" t="s">
        <v>69</v>
      </c>
      <c r="R16" s="11">
        <f>+R15/main!L2-1</f>
        <v>0.7752947729054902</v>
      </c>
      <c r="W16" s="2">
        <f>+W14+W15</f>
        <v>-289.14</v>
      </c>
      <c r="X16" s="2">
        <f>+X14+X15</f>
        <v>-213.52900000000002</v>
      </c>
      <c r="Y16" s="2">
        <f>+Y14+Y15</f>
        <v>-701.31499999999983</v>
      </c>
      <c r="Z16" s="2">
        <f t="shared" ref="Z16:AE16" si="17">+Z14+Z15</f>
        <v>-638.56406000000004</v>
      </c>
      <c r="AA16" s="2">
        <f t="shared" si="17"/>
        <v>-594.25037800000007</v>
      </c>
      <c r="AB16" s="2">
        <f t="shared" si="17"/>
        <v>-516.0026514000001</v>
      </c>
      <c r="AC16" s="2">
        <f t="shared" si="17"/>
        <v>-419.57968282000007</v>
      </c>
      <c r="AD16" s="2">
        <f t="shared" si="17"/>
        <v>-250.39087944600016</v>
      </c>
      <c r="AE16" s="2">
        <f t="shared" si="17"/>
        <v>12.744723930200095</v>
      </c>
      <c r="AF16" s="2">
        <f t="shared" ref="AF16" si="18">+AF14+AF15</f>
        <v>402.18276570825998</v>
      </c>
      <c r="AG16" s="2">
        <f t="shared" ref="AG16" si="19">+AG14+AG15</f>
        <v>959.002585147638</v>
      </c>
      <c r="AH16" s="2">
        <f t="shared" ref="AH16" si="20">+AH14+AH15</f>
        <v>1739.40958045052</v>
      </c>
      <c r="AI16" s="2">
        <f t="shared" ref="AI16:AJ16" si="21">+AI14+AI15</f>
        <v>2816.8182217875255</v>
      </c>
      <c r="AJ16" s="2">
        <f t="shared" si="21"/>
        <v>4287.2937812466171</v>
      </c>
    </row>
    <row r="17" spans="2:58" s="7" customFormat="1" x14ac:dyDescent="0.25">
      <c r="B17" s="7" t="s">
        <v>32</v>
      </c>
      <c r="F17" s="7">
        <v>-1.0999999999999999E-2</v>
      </c>
      <c r="H17" s="7">
        <v>-3.0000000000000001E-3</v>
      </c>
      <c r="I17" s="7">
        <v>-6.5000000000000002E-2</v>
      </c>
      <c r="K17" s="7">
        <v>-1.0999999999999999E-2</v>
      </c>
      <c r="L17" s="7">
        <v>-9.5000000000000001E-2</v>
      </c>
      <c r="M17" s="7">
        <v>-3.7999999999999999E-2</v>
      </c>
      <c r="N17" s="7">
        <f>-0.266-M17-L17-K17</f>
        <v>-0.12200000000000001</v>
      </c>
      <c r="O17" s="7">
        <v>46.18</v>
      </c>
      <c r="W17" s="7">
        <v>-6.6000000000000003E-2</v>
      </c>
      <c r="X17" s="7">
        <v>-0.28799999999999998</v>
      </c>
      <c r="Y17" s="7">
        <v>-0.26600000000000001</v>
      </c>
      <c r="Z17" s="7">
        <f>+Z9*0.3*0.2</f>
        <v>32.451026400000003</v>
      </c>
      <c r="AA17" s="7">
        <f>+AA9*0.3*0.2</f>
        <v>42.186334320000007</v>
      </c>
      <c r="AB17" s="7">
        <f>+AB9*0.3*0.2</f>
        <v>54.842234616000013</v>
      </c>
      <c r="AC17" s="7">
        <f>+AC9*0.3*0.2</f>
        <v>71.294905000800014</v>
      </c>
      <c r="AD17" s="7">
        <f>+AD9*0.3*0.2</f>
        <v>92.683376501040016</v>
      </c>
      <c r="AE17" s="7">
        <f>+AE9*0.3*0.2</f>
        <v>120.48838945135203</v>
      </c>
      <c r="AF17" s="7">
        <f>+AF9*0.3*0.2</f>
        <v>156.63490628675765</v>
      </c>
      <c r="AG17" s="7">
        <f>+AG9*0.3*0.2</f>
        <v>203.62537817278496</v>
      </c>
      <c r="AH17" s="7">
        <f>+AH9*0.3*0.2</f>
        <v>264.71299162462049</v>
      </c>
      <c r="AI17" s="7">
        <f>+AI9*0.3*0.2</f>
        <v>344.12688911200667</v>
      </c>
      <c r="AJ17" s="7">
        <f>+AJ9*0.3*0.2</f>
        <v>447.36495584560862</v>
      </c>
    </row>
    <row r="18" spans="2:58" s="2" customFormat="1" x14ac:dyDescent="0.25">
      <c r="B18" s="5" t="s">
        <v>33</v>
      </c>
      <c r="C18" s="5"/>
      <c r="D18" s="5"/>
      <c r="E18" s="5"/>
      <c r="F18" s="5">
        <f>+F16+F17</f>
        <v>-54.250999999999998</v>
      </c>
      <c r="G18" s="5"/>
      <c r="H18" s="5">
        <f>+H16+H17</f>
        <v>-55.661999999999992</v>
      </c>
      <c r="I18" s="5">
        <f>+I16+I17</f>
        <v>-58.000000000000014</v>
      </c>
      <c r="K18" s="5">
        <f>+K16+K17</f>
        <v>-64.743000000000009</v>
      </c>
      <c r="L18" s="5">
        <f>+L16+L17</f>
        <v>-543.1</v>
      </c>
      <c r="M18" s="5">
        <f>+M16+M17</f>
        <v>-74.14800000000001</v>
      </c>
      <c r="N18" s="5">
        <f>+N16+N17</f>
        <v>-7.0420000000000229</v>
      </c>
      <c r="O18" s="5">
        <f>+O16+O17</f>
        <v>-66.154000000000025</v>
      </c>
      <c r="Q18" s="2" t="s">
        <v>38</v>
      </c>
      <c r="W18" s="8">
        <f>+W16+W17</f>
        <v>-289.20599999999996</v>
      </c>
      <c r="X18" s="8">
        <f>+X16+X17</f>
        <v>-213.81700000000004</v>
      </c>
      <c r="Y18" s="8">
        <f>+Y16+Y17</f>
        <v>-701.58099999999979</v>
      </c>
      <c r="Z18" s="8">
        <f>+Z16+Z17</f>
        <v>-606.11303359999999</v>
      </c>
      <c r="AA18" s="8">
        <f>+AA16+AA17</f>
        <v>-552.06404368000005</v>
      </c>
      <c r="AB18" s="8">
        <f>+AB16+AB17</f>
        <v>-461.16041678400006</v>
      </c>
      <c r="AC18" s="8">
        <f>+AC16+AC17</f>
        <v>-348.28477781920003</v>
      </c>
      <c r="AD18" s="8">
        <f>+AD16+AD17</f>
        <v>-157.70750294496014</v>
      </c>
      <c r="AE18" s="8">
        <f>+AE16+AE17</f>
        <v>133.23311338155213</v>
      </c>
      <c r="AF18" s="8">
        <f>+AF16+AF17</f>
        <v>558.81767199501769</v>
      </c>
      <c r="AG18" s="8">
        <f>+AG16+AG17</f>
        <v>1162.6279633204231</v>
      </c>
      <c r="AH18" s="8">
        <f>+AH16+AH17</f>
        <v>2004.1225720751404</v>
      </c>
      <c r="AI18" s="8">
        <f>+AI16+AI17</f>
        <v>3160.9451108995322</v>
      </c>
      <c r="AJ18" s="8">
        <f>+AJ16+AJ17</f>
        <v>4734.6587370922261</v>
      </c>
      <c r="AK18" s="2">
        <f>+AJ18*(1-$R$12)</f>
        <v>4639.9655623503813</v>
      </c>
      <c r="AL18" s="2">
        <f t="shared" ref="AL18:BF18" si="22">+AK18*(1-$R$12)</f>
        <v>4547.1662511033737</v>
      </c>
      <c r="AM18" s="2">
        <f t="shared" si="22"/>
        <v>4456.2229260813065</v>
      </c>
      <c r="AN18" s="2">
        <f t="shared" si="22"/>
        <v>4367.0984675596801</v>
      </c>
      <c r="AO18" s="2">
        <f t="shared" si="22"/>
        <v>4279.7564982084868</v>
      </c>
      <c r="AP18" s="2">
        <f t="shared" si="22"/>
        <v>4194.1613682443167</v>
      </c>
      <c r="AQ18" s="2">
        <f t="shared" si="22"/>
        <v>4110.2781408794299</v>
      </c>
      <c r="AR18" s="2">
        <f t="shared" si="22"/>
        <v>4028.0725780618413</v>
      </c>
      <c r="AS18" s="2">
        <f t="shared" si="22"/>
        <v>3947.5111265006044</v>
      </c>
      <c r="AT18" s="2">
        <f t="shared" si="22"/>
        <v>3868.5609039705923</v>
      </c>
      <c r="AU18" s="2">
        <f t="shared" si="22"/>
        <v>3791.1896858911805</v>
      </c>
      <c r="AV18" s="2">
        <f t="shared" si="22"/>
        <v>3715.3658921733568</v>
      </c>
      <c r="AW18" s="2">
        <f t="shared" si="22"/>
        <v>3641.0585743298898</v>
      </c>
      <c r="AX18" s="2">
        <f t="shared" si="22"/>
        <v>3568.2374028432919</v>
      </c>
      <c r="AY18" s="2">
        <f t="shared" si="22"/>
        <v>3496.8726547864258</v>
      </c>
      <c r="AZ18" s="2">
        <f t="shared" si="22"/>
        <v>3426.9352016906973</v>
      </c>
      <c r="BA18" s="2">
        <f t="shared" si="22"/>
        <v>3358.3964976568832</v>
      </c>
      <c r="BB18" s="2">
        <f t="shared" si="22"/>
        <v>3291.2285677037453</v>
      </c>
      <c r="BC18" s="2">
        <f t="shared" si="22"/>
        <v>3225.4039963496703</v>
      </c>
      <c r="BD18" s="2">
        <f t="shared" si="22"/>
        <v>3160.8959164226767</v>
      </c>
      <c r="BE18" s="2">
        <f t="shared" si="22"/>
        <v>3097.6779980942233</v>
      </c>
      <c r="BF18" s="2">
        <f t="shared" si="22"/>
        <v>3035.7244381323389</v>
      </c>
    </row>
    <row r="19" spans="2:58" s="7" customFormat="1" x14ac:dyDescent="0.25">
      <c r="B19" s="7" t="s">
        <v>34</v>
      </c>
      <c r="F19" s="7">
        <f>+F18/F20</f>
        <v>-0.85800819244334081</v>
      </c>
      <c r="H19" s="7">
        <f>+H18/H20</f>
        <v>-0.87814343861420485</v>
      </c>
      <c r="I19" s="7">
        <f>+I18/I20</f>
        <v>-0.91647441772271931</v>
      </c>
      <c r="K19" s="7">
        <f>+K18/K20</f>
        <v>-1.0206999842345894</v>
      </c>
      <c r="L19" s="7">
        <f>+L18/L20</f>
        <v>-6.597023990282417</v>
      </c>
      <c r="M19" s="7">
        <f>+M18/M20</f>
        <v>-0.44772117962466496</v>
      </c>
      <c r="N19" s="7">
        <f>+N18/N20</f>
        <v>-5.8757269564201811E-2</v>
      </c>
      <c r="O19" s="7">
        <f>+O18/O20</f>
        <v>-0.38798634652153019</v>
      </c>
      <c r="W19" s="7">
        <f>+W18/W20</f>
        <v>-4.5882408935144054</v>
      </c>
      <c r="X19" s="7">
        <f>+X18/X20</f>
        <v>-3.3775155593466661</v>
      </c>
      <c r="Y19" s="7">
        <f>+Y18/Y20</f>
        <v>-5.8538744586938547</v>
      </c>
      <c r="Z19" s="7">
        <f t="shared" ref="Z19:AE19" si="23">+Z18/Z20</f>
        <v>-5.0573057230348182</v>
      </c>
      <c r="AA19" s="7">
        <f t="shared" si="23"/>
        <v>-4.6063299959115227</v>
      </c>
      <c r="AB19" s="7">
        <f t="shared" si="23"/>
        <v>-3.8478453452594521</v>
      </c>
      <c r="AC19" s="7">
        <f t="shared" si="23"/>
        <v>-2.9060299027876746</v>
      </c>
      <c r="AD19" s="7">
        <f t="shared" si="23"/>
        <v>-1.3158850131829229</v>
      </c>
      <c r="AE19" s="7">
        <f t="shared" si="23"/>
        <v>1.1116748023058358</v>
      </c>
      <c r="AF19" s="7">
        <f t="shared" ref="AF19" si="24">+AF18/AF20</f>
        <v>4.6626811403934756</v>
      </c>
      <c r="AG19" s="7">
        <f t="shared" ref="AG19" si="25">+AG18/AG20</f>
        <v>9.7007731672389674</v>
      </c>
      <c r="AH19" s="7">
        <f t="shared" ref="AH19" si="26">+AH18/AH20</f>
        <v>16.722063363692147</v>
      </c>
      <c r="AI19" s="7">
        <f t="shared" ref="AI19:AJ19" si="27">+AI18/AI20</f>
        <v>26.374397040438652</v>
      </c>
      <c r="AJ19" s="7">
        <f t="shared" si="27"/>
        <v>39.505200186002604</v>
      </c>
    </row>
    <row r="20" spans="2:58" x14ac:dyDescent="0.25">
      <c r="B20" s="4" t="s">
        <v>2</v>
      </c>
      <c r="C20" s="4"/>
      <c r="D20" s="4"/>
      <c r="E20" s="4"/>
      <c r="F20" s="4">
        <v>63.228999999999999</v>
      </c>
      <c r="G20" s="4"/>
      <c r="H20" s="4">
        <v>63.386000000000003</v>
      </c>
      <c r="I20" s="4">
        <v>63.286000000000001</v>
      </c>
      <c r="K20" s="4">
        <v>63.43</v>
      </c>
      <c r="L20" s="4">
        <v>82.325000000000003</v>
      </c>
      <c r="M20" s="4">
        <v>165.61199999999999</v>
      </c>
      <c r="N20" s="4">
        <v>119.849</v>
      </c>
      <c r="O20" s="4">
        <v>170.506</v>
      </c>
      <c r="W20" s="7">
        <v>63.031999999999996</v>
      </c>
      <c r="X20" s="7">
        <v>63.305999999999997</v>
      </c>
      <c r="Y20" s="7">
        <v>119.849</v>
      </c>
      <c r="Z20" s="7">
        <f>+Y20</f>
        <v>119.849</v>
      </c>
      <c r="AA20" s="7">
        <f t="shared" ref="AA20:AE20" si="28">+Z20</f>
        <v>119.849</v>
      </c>
      <c r="AB20" s="7">
        <f t="shared" si="28"/>
        <v>119.849</v>
      </c>
      <c r="AC20" s="7">
        <f t="shared" si="28"/>
        <v>119.849</v>
      </c>
      <c r="AD20" s="7">
        <f t="shared" si="28"/>
        <v>119.849</v>
      </c>
      <c r="AE20" s="7">
        <f t="shared" si="28"/>
        <v>119.849</v>
      </c>
      <c r="AF20" s="7">
        <f t="shared" ref="AF20:AI20" si="29">+AE20</f>
        <v>119.849</v>
      </c>
      <c r="AG20" s="7">
        <f t="shared" si="29"/>
        <v>119.849</v>
      </c>
      <c r="AH20" s="7">
        <f t="shared" si="29"/>
        <v>119.849</v>
      </c>
      <c r="AI20" s="7">
        <f t="shared" si="29"/>
        <v>119.849</v>
      </c>
      <c r="AJ20" s="7">
        <f t="shared" ref="AJ20" si="30">+AI20</f>
        <v>119.849</v>
      </c>
    </row>
    <row r="21" spans="2:58" x14ac:dyDescent="0.25">
      <c r="B21" s="4"/>
      <c r="C21" s="4"/>
      <c r="D21" s="4"/>
      <c r="E21" s="4"/>
      <c r="F21" s="4"/>
      <c r="G21" s="4"/>
      <c r="H21" s="4"/>
      <c r="I21" s="4"/>
      <c r="K21" s="4"/>
      <c r="L21" s="4"/>
      <c r="M21" s="4"/>
      <c r="N21" s="4"/>
      <c r="O21" s="4"/>
      <c r="Q21" t="s">
        <v>38</v>
      </c>
      <c r="T21" s="7"/>
      <c r="U21" s="7"/>
      <c r="V21" s="7"/>
    </row>
    <row r="22" spans="2:58" x14ac:dyDescent="0.25">
      <c r="B22" s="4" t="s">
        <v>64</v>
      </c>
      <c r="C22" s="4"/>
      <c r="D22" s="4"/>
      <c r="E22" s="4"/>
      <c r="F22" s="9"/>
      <c r="G22" s="9"/>
      <c r="H22" s="9"/>
      <c r="I22" s="9">
        <f>+I5/H5-1</f>
        <v>2.7488917586110384E-2</v>
      </c>
      <c r="J22" s="9" t="s">
        <v>38</v>
      </c>
      <c r="K22" s="9" t="s">
        <v>38</v>
      </c>
      <c r="L22" s="9">
        <f>+L5/K5-1</f>
        <v>0.13817720477300788</v>
      </c>
      <c r="M22" s="9">
        <f>+M5/L5-1</f>
        <v>9.0137314799751733E-2</v>
      </c>
      <c r="N22" s="9">
        <f>+N5/M5-1</f>
        <v>0.10916436834338294</v>
      </c>
      <c r="O22" s="9">
        <f>+O5/N5-1</f>
        <v>0.27435220251146131</v>
      </c>
      <c r="Q22" s="12" t="s">
        <v>38</v>
      </c>
      <c r="T22" s="7"/>
      <c r="U22" s="7"/>
      <c r="V22" s="7"/>
    </row>
    <row r="23" spans="2:58" x14ac:dyDescent="0.25">
      <c r="B23" s="4" t="s">
        <v>60</v>
      </c>
      <c r="C23" s="4"/>
      <c r="D23" s="4"/>
      <c r="E23" s="4"/>
      <c r="F23" s="9">
        <f>+F9/F5</f>
        <v>0.50985089600774924</v>
      </c>
      <c r="G23" s="9"/>
      <c r="H23" s="9">
        <f>+H9/H5</f>
        <v>0.54108611432066878</v>
      </c>
      <c r="I23" s="9">
        <f>+I9/I5</f>
        <v>0.54408813952975588</v>
      </c>
      <c r="J23" s="9"/>
      <c r="K23" s="9">
        <f>+K9/K5</f>
        <v>0.53282814428747771</v>
      </c>
      <c r="L23" s="9">
        <f>+L9/L5</f>
        <v>0.53058703733829804</v>
      </c>
      <c r="M23" s="9">
        <f>+M9/M5</f>
        <v>0.58497532181131828</v>
      </c>
      <c r="N23" s="9">
        <f>+N9/N5</f>
        <v>0.60825194339246547</v>
      </c>
      <c r="O23" s="9">
        <f>+O9/O5</f>
        <v>0.60688519846561106</v>
      </c>
      <c r="T23" s="7"/>
      <c r="U23" s="7"/>
      <c r="V23" s="7"/>
    </row>
    <row r="24" spans="2:58" x14ac:dyDescent="0.25">
      <c r="B24" s="4" t="s">
        <v>61</v>
      </c>
      <c r="C24" s="4"/>
      <c r="D24" s="4"/>
      <c r="E24" s="4"/>
      <c r="F24" s="9">
        <f>+F14/F5</f>
        <v>-0.46582889365529634</v>
      </c>
      <c r="G24" s="9"/>
      <c r="H24" s="9">
        <f>+H14/H5</f>
        <v>-0.34087768186864215</v>
      </c>
      <c r="I24" s="9">
        <f>+I14/I5</f>
        <v>-0.32919291179432164</v>
      </c>
      <c r="J24" s="9"/>
      <c r="K24" s="9">
        <f>+K14/K5</f>
        <v>-0.36534083116170635</v>
      </c>
      <c r="L24" s="9">
        <f>+L14/L5</f>
        <v>-3.1388030294814091</v>
      </c>
      <c r="M24" s="9">
        <f>+M14/M5</f>
        <v>-0.29633723725881428</v>
      </c>
      <c r="N24" s="9">
        <f>+N14/N5</f>
        <v>-0.25264102053019749</v>
      </c>
      <c r="O24" s="9">
        <f>+O14/O5</f>
        <v>-0.26859234291479145</v>
      </c>
      <c r="T24" s="7"/>
      <c r="U24" s="7"/>
      <c r="V24" s="7"/>
    </row>
    <row r="25" spans="2:58" x14ac:dyDescent="0.25">
      <c r="B25" s="4" t="s">
        <v>62</v>
      </c>
      <c r="C25" s="4"/>
      <c r="D25" s="4"/>
      <c r="E25" s="4"/>
      <c r="F25" s="9">
        <f>+F17/F16</f>
        <v>2.028023598820059E-4</v>
      </c>
      <c r="G25" s="9" t="s">
        <v>38</v>
      </c>
      <c r="H25" s="9">
        <f>+H17/H16</f>
        <v>5.3899638872419567E-5</v>
      </c>
      <c r="I25" s="9">
        <f>+I17/I16</f>
        <v>1.1219470095797011E-3</v>
      </c>
      <c r="J25" s="9"/>
      <c r="K25" s="9">
        <f>+K17/K16</f>
        <v>1.6993140950380024E-4</v>
      </c>
      <c r="L25" s="9">
        <f>+L17/L16</f>
        <v>1.7495234850507823E-4</v>
      </c>
      <c r="M25" s="9">
        <f>+M17/M16</f>
        <v>5.1275131561192807E-4</v>
      </c>
      <c r="N25" s="9">
        <f>+N17/N16</f>
        <v>1.7630057803468151E-2</v>
      </c>
      <c r="O25" s="9">
        <f>+O17/O16</f>
        <v>-0.41109548311285982</v>
      </c>
      <c r="T25" s="7"/>
      <c r="U25" s="7"/>
      <c r="V25" s="7"/>
    </row>
    <row r="26" spans="2:58" x14ac:dyDescent="0.25">
      <c r="B26" s="4" t="s">
        <v>63</v>
      </c>
      <c r="C26" s="4"/>
      <c r="D26" s="4"/>
      <c r="E26" s="4"/>
      <c r="F26" s="9" t="s">
        <v>38</v>
      </c>
      <c r="G26" s="9" t="s">
        <v>38</v>
      </c>
      <c r="H26" s="9" t="s">
        <v>65</v>
      </c>
      <c r="I26" s="9" t="s">
        <v>38</v>
      </c>
      <c r="J26" s="9"/>
      <c r="K26" s="9" t="s">
        <v>38</v>
      </c>
      <c r="L26" s="9">
        <f t="shared" ref="L26" si="31">+L18/H18</f>
        <v>9.7571053860802728</v>
      </c>
      <c r="M26" s="9">
        <f t="shared" ref="M26" si="32">+M18/I18</f>
        <v>1.278413793103448</v>
      </c>
      <c r="N26" s="9" t="s">
        <v>38</v>
      </c>
      <c r="O26" s="9">
        <f>+O18/K18</f>
        <v>1.0217938618846827</v>
      </c>
      <c r="T26" s="7"/>
      <c r="U26" s="7"/>
      <c r="V26" s="7"/>
    </row>
    <row r="27" spans="2:58" x14ac:dyDescent="0.25"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T27" s="7"/>
      <c r="U27" s="7"/>
      <c r="V27" s="7"/>
    </row>
    <row r="28" spans="2:58" x14ac:dyDescent="0.25">
      <c r="B28" s="4" t="s">
        <v>39</v>
      </c>
      <c r="W28" s="7"/>
      <c r="X28" s="7">
        <f>+X30-X41</f>
        <v>-58.967000000000013</v>
      </c>
      <c r="Y28" s="7">
        <f>+X28+Y18</f>
        <v>-760.54799999999977</v>
      </c>
      <c r="Z28" s="7">
        <f t="shared" ref="Z28:AJ28" si="33">+Y28+Z18</f>
        <v>-1366.6610335999999</v>
      </c>
      <c r="AA28" s="7">
        <f t="shared" si="33"/>
        <v>-1918.7250772799998</v>
      </c>
      <c r="AB28" s="7">
        <f t="shared" si="33"/>
        <v>-2379.8854940639999</v>
      </c>
      <c r="AC28" s="7">
        <f t="shared" si="33"/>
        <v>-2728.1702718831998</v>
      </c>
      <c r="AD28" s="7">
        <f t="shared" si="33"/>
        <v>-2885.87777482816</v>
      </c>
      <c r="AE28" s="7">
        <f t="shared" si="33"/>
        <v>-2752.6446614466076</v>
      </c>
      <c r="AF28" s="7">
        <f t="shared" si="33"/>
        <v>-2193.8269894515897</v>
      </c>
      <c r="AG28" s="7">
        <f t="shared" si="33"/>
        <v>-1031.1990261311666</v>
      </c>
      <c r="AH28" s="7">
        <f t="shared" si="33"/>
        <v>972.92354594397375</v>
      </c>
      <c r="AI28" s="7">
        <f t="shared" si="33"/>
        <v>4133.868656843506</v>
      </c>
      <c r="AJ28" s="7">
        <f t="shared" si="33"/>
        <v>8868.5273939357321</v>
      </c>
    </row>
    <row r="29" spans="2:58" x14ac:dyDescent="0.25">
      <c r="J29" t="s">
        <v>38</v>
      </c>
    </row>
    <row r="30" spans="2:58" x14ac:dyDescent="0.25">
      <c r="B30" s="4" t="s">
        <v>40</v>
      </c>
      <c r="X30">
        <f>165.767+31.807</f>
        <v>197.57399999999998</v>
      </c>
      <c r="Y30">
        <f>340.954+107.309</f>
        <v>448.26300000000003</v>
      </c>
    </row>
    <row r="31" spans="2:58" x14ac:dyDescent="0.25">
      <c r="B31" t="s">
        <v>41</v>
      </c>
      <c r="Y31">
        <v>154.81899999999999</v>
      </c>
    </row>
    <row r="32" spans="2:58" x14ac:dyDescent="0.25">
      <c r="B32" s="4" t="s">
        <v>42</v>
      </c>
      <c r="Y32">
        <v>38.386000000000003</v>
      </c>
    </row>
    <row r="33" spans="2:25" x14ac:dyDescent="0.25">
      <c r="B33" t="s">
        <v>43</v>
      </c>
      <c r="Y33">
        <v>26.135000000000002</v>
      </c>
    </row>
    <row r="34" spans="2:25" x14ac:dyDescent="0.25">
      <c r="B34" s="4" t="s">
        <v>44</v>
      </c>
      <c r="Y34">
        <v>58.055999999999997</v>
      </c>
    </row>
    <row r="35" spans="2:25" x14ac:dyDescent="0.25">
      <c r="B35" t="s">
        <v>45</v>
      </c>
      <c r="Y35">
        <f>73.343+11.716</f>
        <v>85.058999999999997</v>
      </c>
    </row>
    <row r="36" spans="2:25" x14ac:dyDescent="0.25">
      <c r="B36" s="4" t="s">
        <v>46</v>
      </c>
      <c r="Y36">
        <f>8.305+91.45</f>
        <v>99.754999999999995</v>
      </c>
    </row>
    <row r="37" spans="2:25" x14ac:dyDescent="0.25">
      <c r="B37" t="s">
        <v>47</v>
      </c>
      <c r="Y37">
        <v>14.762</v>
      </c>
    </row>
    <row r="38" spans="2:25" x14ac:dyDescent="0.25">
      <c r="B38" s="4" t="s">
        <v>48</v>
      </c>
      <c r="Y38">
        <v>0.88100000000000001</v>
      </c>
    </row>
    <row r="39" spans="2:25" s="2" customFormat="1" x14ac:dyDescent="0.25">
      <c r="B39" s="5" t="s">
        <v>58</v>
      </c>
      <c r="Y39" s="2">
        <f>+SUM(Y30:Y38)</f>
        <v>926.11599999999987</v>
      </c>
    </row>
    <row r="41" spans="2:25" x14ac:dyDescent="0.25">
      <c r="B41" s="4" t="s">
        <v>4</v>
      </c>
      <c r="X41">
        <v>256.541</v>
      </c>
      <c r="Y41">
        <v>267.24400000000003</v>
      </c>
    </row>
    <row r="42" spans="2:25" x14ac:dyDescent="0.25">
      <c r="B42" s="4" t="s">
        <v>49</v>
      </c>
      <c r="Y42">
        <v>53.804000000000002</v>
      </c>
    </row>
    <row r="43" spans="2:25" x14ac:dyDescent="0.25">
      <c r="B43" t="s">
        <v>50</v>
      </c>
      <c r="Y43">
        <v>130.40700000000001</v>
      </c>
    </row>
    <row r="44" spans="2:25" x14ac:dyDescent="0.25">
      <c r="B44" s="4" t="s">
        <v>52</v>
      </c>
      <c r="Y44">
        <f>75.981+15.955</f>
        <v>91.935999999999993</v>
      </c>
    </row>
    <row r="45" spans="2:25" x14ac:dyDescent="0.25">
      <c r="B45" s="4" t="s">
        <v>51</v>
      </c>
      <c r="Y45">
        <v>6.9640000000000004</v>
      </c>
    </row>
    <row r="46" spans="2:25" x14ac:dyDescent="0.25">
      <c r="B46" s="4" t="s">
        <v>53</v>
      </c>
      <c r="Y46">
        <v>1.5</v>
      </c>
    </row>
    <row r="47" spans="2:25" x14ac:dyDescent="0.25">
      <c r="B47" s="4" t="s">
        <v>47</v>
      </c>
      <c r="Y47">
        <v>26.199000000000002</v>
      </c>
    </row>
    <row r="48" spans="2:25" x14ac:dyDescent="0.25">
      <c r="B48" s="4" t="s">
        <v>55</v>
      </c>
      <c r="Y48">
        <v>168.19200000000001</v>
      </c>
    </row>
    <row r="49" spans="1:25" x14ac:dyDescent="0.25">
      <c r="B49" s="4" t="s">
        <v>54</v>
      </c>
      <c r="Y49">
        <v>15.98</v>
      </c>
    </row>
    <row r="50" spans="1:25" x14ac:dyDescent="0.25">
      <c r="B50" s="4" t="s">
        <v>56</v>
      </c>
      <c r="Y50">
        <v>70.45</v>
      </c>
    </row>
    <row r="51" spans="1:25" x14ac:dyDescent="0.25">
      <c r="B51" s="4" t="s">
        <v>52</v>
      </c>
      <c r="Y51">
        <f>23.932+6.71</f>
        <v>30.641999999999999</v>
      </c>
    </row>
    <row r="52" spans="1:25" s="2" customFormat="1" x14ac:dyDescent="0.25">
      <c r="B52" s="5" t="s">
        <v>57</v>
      </c>
      <c r="Y52" s="2">
        <f>+SUM(Y41:Y51)</f>
        <v>863.31800000000021</v>
      </c>
    </row>
    <row r="54" spans="1:25" x14ac:dyDescent="0.25">
      <c r="A54" t="s">
        <v>70</v>
      </c>
      <c r="B54" s="4" t="s">
        <v>71</v>
      </c>
      <c r="W54">
        <v>-168.20400000000001</v>
      </c>
      <c r="X54">
        <v>-214.339</v>
      </c>
      <c r="Y54">
        <v>-189.04499999999999</v>
      </c>
    </row>
    <row r="55" spans="1:25" x14ac:dyDescent="0.25">
      <c r="B55" s="4" t="s">
        <v>72</v>
      </c>
      <c r="W55">
        <v>-57.939</v>
      </c>
      <c r="X55">
        <v>40.314999999999998</v>
      </c>
      <c r="Y55">
        <v>-130.392</v>
      </c>
    </row>
    <row r="56" spans="1:25" x14ac:dyDescent="0.25">
      <c r="B56" s="4" t="s">
        <v>73</v>
      </c>
      <c r="W56">
        <v>251.39099999999999</v>
      </c>
      <c r="X56">
        <v>117.547</v>
      </c>
      <c r="Y56">
        <v>494.32900000000001</v>
      </c>
    </row>
    <row r="57" spans="1:25" x14ac:dyDescent="0.25">
      <c r="B57" s="4" t="s">
        <v>74</v>
      </c>
      <c r="W57">
        <f t="shared" ref="W57:X57" si="34">+W54+W55+W56</f>
        <v>25.24799999999999</v>
      </c>
      <c r="X57">
        <f t="shared" si="34"/>
        <v>-56.477000000000004</v>
      </c>
      <c r="Y57">
        <f>+Y54+Y55+Y56</f>
        <v>174.892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cp:lastPrinted>2025-07-30T09:59:43Z</cp:lastPrinted>
  <dcterms:created xsi:type="dcterms:W3CDTF">2025-07-30T09:51:55Z</dcterms:created>
  <dcterms:modified xsi:type="dcterms:W3CDTF">2025-08-01T11:29:48Z</dcterms:modified>
</cp:coreProperties>
</file>