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210" documentId="11_FE4855BF84DCCE436F107A399131F45B7AFB1D1F" xr6:coauthVersionLast="47" xr6:coauthVersionMax="47" xr10:uidLastSave="{588C953D-0B6C-4473-9807-1C0EFF858378}"/>
  <bookViews>
    <workbookView xWindow="-105" yWindow="0" windowWidth="14610" windowHeight="15585" activeTab="1" xr2:uid="{00000000-000D-0000-FFFF-FFFF00000000}"/>
  </bookViews>
  <sheets>
    <sheet name="main" sheetId="1" r:id="rId1"/>
    <sheet name="mode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2" l="1"/>
  <c r="W25" i="2"/>
  <c r="V25" i="2"/>
  <c r="U25" i="2"/>
  <c r="K25" i="2"/>
  <c r="J25" i="2"/>
  <c r="I25" i="2"/>
  <c r="H25" i="2"/>
  <c r="G25" i="2"/>
  <c r="G27" i="2" s="1"/>
  <c r="G28" i="2" s="1"/>
  <c r="F25" i="2"/>
  <c r="E25" i="2"/>
  <c r="D25" i="2"/>
  <c r="C25" i="2"/>
  <c r="B25" i="2"/>
  <c r="L25" i="2"/>
  <c r="L24" i="2"/>
  <c r="F24" i="2"/>
  <c r="G24" i="2"/>
  <c r="K24" i="2"/>
  <c r="J24" i="2"/>
  <c r="H24" i="2"/>
  <c r="I24" i="2" s="1"/>
  <c r="D24" i="2"/>
  <c r="C24" i="2"/>
  <c r="E24" i="2" s="1"/>
  <c r="B24" i="2"/>
  <c r="W24" i="2"/>
  <c r="M5" i="1"/>
  <c r="M4" i="1"/>
  <c r="M7" i="1" s="1"/>
  <c r="V96" i="2"/>
  <c r="V99" i="2" s="1"/>
  <c r="V87" i="2"/>
  <c r="V91" i="2" s="1"/>
  <c r="V69" i="2"/>
  <c r="L15" i="2"/>
  <c r="D35" i="2" s="1"/>
  <c r="C15" i="2"/>
  <c r="C17" i="2" s="1"/>
  <c r="C23" i="2" s="1"/>
  <c r="C27" i="2" s="1"/>
  <c r="C28" i="2" s="1"/>
  <c r="D15" i="2"/>
  <c r="D17" i="2" s="1"/>
  <c r="E15" i="2"/>
  <c r="F15" i="2"/>
  <c r="F17" i="2" s="1"/>
  <c r="F23" i="2" s="1"/>
  <c r="G15" i="2"/>
  <c r="H15" i="2"/>
  <c r="I15" i="2"/>
  <c r="J15" i="2"/>
  <c r="K15" i="2"/>
  <c r="E16" i="2"/>
  <c r="I16" i="2"/>
  <c r="V16" i="2" s="1"/>
  <c r="W16" i="2" s="1"/>
  <c r="X16" i="2" s="1"/>
  <c r="Y16" i="2" s="1"/>
  <c r="Z16" i="2" s="1"/>
  <c r="AA16" i="2" s="1"/>
  <c r="AB16" i="2" s="1"/>
  <c r="AC16" i="2" s="1"/>
  <c r="B17" i="2"/>
  <c r="B31" i="2" s="1"/>
  <c r="E17" i="2"/>
  <c r="G17" i="2"/>
  <c r="H17" i="2"/>
  <c r="H23" i="2" s="1"/>
  <c r="I17" i="2"/>
  <c r="J17" i="2"/>
  <c r="J23" i="2" s="1"/>
  <c r="K17" i="2"/>
  <c r="E18" i="2"/>
  <c r="E22" i="2" s="1"/>
  <c r="I18" i="2"/>
  <c r="I32" i="2" s="1"/>
  <c r="E19" i="2"/>
  <c r="I19" i="2"/>
  <c r="E20" i="2"/>
  <c r="I20" i="2"/>
  <c r="I22" i="2" s="1"/>
  <c r="E21" i="2"/>
  <c r="I21" i="2"/>
  <c r="B22" i="2"/>
  <c r="B23" i="2" s="1"/>
  <c r="C22" i="2"/>
  <c r="D22" i="2"/>
  <c r="F22" i="2"/>
  <c r="G22" i="2"/>
  <c r="H22" i="2"/>
  <c r="J22" i="2"/>
  <c r="K22" i="2"/>
  <c r="K23" i="2" s="1"/>
  <c r="L22" i="2"/>
  <c r="G23" i="2"/>
  <c r="E26" i="2"/>
  <c r="I26" i="2"/>
  <c r="L9" i="2"/>
  <c r="K9" i="2"/>
  <c r="J9" i="2"/>
  <c r="I9" i="2"/>
  <c r="L8" i="2"/>
  <c r="K8" i="2"/>
  <c r="J8" i="2"/>
  <c r="I8" i="2"/>
  <c r="K7" i="2"/>
  <c r="J7" i="2"/>
  <c r="I7" i="2"/>
  <c r="L7" i="2"/>
  <c r="T96" i="2"/>
  <c r="T99" i="2" s="1"/>
  <c r="U96" i="2"/>
  <c r="T87" i="2"/>
  <c r="T91" i="2" s="1"/>
  <c r="U87" i="2"/>
  <c r="U91" i="2" s="1"/>
  <c r="T69" i="2"/>
  <c r="T84" i="2" s="1"/>
  <c r="U69" i="2"/>
  <c r="U71" i="2"/>
  <c r="V56" i="2"/>
  <c r="V55" i="2"/>
  <c r="V45" i="2"/>
  <c r="V42" i="2"/>
  <c r="V48" i="2"/>
  <c r="V50" i="2" s="1"/>
  <c r="K35" i="2"/>
  <c r="J35" i="2"/>
  <c r="H35" i="2"/>
  <c r="G35" i="2"/>
  <c r="F35" i="2"/>
  <c r="B35" i="2"/>
  <c r="K34" i="2"/>
  <c r="J34" i="2"/>
  <c r="H34" i="2"/>
  <c r="G34" i="2"/>
  <c r="F34" i="2"/>
  <c r="D34" i="2"/>
  <c r="C34" i="2"/>
  <c r="B34" i="2"/>
  <c r="K33" i="2"/>
  <c r="G33" i="2"/>
  <c r="F33" i="2"/>
  <c r="D33" i="2"/>
  <c r="C33" i="2"/>
  <c r="B33" i="2"/>
  <c r="K32" i="2"/>
  <c r="J32" i="2"/>
  <c r="H32" i="2"/>
  <c r="G32" i="2"/>
  <c r="F32" i="2"/>
  <c r="D32" i="2"/>
  <c r="C32" i="2"/>
  <c r="B32" i="2"/>
  <c r="L35" i="2"/>
  <c r="L34" i="2"/>
  <c r="L33" i="2"/>
  <c r="L32" i="2"/>
  <c r="V29" i="2"/>
  <c r="W29" i="2" s="1"/>
  <c r="X29" i="2" s="1"/>
  <c r="Y29" i="2" s="1"/>
  <c r="Z29" i="2" s="1"/>
  <c r="AA29" i="2" s="1"/>
  <c r="AB29" i="2" s="1"/>
  <c r="AC29" i="2" s="1"/>
  <c r="U29" i="2"/>
  <c r="V1" i="2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U16" i="2"/>
  <c r="K31" i="2"/>
  <c r="K27" i="2" l="1"/>
  <c r="K28" i="2" s="1"/>
  <c r="H27" i="2"/>
  <c r="H28" i="2" s="1"/>
  <c r="I23" i="2"/>
  <c r="I27" i="2" s="1"/>
  <c r="I28" i="2" s="1"/>
  <c r="D31" i="2"/>
  <c r="D23" i="2"/>
  <c r="D27" i="2" s="1"/>
  <c r="D28" i="2" s="1"/>
  <c r="E23" i="2"/>
  <c r="E27" i="2" s="1"/>
  <c r="E28" i="2" s="1"/>
  <c r="F27" i="2"/>
  <c r="F28" i="2" s="1"/>
  <c r="B27" i="2"/>
  <c r="B28" i="2" s="1"/>
  <c r="T101" i="2"/>
  <c r="T103" i="2" s="1"/>
  <c r="H31" i="2"/>
  <c r="V58" i="2"/>
  <c r="J27" i="2"/>
  <c r="J28" i="2" s="1"/>
  <c r="V59" i="2"/>
  <c r="V60" i="2" s="1"/>
  <c r="H33" i="2"/>
  <c r="C35" i="2"/>
  <c r="L17" i="2"/>
  <c r="L23" i="2" s="1"/>
  <c r="L27" i="2" s="1"/>
  <c r="L28" i="2" s="1"/>
  <c r="J33" i="2"/>
  <c r="U24" i="2"/>
  <c r="U99" i="2"/>
  <c r="L13" i="2"/>
  <c r="K13" i="2"/>
  <c r="J13" i="2"/>
  <c r="I13" i="2"/>
  <c r="G13" i="2"/>
  <c r="F13" i="2"/>
  <c r="E13" i="2"/>
  <c r="D13" i="2"/>
  <c r="C13" i="2"/>
  <c r="B13" i="2"/>
  <c r="L12" i="2"/>
  <c r="K12" i="2"/>
  <c r="J12" i="2"/>
  <c r="I12" i="2"/>
  <c r="G12" i="2"/>
  <c r="F12" i="2"/>
  <c r="E12" i="2"/>
  <c r="D12" i="2"/>
  <c r="C12" i="2"/>
  <c r="B12" i="2"/>
  <c r="L11" i="2"/>
  <c r="K11" i="2"/>
  <c r="J11" i="2"/>
  <c r="I11" i="2"/>
  <c r="G11" i="2"/>
  <c r="F11" i="2"/>
  <c r="E11" i="2"/>
  <c r="D11" i="2"/>
  <c r="C11" i="2"/>
  <c r="B11" i="2"/>
  <c r="H13" i="2"/>
  <c r="H12" i="2"/>
  <c r="H11" i="2"/>
  <c r="F31" i="2"/>
  <c r="G31" i="2"/>
  <c r="J31" i="2"/>
  <c r="V19" i="2"/>
  <c r="W19" i="2" s="1"/>
  <c r="X19" i="2" s="1"/>
  <c r="Y19" i="2" s="1"/>
  <c r="Z19" i="2" s="1"/>
  <c r="AA19" i="2" s="1"/>
  <c r="AB19" i="2" s="1"/>
  <c r="AC19" i="2" s="1"/>
  <c r="I33" i="2"/>
  <c r="V20" i="2"/>
  <c r="W20" i="2" s="1"/>
  <c r="X20" i="2" s="1"/>
  <c r="Y20" i="2" s="1"/>
  <c r="Z20" i="2" s="1"/>
  <c r="AA20" i="2" s="1"/>
  <c r="AB20" i="2" s="1"/>
  <c r="AC20" i="2" s="1"/>
  <c r="I34" i="2"/>
  <c r="V21" i="2"/>
  <c r="W21" i="2" s="1"/>
  <c r="X21" i="2" s="1"/>
  <c r="Y21" i="2" s="1"/>
  <c r="Z21" i="2" s="1"/>
  <c r="AA21" i="2" s="1"/>
  <c r="AB21" i="2" s="1"/>
  <c r="AC21" i="2" s="1"/>
  <c r="I35" i="2"/>
  <c r="V26" i="2"/>
  <c r="C31" i="2"/>
  <c r="U18" i="2"/>
  <c r="E32" i="2"/>
  <c r="U19" i="2"/>
  <c r="U33" i="2" s="1"/>
  <c r="E33" i="2"/>
  <c r="U20" i="2"/>
  <c r="U34" i="2" s="1"/>
  <c r="E34" i="2"/>
  <c r="U21" i="2"/>
  <c r="U35" i="2" s="1"/>
  <c r="E35" i="2"/>
  <c r="U26" i="2"/>
  <c r="I31" i="2"/>
  <c r="V15" i="2"/>
  <c r="W15" i="2" s="1"/>
  <c r="V18" i="2"/>
  <c r="U15" i="2"/>
  <c r="U17" i="2" s="1"/>
  <c r="L31" i="2" l="1"/>
  <c r="W18" i="2"/>
  <c r="V22" i="2"/>
  <c r="X15" i="2"/>
  <c r="W17" i="2"/>
  <c r="V24" i="2"/>
  <c r="D36" i="2"/>
  <c r="K36" i="2"/>
  <c r="H36" i="2"/>
  <c r="B36" i="2"/>
  <c r="E31" i="2"/>
  <c r="U31" i="2"/>
  <c r="V32" i="2"/>
  <c r="V17" i="2"/>
  <c r="V31" i="2" s="1"/>
  <c r="U22" i="2"/>
  <c r="U23" i="2" s="1"/>
  <c r="U32" i="2"/>
  <c r="C36" i="2"/>
  <c r="V35" i="2"/>
  <c r="V34" i="2"/>
  <c r="V33" i="2"/>
  <c r="J36" i="2"/>
  <c r="G36" i="2"/>
  <c r="F36" i="2"/>
  <c r="L36" i="2"/>
  <c r="V23" i="2"/>
  <c r="W23" i="2" l="1"/>
  <c r="Y15" i="2"/>
  <c r="X17" i="2"/>
  <c r="X18" i="2"/>
  <c r="W22" i="2"/>
  <c r="V27" i="2"/>
  <c r="I36" i="2"/>
  <c r="V36" i="2"/>
  <c r="L37" i="2"/>
  <c r="F37" i="2"/>
  <c r="G37" i="2"/>
  <c r="J37" i="2"/>
  <c r="W33" i="2"/>
  <c r="W34" i="2"/>
  <c r="W35" i="2"/>
  <c r="C37" i="2"/>
  <c r="U36" i="2"/>
  <c r="W32" i="2"/>
  <c r="E36" i="2"/>
  <c r="B37" i="2"/>
  <c r="H37" i="2"/>
  <c r="K37" i="2"/>
  <c r="D37" i="2"/>
  <c r="Y18" i="2" l="1"/>
  <c r="X22" i="2"/>
  <c r="X23" i="2" s="1"/>
  <c r="Z15" i="2"/>
  <c r="Y17" i="2"/>
  <c r="K38" i="2"/>
  <c r="H38" i="2"/>
  <c r="E37" i="2"/>
  <c r="X32" i="2"/>
  <c r="W31" i="2"/>
  <c r="U27" i="2"/>
  <c r="U37" i="2"/>
  <c r="X35" i="2"/>
  <c r="X34" i="2"/>
  <c r="X33" i="2"/>
  <c r="J38" i="2"/>
  <c r="G38" i="2"/>
  <c r="F38" i="2"/>
  <c r="L38" i="2"/>
  <c r="V37" i="2"/>
  <c r="I37" i="2"/>
  <c r="Z18" i="2" l="1"/>
  <c r="Y22" i="2"/>
  <c r="Y23" i="2" s="1"/>
  <c r="Z17" i="2"/>
  <c r="AA15" i="2"/>
  <c r="W26" i="2"/>
  <c r="W27" i="2" s="1"/>
  <c r="W40" i="2" s="1"/>
  <c r="X24" i="2" s="1"/>
  <c r="X25" i="2" s="1"/>
  <c r="V65" i="2"/>
  <c r="V84" i="2" s="1"/>
  <c r="V101" i="2" s="1"/>
  <c r="V103" i="2" s="1"/>
  <c r="U28" i="2"/>
  <c r="U65" i="2"/>
  <c r="U84" i="2" s="1"/>
  <c r="U101" i="2" s="1"/>
  <c r="V63" i="2"/>
  <c r="V62" i="2"/>
  <c r="I38" i="2"/>
  <c r="V28" i="2"/>
  <c r="W28" i="2" s="1"/>
  <c r="X28" i="2" s="1"/>
  <c r="Y28" i="2" s="1"/>
  <c r="Z28" i="2" s="1"/>
  <c r="AA28" i="2" s="1"/>
  <c r="AB28" i="2" s="1"/>
  <c r="AC28" i="2" s="1"/>
  <c r="V38" i="2"/>
  <c r="Y33" i="2"/>
  <c r="Y34" i="2"/>
  <c r="Y35" i="2"/>
  <c r="X31" i="2"/>
  <c r="W36" i="2"/>
  <c r="Y32" i="2"/>
  <c r="AB15" i="2" l="1"/>
  <c r="AA17" i="2"/>
  <c r="AA18" i="2"/>
  <c r="Z22" i="2"/>
  <c r="Z23" i="2" s="1"/>
  <c r="U102" i="2"/>
  <c r="U103" i="2"/>
  <c r="V102" i="2"/>
  <c r="X26" i="2"/>
  <c r="X27" i="2"/>
  <c r="Z32" i="2"/>
  <c r="W37" i="2"/>
  <c r="X36" i="2"/>
  <c r="Y31" i="2"/>
  <c r="Z35" i="2"/>
  <c r="Z34" i="2"/>
  <c r="Z33" i="2"/>
  <c r="AB18" i="2" l="1"/>
  <c r="AA22" i="2"/>
  <c r="AA23" i="2" s="1"/>
  <c r="AC15" i="2"/>
  <c r="AC17" i="2" s="1"/>
  <c r="AB17" i="2"/>
  <c r="AA33" i="2"/>
  <c r="AA34" i="2"/>
  <c r="AA35" i="2"/>
  <c r="Y36" i="2"/>
  <c r="Z31" i="2"/>
  <c r="Z36" i="2"/>
  <c r="X37" i="2"/>
  <c r="W38" i="2"/>
  <c r="X40" i="2"/>
  <c r="Y24" i="2" s="1"/>
  <c r="Y25" i="2" s="1"/>
  <c r="AA32" i="2"/>
  <c r="AC18" i="2" l="1"/>
  <c r="AC22" i="2" s="1"/>
  <c r="AC23" i="2" s="1"/>
  <c r="AB22" i="2"/>
  <c r="AB23" i="2" s="1"/>
  <c r="Y26" i="2"/>
  <c r="Y27" i="2" s="1"/>
  <c r="AB32" i="2"/>
  <c r="Y40" i="2"/>
  <c r="Z24" i="2" s="1"/>
  <c r="Z25" i="2" s="1"/>
  <c r="X38" i="2"/>
  <c r="AA36" i="2"/>
  <c r="AA31" i="2"/>
  <c r="AB35" i="2"/>
  <c r="AB34" i="2"/>
  <c r="AB33" i="2"/>
  <c r="Z26" i="2" l="1"/>
  <c r="Z27" i="2" s="1"/>
  <c r="AC33" i="2"/>
  <c r="AC34" i="2"/>
  <c r="AC35" i="2"/>
  <c r="AB31" i="2"/>
  <c r="AB36" i="2"/>
  <c r="Y37" i="2"/>
  <c r="AC32" i="2"/>
  <c r="Y38" i="2" l="1"/>
  <c r="Z40" i="2"/>
  <c r="AA24" i="2" s="1"/>
  <c r="AA25" i="2" s="1"/>
  <c r="Z37" i="2"/>
  <c r="AC36" i="2"/>
  <c r="AC31" i="2"/>
  <c r="AA26" i="2" l="1"/>
  <c r="AA27" i="2" s="1"/>
  <c r="Z38" i="2"/>
  <c r="AA40" i="2"/>
  <c r="AB24" i="2" s="1"/>
  <c r="AB25" i="2" s="1"/>
  <c r="AB26" i="2" l="1"/>
  <c r="AB27" i="2" s="1"/>
  <c r="AA37" i="2"/>
  <c r="AB40" i="2"/>
  <c r="AC24" i="2" s="1"/>
  <c r="AC25" i="2" s="1"/>
  <c r="AC26" i="2" l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O31" i="2" s="1"/>
  <c r="O32" i="2" s="1"/>
  <c r="AB37" i="2"/>
  <c r="AC40" i="2"/>
  <c r="AA38" i="2"/>
  <c r="AC37" i="2" l="1"/>
  <c r="AD40" i="2"/>
  <c r="AB38" i="2"/>
  <c r="AE40" i="2" l="1"/>
  <c r="AC38" i="2"/>
  <c r="AF40" i="2" l="1"/>
  <c r="AG40" i="2" l="1"/>
  <c r="AH40" i="2" l="1"/>
  <c r="AI40" i="2" l="1"/>
  <c r="AJ40" i="2" l="1"/>
  <c r="AK40" i="2" l="1"/>
  <c r="AL40" i="2" l="1"/>
  <c r="AM40" i="2" l="1"/>
</calcChain>
</file>

<file path=xl/sharedStrings.xml><?xml version="1.0" encoding="utf-8"?>
<sst xmlns="http://schemas.openxmlformats.org/spreadsheetml/2006/main" count="141" uniqueCount="109">
  <si>
    <t>UBER</t>
  </si>
  <si>
    <t>Price</t>
  </si>
  <si>
    <t>Uber Technologies</t>
  </si>
  <si>
    <t>Shares</t>
  </si>
  <si>
    <t>MC</t>
  </si>
  <si>
    <t>Cash</t>
  </si>
  <si>
    <t xml:space="preserve"> </t>
  </si>
  <si>
    <t>Debt</t>
  </si>
  <si>
    <t>EV</t>
  </si>
  <si>
    <t>Acquisitions</t>
  </si>
  <si>
    <t>Bill Ackman</t>
  </si>
  <si>
    <t>30,3M Shares</t>
  </si>
  <si>
    <t xml:space="preserve">Partnerships </t>
  </si>
  <si>
    <t>Waymo</t>
  </si>
  <si>
    <t>Thousands</t>
  </si>
  <si>
    <t>Q1222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</si>
  <si>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</si>
  <si>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</si>
  <si>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</si>
  <si>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</si>
  <si>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</si>
  <si>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</si>
  <si>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</si>
  <si>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</si>
  <si>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</si>
  <si>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</si>
  <si>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</si>
  <si>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Mobility</t>
  </si>
  <si>
    <t>Delivery</t>
  </si>
  <si>
    <t>Freight</t>
  </si>
  <si>
    <t>Mobility y/y</t>
  </si>
  <si>
    <t>Delivery y/y</t>
  </si>
  <si>
    <t>Freight y/y</t>
  </si>
  <si>
    <t>Mobility %</t>
  </si>
  <si>
    <t>Delivery %</t>
  </si>
  <si>
    <t>Freight %</t>
  </si>
  <si>
    <t>Revenue</t>
  </si>
  <si>
    <t>COGS</t>
  </si>
  <si>
    <t>Gross Profit</t>
  </si>
  <si>
    <t>Suport</t>
  </si>
  <si>
    <t>SM</t>
  </si>
  <si>
    <t>RD</t>
  </si>
  <si>
    <t>GA</t>
  </si>
  <si>
    <t>OPEX</t>
  </si>
  <si>
    <t>Operating income</t>
  </si>
  <si>
    <t>Interest Income</t>
  </si>
  <si>
    <t>Other</t>
  </si>
  <si>
    <t>Pretax</t>
  </si>
  <si>
    <t>Taxes</t>
  </si>
  <si>
    <t>NI</t>
  </si>
  <si>
    <t>EPS</t>
  </si>
  <si>
    <t>Gross %</t>
  </si>
  <si>
    <t>NPV</t>
  </si>
  <si>
    <t>Sup %</t>
  </si>
  <si>
    <t>Share</t>
  </si>
  <si>
    <t>SM %</t>
  </si>
  <si>
    <t>RD%</t>
  </si>
  <si>
    <t>Operating %</t>
  </si>
  <si>
    <t>Tax rate</t>
  </si>
  <si>
    <t>NI y/y</t>
  </si>
  <si>
    <t>Net Cash</t>
  </si>
  <si>
    <t xml:space="preserve">Cash </t>
  </si>
  <si>
    <t>AR</t>
  </si>
  <si>
    <t>OCA</t>
  </si>
  <si>
    <t>Restricted</t>
  </si>
  <si>
    <t>PPE</t>
  </si>
  <si>
    <t>OLA</t>
  </si>
  <si>
    <t>Intangibles</t>
  </si>
  <si>
    <t>Assets</t>
  </si>
  <si>
    <t>AP</t>
  </si>
  <si>
    <t>Accrued</t>
  </si>
  <si>
    <t>Insurance</t>
  </si>
  <si>
    <t>OLL</t>
  </si>
  <si>
    <t>LTL</t>
  </si>
  <si>
    <t>Liabilities</t>
  </si>
  <si>
    <t>S/E</t>
  </si>
  <si>
    <t>L+S/E</t>
  </si>
  <si>
    <t>ROE</t>
  </si>
  <si>
    <t>ROA</t>
  </si>
  <si>
    <t>Model NI</t>
  </si>
  <si>
    <t>Reported NI</t>
  </si>
  <si>
    <t>DA</t>
  </si>
  <si>
    <t>SBC</t>
  </si>
  <si>
    <t>Investments</t>
  </si>
  <si>
    <t>DT</t>
  </si>
  <si>
    <t>Imparements</t>
  </si>
  <si>
    <t>Losses</t>
  </si>
  <si>
    <t>Unrealized</t>
  </si>
  <si>
    <t>Foreign</t>
  </si>
  <si>
    <t>OA</t>
  </si>
  <si>
    <t>Colateral</t>
  </si>
  <si>
    <t>Operating Assets</t>
  </si>
  <si>
    <t>Reserves</t>
  </si>
  <si>
    <t>AE</t>
  </si>
  <si>
    <t>Leases</t>
  </si>
  <si>
    <t>CFFO</t>
  </si>
  <si>
    <t>Securities</t>
  </si>
  <si>
    <t>Notes Receiveble</t>
  </si>
  <si>
    <t>CFFI</t>
  </si>
  <si>
    <t>Insuance</t>
  </si>
  <si>
    <t>Buyback</t>
  </si>
  <si>
    <t>Term loan</t>
  </si>
  <si>
    <t>Repayments</t>
  </si>
  <si>
    <t>CFFF</t>
  </si>
  <si>
    <t>FCF</t>
  </si>
  <si>
    <t>P/FCF</t>
  </si>
  <si>
    <t>DR</t>
  </si>
  <si>
    <t>Q125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</si>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</sst>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9" fontId="1" fillId="0" borderId="0" xfId="0" applyNumberFormat="1" applyFont="1"/>
    <xf numFmtId="3" fontId="3" fillId="0" borderId="0" xfId="0" applyNumberFormat="1" applyFont="1"/>
    <xf numFmtId="3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4"/>
  <sheetViews>
    <sheetView workbookViewId="0">
      <selection activeCell="B14" sqref="B14"/>
    </sheetView>
  </sheetViews>
  <sheetFormatPr defaultRowHeight="15" x14ac:dyDescent="0.25"/>
  <cols>
    <col min="2" max="2" width="11.7109375" bestFit="1" customWidth="1"/>
    <col min="13" max="13" width="10.85546875" bestFit="1" customWidth="1"/>
  </cols>
  <sheetData>
    <row r="2" spans="2:14" x14ac:dyDescent="0.25">
      <c r="B2" t="s">
        <v>0</v>
      </c>
      <c r="L2" t="s">
        <v>1</v>
      </c>
      <c r="M2" s="2">
        <v>87</v>
      </c>
    </row>
    <row r="3" spans="2:14" x14ac:dyDescent="0.25">
      <c r="B3" t="s">
        <v>2</v>
      </c>
      <c r="L3" t="s">
        <v>3</v>
      </c>
      <c r="M3" s="2">
        <v>2078.4670000000001</v>
      </c>
      <c r="N3" t="s">
        <v>107</v>
      </c>
    </row>
    <row r="4" spans="2:14" x14ac:dyDescent="0.25">
      <c r="L4" t="s">
        <v>4</v>
      </c>
      <c r="M4" s="2">
        <f>+M3*M2</f>
        <v>180826.62900000002</v>
      </c>
    </row>
    <row r="5" spans="2:14" x14ac:dyDescent="0.25">
      <c r="L5" t="s">
        <v>5</v>
      </c>
      <c r="M5" s="2">
        <f>5893+1084+8460+302</f>
        <v>15739</v>
      </c>
      <c r="N5" s="1" t="s">
        <v>107</v>
      </c>
    </row>
    <row r="6" spans="2:14" x14ac:dyDescent="0.25">
      <c r="L6" t="s">
        <v>7</v>
      </c>
      <c r="M6" s="2">
        <v>8347</v>
      </c>
      <c r="N6" s="1" t="s">
        <v>107</v>
      </c>
    </row>
    <row r="7" spans="2:14" x14ac:dyDescent="0.25">
      <c r="L7" t="s">
        <v>8</v>
      </c>
      <c r="M7" s="2">
        <f>+M4-M5+M6</f>
        <v>173434.62900000002</v>
      </c>
    </row>
    <row r="13" spans="2:14" x14ac:dyDescent="0.25">
      <c r="B13" t="s">
        <v>9</v>
      </c>
      <c r="C13" t="s">
        <v>10</v>
      </c>
      <c r="D13" t="s">
        <v>11</v>
      </c>
    </row>
    <row r="14" spans="2:14" x14ac:dyDescent="0.25">
      <c r="B14" t="s">
        <v>12</v>
      </c>
      <c r="C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BB6E-43CF-47D0-9718-00A15F7D8A3D}">
  <dimension ref="A1:XFD105"/>
  <sheetViews>
    <sheetView tabSelected="1" workbookViewId="0">
      <pane xSplit="1" ySplit="1" topLeftCell="E2" activePane="bottomRight" state="frozen"/>
      <selection pane="topRight"/>
      <selection pane="bottomLeft"/>
      <selection pane="bottomRight" activeCell="K5" sqref="K5"/>
    </sheetView>
  </sheetViews>
  <sheetFormatPr defaultRowHeight="14.25" x14ac:dyDescent="0.2"/>
  <cols>
    <col min="1" max="1" width="16.5703125" style="3" bestFit="1" customWidth="1"/>
    <col min="2" max="5" width="9.28515625" style="3" bestFit="1" customWidth="1"/>
    <col min="6" max="6" width="9.140625" style="3"/>
    <col min="7" max="11" width="9.28515625" style="3" bestFit="1" customWidth="1"/>
    <col min="12" max="12" width="9.7109375" style="3" bestFit="1" customWidth="1"/>
    <col min="13" max="14" width="9.140625" style="3"/>
    <col min="15" max="15" width="12.5703125" style="3" bestFit="1" customWidth="1"/>
    <col min="16" max="16384" width="9.140625" style="3"/>
  </cols>
  <sheetData>
    <row r="1" spans="1:39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S1" s="3">
        <v>2020</v>
      </c>
      <c r="T1" s="3">
        <v>2021</v>
      </c>
      <c r="U1" s="3">
        <v>2022</v>
      </c>
      <c r="V1" s="3">
        <f>+U1+1</f>
        <v>2023</v>
      </c>
      <c r="W1" s="3">
        <f t="shared" ref="W1:AM1" si="0">+V1+1</f>
        <v>2024</v>
      </c>
      <c r="X1" s="3">
        <f t="shared" si="0"/>
        <v>2025</v>
      </c>
      <c r="Y1" s="3">
        <f t="shared" si="0"/>
        <v>2026</v>
      </c>
      <c r="Z1" s="3">
        <f t="shared" si="0"/>
        <v>2027</v>
      </c>
      <c r="AA1" s="3">
        <f t="shared" si="0"/>
        <v>2028</v>
      </c>
      <c r="AB1" s="3">
        <f t="shared" si="0"/>
        <v>2029</v>
      </c>
      <c r="AC1" s="3">
        <f t="shared" si="0"/>
        <v>2030</v>
      </c>
      <c r="AD1" s="3">
        <f t="shared" si="0"/>
        <v>2031</v>
      </c>
      <c r="AE1" s="3">
        <f t="shared" si="0"/>
        <v>2032</v>
      </c>
      <c r="AF1" s="3">
        <f t="shared" si="0"/>
        <v>2033</v>
      </c>
      <c r="AG1" s="3">
        <f t="shared" si="0"/>
        <v>2034</v>
      </c>
      <c r="AH1" s="3">
        <f t="shared" si="0"/>
        <v>2035</v>
      </c>
      <c r="AI1" s="3">
        <f t="shared" si="0"/>
        <v>2036</v>
      </c>
      <c r="AJ1" s="3">
        <f t="shared" si="0"/>
        <v>2037</v>
      </c>
      <c r="AK1" s="3">
        <f t="shared" si="0"/>
        <v>2038</v>
      </c>
      <c r="AL1" s="3">
        <f t="shared" si="0"/>
        <v>2039</v>
      </c>
      <c r="AM1" s="3">
        <f t="shared" si="0"/>
        <v>2040</v>
      </c>
    </row>
    <row r="3" spans="1:39" x14ac:dyDescent="0.2">
      <c r="A3" s="3" t="s">
        <v>27</v>
      </c>
      <c r="C3" s="3">
        <v>3553</v>
      </c>
      <c r="D3" s="3">
        <v>3822</v>
      </c>
      <c r="E3" s="3">
        <v>4136</v>
      </c>
      <c r="F3" s="3">
        <v>4330</v>
      </c>
      <c r="G3" s="3">
        <v>4894</v>
      </c>
      <c r="H3" s="3">
        <v>5071</v>
      </c>
      <c r="I3" s="3">
        <v>5537</v>
      </c>
      <c r="J3" s="3">
        <v>5633</v>
      </c>
      <c r="K3" s="3">
        <v>6134</v>
      </c>
      <c r="L3" s="3">
        <v>6409</v>
      </c>
    </row>
    <row r="4" spans="1:39" x14ac:dyDescent="0.2">
      <c r="A4" s="3" t="s">
        <v>28</v>
      </c>
      <c r="C4" s="3">
        <v>2688</v>
      </c>
      <c r="D4" s="3">
        <v>2770</v>
      </c>
      <c r="E4" s="3">
        <v>2931</v>
      </c>
      <c r="F4" s="3">
        <v>3093</v>
      </c>
      <c r="G4" s="3">
        <v>3057</v>
      </c>
      <c r="H4" s="3">
        <v>2935</v>
      </c>
      <c r="I4" s="3">
        <v>3119</v>
      </c>
      <c r="J4" s="3">
        <v>3214</v>
      </c>
      <c r="K4" s="3">
        <v>3293</v>
      </c>
      <c r="L4" s="3">
        <v>3470</v>
      </c>
    </row>
    <row r="5" spans="1:39" x14ac:dyDescent="0.2">
      <c r="A5" s="3" t="s">
        <v>29</v>
      </c>
      <c r="C5" s="3">
        <v>1832</v>
      </c>
      <c r="D5" s="3">
        <v>1751</v>
      </c>
      <c r="E5" s="3">
        <v>1540</v>
      </c>
      <c r="F5" s="3">
        <v>1400</v>
      </c>
      <c r="G5" s="3">
        <v>1279</v>
      </c>
      <c r="H5" s="3">
        <v>1286</v>
      </c>
      <c r="I5" s="3">
        <v>1280</v>
      </c>
      <c r="J5" s="3">
        <v>1284</v>
      </c>
      <c r="K5" s="3">
        <v>1273</v>
      </c>
      <c r="L5" s="3">
        <v>1309</v>
      </c>
    </row>
    <row r="7" spans="1:39" x14ac:dyDescent="0.2">
      <c r="A7" s="4" t="s">
        <v>30</v>
      </c>
      <c r="B7" s="4"/>
      <c r="C7" s="4"/>
      <c r="D7" s="4"/>
      <c r="E7" s="4"/>
      <c r="F7" s="4"/>
      <c r="G7" s="4"/>
      <c r="H7" s="4"/>
      <c r="I7" s="4">
        <f t="shared" ref="I7:K7" si="1">+I3/E3-1</f>
        <v>0.33873307543520315</v>
      </c>
      <c r="J7" s="4">
        <f t="shared" si="1"/>
        <v>0.30092378752886839</v>
      </c>
      <c r="K7" s="4">
        <f t="shared" si="1"/>
        <v>0.25337147527584802</v>
      </c>
      <c r="L7" s="4">
        <f>+L3/H3-1</f>
        <v>0.26385328337605984</v>
      </c>
    </row>
    <row r="8" spans="1:39" x14ac:dyDescent="0.2">
      <c r="A8" s="4" t="s">
        <v>31</v>
      </c>
      <c r="B8" s="4"/>
      <c r="C8" s="4"/>
      <c r="D8" s="4"/>
      <c r="E8" s="4"/>
      <c r="F8" s="4"/>
      <c r="G8" s="4"/>
      <c r="H8" s="4"/>
      <c r="I8" s="4">
        <f t="shared" ref="I8:L8" si="2">+I4/E4-1</f>
        <v>6.4141931081542092E-2</v>
      </c>
      <c r="J8" s="4">
        <f t="shared" si="2"/>
        <v>3.9120594891690841E-2</v>
      </c>
      <c r="K8" s="4">
        <f t="shared" si="2"/>
        <v>7.7199869152764222E-2</v>
      </c>
      <c r="L8" s="4">
        <f t="shared" si="2"/>
        <v>0.18228279386712098</v>
      </c>
    </row>
    <row r="9" spans="1:39" x14ac:dyDescent="0.2">
      <c r="A9" s="4" t="s">
        <v>32</v>
      </c>
      <c r="B9" s="4"/>
      <c r="C9" s="4"/>
      <c r="D9" s="4"/>
      <c r="E9" s="4"/>
      <c r="F9" s="4"/>
      <c r="G9" s="4"/>
      <c r="H9" s="4"/>
      <c r="I9" s="4">
        <f t="shared" ref="I9:L9" si="3">+I5/E5-1</f>
        <v>-0.16883116883116878</v>
      </c>
      <c r="J9" s="4">
        <f t="shared" si="3"/>
        <v>-8.2857142857142851E-2</v>
      </c>
      <c r="K9" s="4">
        <f t="shared" si="3"/>
        <v>-4.691164972634887E-3</v>
      </c>
      <c r="L9" s="4">
        <f t="shared" si="3"/>
        <v>1.7884914463452528E-2</v>
      </c>
    </row>
    <row r="10" spans="1:39" x14ac:dyDescent="0.2">
      <c r="A10" s="4"/>
      <c r="B10" s="4"/>
      <c r="C10" s="4"/>
      <c r="D10" s="4"/>
      <c r="E10" s="4" t="s">
        <v>6</v>
      </c>
      <c r="F10" s="4"/>
      <c r="G10" s="4"/>
      <c r="H10" s="4"/>
      <c r="I10" s="4"/>
      <c r="J10" s="4"/>
      <c r="K10" s="4" t="s">
        <v>6</v>
      </c>
      <c r="L10" s="4"/>
    </row>
    <row r="11" spans="1:39" x14ac:dyDescent="0.2">
      <c r="A11" s="4" t="s">
        <v>33</v>
      </c>
      <c r="B11" s="4">
        <f t="shared" ref="B11:L13" si="4">+B3/$H$15</f>
        <v>0</v>
      </c>
      <c r="C11" s="4">
        <f t="shared" si="4"/>
        <v>0.38237193284545845</v>
      </c>
      <c r="D11" s="4">
        <f t="shared" si="4"/>
        <v>0.41132156693930261</v>
      </c>
      <c r="E11" s="4">
        <f t="shared" si="4"/>
        <v>0.44511407662505381</v>
      </c>
      <c r="F11" s="4">
        <f t="shared" si="4"/>
        <v>0.46599225139905293</v>
      </c>
      <c r="G11" s="4">
        <f t="shared" si="4"/>
        <v>0.52668962548428755</v>
      </c>
      <c r="H11" s="4">
        <f>+H3/$H$15</f>
        <v>0.54573826947912185</v>
      </c>
      <c r="I11" s="4">
        <f t="shared" ref="I11:L11" si="5">+I3/$H$15</f>
        <v>0.59588893671975895</v>
      </c>
      <c r="J11" s="4">
        <f t="shared" si="5"/>
        <v>0.6062204046491606</v>
      </c>
      <c r="K11" s="4">
        <f t="shared" si="5"/>
        <v>0.66013775290572541</v>
      </c>
      <c r="L11" s="4">
        <f t="shared" si="5"/>
        <v>0.68973310374515717</v>
      </c>
    </row>
    <row r="12" spans="1:39" x14ac:dyDescent="0.2">
      <c r="A12" s="4" t="s">
        <v>34</v>
      </c>
      <c r="B12" s="4">
        <f t="shared" si="4"/>
        <v>0</v>
      </c>
      <c r="C12" s="4">
        <f t="shared" si="4"/>
        <v>0.28928110202324581</v>
      </c>
      <c r="D12" s="4">
        <f t="shared" si="4"/>
        <v>0.29810589754627637</v>
      </c>
      <c r="E12" s="4">
        <f t="shared" si="4"/>
        <v>0.31543263021954371</v>
      </c>
      <c r="F12" s="4">
        <f t="shared" si="4"/>
        <v>0.33286698235040896</v>
      </c>
      <c r="G12" s="4">
        <f t="shared" si="4"/>
        <v>0.32899268187688335</v>
      </c>
      <c r="H12" s="4">
        <f t="shared" ref="H12:H13" si="6">+H4/$H$15</f>
        <v>0.31586310804993545</v>
      </c>
      <c r="I12" s="4">
        <f t="shared" si="4"/>
        <v>0.33566508824795521</v>
      </c>
      <c r="J12" s="4">
        <f t="shared" si="4"/>
        <v>0.34588893671975895</v>
      </c>
      <c r="K12" s="4">
        <f t="shared" si="4"/>
        <v>0.35439087386999568</v>
      </c>
      <c r="L12" s="4">
        <f t="shared" si="4"/>
        <v>0.37343951786482998</v>
      </c>
    </row>
    <row r="13" spans="1:39" x14ac:dyDescent="0.2">
      <c r="A13" s="4" t="s">
        <v>35</v>
      </c>
      <c r="B13" s="4">
        <f t="shared" si="4"/>
        <v>0</v>
      </c>
      <c r="C13" s="4">
        <f t="shared" si="4"/>
        <v>0.19715884631941455</v>
      </c>
      <c r="D13" s="4">
        <f t="shared" si="4"/>
        <v>0.18844167025398192</v>
      </c>
      <c r="E13" s="4">
        <f t="shared" si="4"/>
        <v>0.16573396470081792</v>
      </c>
      <c r="F13" s="4">
        <f t="shared" si="4"/>
        <v>0.15066724063710718</v>
      </c>
      <c r="G13" s="4">
        <f t="shared" si="4"/>
        <v>0.13764528626775721</v>
      </c>
      <c r="H13" s="4">
        <f t="shared" si="6"/>
        <v>0.13839862247094276</v>
      </c>
      <c r="I13" s="4">
        <f t="shared" si="4"/>
        <v>0.13775290572535515</v>
      </c>
      <c r="J13" s="4">
        <f t="shared" si="4"/>
        <v>0.13818338355574689</v>
      </c>
      <c r="K13" s="4">
        <f t="shared" si="4"/>
        <v>0.1369995695221696</v>
      </c>
      <c r="L13" s="4">
        <f t="shared" si="4"/>
        <v>0.14087386999569523</v>
      </c>
    </row>
    <row r="15" spans="1:39" s="5" customFormat="1" ht="15" x14ac:dyDescent="0.25">
      <c r="A15" s="5" t="s">
        <v>36</v>
      </c>
      <c r="B15" s="5">
        <v>6854</v>
      </c>
      <c r="C15" s="5">
        <f t="shared" ref="C15:K15" si="7">SUM(C3:C5)</f>
        <v>8073</v>
      </c>
      <c r="D15" s="5">
        <f t="shared" si="7"/>
        <v>8343</v>
      </c>
      <c r="E15" s="5">
        <f t="shared" si="7"/>
        <v>8607</v>
      </c>
      <c r="F15" s="5">
        <f t="shared" si="7"/>
        <v>8823</v>
      </c>
      <c r="G15" s="5">
        <f t="shared" si="7"/>
        <v>9230</v>
      </c>
      <c r="H15" s="5">
        <f t="shared" si="7"/>
        <v>9292</v>
      </c>
      <c r="I15" s="5">
        <f t="shared" si="7"/>
        <v>9936</v>
      </c>
      <c r="J15" s="5">
        <f t="shared" si="7"/>
        <v>10131</v>
      </c>
      <c r="K15" s="5">
        <f t="shared" si="7"/>
        <v>10700</v>
      </c>
      <c r="L15" s="5">
        <f>SUM(L3:L5)</f>
        <v>11188</v>
      </c>
      <c r="M15" s="5" t="s">
        <v>6</v>
      </c>
      <c r="N15" s="5" t="s">
        <v>6</v>
      </c>
      <c r="U15" s="5">
        <f>SUM(B15:E15)</f>
        <v>31877</v>
      </c>
      <c r="V15" s="5">
        <f>SUM(F15:I15)</f>
        <v>37281</v>
      </c>
      <c r="W15" s="5">
        <f>+V15*1.3</f>
        <v>48465.3</v>
      </c>
      <c r="X15" s="5">
        <f>+W15*1.2</f>
        <v>58158.36</v>
      </c>
      <c r="Y15" s="5">
        <f t="shared" ref="Y15:AC15" si="8">+X15*1.2</f>
        <v>69790.031999999992</v>
      </c>
      <c r="Z15" s="5">
        <f t="shared" si="8"/>
        <v>83748.03839999999</v>
      </c>
      <c r="AA15" s="5">
        <f t="shared" si="8"/>
        <v>100497.64607999999</v>
      </c>
      <c r="AB15" s="5">
        <f t="shared" si="8"/>
        <v>120597.17529599999</v>
      </c>
      <c r="AC15" s="5">
        <f t="shared" si="8"/>
        <v>144716.61035519998</v>
      </c>
    </row>
    <row r="16" spans="1:39" x14ac:dyDescent="0.2">
      <c r="A16" s="3" t="s">
        <v>37</v>
      </c>
      <c r="B16" s="3">
        <v>4026</v>
      </c>
      <c r="C16" s="3">
        <v>5153</v>
      </c>
      <c r="D16" s="3">
        <v>5173</v>
      </c>
      <c r="E16" s="3">
        <f>19659-D16-C16-B16</f>
        <v>5307</v>
      </c>
      <c r="F16" s="3">
        <v>5259</v>
      </c>
      <c r="G16" s="3">
        <v>5515</v>
      </c>
      <c r="H16" s="3">
        <v>5626</v>
      </c>
      <c r="I16" s="3">
        <f>22457-H16-G16-F16</f>
        <v>6057</v>
      </c>
      <c r="J16" s="3">
        <v>6168</v>
      </c>
      <c r="K16" s="3">
        <v>6488</v>
      </c>
      <c r="L16" s="3">
        <v>6761</v>
      </c>
      <c r="U16" s="3">
        <f>SUM(B16:E16)</f>
        <v>19659</v>
      </c>
      <c r="V16" s="3">
        <f>SUM(F16:I16)</f>
        <v>22457</v>
      </c>
      <c r="W16" s="3">
        <f t="shared" ref="W16:W29" si="9">+V16*1.15</f>
        <v>25825.55</v>
      </c>
      <c r="X16" s="3">
        <f t="shared" ref="X16:X28" si="10">+W16*1.15</f>
        <v>29699.382499999996</v>
      </c>
      <c r="Y16" s="3">
        <f t="shared" ref="Y16:Y28" si="11">+X16*1.15</f>
        <v>34154.289874999995</v>
      </c>
      <c r="Z16" s="3">
        <f t="shared" ref="Z16:Z28" si="12">+Y16*1.15</f>
        <v>39277.433356249989</v>
      </c>
      <c r="AA16" s="3">
        <f t="shared" ref="AA16:AA28" si="13">+Z16*1.15</f>
        <v>45169.048359687484</v>
      </c>
      <c r="AB16" s="3">
        <f t="shared" ref="AB16:AC16" si="14">+AA16*1.1</f>
        <v>49685.953195656235</v>
      </c>
      <c r="AC16" s="3">
        <f t="shared" si="14"/>
        <v>54654.548515221861</v>
      </c>
    </row>
    <row r="17" spans="1:71 16384:16384" s="5" customFormat="1" ht="15" x14ac:dyDescent="0.25">
      <c r="A17" s="5" t="s">
        <v>38</v>
      </c>
      <c r="B17" s="5">
        <f t="shared" ref="B17:L17" si="15">+B15-B16</f>
        <v>2828</v>
      </c>
      <c r="C17" s="5">
        <f t="shared" si="15"/>
        <v>2920</v>
      </c>
      <c r="D17" s="5">
        <f t="shared" si="15"/>
        <v>3170</v>
      </c>
      <c r="E17" s="5">
        <f t="shared" si="15"/>
        <v>3300</v>
      </c>
      <c r="F17" s="5">
        <f t="shared" si="15"/>
        <v>3564</v>
      </c>
      <c r="G17" s="5">
        <f t="shared" si="15"/>
        <v>3715</v>
      </c>
      <c r="H17" s="5">
        <f t="shared" si="15"/>
        <v>3666</v>
      </c>
      <c r="I17" s="5">
        <f t="shared" si="15"/>
        <v>3879</v>
      </c>
      <c r="J17" s="5">
        <f t="shared" si="15"/>
        <v>3963</v>
      </c>
      <c r="K17" s="5">
        <f t="shared" si="15"/>
        <v>4212</v>
      </c>
      <c r="L17" s="5">
        <f t="shared" si="15"/>
        <v>4427</v>
      </c>
      <c r="U17" s="5">
        <f>+U15-U16</f>
        <v>12218</v>
      </c>
      <c r="V17" s="5">
        <f>+V15-V16</f>
        <v>14824</v>
      </c>
      <c r="W17" s="5">
        <f t="shared" ref="W17:AC17" si="16">+W15-W16</f>
        <v>22639.750000000004</v>
      </c>
      <c r="X17" s="5">
        <f t="shared" si="16"/>
        <v>28458.977500000005</v>
      </c>
      <c r="Y17" s="5">
        <f t="shared" si="16"/>
        <v>35635.742124999997</v>
      </c>
      <c r="Z17" s="5">
        <f t="shared" si="16"/>
        <v>44470.605043750002</v>
      </c>
      <c r="AA17" s="5">
        <f t="shared" si="16"/>
        <v>55328.597720312508</v>
      </c>
      <c r="AB17" s="5">
        <f t="shared" si="16"/>
        <v>70911.222100343759</v>
      </c>
      <c r="AC17" s="5">
        <f t="shared" si="16"/>
        <v>90062.061839978123</v>
      </c>
    </row>
    <row r="18" spans="1:71 16384:16384" x14ac:dyDescent="0.2">
      <c r="A18" s="3" t="s">
        <v>39</v>
      </c>
      <c r="B18" s="3">
        <v>574</v>
      </c>
      <c r="C18" s="3">
        <v>617</v>
      </c>
      <c r="D18" s="3">
        <v>617</v>
      </c>
      <c r="E18" s="3">
        <f>2413-D18-C18-B18</f>
        <v>605</v>
      </c>
      <c r="F18" s="3">
        <v>640</v>
      </c>
      <c r="G18" s="3">
        <v>664</v>
      </c>
      <c r="H18" s="3">
        <v>683</v>
      </c>
      <c r="I18" s="3">
        <f>2689-H18-G18-F18</f>
        <v>702</v>
      </c>
      <c r="J18" s="3">
        <v>685</v>
      </c>
      <c r="K18" s="3">
        <v>682</v>
      </c>
      <c r="L18" s="3">
        <v>687</v>
      </c>
      <c r="U18" s="3">
        <f>SUM(B18:E18)</f>
        <v>2413</v>
      </c>
      <c r="V18" s="3">
        <f t="shared" ref="V18:V21" si="17">SUM(F18:I18)</f>
        <v>2689</v>
      </c>
      <c r="W18" s="3">
        <f t="shared" si="9"/>
        <v>3092.35</v>
      </c>
      <c r="X18" s="3">
        <f t="shared" si="10"/>
        <v>3556.2024999999994</v>
      </c>
      <c r="Y18" s="3">
        <f t="shared" si="11"/>
        <v>4089.6328749999989</v>
      </c>
      <c r="Z18" s="3">
        <f t="shared" si="12"/>
        <v>4703.0778062499985</v>
      </c>
      <c r="AA18" s="3">
        <f t="shared" si="13"/>
        <v>5408.5394771874981</v>
      </c>
      <c r="AB18" s="3">
        <f t="shared" ref="AB18:AC18" si="18">+AA18*1.1</f>
        <v>5949.3934249062486</v>
      </c>
      <c r="AC18" s="3">
        <f t="shared" si="18"/>
        <v>6544.3327673968743</v>
      </c>
    </row>
    <row r="19" spans="1:71 16384:16384" x14ac:dyDescent="0.2">
      <c r="A19" s="3" t="s">
        <v>40</v>
      </c>
      <c r="B19" s="3">
        <v>1263</v>
      </c>
      <c r="C19" s="3">
        <v>1218</v>
      </c>
      <c r="D19" s="3">
        <v>1153</v>
      </c>
      <c r="E19" s="3">
        <f>4756-D19-C19-B19</f>
        <v>1122</v>
      </c>
      <c r="F19" s="3">
        <v>1262</v>
      </c>
      <c r="G19" s="3">
        <v>1218</v>
      </c>
      <c r="H19" s="3">
        <v>941</v>
      </c>
      <c r="I19" s="3">
        <f>4356-H19-G19-F19</f>
        <v>935</v>
      </c>
      <c r="J19" s="3">
        <v>917</v>
      </c>
      <c r="K19" s="3">
        <v>1115</v>
      </c>
      <c r="L19" s="3">
        <v>1096</v>
      </c>
      <c r="U19" s="3">
        <f>SUM(B19:E19)</f>
        <v>4756</v>
      </c>
      <c r="V19" s="3">
        <f t="shared" si="17"/>
        <v>4356</v>
      </c>
      <c r="W19" s="3">
        <f t="shared" si="9"/>
        <v>5009.3999999999996</v>
      </c>
      <c r="X19" s="3">
        <f t="shared" si="10"/>
        <v>5760.8099999999995</v>
      </c>
      <c r="Y19" s="3">
        <f t="shared" si="11"/>
        <v>6624.9314999999988</v>
      </c>
      <c r="Z19" s="3">
        <f t="shared" si="12"/>
        <v>7618.6712249999982</v>
      </c>
      <c r="AA19" s="3">
        <f t="shared" si="13"/>
        <v>8761.471908749998</v>
      </c>
      <c r="AB19" s="3">
        <f t="shared" ref="AB19:AC19" si="19">+AA19*1.1</f>
        <v>9637.6190996249989</v>
      </c>
      <c r="AC19" s="3">
        <f t="shared" si="19"/>
        <v>10601.3810095875</v>
      </c>
    </row>
    <row r="20" spans="1:71 16384:16384" x14ac:dyDescent="0.2">
      <c r="A20" s="3" t="s">
        <v>41</v>
      </c>
      <c r="B20" s="3">
        <v>587</v>
      </c>
      <c r="C20" s="3">
        <v>704</v>
      </c>
      <c r="D20" s="3">
        <v>760</v>
      </c>
      <c r="E20" s="3">
        <f>2798-D20-C20-B20</f>
        <v>747</v>
      </c>
      <c r="F20" s="3">
        <v>775</v>
      </c>
      <c r="G20" s="3">
        <v>808</v>
      </c>
      <c r="H20" s="3">
        <v>797</v>
      </c>
      <c r="I20" s="3">
        <f>3164-H20-G20-F20</f>
        <v>784</v>
      </c>
      <c r="J20" s="3">
        <v>790</v>
      </c>
      <c r="K20" s="3">
        <v>760</v>
      </c>
      <c r="L20" s="3">
        <v>774</v>
      </c>
      <c r="U20" s="3">
        <f>SUM(B20:E20)</f>
        <v>2798</v>
      </c>
      <c r="V20" s="3">
        <f t="shared" si="17"/>
        <v>3164</v>
      </c>
      <c r="W20" s="3">
        <f t="shared" si="9"/>
        <v>3638.6</v>
      </c>
      <c r="X20" s="3">
        <f t="shared" si="10"/>
        <v>4184.3899999999994</v>
      </c>
      <c r="Y20" s="3">
        <f t="shared" si="11"/>
        <v>4812.048499999999</v>
      </c>
      <c r="Z20" s="3">
        <f t="shared" si="12"/>
        <v>5533.8557749999982</v>
      </c>
      <c r="AA20" s="3">
        <f t="shared" si="13"/>
        <v>6363.9341412499971</v>
      </c>
      <c r="AB20" s="3">
        <f t="shared" ref="AB20:AC20" si="20">+AA20*1.1</f>
        <v>7000.3275553749972</v>
      </c>
      <c r="AC20" s="3">
        <f t="shared" si="20"/>
        <v>7700.3603109124979</v>
      </c>
    </row>
    <row r="21" spans="1:71 16384:16384" x14ac:dyDescent="0.2">
      <c r="A21" s="3" t="s">
        <v>42</v>
      </c>
      <c r="B21" s="3">
        <v>632</v>
      </c>
      <c r="C21" s="3">
        <v>851</v>
      </c>
      <c r="D21" s="3">
        <v>908</v>
      </c>
      <c r="E21" s="3">
        <f>3136-D21-C21-B21</f>
        <v>745</v>
      </c>
      <c r="F21" s="3">
        <v>942</v>
      </c>
      <c r="G21" s="3">
        <v>491</v>
      </c>
      <c r="H21" s="3">
        <v>646</v>
      </c>
      <c r="I21" s="3">
        <f>2682-H21-G21-F21</f>
        <v>603</v>
      </c>
      <c r="J21" s="3">
        <v>1209</v>
      </c>
      <c r="K21" s="3">
        <v>686</v>
      </c>
      <c r="L21" s="3">
        <v>630</v>
      </c>
      <c r="U21" s="3">
        <f>SUM(B21:E21)</f>
        <v>3136</v>
      </c>
      <c r="V21" s="3">
        <f t="shared" si="17"/>
        <v>2682</v>
      </c>
      <c r="W21" s="3">
        <f t="shared" si="9"/>
        <v>3084.2999999999997</v>
      </c>
      <c r="X21" s="3">
        <f t="shared" si="10"/>
        <v>3546.9449999999993</v>
      </c>
      <c r="Y21" s="3">
        <f t="shared" si="11"/>
        <v>4078.9867499999987</v>
      </c>
      <c r="Z21" s="3">
        <f t="shared" si="12"/>
        <v>4690.8347624999979</v>
      </c>
      <c r="AA21" s="3">
        <f t="shared" si="13"/>
        <v>5394.4599768749968</v>
      </c>
      <c r="AB21" s="3">
        <f t="shared" ref="AB21:AC21" si="21">+AA21*1.1</f>
        <v>5933.9059745624972</v>
      </c>
      <c r="AC21" s="3">
        <f t="shared" si="21"/>
        <v>6527.2965720187476</v>
      </c>
    </row>
    <row r="22" spans="1:71 16384:16384" x14ac:dyDescent="0.2">
      <c r="A22" s="3" t="s">
        <v>43</v>
      </c>
      <c r="B22" s="3">
        <f t="shared" ref="B22:L22" si="22">+B18+B19+B20+B21</f>
        <v>3056</v>
      </c>
      <c r="C22" s="3">
        <f t="shared" si="22"/>
        <v>3390</v>
      </c>
      <c r="D22" s="3">
        <f t="shared" si="22"/>
        <v>3438</v>
      </c>
      <c r="E22" s="3">
        <f t="shared" si="22"/>
        <v>3219</v>
      </c>
      <c r="F22" s="3">
        <f t="shared" si="22"/>
        <v>3619</v>
      </c>
      <c r="G22" s="3">
        <f t="shared" si="22"/>
        <v>3181</v>
      </c>
      <c r="H22" s="3">
        <f t="shared" si="22"/>
        <v>3067</v>
      </c>
      <c r="I22" s="3">
        <f t="shared" si="22"/>
        <v>3024</v>
      </c>
      <c r="J22" s="3">
        <f t="shared" si="22"/>
        <v>3601</v>
      </c>
      <c r="K22" s="3">
        <f t="shared" si="22"/>
        <v>3243</v>
      </c>
      <c r="L22" s="3">
        <f t="shared" si="22"/>
        <v>3187</v>
      </c>
      <c r="U22" s="3">
        <f>+U18+U19+U20+U21</f>
        <v>13103</v>
      </c>
      <c r="V22" s="3">
        <f t="shared" ref="V22:AC22" si="23">+V18+V19+V20+V21</f>
        <v>12891</v>
      </c>
      <c r="W22" s="3">
        <f t="shared" si="23"/>
        <v>14824.65</v>
      </c>
      <c r="X22" s="3">
        <f t="shared" si="23"/>
        <v>17048.347499999996</v>
      </c>
      <c r="Y22" s="3">
        <f t="shared" si="23"/>
        <v>19605.599624999995</v>
      </c>
      <c r="Z22" s="3">
        <f t="shared" si="23"/>
        <v>22546.439568749996</v>
      </c>
      <c r="AA22" s="3">
        <f t="shared" si="23"/>
        <v>25928.405504062492</v>
      </c>
      <c r="AB22" s="3">
        <f t="shared" si="23"/>
        <v>28521.246054468742</v>
      </c>
      <c r="AC22" s="3">
        <f t="shared" si="23"/>
        <v>31373.370659915621</v>
      </c>
    </row>
    <row r="23" spans="1:71 16384:16384" s="5" customFormat="1" ht="15" x14ac:dyDescent="0.25">
      <c r="A23" s="5" t="s">
        <v>44</v>
      </c>
      <c r="B23" s="5">
        <f t="shared" ref="B23:K23" si="24">+B17-B22</f>
        <v>-228</v>
      </c>
      <c r="C23" s="5">
        <f t="shared" si="24"/>
        <v>-470</v>
      </c>
      <c r="D23" s="5">
        <f t="shared" si="24"/>
        <v>-268</v>
      </c>
      <c r="E23" s="5">
        <f t="shared" ref="E23" si="25">+E17-E22</f>
        <v>81</v>
      </c>
      <c r="F23" s="5">
        <f t="shared" si="24"/>
        <v>-55</v>
      </c>
      <c r="G23" s="5">
        <f t="shared" si="24"/>
        <v>534</v>
      </c>
      <c r="H23" s="5">
        <f t="shared" si="24"/>
        <v>599</v>
      </c>
      <c r="I23" s="5">
        <f t="shared" si="24"/>
        <v>855</v>
      </c>
      <c r="J23" s="5">
        <f t="shared" si="24"/>
        <v>362</v>
      </c>
      <c r="K23" s="5">
        <f t="shared" si="24"/>
        <v>969</v>
      </c>
      <c r="L23" s="5">
        <f>+L17-L22</f>
        <v>1240</v>
      </c>
      <c r="N23" s="5" t="s">
        <v>6</v>
      </c>
      <c r="U23" s="5">
        <f>+U17-U22</f>
        <v>-885</v>
      </c>
      <c r="V23" s="5">
        <f>+V17-V22</f>
        <v>1933</v>
      </c>
      <c r="W23" s="5">
        <f t="shared" ref="W23:AC23" si="26">+W17-W22</f>
        <v>7815.100000000004</v>
      </c>
      <c r="X23" s="5">
        <f t="shared" si="26"/>
        <v>11410.630000000008</v>
      </c>
      <c r="Y23" s="5">
        <f t="shared" si="26"/>
        <v>16030.142500000002</v>
      </c>
      <c r="Z23" s="5">
        <f t="shared" si="26"/>
        <v>21924.165475000005</v>
      </c>
      <c r="AA23" s="5">
        <f t="shared" si="26"/>
        <v>29400.192216250016</v>
      </c>
      <c r="AB23" s="5">
        <f t="shared" si="26"/>
        <v>42389.976045875017</v>
      </c>
      <c r="AC23" s="5">
        <f t="shared" si="26"/>
        <v>58688.691180062502</v>
      </c>
    </row>
    <row r="24" spans="1:71 16384:16384" x14ac:dyDescent="0.2">
      <c r="A24" s="3" t="s">
        <v>45</v>
      </c>
      <c r="B24" s="3">
        <f>-129-5557</f>
        <v>-5686</v>
      </c>
      <c r="C24" s="3">
        <f>-139-1704</f>
        <v>-1843</v>
      </c>
      <c r="D24" s="3">
        <f>-146-535</f>
        <v>-681</v>
      </c>
      <c r="E24" s="3">
        <f>-565-D24-C24-B24+767</f>
        <v>8412</v>
      </c>
      <c r="F24" s="3">
        <f>-168+292</f>
        <v>124</v>
      </c>
      <c r="G24" s="3">
        <f>-144+273</f>
        <v>129</v>
      </c>
      <c r="H24" s="3">
        <f>-166-52</f>
        <v>-218</v>
      </c>
      <c r="I24" s="3">
        <f>-633-H24-G24-F24+1331</f>
        <v>663</v>
      </c>
      <c r="J24" s="3">
        <f>-124-678</f>
        <v>-802</v>
      </c>
      <c r="K24" s="3">
        <f>-139+420</f>
        <v>281</v>
      </c>
      <c r="L24" s="3">
        <f>-143+1851</f>
        <v>1708</v>
      </c>
      <c r="M24" s="3" t="s">
        <v>6</v>
      </c>
      <c r="N24" s="3">
        <v>14</v>
      </c>
      <c r="U24" s="3">
        <f>SUM(B24:E24)</f>
        <v>202</v>
      </c>
      <c r="V24" s="3">
        <f>SUM(F24:I24)</f>
        <v>698</v>
      </c>
      <c r="W24" s="3">
        <f>+V40*0.05</f>
        <v>271.05</v>
      </c>
      <c r="X24" s="3">
        <f t="shared" ref="X24:AC24" si="27">+W40*0.05</f>
        <v>594.49600000000021</v>
      </c>
      <c r="Y24" s="3">
        <f t="shared" si="27"/>
        <v>917.94200000000046</v>
      </c>
      <c r="Z24" s="3">
        <f t="shared" si="27"/>
        <v>1398.1470400000007</v>
      </c>
      <c r="AA24" s="3">
        <f t="shared" si="27"/>
        <v>2076.0704200000009</v>
      </c>
      <c r="AB24" s="3">
        <f t="shared" si="27"/>
        <v>3008.9629206000009</v>
      </c>
      <c r="AC24" s="3">
        <f t="shared" si="27"/>
        <v>4268.0134260500017</v>
      </c>
    </row>
    <row r="25" spans="1:71 16384:16384" s="3" customFormat="1" x14ac:dyDescent="0.2">
      <c r="A25" s="3" t="s">
        <v>47</v>
      </c>
      <c r="B25" s="3">
        <f t="shared" ref="B25:K25" si="28">+B23+B24</f>
        <v>-5914</v>
      </c>
      <c r="C25" s="3">
        <f t="shared" si="28"/>
        <v>-2313</v>
      </c>
      <c r="D25" s="3">
        <f t="shared" si="28"/>
        <v>-949</v>
      </c>
      <c r="E25" s="3">
        <f t="shared" si="28"/>
        <v>8493</v>
      </c>
      <c r="F25" s="3">
        <f t="shared" si="28"/>
        <v>69</v>
      </c>
      <c r="G25" s="3">
        <f t="shared" si="28"/>
        <v>663</v>
      </c>
      <c r="H25" s="3">
        <f t="shared" si="28"/>
        <v>381</v>
      </c>
      <c r="I25" s="3">
        <f t="shared" si="28"/>
        <v>1518</v>
      </c>
      <c r="J25" s="3">
        <f t="shared" si="28"/>
        <v>-440</v>
      </c>
      <c r="K25" s="3">
        <f t="shared" si="28"/>
        <v>1250</v>
      </c>
      <c r="L25" s="3">
        <f>+L23+L24</f>
        <v>2948</v>
      </c>
      <c r="N25" s="3">
        <v>133</v>
      </c>
      <c r="U25" s="3">
        <f t="shared" ref="U25:AC25" si="29">+U23+U24</f>
        <v>-683</v>
      </c>
      <c r="V25" s="3">
        <f t="shared" si="29"/>
        <v>2631</v>
      </c>
      <c r="W25" s="3">
        <f t="shared" si="29"/>
        <v>8086.1500000000042</v>
      </c>
      <c r="X25" s="3">
        <f t="shared" si="29"/>
        <v>12005.126000000009</v>
      </c>
      <c r="Y25" s="3">
        <f t="shared" si="29"/>
        <v>16948.084500000001</v>
      </c>
      <c r="Z25" s="3">
        <f t="shared" si="29"/>
        <v>23322.312515000005</v>
      </c>
      <c r="AA25" s="3">
        <f t="shared" si="29"/>
        <v>31476.262636250016</v>
      </c>
      <c r="AB25" s="3">
        <f t="shared" si="29"/>
        <v>45398.93896647502</v>
      </c>
      <c r="AC25" s="3">
        <f t="shared" si="29"/>
        <v>62956.7046061125</v>
      </c>
      <c r="XFD25" s="3" t="s">
        <v>6</v>
      </c>
    </row>
    <row r="26" spans="1:71 16384:16384" s="3" customFormat="1" x14ac:dyDescent="0.2">
      <c r="A26" s="3" t="s">
        <v>48</v>
      </c>
      <c r="B26" s="3">
        <v>77</v>
      </c>
      <c r="C26" s="3">
        <v>77</v>
      </c>
      <c r="D26" s="3">
        <v>58</v>
      </c>
      <c r="E26" s="3">
        <f>-181-D26-C26-B26</f>
        <v>-393</v>
      </c>
      <c r="F26" s="3">
        <v>55</v>
      </c>
      <c r="G26" s="3">
        <v>65</v>
      </c>
      <c r="H26" s="3">
        <v>-40</v>
      </c>
      <c r="I26" s="3">
        <f>213-H26-G26-F26</f>
        <v>133</v>
      </c>
      <c r="J26" s="3">
        <v>29</v>
      </c>
      <c r="K26" s="3">
        <v>57</v>
      </c>
      <c r="L26" s="3">
        <v>158</v>
      </c>
      <c r="N26" s="4">
        <f>+N24/N25-1</f>
        <v>-0.89473684210526316</v>
      </c>
      <c r="O26" s="4" t="s">
        <v>6</v>
      </c>
      <c r="U26" s="3">
        <f>SUM(B26:E26)</f>
        <v>-181</v>
      </c>
      <c r="V26" s="3">
        <f>SUM(F26:I26)</f>
        <v>213</v>
      </c>
      <c r="W26" s="3">
        <f>+W25*0.2</f>
        <v>1617.2300000000009</v>
      </c>
      <c r="X26" s="3">
        <f t="shared" ref="X26:AC26" si="30">+X25*0.2</f>
        <v>2401.0252000000019</v>
      </c>
      <c r="Y26" s="3">
        <f t="shared" si="30"/>
        <v>3389.6169000000004</v>
      </c>
      <c r="Z26" s="3">
        <f t="shared" si="30"/>
        <v>4664.4625030000016</v>
      </c>
      <c r="AA26" s="3">
        <f t="shared" si="30"/>
        <v>6295.2525272500034</v>
      </c>
      <c r="AB26" s="3">
        <f t="shared" si="30"/>
        <v>9079.787793295005</v>
      </c>
      <c r="AC26" s="3">
        <f t="shared" si="30"/>
        <v>12591.340921222501</v>
      </c>
    </row>
    <row r="27" spans="1:71 16384:16384" s="5" customFormat="1" ht="15" x14ac:dyDescent="0.25">
      <c r="A27" s="5" t="s">
        <v>49</v>
      </c>
      <c r="B27" s="5">
        <f t="shared" ref="B27:L27" si="31">+B25-B26</f>
        <v>-5991</v>
      </c>
      <c r="C27" s="5">
        <f t="shared" si="31"/>
        <v>-2390</v>
      </c>
      <c r="D27" s="5">
        <f t="shared" si="31"/>
        <v>-1007</v>
      </c>
      <c r="E27" s="5">
        <f t="shared" si="31"/>
        <v>8886</v>
      </c>
      <c r="F27" s="5">
        <f t="shared" si="31"/>
        <v>14</v>
      </c>
      <c r="G27" s="5">
        <f t="shared" si="31"/>
        <v>598</v>
      </c>
      <c r="H27" s="5">
        <f t="shared" si="31"/>
        <v>421</v>
      </c>
      <c r="I27" s="5">
        <f t="shared" si="31"/>
        <v>1385</v>
      </c>
      <c r="J27" s="5">
        <f t="shared" si="31"/>
        <v>-469</v>
      </c>
      <c r="K27" s="5">
        <f t="shared" si="31"/>
        <v>1193</v>
      </c>
      <c r="L27" s="5">
        <f t="shared" si="31"/>
        <v>2790</v>
      </c>
      <c r="U27" s="5">
        <f>+U25-U26</f>
        <v>-502</v>
      </c>
      <c r="V27" s="5">
        <f t="shared" ref="V27:AC27" si="32">+V25-V26</f>
        <v>2418</v>
      </c>
      <c r="W27" s="5">
        <f t="shared" si="32"/>
        <v>6468.9200000000037</v>
      </c>
      <c r="X27" s="5">
        <f t="shared" si="32"/>
        <v>9604.1008000000074</v>
      </c>
      <c r="Y27" s="5">
        <f t="shared" si="32"/>
        <v>13558.4676</v>
      </c>
      <c r="Z27" s="5">
        <f t="shared" si="32"/>
        <v>18657.850012000003</v>
      </c>
      <c r="AA27" s="5">
        <f t="shared" si="32"/>
        <v>25181.010109000013</v>
      </c>
      <c r="AB27" s="5">
        <f t="shared" si="32"/>
        <v>36319.151173180013</v>
      </c>
      <c r="AC27" s="5">
        <f t="shared" si="32"/>
        <v>50365.363684889999</v>
      </c>
      <c r="AD27" s="5">
        <f>+AC27*0.98</f>
        <v>49358.056411192199</v>
      </c>
      <c r="AE27" s="5">
        <f t="shared" ref="AE27:BS27" si="33">+AD27*0.98</f>
        <v>48370.895282968355</v>
      </c>
      <c r="AF27" s="5">
        <f t="shared" si="33"/>
        <v>47403.477377308984</v>
      </c>
      <c r="AG27" s="5">
        <f t="shared" si="33"/>
        <v>46455.4078297628</v>
      </c>
      <c r="AH27" s="5">
        <f t="shared" si="33"/>
        <v>45526.299673167545</v>
      </c>
      <c r="AI27" s="5">
        <f t="shared" si="33"/>
        <v>44615.773679704194</v>
      </c>
      <c r="AJ27" s="5">
        <f t="shared" si="33"/>
        <v>43723.45820611011</v>
      </c>
      <c r="AK27" s="5">
        <f t="shared" si="33"/>
        <v>42848.989041987908</v>
      </c>
      <c r="AL27" s="5">
        <f t="shared" si="33"/>
        <v>41992.009261148152</v>
      </c>
      <c r="AM27" s="5">
        <f t="shared" si="33"/>
        <v>41152.169075925187</v>
      </c>
      <c r="AN27" s="5">
        <f t="shared" si="33"/>
        <v>40329.125694406684</v>
      </c>
      <c r="AO27" s="5">
        <f t="shared" si="33"/>
        <v>39522.543180518551</v>
      </c>
      <c r="AP27" s="5">
        <f t="shared" si="33"/>
        <v>38732.09231690818</v>
      </c>
      <c r="AQ27" s="5">
        <f t="shared" si="33"/>
        <v>37957.450470570016</v>
      </c>
      <c r="AR27" s="5">
        <f t="shared" si="33"/>
        <v>37198.301461158619</v>
      </c>
      <c r="AS27" s="5">
        <f t="shared" si="33"/>
        <v>36454.335431935448</v>
      </c>
      <c r="AT27" s="5">
        <f t="shared" si="33"/>
        <v>35725.24872329674</v>
      </c>
      <c r="AU27" s="5">
        <f t="shared" si="33"/>
        <v>35010.743748830806</v>
      </c>
      <c r="AV27" s="5">
        <f t="shared" si="33"/>
        <v>34310.528873854186</v>
      </c>
      <c r="AW27" s="5">
        <f t="shared" si="33"/>
        <v>33624.318296377103</v>
      </c>
      <c r="AX27" s="5">
        <f t="shared" si="33"/>
        <v>32951.83193044956</v>
      </c>
      <c r="AY27" s="5">
        <f t="shared" si="33"/>
        <v>32292.795291840568</v>
      </c>
      <c r="AZ27" s="5">
        <f t="shared" si="33"/>
        <v>31646.939386003756</v>
      </c>
      <c r="BA27" s="5">
        <f t="shared" si="33"/>
        <v>31014.000598283681</v>
      </c>
      <c r="BB27" s="5">
        <f t="shared" si="33"/>
        <v>30393.720586318006</v>
      </c>
      <c r="BC27" s="5">
        <f t="shared" si="33"/>
        <v>29785.846174591647</v>
      </c>
      <c r="BD27" s="5">
        <f t="shared" si="33"/>
        <v>29190.129251099814</v>
      </c>
      <c r="BE27" s="5">
        <f t="shared" si="33"/>
        <v>28606.326666077817</v>
      </c>
      <c r="BF27" s="5">
        <f t="shared" si="33"/>
        <v>28034.200132756261</v>
      </c>
      <c r="BG27" s="5">
        <f t="shared" si="33"/>
        <v>27473.516130101136</v>
      </c>
      <c r="BH27" s="5">
        <f t="shared" si="33"/>
        <v>26924.045807499111</v>
      </c>
      <c r="BI27" s="5">
        <f t="shared" si="33"/>
        <v>26385.564891349128</v>
      </c>
      <c r="BJ27" s="5">
        <f t="shared" si="33"/>
        <v>25857.853593522144</v>
      </c>
      <c r="BK27" s="5">
        <f t="shared" si="33"/>
        <v>25340.696521651702</v>
      </c>
      <c r="BL27" s="5">
        <f t="shared" si="33"/>
        <v>24833.882591218666</v>
      </c>
      <c r="BM27" s="5">
        <f t="shared" si="33"/>
        <v>24337.204939394291</v>
      </c>
      <c r="BN27" s="5">
        <f t="shared" si="33"/>
        <v>23850.460840606404</v>
      </c>
      <c r="BO27" s="5">
        <f t="shared" si="33"/>
        <v>23373.451623794273</v>
      </c>
      <c r="BP27" s="5">
        <f t="shared" si="33"/>
        <v>22905.982591318389</v>
      </c>
      <c r="BQ27" s="5">
        <f t="shared" si="33"/>
        <v>22447.862939492021</v>
      </c>
      <c r="BR27" s="5">
        <f t="shared" si="33"/>
        <v>21998.905680702181</v>
      </c>
      <c r="BS27" s="5">
        <f t="shared" si="33"/>
        <v>21558.927567088136</v>
      </c>
    </row>
    <row r="28" spans="1:71 16384:16384" s="7" customFormat="1" x14ac:dyDescent="0.2">
      <c r="A28" s="7" t="s">
        <v>50</v>
      </c>
      <c r="B28" s="7">
        <f t="shared" ref="B28:L28" si="34">+B27/B29</f>
        <v>-3.0660356839265726</v>
      </c>
      <c r="C28" s="7">
        <f t="shared" si="34"/>
        <v>-1.2167159462079189</v>
      </c>
      <c r="D28" s="7">
        <f t="shared" si="34"/>
        <v>-0.49249567660200477</v>
      </c>
      <c r="E28" s="7">
        <f t="shared" si="34"/>
        <v>4.5057858732508134</v>
      </c>
      <c r="F28" s="7">
        <f t="shared" si="34"/>
        <v>6.9667095782801882E-3</v>
      </c>
      <c r="G28" s="7">
        <f t="shared" si="34"/>
        <v>0.29548184540765376</v>
      </c>
      <c r="H28" s="7">
        <f t="shared" si="34"/>
        <v>0.20589938416032175</v>
      </c>
      <c r="I28" s="7">
        <f t="shared" si="34"/>
        <v>0.6803720284076199</v>
      </c>
      <c r="J28" s="7">
        <f t="shared" si="34"/>
        <v>-0.22564707546475357</v>
      </c>
      <c r="K28" s="7">
        <f t="shared" si="34"/>
        <v>0.57021862363658959</v>
      </c>
      <c r="L28" s="7">
        <f t="shared" si="34"/>
        <v>1.3275220539954133</v>
      </c>
      <c r="U28" s="7">
        <f>+U27/U29</f>
        <v>-0.25305250889968534</v>
      </c>
      <c r="V28" s="7">
        <f>+V27/V29</f>
        <v>1.1920565551463578</v>
      </c>
      <c r="W28" s="7">
        <f t="shared" si="9"/>
        <v>1.3708650384183114</v>
      </c>
      <c r="X28" s="7">
        <f t="shared" si="10"/>
        <v>1.5764947941810581</v>
      </c>
      <c r="Y28" s="7">
        <f t="shared" si="11"/>
        <v>1.8129690133082166</v>
      </c>
      <c r="Z28" s="7">
        <f t="shared" si="12"/>
        <v>2.0849143653044488</v>
      </c>
      <c r="AA28" s="7">
        <f t="shared" si="13"/>
        <v>2.3976515201001161</v>
      </c>
      <c r="AB28" s="7">
        <f t="shared" ref="AB28:AF28" si="35">+AA28*1.1</f>
        <v>2.637416672110128</v>
      </c>
      <c r="AC28" s="7">
        <f t="shared" si="35"/>
        <v>2.9011583393211411</v>
      </c>
    </row>
    <row r="29" spans="1:71 16384:16384" s="3" customFormat="1" x14ac:dyDescent="0.2">
      <c r="A29" s="3" t="s">
        <v>3</v>
      </c>
      <c r="B29" s="3">
        <v>1953.989</v>
      </c>
      <c r="C29" s="3">
        <v>1964.3040000000001</v>
      </c>
      <c r="D29" s="3">
        <v>2044.6880000000001</v>
      </c>
      <c r="E29" s="3">
        <v>1972.1310000000001</v>
      </c>
      <c r="F29" s="3">
        <v>2009.557</v>
      </c>
      <c r="G29" s="3">
        <v>2023.8130000000001</v>
      </c>
      <c r="H29" s="3">
        <v>2044.6880000000001</v>
      </c>
      <c r="I29" s="3">
        <v>2035.6510000000001</v>
      </c>
      <c r="J29" s="3">
        <v>2078.4670000000001</v>
      </c>
      <c r="K29" s="3">
        <v>2092.1799999999998</v>
      </c>
      <c r="L29" s="3">
        <v>2101.66</v>
      </c>
      <c r="U29" s="3">
        <f>AVERAGE(B29:E29)</f>
        <v>1983.778</v>
      </c>
      <c r="V29" s="3">
        <f>AVERAGE(F29:I29)</f>
        <v>2028.42725</v>
      </c>
      <c r="W29" s="3">
        <f t="shared" si="9"/>
        <v>2332.6913374999999</v>
      </c>
      <c r="X29" s="3">
        <f>+W29</f>
        <v>2332.6913374999999</v>
      </c>
      <c r="Y29" s="3">
        <f t="shared" ref="Y29:AC29" si="36">+X29</f>
        <v>2332.6913374999999</v>
      </c>
      <c r="Z29" s="3">
        <f t="shared" si="36"/>
        <v>2332.6913374999999</v>
      </c>
      <c r="AA29" s="3">
        <f t="shared" si="36"/>
        <v>2332.6913374999999</v>
      </c>
      <c r="AB29" s="3">
        <f t="shared" si="36"/>
        <v>2332.6913374999999</v>
      </c>
      <c r="AC29" s="3">
        <f t="shared" si="36"/>
        <v>2332.6913374999999</v>
      </c>
    </row>
    <row r="30" spans="1:71 16384:16384" s="3" customFormat="1" x14ac:dyDescent="0.2">
      <c r="N30" s="3" t="s">
        <v>106</v>
      </c>
      <c r="O30" s="4">
        <v>0.08</v>
      </c>
    </row>
    <row r="31" spans="1:71 16384:16384" s="3" customFormat="1" x14ac:dyDescent="0.2">
      <c r="A31" s="4" t="s">
        <v>51</v>
      </c>
      <c r="B31" s="4">
        <f>+B17/B15</f>
        <v>0.4126057776480887</v>
      </c>
      <c r="C31" s="4">
        <f>+C17/C15</f>
        <v>0.36169949213427477</v>
      </c>
      <c r="D31" s="4">
        <f>+D17/D15</f>
        <v>0.3799592472731631</v>
      </c>
      <c r="E31" s="4">
        <f>+E17/E15</f>
        <v>0.38340885325897528</v>
      </c>
      <c r="F31" s="4">
        <f>+F17/F15</f>
        <v>0.40394423665419926</v>
      </c>
      <c r="G31" s="4">
        <f>+G17/G15</f>
        <v>0.40249187432286027</v>
      </c>
      <c r="H31" s="4">
        <f>+H17/H15</f>
        <v>0.39453293155402497</v>
      </c>
      <c r="I31" s="4">
        <f>+I17/I15</f>
        <v>0.39039855072463769</v>
      </c>
      <c r="J31" s="4">
        <f>+J17/J15</f>
        <v>0.39117559964465504</v>
      </c>
      <c r="K31" s="4">
        <f>+K17/K15</f>
        <v>0.39364485981308411</v>
      </c>
      <c r="L31" s="4">
        <f>+L17/L15</f>
        <v>0.39569181265641756</v>
      </c>
      <c r="N31" s="3" t="s">
        <v>52</v>
      </c>
      <c r="O31" s="3">
        <f>+NPV(O30,X27:BS27)-main!M5+main!M6</f>
        <v>408687.01295443409</v>
      </c>
      <c r="U31" s="4">
        <f>+U17/U15</f>
        <v>0.38328575461931802</v>
      </c>
      <c r="V31" s="4">
        <f>+V17/V15</f>
        <v>0.39762881896944824</v>
      </c>
      <c r="W31" s="4">
        <f>+W17/W15</f>
        <v>0.46713318601143505</v>
      </c>
      <c r="X31" s="4">
        <f>+X17/X15</f>
        <v>0.48933596992762529</v>
      </c>
      <c r="Y31" s="4">
        <f>+Y17/Y15</f>
        <v>0.51061363784730751</v>
      </c>
      <c r="Z31" s="4">
        <f>+Z17/Z15</f>
        <v>0.5310047362703364</v>
      </c>
      <c r="AA31" s="4">
        <f>+AA17/AA15</f>
        <v>0.55054620559240575</v>
      </c>
      <c r="AB31" s="4">
        <f>+AB17/AB15</f>
        <v>0.58800068845970532</v>
      </c>
      <c r="AC31" s="4">
        <f>+AC17/AC15</f>
        <v>0.62233396442139644</v>
      </c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71 16384:16384" s="3" customFormat="1" x14ac:dyDescent="0.2">
      <c r="A32" s="4" t="s">
        <v>53</v>
      </c>
      <c r="B32" s="4">
        <f>+B18/$L$15</f>
        <v>5.130496961029675E-2</v>
      </c>
      <c r="C32" s="4">
        <f>+C18/$L$15</f>
        <v>5.5148373257061137E-2</v>
      </c>
      <c r="D32" s="4">
        <f>+D18/$L$15</f>
        <v>5.5148373257061137E-2</v>
      </c>
      <c r="E32" s="4">
        <f>+E18/$L$15</f>
        <v>5.4075795495173398E-2</v>
      </c>
      <c r="F32" s="4">
        <f>+F18/$L$15</f>
        <v>5.7204147300679298E-2</v>
      </c>
      <c r="G32" s="4">
        <f>+G18/$L$15</f>
        <v>5.9349302824454775E-2</v>
      </c>
      <c r="H32" s="4">
        <f>+H18/$L$15</f>
        <v>6.1047550947443692E-2</v>
      </c>
      <c r="I32" s="4">
        <f>+I18/$L$15</f>
        <v>6.2745799070432609E-2</v>
      </c>
      <c r="J32" s="4">
        <f>+J18/$L$15</f>
        <v>6.122631390775831E-2</v>
      </c>
      <c r="K32" s="4">
        <f>+K18/$L$15</f>
        <v>6.0958169467286376E-2</v>
      </c>
      <c r="L32" s="4">
        <f>+L18/$L$15</f>
        <v>6.1405076868072936E-2</v>
      </c>
      <c r="N32" s="3" t="s">
        <v>54</v>
      </c>
      <c r="O32" s="3">
        <f>+O31/main!M3</f>
        <v>196.6290602422045</v>
      </c>
      <c r="P32" s="3" t="s">
        <v>6</v>
      </c>
      <c r="U32" s="4">
        <f>+U18/$L$15</f>
        <v>0.21567751161959242</v>
      </c>
      <c r="V32" s="4">
        <f>+V18/$L$15</f>
        <v>0.24034680014301038</v>
      </c>
      <c r="W32" s="4">
        <f>+W18/$L$15</f>
        <v>0.27639882016446193</v>
      </c>
      <c r="X32" s="4">
        <f>+X18/$L$15</f>
        <v>0.31785864318913115</v>
      </c>
      <c r="Y32" s="4">
        <f>+Y18/$L$15</f>
        <v>0.3655374396675008</v>
      </c>
      <c r="Z32" s="4">
        <f>+Z18/$L$15</f>
        <v>0.42036805561762591</v>
      </c>
      <c r="AA32" s="4">
        <f>+AA18/$L$15</f>
        <v>0.48342326396026974</v>
      </c>
      <c r="AB32" s="4">
        <f>+AB18/$L$15</f>
        <v>0.53176559035629678</v>
      </c>
      <c r="AC32" s="4">
        <f>+AC18/$L$15</f>
        <v>0.58494214939192657</v>
      </c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s="3" customFormat="1" x14ac:dyDescent="0.2">
      <c r="A33" s="4" t="s">
        <v>55</v>
      </c>
      <c r="B33" s="4">
        <f>+B19/$L$15</f>
        <v>0.1128888094386843</v>
      </c>
      <c r="C33" s="4">
        <f>+C19/$L$15</f>
        <v>0.1088666428316053</v>
      </c>
      <c r="D33" s="4">
        <f>+D19/$L$15</f>
        <v>0.10305684662138005</v>
      </c>
      <c r="E33" s="4">
        <f>+E19/$L$15</f>
        <v>0.1002860207365034</v>
      </c>
      <c r="F33" s="4">
        <f>+F19/$L$15</f>
        <v>0.11279942795852699</v>
      </c>
      <c r="G33" s="4">
        <f>+G19/$L$15</f>
        <v>0.1088666428316053</v>
      </c>
      <c r="H33" s="4">
        <f>+H19/$L$15</f>
        <v>8.4107972828030036E-2</v>
      </c>
      <c r="I33" s="4">
        <f>+I19/$L$15</f>
        <v>8.3571683947086167E-2</v>
      </c>
      <c r="J33" s="4">
        <f>+J19/$L$15</f>
        <v>8.1962817304254559E-2</v>
      </c>
      <c r="K33" s="4">
        <f>+K19/$L$15</f>
        <v>9.9660350375402218E-2</v>
      </c>
      <c r="L33" s="4">
        <f>+L19/$L$15</f>
        <v>9.7962102252413294E-2</v>
      </c>
      <c r="U33" s="4">
        <f>+U19/$L$15</f>
        <v>0.42509831962817302</v>
      </c>
      <c r="V33" s="4">
        <f>+V19/$L$15</f>
        <v>0.38934572756524849</v>
      </c>
      <c r="W33" s="4">
        <f>+W19/$L$15</f>
        <v>0.44774758670003573</v>
      </c>
      <c r="X33" s="4">
        <f>+X19/$L$15</f>
        <v>0.51490972470504104</v>
      </c>
      <c r="Y33" s="4">
        <f>+Y19/$L$15</f>
        <v>0.59214618341079717</v>
      </c>
      <c r="Z33" s="4">
        <f>+Z19/$L$15</f>
        <v>0.68096811092241671</v>
      </c>
      <c r="AA33" s="4">
        <f>+AA19/$L$15</f>
        <v>0.78311332756077923</v>
      </c>
      <c r="AB33" s="4">
        <f>+AB19/$L$15</f>
        <v>0.86142466031685727</v>
      </c>
      <c r="AC33" s="4">
        <f>+AC19/$L$15</f>
        <v>0.94756712634854301</v>
      </c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s="3" customFormat="1" x14ac:dyDescent="0.2">
      <c r="A34" s="4" t="s">
        <v>56</v>
      </c>
      <c r="B34" s="4">
        <f>+B20/$L$15</f>
        <v>5.2466928852341797E-2</v>
      </c>
      <c r="C34" s="4">
        <f>+C20/$L$15</f>
        <v>6.2924562030747228E-2</v>
      </c>
      <c r="D34" s="4">
        <f>+D20/$L$15</f>
        <v>6.792992491955667E-2</v>
      </c>
      <c r="E34" s="4">
        <f>+E20/$L$15</f>
        <v>6.6767965677511615E-2</v>
      </c>
      <c r="F34" s="4">
        <f>+F20/$L$15</f>
        <v>6.9270647121916343E-2</v>
      </c>
      <c r="G34" s="4">
        <f>+G20/$L$15</f>
        <v>7.222023596710761E-2</v>
      </c>
      <c r="H34" s="4">
        <f>+H20/$L$15</f>
        <v>7.1237039685377188E-2</v>
      </c>
      <c r="I34" s="4">
        <f>+I20/$L$15</f>
        <v>7.0075080443332147E-2</v>
      </c>
      <c r="J34" s="4">
        <f>+J20/$L$15</f>
        <v>7.0611369324276016E-2</v>
      </c>
      <c r="K34" s="4">
        <f>+K20/$L$15</f>
        <v>6.792992491955667E-2</v>
      </c>
      <c r="L34" s="4">
        <f>+L20/$L$15</f>
        <v>6.9181265641759027E-2</v>
      </c>
      <c r="O34" s="3" t="s">
        <v>6</v>
      </c>
      <c r="U34" s="4">
        <f>+U20/$L$15</f>
        <v>0.2500893814801573</v>
      </c>
      <c r="V34" s="4">
        <f>+V20/$L$15</f>
        <v>0.28280300321773327</v>
      </c>
      <c r="W34" s="4">
        <f>+W20/$L$15</f>
        <v>0.32522345370039329</v>
      </c>
      <c r="X34" s="4">
        <f>+X20/$L$15</f>
        <v>0.37400697175545222</v>
      </c>
      <c r="Y34" s="4">
        <f>+Y20/$L$15</f>
        <v>0.43010801751877004</v>
      </c>
      <c r="Z34" s="4">
        <f>+Z20/$L$15</f>
        <v>0.49462422014658547</v>
      </c>
      <c r="AA34" s="4">
        <f>+AA20/$L$15</f>
        <v>0.56881785316857325</v>
      </c>
      <c r="AB34" s="4">
        <f>+AB20/$L$15</f>
        <v>0.62569963848543053</v>
      </c>
      <c r="AC34" s="4">
        <f>+AC20/$L$15</f>
        <v>0.68826960233397372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s="3" customFormat="1" x14ac:dyDescent="0.2">
      <c r="A35" s="4" t="s">
        <v>42</v>
      </c>
      <c r="B35" s="4">
        <f>+B21/$L$15</f>
        <v>5.648909545942081E-2</v>
      </c>
      <c r="C35" s="4">
        <f>+C21/$L$15</f>
        <v>7.6063639613872011E-2</v>
      </c>
      <c r="D35" s="4">
        <f>+D21/$L$15</f>
        <v>8.1158383982838755E-2</v>
      </c>
      <c r="E35" s="4">
        <f>+E21/$L$15</f>
        <v>6.6589202717196996E-2</v>
      </c>
      <c r="F35" s="4">
        <f>+F21/$L$15</f>
        <v>8.4197354308187339E-2</v>
      </c>
      <c r="G35" s="4">
        <f>+G21/$L$15</f>
        <v>4.3886306757239903E-2</v>
      </c>
      <c r="H35" s="4">
        <f>+H21/$L$15</f>
        <v>5.7740436181623167E-2</v>
      </c>
      <c r="I35" s="4">
        <f>+I21/$L$15</f>
        <v>5.389703253485878E-2</v>
      </c>
      <c r="J35" s="4">
        <f>+J21/$L$15</f>
        <v>0.10806220951018949</v>
      </c>
      <c r="K35" s="4">
        <f>+K21/$L$15</f>
        <v>6.1315695387915627E-2</v>
      </c>
      <c r="L35" s="4">
        <f>+L21/$L$15</f>
        <v>5.6310332499106185E-2</v>
      </c>
      <c r="U35" s="4">
        <f>+U21/$L$15</f>
        <v>0.28030032177332859</v>
      </c>
      <c r="V35" s="4">
        <f>+V21/$L$15</f>
        <v>0.23972112978190918</v>
      </c>
      <c r="W35" s="4">
        <f>+W21/$L$15</f>
        <v>0.27567929924919554</v>
      </c>
      <c r="X35" s="4">
        <f>+X21/$L$15</f>
        <v>0.31703119413657482</v>
      </c>
      <c r="Y35" s="4">
        <f>+Y21/$L$15</f>
        <v>0.36458587325706104</v>
      </c>
      <c r="Z35" s="4">
        <f>+Z21/$L$15</f>
        <v>0.41927375424562013</v>
      </c>
      <c r="AA35" s="4">
        <f>+AA21/$L$15</f>
        <v>0.48216481738246308</v>
      </c>
      <c r="AB35" s="4">
        <f>+AB21/$L$15</f>
        <v>0.53038129912070942</v>
      </c>
      <c r="AC35" s="4">
        <f>+AC21/$L$15</f>
        <v>0.58341942903278043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s="3" customFormat="1" x14ac:dyDescent="0.2">
      <c r="A36" s="4" t="s">
        <v>57</v>
      </c>
      <c r="B36" s="4">
        <f>+B23/B15</f>
        <v>-3.3265246571345199E-2</v>
      </c>
      <c r="C36" s="4">
        <f>+C23/C15</f>
        <v>-5.8218753870927786E-2</v>
      </c>
      <c r="D36" s="4">
        <f>+D23/D15</f>
        <v>-3.2122737624355746E-2</v>
      </c>
      <c r="E36" s="4">
        <f>+E23/E15</f>
        <v>9.4109445799930285E-3</v>
      </c>
      <c r="F36" s="4">
        <f>+F23/F15</f>
        <v>-6.2337073557746795E-3</v>
      </c>
      <c r="G36" s="4">
        <f>+G23/G15</f>
        <v>5.7854821235102924E-2</v>
      </c>
      <c r="H36" s="4">
        <f>+H23/H15</f>
        <v>6.4464055101162293E-2</v>
      </c>
      <c r="I36" s="4">
        <f>+I23/I15</f>
        <v>8.6050724637681153E-2</v>
      </c>
      <c r="J36" s="4">
        <f>+J23/J15</f>
        <v>3.5731911953410328E-2</v>
      </c>
      <c r="K36" s="4">
        <f>+K23/K15</f>
        <v>9.0560747663551405E-2</v>
      </c>
      <c r="L36" s="4">
        <f>+L23/L15</f>
        <v>0.11083303539506614</v>
      </c>
      <c r="U36" s="4">
        <f>+U23/U15</f>
        <v>-2.7762963892461648E-2</v>
      </c>
      <c r="V36" s="4">
        <f>+V23/V15</f>
        <v>5.1849467557200719E-2</v>
      </c>
      <c r="W36" s="4">
        <f>+W23/W15</f>
        <v>0.16125145206983149</v>
      </c>
      <c r="X36" s="4">
        <f>+X23/X15</f>
        <v>0.19619930823358858</v>
      </c>
      <c r="Y36" s="4">
        <f>+Y23/Y15</f>
        <v>0.22969100372385562</v>
      </c>
      <c r="Z36" s="4">
        <f>+Z23/Z15</f>
        <v>0.26178721190202836</v>
      </c>
      <c r="AA36" s="4">
        <f>+AA23/AA15</f>
        <v>0.29254607807277727</v>
      </c>
      <c r="AB36" s="4">
        <f>+AB23/AB15</f>
        <v>0.35150057156671249</v>
      </c>
      <c r="AC36" s="4">
        <f>+AC23/AC15</f>
        <v>0.40554219060281971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s="3" customFormat="1" x14ac:dyDescent="0.2">
      <c r="A37" s="4" t="s">
        <v>58</v>
      </c>
      <c r="B37" s="4">
        <f t="shared" ref="B37:K37" si="37">+B26/B25</f>
        <v>-1.301995265471762E-2</v>
      </c>
      <c r="C37" s="4">
        <f t="shared" si="37"/>
        <v>-3.329009943795936E-2</v>
      </c>
      <c r="D37" s="4">
        <f t="shared" si="37"/>
        <v>-6.1116965226554271E-2</v>
      </c>
      <c r="E37" s="4">
        <f t="shared" si="37"/>
        <v>-4.6273401624867538E-2</v>
      </c>
      <c r="F37" s="4">
        <f t="shared" si="37"/>
        <v>0.79710144927536231</v>
      </c>
      <c r="G37" s="4">
        <f t="shared" si="37"/>
        <v>9.8039215686274508E-2</v>
      </c>
      <c r="H37" s="4">
        <f t="shared" si="37"/>
        <v>-0.10498687664041995</v>
      </c>
      <c r="I37" s="4">
        <f t="shared" si="37"/>
        <v>8.7615283267457184E-2</v>
      </c>
      <c r="J37" s="4">
        <f t="shared" si="37"/>
        <v>-6.5909090909090903E-2</v>
      </c>
      <c r="K37" s="4">
        <f t="shared" si="37"/>
        <v>4.5600000000000002E-2</v>
      </c>
      <c r="L37" s="4">
        <f>+L26/L25</f>
        <v>5.3595658073270012E-2</v>
      </c>
      <c r="U37" s="4">
        <f t="shared" ref="U37:AC37" si="38">+U26/U25</f>
        <v>0.26500732064421667</v>
      </c>
      <c r="V37" s="4">
        <f t="shared" si="38"/>
        <v>8.0957810718358045E-2</v>
      </c>
      <c r="W37" s="4">
        <f t="shared" si="38"/>
        <v>0.2</v>
      </c>
      <c r="X37" s="4">
        <f t="shared" si="38"/>
        <v>0.2</v>
      </c>
      <c r="Y37" s="4">
        <f t="shared" si="38"/>
        <v>0.2</v>
      </c>
      <c r="Z37" s="4">
        <f t="shared" si="38"/>
        <v>0.2</v>
      </c>
      <c r="AA37" s="4">
        <f t="shared" si="38"/>
        <v>0.2</v>
      </c>
      <c r="AB37" s="4">
        <f t="shared" si="38"/>
        <v>0.2</v>
      </c>
      <c r="AC37" s="4">
        <f t="shared" si="38"/>
        <v>0.2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s="3" customFormat="1" x14ac:dyDescent="0.2">
      <c r="A38" s="4" t="s">
        <v>59</v>
      </c>
      <c r="B38" s="4"/>
      <c r="C38" s="4"/>
      <c r="D38" s="4"/>
      <c r="E38" s="4"/>
      <c r="F38" s="4">
        <f t="shared" ref="F38:K38" si="39">+F27/B27-1</f>
        <v>-1.0023368385912201</v>
      </c>
      <c r="G38" s="4">
        <f t="shared" si="39"/>
        <v>-1.2502092050209206</v>
      </c>
      <c r="H38" s="4">
        <f t="shared" si="39"/>
        <v>-1.4180734856007944</v>
      </c>
      <c r="I38" s="4">
        <f t="shared" si="39"/>
        <v>-0.84413684447445414</v>
      </c>
      <c r="J38" s="4">
        <f t="shared" si="39"/>
        <v>-34.5</v>
      </c>
      <c r="K38" s="4">
        <f t="shared" si="39"/>
        <v>0.99498327759197314</v>
      </c>
      <c r="L38" s="4">
        <f>+L27/H27-1</f>
        <v>5.6270783847981001</v>
      </c>
      <c r="U38" s="4" t="s">
        <v>6</v>
      </c>
      <c r="V38" s="4">
        <f>+V27/U27-1</f>
        <v>-5.8167330677290838</v>
      </c>
      <c r="W38" s="4">
        <f t="shared" ref="W38:AC38" si="40">+W27/V27-1</f>
        <v>1.6753184449958658</v>
      </c>
      <c r="X38" s="4">
        <f t="shared" si="40"/>
        <v>0.48465289414616386</v>
      </c>
      <c r="Y38" s="4">
        <f t="shared" si="40"/>
        <v>0.41173732787144313</v>
      </c>
      <c r="Z38" s="4">
        <f t="shared" si="40"/>
        <v>0.37610315283712459</v>
      </c>
      <c r="AA38" s="4">
        <f t="shared" si="40"/>
        <v>0.34962013805473657</v>
      </c>
      <c r="AB38" s="4">
        <f t="shared" si="40"/>
        <v>0.44232304486463336</v>
      </c>
      <c r="AC38" s="4">
        <f t="shared" si="40"/>
        <v>0.38674396449227744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40" spans="1:39" s="5" customFormat="1" ht="15" x14ac:dyDescent="0.25">
      <c r="A40" s="5" t="s">
        <v>60</v>
      </c>
      <c r="V40" s="5">
        <v>5421</v>
      </c>
      <c r="W40" s="5">
        <f>+V40+W27</f>
        <v>11889.920000000004</v>
      </c>
      <c r="X40" s="5">
        <f>+W40+W27</f>
        <v>18358.840000000007</v>
      </c>
      <c r="Y40" s="5">
        <f t="shared" ref="Y40:AM40" si="41">+X40+X27</f>
        <v>27962.940800000015</v>
      </c>
      <c r="Z40" s="5">
        <f t="shared" si="41"/>
        <v>41521.408400000015</v>
      </c>
      <c r="AA40" s="5">
        <f t="shared" si="41"/>
        <v>60179.258412000017</v>
      </c>
      <c r="AB40" s="5">
        <f t="shared" si="41"/>
        <v>85360.268521000035</v>
      </c>
      <c r="AC40" s="5">
        <f t="shared" si="41"/>
        <v>121679.41969418005</v>
      </c>
      <c r="AD40" s="5">
        <f t="shared" si="41"/>
        <v>172044.78337907005</v>
      </c>
      <c r="AE40" s="5">
        <f t="shared" si="41"/>
        <v>221402.83979026225</v>
      </c>
      <c r="AF40" s="5">
        <f t="shared" si="41"/>
        <v>269773.73507323058</v>
      </c>
      <c r="AG40" s="5">
        <f t="shared" si="41"/>
        <v>317177.21245053958</v>
      </c>
      <c r="AH40" s="5">
        <f t="shared" si="41"/>
        <v>363632.62028030236</v>
      </c>
      <c r="AI40" s="5">
        <f t="shared" si="41"/>
        <v>409158.91995346989</v>
      </c>
      <c r="AJ40" s="5">
        <f t="shared" si="41"/>
        <v>453774.69363317406</v>
      </c>
      <c r="AK40" s="5">
        <f t="shared" si="41"/>
        <v>497498.15183928417</v>
      </c>
      <c r="AL40" s="5">
        <f t="shared" si="41"/>
        <v>540347.14088127203</v>
      </c>
      <c r="AM40" s="5">
        <f t="shared" si="41"/>
        <v>582339.1501424202</v>
      </c>
    </row>
    <row r="41" spans="1:39" s="3" customFormat="1" x14ac:dyDescent="0.2">
      <c r="W41" s="3" t="s">
        <v>108</v>
      </c>
    </row>
    <row r="42" spans="1:39" s="3" customFormat="1" x14ac:dyDescent="0.2">
      <c r="A42" s="3" t="s">
        <v>61</v>
      </c>
      <c r="V42" s="3">
        <f>4680+727+805+6101+353</f>
        <v>12666</v>
      </c>
    </row>
    <row r="43" spans="1:39" s="3" customFormat="1" x14ac:dyDescent="0.2">
      <c r="A43" s="3" t="s">
        <v>62</v>
      </c>
      <c r="V43" s="3">
        <v>3404</v>
      </c>
    </row>
    <row r="44" spans="1:39" s="3" customFormat="1" x14ac:dyDescent="0.2">
      <c r="A44" s="3" t="s">
        <v>63</v>
      </c>
      <c r="V44" s="3">
        <v>1681</v>
      </c>
    </row>
    <row r="45" spans="1:39" s="3" customFormat="1" x14ac:dyDescent="0.2">
      <c r="A45" s="3" t="s">
        <v>64</v>
      </c>
      <c r="V45" s="3">
        <f>1519+4779</f>
        <v>6298</v>
      </c>
    </row>
    <row r="46" spans="1:39" s="3" customFormat="1" x14ac:dyDescent="0.2">
      <c r="A46" s="3" t="s">
        <v>65</v>
      </c>
      <c r="V46" s="3">
        <v>2073</v>
      </c>
    </row>
    <row r="47" spans="1:39" s="3" customFormat="1" x14ac:dyDescent="0.2">
      <c r="A47" s="3" t="s">
        <v>66</v>
      </c>
      <c r="V47" s="3">
        <v>1241</v>
      </c>
    </row>
    <row r="48" spans="1:39" s="3" customFormat="1" x14ac:dyDescent="0.2">
      <c r="A48" s="3" t="s">
        <v>67</v>
      </c>
      <c r="V48" s="3">
        <f>1425+8151</f>
        <v>9576</v>
      </c>
    </row>
    <row r="49" spans="1:22" s="3" customFormat="1" x14ac:dyDescent="0.2">
      <c r="A49" s="3" t="s">
        <v>46</v>
      </c>
      <c r="V49" s="3">
        <v>1760</v>
      </c>
    </row>
    <row r="50" spans="1:22" s="3" customFormat="1" x14ac:dyDescent="0.2">
      <c r="A50" s="3" t="s">
        <v>68</v>
      </c>
      <c r="V50" s="3">
        <f>SUM(V42:V49)</f>
        <v>38699</v>
      </c>
    </row>
    <row r="52" spans="1:22" s="3" customFormat="1" x14ac:dyDescent="0.2">
      <c r="A52" s="3" t="s">
        <v>7</v>
      </c>
      <c r="V52" s="3">
        <v>9459</v>
      </c>
    </row>
    <row r="53" spans="1:22" s="3" customFormat="1" x14ac:dyDescent="0.2">
      <c r="A53" s="3" t="s">
        <v>69</v>
      </c>
      <c r="V53" s="3">
        <v>790</v>
      </c>
    </row>
    <row r="54" spans="1:22" s="3" customFormat="1" x14ac:dyDescent="0.2">
      <c r="A54" s="3" t="s">
        <v>70</v>
      </c>
      <c r="V54" s="3">
        <v>6458</v>
      </c>
    </row>
    <row r="55" spans="1:22" s="3" customFormat="1" x14ac:dyDescent="0.2">
      <c r="A55" s="3" t="s">
        <v>71</v>
      </c>
      <c r="V55" s="3">
        <f>2016+4722</f>
        <v>6738</v>
      </c>
    </row>
    <row r="56" spans="1:22" s="3" customFormat="1" x14ac:dyDescent="0.2">
      <c r="A56" s="3" t="s">
        <v>72</v>
      </c>
      <c r="V56" s="3">
        <f>190+1550</f>
        <v>1740</v>
      </c>
    </row>
    <row r="57" spans="1:22" s="3" customFormat="1" x14ac:dyDescent="0.2">
      <c r="A57" s="3" t="s">
        <v>73</v>
      </c>
      <c r="V57" s="3">
        <v>832</v>
      </c>
    </row>
    <row r="58" spans="1:22" s="3" customFormat="1" x14ac:dyDescent="0.2">
      <c r="A58" s="3" t="s">
        <v>74</v>
      </c>
      <c r="V58" s="3">
        <f>SUM(V52:V57)</f>
        <v>26017</v>
      </c>
    </row>
    <row r="59" spans="1:22" s="3" customFormat="1" x14ac:dyDescent="0.2">
      <c r="A59" s="3" t="s">
        <v>75</v>
      </c>
      <c r="V59" s="3">
        <f>+V50-V58</f>
        <v>12682</v>
      </c>
    </row>
    <row r="60" spans="1:22" s="3" customFormat="1" x14ac:dyDescent="0.2">
      <c r="A60" s="3" t="s">
        <v>76</v>
      </c>
      <c r="V60" s="3">
        <f>+V58+V59</f>
        <v>38699</v>
      </c>
    </row>
    <row r="62" spans="1:22" s="3" customFormat="1" x14ac:dyDescent="0.2">
      <c r="A62" s="3" t="s">
        <v>77</v>
      </c>
      <c r="V62" s="3">
        <f>+V27/V59</f>
        <v>0.19066393313357516</v>
      </c>
    </row>
    <row r="63" spans="1:22" s="3" customFormat="1" x14ac:dyDescent="0.2">
      <c r="A63" s="3" t="s">
        <v>78</v>
      </c>
      <c r="V63" s="3">
        <f>+V27/V50</f>
        <v>6.2482234683066747E-2</v>
      </c>
    </row>
    <row r="64" spans="1:22" s="3" customFormat="1" x14ac:dyDescent="0.2"/>
    <row r="65" spans="1:23" s="3" customFormat="1" x14ac:dyDescent="0.2">
      <c r="A65" s="3" t="s">
        <v>79</v>
      </c>
      <c r="U65" s="3">
        <f>+U27</f>
        <v>-502</v>
      </c>
      <c r="V65" s="3">
        <f>+V27</f>
        <v>2418</v>
      </c>
    </row>
    <row r="66" spans="1:23" s="3" customFormat="1" x14ac:dyDescent="0.2">
      <c r="A66" s="3" t="s">
        <v>80</v>
      </c>
      <c r="T66" s="3">
        <v>-570</v>
      </c>
      <c r="U66" s="3">
        <v>-9138</v>
      </c>
      <c r="V66" s="3">
        <v>2156</v>
      </c>
    </row>
    <row r="67" spans="1:23" s="3" customFormat="1" x14ac:dyDescent="0.2">
      <c r="A67" s="3" t="s">
        <v>81</v>
      </c>
      <c r="T67" s="3">
        <v>902</v>
      </c>
      <c r="U67" s="3">
        <v>947</v>
      </c>
      <c r="V67" s="3">
        <v>823</v>
      </c>
    </row>
    <row r="68" spans="1:23" s="3" customFormat="1" x14ac:dyDescent="0.2">
      <c r="A68" s="3" t="s">
        <v>82</v>
      </c>
      <c r="T68" s="3">
        <v>1168</v>
      </c>
      <c r="U68" s="3">
        <v>1793</v>
      </c>
      <c r="V68" s="3">
        <v>1935</v>
      </c>
    </row>
    <row r="69" spans="1:23" s="3" customFormat="1" x14ac:dyDescent="0.2">
      <c r="A69" s="3" t="s">
        <v>83</v>
      </c>
      <c r="T69" s="3">
        <f>-413-1684</f>
        <v>-2097</v>
      </c>
      <c r="U69" s="3">
        <f>0+-14</f>
        <v>-14</v>
      </c>
      <c r="V69" s="3">
        <f>74+86</f>
        <v>160</v>
      </c>
    </row>
    <row r="70" spans="1:23" s="3" customFormat="1" x14ac:dyDescent="0.2">
      <c r="A70" s="3" t="s">
        <v>84</v>
      </c>
      <c r="T70" s="3">
        <v>-692</v>
      </c>
      <c r="U70" s="3">
        <v>-441</v>
      </c>
      <c r="V70" s="3">
        <v>-204</v>
      </c>
    </row>
    <row r="71" spans="1:23" s="3" customFormat="1" x14ac:dyDescent="0.2">
      <c r="A71" s="3" t="s">
        <v>85</v>
      </c>
      <c r="T71" s="3">
        <v>116</v>
      </c>
      <c r="U71" s="3">
        <f>28+182</f>
        <v>210</v>
      </c>
      <c r="V71" s="3">
        <v>26</v>
      </c>
    </row>
    <row r="72" spans="1:23" s="3" customFormat="1" x14ac:dyDescent="0.2">
      <c r="A72" s="3" t="s">
        <v>86</v>
      </c>
      <c r="T72" s="3">
        <v>37</v>
      </c>
      <c r="U72" s="3">
        <v>-107</v>
      </c>
      <c r="V72" s="3">
        <v>-48</v>
      </c>
    </row>
    <row r="73" spans="1:23" s="3" customFormat="1" x14ac:dyDescent="0.2">
      <c r="A73" s="3" t="s">
        <v>87</v>
      </c>
      <c r="T73" s="3">
        <v>-1142</v>
      </c>
      <c r="U73" s="6">
        <v>7045</v>
      </c>
      <c r="V73" s="3">
        <v>-1610</v>
      </c>
    </row>
    <row r="74" spans="1:23" s="3" customFormat="1" x14ac:dyDescent="0.2">
      <c r="A74" s="3" t="s">
        <v>88</v>
      </c>
      <c r="T74" s="3">
        <v>38</v>
      </c>
      <c r="U74" s="3">
        <v>96</v>
      </c>
      <c r="V74" s="3">
        <v>138</v>
      </c>
    </row>
    <row r="75" spans="1:23" s="3" customFormat="1" x14ac:dyDescent="0.2">
      <c r="A75" s="3" t="s">
        <v>46</v>
      </c>
      <c r="T75" s="3">
        <v>4</v>
      </c>
      <c r="U75" s="3">
        <v>-7</v>
      </c>
      <c r="V75" s="3">
        <v>-48</v>
      </c>
    </row>
    <row r="76" spans="1:23" s="3" customFormat="1" x14ac:dyDescent="0.2">
      <c r="A76" s="3" t="s">
        <v>62</v>
      </c>
      <c r="T76" s="3">
        <v>-597</v>
      </c>
      <c r="U76" s="3">
        <v>-542</v>
      </c>
      <c r="V76" s="3">
        <v>-578</v>
      </c>
      <c r="W76" s="3" t="s">
        <v>6</v>
      </c>
    </row>
    <row r="77" spans="1:23" s="3" customFormat="1" x14ac:dyDescent="0.2">
      <c r="A77" s="3" t="s">
        <v>89</v>
      </c>
      <c r="T77" s="3">
        <v>-236</v>
      </c>
      <c r="U77" s="3">
        <v>-196</v>
      </c>
      <c r="V77" s="3">
        <v>-1462</v>
      </c>
    </row>
    <row r="78" spans="1:23" s="3" customFormat="1" x14ac:dyDescent="0.2">
      <c r="A78" s="3" t="s">
        <v>90</v>
      </c>
      <c r="T78" s="3">
        <v>860</v>
      </c>
      <c r="U78" s="3">
        <v>0</v>
      </c>
      <c r="V78" s="3">
        <v>0</v>
      </c>
    </row>
    <row r="79" spans="1:23" s="3" customFormat="1" x14ac:dyDescent="0.2">
      <c r="A79" s="3" t="s">
        <v>91</v>
      </c>
      <c r="T79" s="3">
        <v>165</v>
      </c>
      <c r="U79" s="3">
        <v>193</v>
      </c>
      <c r="V79" s="3">
        <v>191</v>
      </c>
    </row>
    <row r="80" spans="1:23" s="3" customFormat="1" x14ac:dyDescent="0.2">
      <c r="A80" s="3" t="s">
        <v>69</v>
      </c>
      <c r="T80" s="3">
        <v>90</v>
      </c>
      <c r="U80" s="3">
        <v>-133</v>
      </c>
      <c r="V80" s="3">
        <v>64</v>
      </c>
    </row>
    <row r="81" spans="1:22" s="3" customFormat="1" x14ac:dyDescent="0.2">
      <c r="A81" s="3" t="s">
        <v>92</v>
      </c>
      <c r="T81" s="3">
        <v>516</v>
      </c>
      <c r="U81" s="3">
        <v>736</v>
      </c>
      <c r="V81" s="3">
        <v>2015</v>
      </c>
    </row>
    <row r="82" spans="1:22" s="3" customFormat="1" x14ac:dyDescent="0.2">
      <c r="A82" s="3" t="s">
        <v>93</v>
      </c>
      <c r="T82" s="3">
        <v>1068</v>
      </c>
      <c r="U82" s="3">
        <v>492</v>
      </c>
      <c r="V82" s="3">
        <v>295</v>
      </c>
    </row>
    <row r="83" spans="1:22" s="3" customFormat="1" x14ac:dyDescent="0.2">
      <c r="A83" s="3" t="s">
        <v>94</v>
      </c>
      <c r="T83" s="3">
        <v>-184</v>
      </c>
      <c r="U83" s="3">
        <v>-215</v>
      </c>
      <c r="V83" s="3">
        <v>-180</v>
      </c>
    </row>
    <row r="84" spans="1:22" s="3" customFormat="1" x14ac:dyDescent="0.2">
      <c r="A84" s="3" t="s">
        <v>95</v>
      </c>
      <c r="T84" s="3">
        <f>SUM(T66:T83)</f>
        <v>-554</v>
      </c>
      <c r="U84" s="3">
        <f>SUM(U66:U83)</f>
        <v>719</v>
      </c>
      <c r="V84" s="3">
        <f>SUM(V66:V83)</f>
        <v>3673</v>
      </c>
    </row>
    <row r="86" spans="1:22" s="3" customFormat="1" x14ac:dyDescent="0.2">
      <c r="A86" s="3" t="s">
        <v>65</v>
      </c>
      <c r="T86" s="3">
        <v>-298</v>
      </c>
      <c r="U86" s="3">
        <v>-252</v>
      </c>
      <c r="V86" s="3">
        <v>-223</v>
      </c>
    </row>
    <row r="87" spans="1:22" s="3" customFormat="1" x14ac:dyDescent="0.2">
      <c r="A87" s="3" t="s">
        <v>96</v>
      </c>
      <c r="T87" s="3">
        <f>-982-1113+500+2291</f>
        <v>696</v>
      </c>
      <c r="U87" s="3">
        <f>-14-1708+376</f>
        <v>-1346</v>
      </c>
      <c r="V87" s="3">
        <f>-52-8774+5069+721</f>
        <v>-3036</v>
      </c>
    </row>
    <row r="88" spans="1:22" s="3" customFormat="1" x14ac:dyDescent="0.2">
      <c r="A88" s="3" t="s">
        <v>9</v>
      </c>
      <c r="T88" s="3">
        <v>-2314</v>
      </c>
      <c r="U88" s="3">
        <v>-59</v>
      </c>
      <c r="V88" s="3">
        <v>0</v>
      </c>
    </row>
    <row r="89" spans="1:22" s="3" customFormat="1" x14ac:dyDescent="0.2">
      <c r="A89" s="3" t="s">
        <v>97</v>
      </c>
      <c r="T89" s="3">
        <v>-297</v>
      </c>
      <c r="U89" s="3">
        <v>0</v>
      </c>
      <c r="V89" s="3">
        <v>0</v>
      </c>
    </row>
    <row r="90" spans="1:22" s="3" customFormat="1" x14ac:dyDescent="0.2">
      <c r="A90" s="3" t="s">
        <v>46</v>
      </c>
      <c r="T90" s="3">
        <v>12</v>
      </c>
      <c r="U90" s="3">
        <v>-6</v>
      </c>
      <c r="V90" s="3">
        <v>33</v>
      </c>
    </row>
    <row r="91" spans="1:22" s="3" customFormat="1" x14ac:dyDescent="0.2">
      <c r="A91" s="3" t="s">
        <v>98</v>
      </c>
      <c r="T91" s="3">
        <f>SUM(T86:T90)</f>
        <v>-2201</v>
      </c>
      <c r="U91" s="3">
        <f>SUM(U86:U90)</f>
        <v>-1663</v>
      </c>
      <c r="V91" s="3">
        <f>SUM(V86:V90)</f>
        <v>-3226</v>
      </c>
    </row>
    <row r="92" spans="1:22" s="3" customFormat="1" x14ac:dyDescent="0.2">
      <c r="A92" s="3" t="s">
        <v>6</v>
      </c>
    </row>
    <row r="93" spans="1:22" s="3" customFormat="1" x14ac:dyDescent="0.2">
      <c r="A93" s="3" t="s">
        <v>99</v>
      </c>
      <c r="T93" s="3">
        <v>675</v>
      </c>
      <c r="U93" s="3">
        <v>255</v>
      </c>
      <c r="V93" s="3">
        <v>0</v>
      </c>
    </row>
    <row r="94" spans="1:22" s="3" customFormat="1" x14ac:dyDescent="0.2">
      <c r="A94" s="3" t="s">
        <v>100</v>
      </c>
      <c r="T94" s="3">
        <v>107</v>
      </c>
      <c r="U94" s="3">
        <v>92</v>
      </c>
      <c r="V94" s="3">
        <v>130</v>
      </c>
    </row>
    <row r="95" spans="1:22" s="3" customFormat="1" x14ac:dyDescent="0.2">
      <c r="A95" s="3" t="s">
        <v>101</v>
      </c>
      <c r="T95" s="3">
        <v>1484</v>
      </c>
      <c r="U95" s="3">
        <v>0</v>
      </c>
      <c r="V95" s="3">
        <v>2824</v>
      </c>
    </row>
    <row r="96" spans="1:22" s="3" customFormat="1" x14ac:dyDescent="0.2">
      <c r="A96" s="3" t="s">
        <v>102</v>
      </c>
      <c r="T96" s="3">
        <f>-27-307-226</f>
        <v>-560</v>
      </c>
      <c r="U96" s="3">
        <f>0-80</f>
        <v>-80</v>
      </c>
      <c r="V96" s="3">
        <f>-2675-25</f>
        <v>-2700</v>
      </c>
    </row>
    <row r="97" spans="1:24" s="3" customFormat="1" x14ac:dyDescent="0.2">
      <c r="A97" s="3" t="s">
        <v>94</v>
      </c>
      <c r="T97" s="3">
        <v>0</v>
      </c>
      <c r="U97" s="3">
        <v>-184</v>
      </c>
      <c r="V97" s="3">
        <v>-171</v>
      </c>
    </row>
    <row r="98" spans="1:24" s="3" customFormat="1" x14ac:dyDescent="0.2">
      <c r="A98" s="3" t="s">
        <v>46</v>
      </c>
      <c r="T98" s="3">
        <v>74</v>
      </c>
      <c r="U98" s="3">
        <v>-68</v>
      </c>
      <c r="V98" s="3">
        <v>-37</v>
      </c>
    </row>
    <row r="99" spans="1:24" s="3" customFormat="1" x14ac:dyDescent="0.2">
      <c r="A99" s="3" t="s">
        <v>103</v>
      </c>
      <c r="T99" s="3">
        <f>SUM(T93:T98)</f>
        <v>1780</v>
      </c>
      <c r="U99" s="3">
        <f>SUM(U93:U98)</f>
        <v>15</v>
      </c>
      <c r="V99" s="3">
        <f>SUM(V93:V98)</f>
        <v>46</v>
      </c>
      <c r="X99" s="3" t="s">
        <v>6</v>
      </c>
    </row>
    <row r="100" spans="1:24" s="3" customFormat="1" x14ac:dyDescent="0.2">
      <c r="A100" s="3" t="s">
        <v>6</v>
      </c>
      <c r="T100" s="3" t="s">
        <v>6</v>
      </c>
      <c r="U100" s="3" t="s">
        <v>6</v>
      </c>
    </row>
    <row r="101" spans="1:24" s="3" customFormat="1" x14ac:dyDescent="0.2">
      <c r="A101" s="3" t="s">
        <v>104</v>
      </c>
      <c r="T101" s="3">
        <f>+T84+T91+T99</f>
        <v>-975</v>
      </c>
      <c r="U101" s="3">
        <f>+U84+U91+U99</f>
        <v>-929</v>
      </c>
      <c r="V101" s="3">
        <f>+V84+V91+V99</f>
        <v>493</v>
      </c>
      <c r="W101" s="3" t="s">
        <v>6</v>
      </c>
    </row>
    <row r="102" spans="1:24" s="3" customFormat="1" x14ac:dyDescent="0.2">
      <c r="U102" s="3">
        <f>+U101/U27</f>
        <v>1.8505976095617529</v>
      </c>
      <c r="V102" s="3">
        <f>+V101/V27</f>
        <v>0.20388751033912325</v>
      </c>
      <c r="X102" s="3" t="s">
        <v>6</v>
      </c>
    </row>
    <row r="103" spans="1:24" s="3" customFormat="1" x14ac:dyDescent="0.2">
      <c r="A103" s="3" t="s">
        <v>105</v>
      </c>
      <c r="T103" s="3">
        <f t="shared" ref="T103:U103" si="42">62/T101</f>
        <v>-6.3589743589743591E-2</v>
      </c>
      <c r="U103" s="3">
        <f t="shared" si="42"/>
        <v>-6.6738428417653387E-2</v>
      </c>
      <c r="V103" s="3">
        <f>62/V101</f>
        <v>0.12576064908722109</v>
      </c>
    </row>
    <row r="104" spans="1:24" s="3" customFormat="1" x14ac:dyDescent="0.2">
      <c r="U104" s="3" t="s">
        <v>6</v>
      </c>
    </row>
    <row r="105" spans="1:24" s="3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Simão Clemente</cp:lastModifiedBy>
  <cp:revision/>
  <dcterms:created xsi:type="dcterms:W3CDTF">2024-12-20T20:38:44Z</dcterms:created>
  <dcterms:modified xsi:type="dcterms:W3CDTF">2025-08-01T15:54:32Z</dcterms:modified>
  <cp:category/>
  <cp:contentStatus/>
</cp:coreProperties>
</file>