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307" documentId="8_{8C176B82-6598-48C2-866A-39F5C41502DD}" xr6:coauthVersionLast="47" xr6:coauthVersionMax="47" xr10:uidLastSave="{325D766A-66D5-467C-8445-3B8F0F2D87A3}"/>
  <bookViews>
    <workbookView xWindow="-105" yWindow="0" windowWidth="14610" windowHeight="15585" xr2:uid="{7C399611-A822-4649-920E-B9DD209178B5}"/>
  </bookViews>
  <sheets>
    <sheet name="main" sheetId="1" r:id="rId1"/>
    <sheet name="mode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3" i="2" l="1"/>
  <c r="X34" i="2"/>
  <c r="X39" i="2" s="1"/>
  <c r="X24" i="2"/>
  <c r="X31" i="2" s="1"/>
  <c r="X23" i="2"/>
  <c r="Y13" i="2" s="1"/>
  <c r="G43" i="2"/>
  <c r="F43" i="2"/>
  <c r="E43" i="2"/>
  <c r="G34" i="2"/>
  <c r="G23" i="2" s="1"/>
  <c r="H23" i="2" s="1"/>
  <c r="G24" i="2"/>
  <c r="G31" i="2" s="1"/>
  <c r="G39" i="2" l="1"/>
  <c r="Y18" i="2" l="1"/>
  <c r="Z18" i="2" s="1"/>
  <c r="AA18" i="2" s="1"/>
  <c r="AB18" i="2" s="1"/>
  <c r="AC18" i="2" s="1"/>
  <c r="AD18" i="2" s="1"/>
  <c r="Y10" i="2"/>
  <c r="Z10" i="2" s="1"/>
  <c r="AA10" i="2" s="1"/>
  <c r="AB10" i="2" s="1"/>
  <c r="AC10" i="2" s="1"/>
  <c r="AD10" i="2" s="1"/>
  <c r="Y9" i="2"/>
  <c r="Z9" i="2" s="1"/>
  <c r="AA9" i="2" s="1"/>
  <c r="AB9" i="2" s="1"/>
  <c r="AC9" i="2" s="1"/>
  <c r="AD9" i="2" s="1"/>
  <c r="Y8" i="2"/>
  <c r="Z8" i="2" s="1"/>
  <c r="AA8" i="2" s="1"/>
  <c r="Y7" i="2"/>
  <c r="Z7" i="2" s="1"/>
  <c r="AA7" i="2" s="1"/>
  <c r="AB7" i="2" s="1"/>
  <c r="AC7" i="2" s="1"/>
  <c r="AD7" i="2" s="1"/>
  <c r="Y6" i="2"/>
  <c r="Z6" i="2" s="1"/>
  <c r="AA6" i="2" s="1"/>
  <c r="AB6" i="2" s="1"/>
  <c r="AC6" i="2" s="1"/>
  <c r="AD6" i="2" s="1"/>
  <c r="V5" i="2"/>
  <c r="V11" i="2"/>
  <c r="W11" i="2"/>
  <c r="W5" i="2"/>
  <c r="X11" i="2"/>
  <c r="X5" i="2"/>
  <c r="Y5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M13" i="2"/>
  <c r="I13" i="2"/>
  <c r="I11" i="2"/>
  <c r="I5" i="2"/>
  <c r="M5" i="2"/>
  <c r="M11" i="2"/>
  <c r="V12" i="2" l="1"/>
  <c r="V14" i="2" s="1"/>
  <c r="V16" i="2" s="1"/>
  <c r="V17" i="2" s="1"/>
  <c r="M12" i="2"/>
  <c r="M21" i="2" s="1"/>
  <c r="W20" i="2"/>
  <c r="M20" i="2"/>
  <c r="Z11" i="2"/>
  <c r="AB8" i="2"/>
  <c r="AC8" i="2" s="1"/>
  <c r="AD8" i="2" s="1"/>
  <c r="AA11" i="2"/>
  <c r="Y11" i="2"/>
  <c r="Y12" i="2" s="1"/>
  <c r="Y14" i="2" s="1"/>
  <c r="Y15" i="2" s="1"/>
  <c r="Z5" i="2"/>
  <c r="Z20" i="2" s="1"/>
  <c r="X20" i="2"/>
  <c r="W12" i="2"/>
  <c r="X12" i="2"/>
  <c r="X21" i="2" s="1"/>
  <c r="Y20" i="2"/>
  <c r="M14" i="2"/>
  <c r="M16" i="2" s="1"/>
  <c r="M17" i="2" s="1"/>
  <c r="I12" i="2"/>
  <c r="C4" i="1"/>
  <c r="C7" i="1" s="1"/>
  <c r="AC11" i="2" l="1"/>
  <c r="AD11" i="2"/>
  <c r="Y21" i="2"/>
  <c r="AA5" i="2"/>
  <c r="Z12" i="2"/>
  <c r="W21" i="2"/>
  <c r="W14" i="2"/>
  <c r="W17" i="2" s="1"/>
  <c r="I14" i="2"/>
  <c r="I16" i="2" s="1"/>
  <c r="I17" i="2" s="1"/>
  <c r="I21" i="2"/>
  <c r="AB11" i="2"/>
  <c r="X14" i="2"/>
  <c r="X16" i="2" s="1"/>
  <c r="X17" i="2" s="1"/>
  <c r="Z21" i="2" l="1"/>
  <c r="AA12" i="2"/>
  <c r="AB5" i="2"/>
  <c r="AA20" i="2"/>
  <c r="Y16" i="2"/>
  <c r="Y23" i="2" s="1"/>
  <c r="Z13" i="2" l="1"/>
  <c r="I23" i="2"/>
  <c r="J23" i="2" s="1"/>
  <c r="K23" i="2" s="1"/>
  <c r="L23" i="2" s="1"/>
  <c r="M23" i="2" s="1"/>
  <c r="Y17" i="2"/>
  <c r="AA21" i="2"/>
  <c r="AB12" i="2"/>
  <c r="AC5" i="2"/>
  <c r="AB20" i="2"/>
  <c r="Z14" i="2" l="1"/>
  <c r="AB21" i="2"/>
  <c r="AC12" i="2"/>
  <c r="AC20" i="2"/>
  <c r="AD5" i="2"/>
  <c r="Z15" i="2" l="1"/>
  <c r="Z16" i="2" s="1"/>
  <c r="AD12" i="2"/>
  <c r="AD20" i="2"/>
  <c r="AC21" i="2"/>
  <c r="Z17" i="2" l="1"/>
  <c r="Z23" i="2"/>
  <c r="AD21" i="2"/>
  <c r="AA13" i="2" l="1"/>
  <c r="AA14" i="2" s="1"/>
  <c r="AA15" i="2" l="1"/>
  <c r="AA16" i="2"/>
  <c r="AA17" i="2" l="1"/>
  <c r="AA23" i="2"/>
  <c r="AB13" i="2" l="1"/>
  <c r="AB14" i="2" s="1"/>
  <c r="AB15" i="2" s="1"/>
  <c r="AB16" i="2" s="1"/>
  <c r="AB17" i="2" s="1"/>
  <c r="AB23" i="2" l="1"/>
  <c r="AC13" i="2" l="1"/>
  <c r="AC14" i="2" s="1"/>
  <c r="AC15" i="2" l="1"/>
  <c r="AC16" i="2"/>
  <c r="AC17" i="2" l="1"/>
  <c r="AC23" i="2"/>
  <c r="AD13" i="2" l="1"/>
  <c r="AD14" i="2" s="1"/>
  <c r="AD15" i="2" s="1"/>
  <c r="AD16" i="2" s="1"/>
  <c r="AD17" i="2" l="1"/>
  <c r="AE16" i="2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AD23" i="2"/>
  <c r="AE23" i="2" l="1"/>
  <c r="AF23" i="2" l="1"/>
  <c r="AG23" i="2" l="1"/>
  <c r="AH23" i="2" l="1"/>
  <c r="Q14" i="2" l="1"/>
  <c r="Q15" i="2" s="1"/>
  <c r="Q16" i="2" s="1"/>
  <c r="AI23" i="2"/>
</calcChain>
</file>

<file path=xl/sharedStrings.xml><?xml version="1.0" encoding="utf-8"?>
<sst xmlns="http://schemas.openxmlformats.org/spreadsheetml/2006/main" count="75" uniqueCount="64">
  <si>
    <t xml:space="preserve">Price </t>
  </si>
  <si>
    <t>Shares</t>
  </si>
  <si>
    <t>MC</t>
  </si>
  <si>
    <t>Cash</t>
  </si>
  <si>
    <t>Debt</t>
  </si>
  <si>
    <t>EV</t>
  </si>
  <si>
    <t>Q424</t>
  </si>
  <si>
    <t>Q2122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</si>
  <si>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</si>
  <si>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</si>
  <si>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</si>
  <si>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</si>
  <si>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</si>
  <si>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</si>
  <si>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</si>
  <si>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</si>
  <si>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</si>
  <si>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</si>
  <si>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</si>
  <si>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 xml:space="preserve">Freight </t>
  </si>
  <si>
    <t>Other</t>
  </si>
  <si>
    <t>Revenue</t>
  </si>
  <si>
    <t>Fuel</t>
  </si>
  <si>
    <t>OPEX</t>
  </si>
  <si>
    <t>Operating Margin</t>
  </si>
  <si>
    <t>Interest Income</t>
  </si>
  <si>
    <t>PRETAX</t>
  </si>
  <si>
    <t>TAX</t>
  </si>
  <si>
    <t>NI</t>
  </si>
  <si>
    <t>EPS</t>
  </si>
  <si>
    <t>Compensation</t>
  </si>
  <si>
    <t>Services/Materials</t>
  </si>
  <si>
    <t>Equiepment</t>
  </si>
  <si>
    <t>Rev y/y</t>
  </si>
  <si>
    <t>Operating Profit</t>
  </si>
  <si>
    <t xml:space="preserve"> </t>
  </si>
  <si>
    <t>ROIC</t>
  </si>
  <si>
    <t>DR</t>
  </si>
  <si>
    <t>NPV</t>
  </si>
  <si>
    <t>Per Share</t>
  </si>
  <si>
    <t>Net Cash</t>
  </si>
  <si>
    <t>AR</t>
  </si>
  <si>
    <t>Inventories</t>
  </si>
  <si>
    <t>OCA</t>
  </si>
  <si>
    <t>PP&amp;E</t>
  </si>
  <si>
    <t>Lease</t>
  </si>
  <si>
    <t>Assets</t>
  </si>
  <si>
    <t>AP</t>
  </si>
  <si>
    <t>DT</t>
  </si>
  <si>
    <t>OLTL</t>
  </si>
  <si>
    <t>SE</t>
  </si>
  <si>
    <t>L+SE</t>
  </si>
  <si>
    <t>CFFO</t>
  </si>
  <si>
    <t>CX</t>
  </si>
  <si>
    <t>FCF</t>
  </si>
  <si>
    <t>Upside</t>
  </si>
  <si>
    <t>main</t>
  </si>
  <si>
    <t xml:space="preserve">Bulk </t>
  </si>
  <si>
    <t>Industrial</t>
  </si>
  <si>
    <t>Premium</t>
  </si>
  <si>
    <t>Grain, fertilizer, food, coal, reneawables</t>
  </si>
  <si>
    <t>Construction, chemicals, plastics, forest, waste, salt, roofing, metal</t>
  </si>
  <si>
    <t xml:space="preserve">Autos, Parts, etc… </t>
  </si>
  <si>
    <t xml:space="preserve">Founded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</si>
</sst>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9" fontId="0" fillId="0" borderId="0" xfId="0" applyNumberFormat="1"/>
    <xf numFmtId="8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2" fillId="0" borderId="0" xfId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A9B4-9577-4B8E-9EB7-722D83EDE39D}">
  <dimension ref="B2:D14"/>
  <sheetViews>
    <sheetView tabSelected="1" topLeftCell="A1048539" workbookViewId="0">
      <selection activeCell="A1048573" sqref="A1048573"/>
    </sheetView>
  </sheetViews>
  <sheetFormatPr defaultRowHeight="14.25" x14ac:dyDescent="0.2"/>
  <sheetData>
    <row r="2" spans="2:4" x14ac:dyDescent="0.2">
      <c r="B2" t="s">
        <v>0</v>
      </c>
      <c r="C2" s="1">
        <v>220</v>
      </c>
    </row>
    <row r="3" spans="2:4" x14ac:dyDescent="0.2">
      <c r="B3" t="s">
        <v>1</v>
      </c>
      <c r="C3" s="1">
        <v>604.28599999999994</v>
      </c>
      <c r="D3" t="s">
        <v>6</v>
      </c>
    </row>
    <row r="4" spans="2:4" x14ac:dyDescent="0.2">
      <c r="B4" t="s">
        <v>2</v>
      </c>
      <c r="C4" s="1">
        <f>+C2*C3</f>
        <v>132942.91999999998</v>
      </c>
    </row>
    <row r="5" spans="2:4" x14ac:dyDescent="0.2">
      <c r="B5" t="s">
        <v>3</v>
      </c>
      <c r="C5" s="1">
        <v>3700</v>
      </c>
      <c r="D5" t="s">
        <v>6</v>
      </c>
    </row>
    <row r="6" spans="2:4" x14ac:dyDescent="0.2">
      <c r="B6" t="s">
        <v>4</v>
      </c>
      <c r="C6" s="1">
        <v>31192</v>
      </c>
      <c r="D6" t="s">
        <v>6</v>
      </c>
    </row>
    <row r="7" spans="2:4" x14ac:dyDescent="0.2">
      <c r="B7" t="s">
        <v>5</v>
      </c>
      <c r="C7" s="1">
        <f>+C4-C5+C6</f>
        <v>160434.91999999998</v>
      </c>
    </row>
    <row r="9" spans="2:4" x14ac:dyDescent="0.2">
      <c r="B9" t="s">
        <v>63</v>
      </c>
      <c r="C9">
        <v>1969</v>
      </c>
    </row>
    <row r="12" spans="2:4" x14ac:dyDescent="0.2">
      <c r="B12" t="s">
        <v>57</v>
      </c>
      <c r="C12" t="s">
        <v>60</v>
      </c>
    </row>
    <row r="13" spans="2:4" x14ac:dyDescent="0.2">
      <c r="B13" t="s">
        <v>58</v>
      </c>
      <c r="C13" t="s">
        <v>61</v>
      </c>
    </row>
    <row r="14" spans="2:4" x14ac:dyDescent="0.2">
      <c r="B14" t="s">
        <v>59</v>
      </c>
      <c r="C14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4843-D457-4A74-A41F-71792BF3E503}">
  <dimension ref="A1:BM43"/>
  <sheetViews>
    <sheetView zoomScale="115" zoomScaleNormal="115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19" sqref="B19"/>
    </sheetView>
  </sheetViews>
  <sheetFormatPr defaultRowHeight="14.25" x14ac:dyDescent="0.2"/>
  <cols>
    <col min="2" max="2" width="23.5" bestFit="1" customWidth="1"/>
    <col min="17" max="17" width="11.875" bestFit="1" customWidth="1"/>
  </cols>
  <sheetData>
    <row r="1" spans="1:65" x14ac:dyDescent="0.2">
      <c r="A1" s="6" t="s">
        <v>56</v>
      </c>
    </row>
    <row r="2" spans="1:65" x14ac:dyDescent="0.2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6</v>
      </c>
      <c r="O2" t="s">
        <v>18</v>
      </c>
      <c r="V2">
        <v>2022</v>
      </c>
      <c r="W2">
        <f>+V2+1</f>
        <v>2023</v>
      </c>
      <c r="X2">
        <f t="shared" ref="X2:AI2" si="0">+W2+1</f>
        <v>2024</v>
      </c>
      <c r="Y2">
        <f t="shared" si="0"/>
        <v>2025</v>
      </c>
      <c r="Z2">
        <f t="shared" si="0"/>
        <v>2026</v>
      </c>
      <c r="AA2">
        <f t="shared" si="0"/>
        <v>2027</v>
      </c>
      <c r="AB2">
        <f t="shared" si="0"/>
        <v>2028</v>
      </c>
      <c r="AC2">
        <f t="shared" si="0"/>
        <v>2029</v>
      </c>
      <c r="AD2">
        <f t="shared" si="0"/>
        <v>2030</v>
      </c>
      <c r="AE2">
        <f t="shared" si="0"/>
        <v>2031</v>
      </c>
      <c r="AF2">
        <f t="shared" si="0"/>
        <v>2032</v>
      </c>
      <c r="AG2">
        <f t="shared" si="0"/>
        <v>2033</v>
      </c>
      <c r="AH2">
        <f t="shared" si="0"/>
        <v>2034</v>
      </c>
      <c r="AI2">
        <f t="shared" si="0"/>
        <v>2035</v>
      </c>
      <c r="AJ2" t="s">
        <v>35</v>
      </c>
    </row>
    <row r="3" spans="1:65" x14ac:dyDescent="0.2">
      <c r="B3" t="s">
        <v>19</v>
      </c>
      <c r="I3">
        <v>5545</v>
      </c>
      <c r="M3">
        <v>5768</v>
      </c>
      <c r="V3">
        <v>23159</v>
      </c>
      <c r="W3">
        <v>22571</v>
      </c>
      <c r="X3">
        <v>22811</v>
      </c>
    </row>
    <row r="4" spans="1:65" x14ac:dyDescent="0.2">
      <c r="B4" t="s">
        <v>20</v>
      </c>
      <c r="I4">
        <v>396</v>
      </c>
      <c r="M4">
        <v>323</v>
      </c>
      <c r="V4">
        <v>1716</v>
      </c>
      <c r="W4">
        <v>1548</v>
      </c>
      <c r="X4">
        <v>1439</v>
      </c>
    </row>
    <row r="5" spans="1:65" s="4" customFormat="1" ht="15" x14ac:dyDescent="0.25">
      <c r="B5" s="4" t="s">
        <v>21</v>
      </c>
      <c r="I5" s="4">
        <f>+I3+I4</f>
        <v>5941</v>
      </c>
      <c r="M5" s="4">
        <f>+M3+M4</f>
        <v>6091</v>
      </c>
      <c r="V5" s="4">
        <f>+V3+V4</f>
        <v>24875</v>
      </c>
      <c r="W5" s="4">
        <f>+W3+W4</f>
        <v>24119</v>
      </c>
      <c r="X5" s="4">
        <f>+X3+X4</f>
        <v>24250</v>
      </c>
      <c r="Y5" s="4">
        <f>+X5*1.03</f>
        <v>24977.5</v>
      </c>
      <c r="Z5" s="4">
        <f t="shared" ref="Z5:AD5" si="1">+Y5*1.03</f>
        <v>25726.825000000001</v>
      </c>
      <c r="AA5" s="4">
        <f t="shared" si="1"/>
        <v>26498.62975</v>
      </c>
      <c r="AB5" s="4">
        <f t="shared" si="1"/>
        <v>27293.588642499999</v>
      </c>
      <c r="AC5" s="4">
        <f t="shared" si="1"/>
        <v>28112.396301774999</v>
      </c>
      <c r="AD5" s="4">
        <f t="shared" si="1"/>
        <v>28955.76819082825</v>
      </c>
    </row>
    <row r="6" spans="1:65" x14ac:dyDescent="0.2">
      <c r="B6" t="s">
        <v>30</v>
      </c>
      <c r="I6">
        <v>1201</v>
      </c>
      <c r="M6">
        <v>1228</v>
      </c>
      <c r="V6">
        <v>4645</v>
      </c>
      <c r="W6">
        <v>4818</v>
      </c>
      <c r="X6">
        <v>4899</v>
      </c>
      <c r="Y6">
        <f>+X6*1.02</f>
        <v>4996.9800000000005</v>
      </c>
      <c r="Z6">
        <f t="shared" ref="Z6:AD6" si="2">+Y6*1.02</f>
        <v>5096.9196000000002</v>
      </c>
      <c r="AA6">
        <f t="shared" si="2"/>
        <v>5198.8579920000002</v>
      </c>
      <c r="AB6">
        <f t="shared" si="2"/>
        <v>5302.8351518400004</v>
      </c>
      <c r="AC6">
        <f t="shared" si="2"/>
        <v>5408.8918548768006</v>
      </c>
      <c r="AD6">
        <f t="shared" si="2"/>
        <v>5517.0696919743368</v>
      </c>
    </row>
    <row r="7" spans="1:65" x14ac:dyDescent="0.2">
      <c r="B7" t="s">
        <v>31</v>
      </c>
      <c r="I7">
        <v>668</v>
      </c>
      <c r="M7">
        <v>644</v>
      </c>
      <c r="V7">
        <v>2442</v>
      </c>
      <c r="W7">
        <v>2616</v>
      </c>
      <c r="X7">
        <v>2520</v>
      </c>
      <c r="Y7">
        <f t="shared" ref="Y7:AD10" si="3">+X7*1.02</f>
        <v>2570.4</v>
      </c>
      <c r="Z7">
        <f t="shared" si="3"/>
        <v>2621.808</v>
      </c>
      <c r="AA7">
        <f t="shared" si="3"/>
        <v>2674.2441600000002</v>
      </c>
      <c r="AB7">
        <f t="shared" si="3"/>
        <v>2727.7290432000004</v>
      </c>
      <c r="AC7">
        <f t="shared" si="3"/>
        <v>2782.2836240640004</v>
      </c>
      <c r="AD7">
        <f t="shared" si="3"/>
        <v>2837.9292965452805</v>
      </c>
    </row>
    <row r="8" spans="1:65" x14ac:dyDescent="0.2">
      <c r="B8" t="s">
        <v>22</v>
      </c>
      <c r="I8">
        <v>702</v>
      </c>
      <c r="M8">
        <v>610</v>
      </c>
      <c r="V8">
        <v>3439</v>
      </c>
      <c r="W8">
        <v>2891</v>
      </c>
      <c r="X8">
        <v>2474</v>
      </c>
      <c r="Y8">
        <f t="shared" si="3"/>
        <v>2523.48</v>
      </c>
      <c r="Z8">
        <f t="shared" si="3"/>
        <v>2573.9495999999999</v>
      </c>
      <c r="AA8">
        <f t="shared" si="3"/>
        <v>2625.4285919999998</v>
      </c>
      <c r="AB8">
        <f t="shared" si="3"/>
        <v>2677.9371638399998</v>
      </c>
      <c r="AC8">
        <f t="shared" si="3"/>
        <v>2731.4959071168</v>
      </c>
      <c r="AD8">
        <f t="shared" si="3"/>
        <v>2786.125825259136</v>
      </c>
    </row>
    <row r="9" spans="1:65" x14ac:dyDescent="0.2">
      <c r="B9" t="s">
        <v>32</v>
      </c>
      <c r="I9">
        <v>235</v>
      </c>
      <c r="M9">
        <v>237</v>
      </c>
      <c r="V9">
        <v>2246</v>
      </c>
      <c r="W9">
        <v>2318</v>
      </c>
      <c r="X9">
        <v>2398</v>
      </c>
      <c r="Y9">
        <f t="shared" si="3"/>
        <v>2445.96</v>
      </c>
      <c r="Z9">
        <f t="shared" si="3"/>
        <v>2494.8791999999999</v>
      </c>
      <c r="AA9">
        <f t="shared" si="3"/>
        <v>2544.7767839999997</v>
      </c>
      <c r="AB9">
        <f t="shared" si="3"/>
        <v>2595.6723196799999</v>
      </c>
      <c r="AC9">
        <f t="shared" si="3"/>
        <v>2647.5857660736001</v>
      </c>
      <c r="AD9">
        <f t="shared" si="3"/>
        <v>2700.5374813950721</v>
      </c>
    </row>
    <row r="10" spans="1:65" x14ac:dyDescent="0.2">
      <c r="B10" t="s">
        <v>20</v>
      </c>
      <c r="I10">
        <v>378</v>
      </c>
      <c r="M10">
        <v>354</v>
      </c>
      <c r="V10">
        <v>1288</v>
      </c>
      <c r="W10">
        <v>1447</v>
      </c>
      <c r="X10">
        <v>1326</v>
      </c>
      <c r="Y10">
        <f t="shared" si="3"/>
        <v>1352.52</v>
      </c>
      <c r="Z10">
        <f t="shared" si="3"/>
        <v>1379.5704000000001</v>
      </c>
      <c r="AA10">
        <f t="shared" si="3"/>
        <v>1407.1618080000001</v>
      </c>
      <c r="AB10">
        <f t="shared" si="3"/>
        <v>1435.3050441600001</v>
      </c>
      <c r="AC10">
        <f t="shared" si="3"/>
        <v>1464.0111450432</v>
      </c>
      <c r="AD10">
        <f t="shared" si="3"/>
        <v>1493.2913679440639</v>
      </c>
    </row>
    <row r="11" spans="1:65" x14ac:dyDescent="0.2">
      <c r="B11" t="s">
        <v>23</v>
      </c>
      <c r="I11">
        <f>+SUM(I6:I10)</f>
        <v>3184</v>
      </c>
      <c r="M11">
        <f>+SUM(M6:M10)</f>
        <v>3073</v>
      </c>
      <c r="V11">
        <f>+SUM(V6:V10)</f>
        <v>14060</v>
      </c>
      <c r="W11">
        <f>+SUM(W6:W10)</f>
        <v>14090</v>
      </c>
      <c r="X11">
        <f>+SUM(X6:X10)</f>
        <v>13617</v>
      </c>
      <c r="Y11">
        <f t="shared" ref="Y11:AD11" si="4">+SUM(Y6:Y10)</f>
        <v>13889.34</v>
      </c>
      <c r="Z11">
        <f t="shared" si="4"/>
        <v>14167.1268</v>
      </c>
      <c r="AA11">
        <f t="shared" si="4"/>
        <v>14450.469336</v>
      </c>
      <c r="AB11">
        <f t="shared" si="4"/>
        <v>14739.478722719999</v>
      </c>
      <c r="AC11">
        <f t="shared" si="4"/>
        <v>15034.2682971744</v>
      </c>
      <c r="AD11">
        <f t="shared" si="4"/>
        <v>15334.953663117889</v>
      </c>
    </row>
    <row r="12" spans="1:65" x14ac:dyDescent="0.2">
      <c r="B12" t="s">
        <v>34</v>
      </c>
      <c r="I12">
        <f>+I5-I11</f>
        <v>2757</v>
      </c>
      <c r="M12">
        <f>+M5-M11</f>
        <v>3018</v>
      </c>
      <c r="P12" t="s">
        <v>36</v>
      </c>
      <c r="Q12" s="2">
        <v>0.02</v>
      </c>
      <c r="V12">
        <f>+V5-V11</f>
        <v>10815</v>
      </c>
      <c r="W12">
        <f>+W5-W11</f>
        <v>10029</v>
      </c>
      <c r="X12">
        <f>+X5-X11</f>
        <v>10633</v>
      </c>
      <c r="Y12">
        <f t="shared" ref="Y12:AD12" si="5">+Y5-Y11</f>
        <v>11088.16</v>
      </c>
      <c r="Z12">
        <f t="shared" si="5"/>
        <v>11559.698200000001</v>
      </c>
      <c r="AA12">
        <f t="shared" si="5"/>
        <v>12048.160414</v>
      </c>
      <c r="AB12">
        <f t="shared" si="5"/>
        <v>12554.109919779999</v>
      </c>
      <c r="AC12">
        <f t="shared" si="5"/>
        <v>13078.1280046006</v>
      </c>
      <c r="AD12">
        <f t="shared" si="5"/>
        <v>13620.814527710361</v>
      </c>
    </row>
    <row r="13" spans="1:65" x14ac:dyDescent="0.2">
      <c r="B13" t="s">
        <v>25</v>
      </c>
      <c r="I13">
        <f>106-334+1949</f>
        <v>1721</v>
      </c>
      <c r="M13">
        <f>87-314+2189</f>
        <v>1962</v>
      </c>
      <c r="P13" t="s">
        <v>37</v>
      </c>
      <c r="Q13" s="2">
        <v>0.06</v>
      </c>
      <c r="V13">
        <v>-1271</v>
      </c>
      <c r="W13">
        <v>-1340</v>
      </c>
      <c r="X13">
        <v>-1326</v>
      </c>
      <c r="Y13">
        <f>+X23*$Q$12</f>
        <v>-549.84</v>
      </c>
      <c r="Z13">
        <f>+Y23*$Q$12</f>
        <v>-296.92032</v>
      </c>
      <c r="AA13">
        <f>+Z23*$Q$12</f>
        <v>-26.613650879999952</v>
      </c>
      <c r="AB13">
        <f>+AA23*$Q$12</f>
        <v>261.90347143488009</v>
      </c>
      <c r="AC13">
        <f>+AB23*$Q$12</f>
        <v>569.48779282403723</v>
      </c>
      <c r="AD13">
        <f>+AC23*$Q$12</f>
        <v>897.03057196222846</v>
      </c>
    </row>
    <row r="14" spans="1:65" x14ac:dyDescent="0.2">
      <c r="B14" t="s">
        <v>26</v>
      </c>
      <c r="I14">
        <f>+I12+I13</f>
        <v>4478</v>
      </c>
      <c r="M14">
        <f>+M12+M13</f>
        <v>4980</v>
      </c>
      <c r="P14" t="s">
        <v>38</v>
      </c>
      <c r="Q14" s="3">
        <f>+NPV(Q13,Y16:BM16)-main!C5+main!C6</f>
        <v>258061.47958074024</v>
      </c>
      <c r="V14">
        <f>+V12+V13</f>
        <v>9544</v>
      </c>
      <c r="W14">
        <f>+W12+W13</f>
        <v>8689</v>
      </c>
      <c r="X14">
        <f>+X12+X13</f>
        <v>9307</v>
      </c>
      <c r="Y14">
        <f t="shared" ref="Y14:AD14" si="6">+Y12+Y13</f>
        <v>10538.32</v>
      </c>
      <c r="Z14">
        <f t="shared" si="6"/>
        <v>11262.777880000001</v>
      </c>
      <c r="AA14">
        <f t="shared" si="6"/>
        <v>12021.546763120001</v>
      </c>
      <c r="AB14">
        <f t="shared" si="6"/>
        <v>12816.013391214879</v>
      </c>
      <c r="AC14">
        <f t="shared" si="6"/>
        <v>13647.615797424636</v>
      </c>
      <c r="AD14">
        <f t="shared" si="6"/>
        <v>14517.84509967259</v>
      </c>
    </row>
    <row r="15" spans="1:65" x14ac:dyDescent="0.2">
      <c r="B15" t="s">
        <v>27</v>
      </c>
      <c r="I15">
        <v>-421</v>
      </c>
      <c r="M15">
        <v>-518</v>
      </c>
      <c r="P15" t="s">
        <v>39</v>
      </c>
      <c r="Q15">
        <f>+Q14/main!C3</f>
        <v>427.05189195304916</v>
      </c>
      <c r="V15">
        <v>-2074</v>
      </c>
      <c r="W15">
        <v>-1.8540000000000001</v>
      </c>
      <c r="X15">
        <v>-2047</v>
      </c>
      <c r="Y15">
        <f>+Y14*0.2</f>
        <v>2107.6640000000002</v>
      </c>
      <c r="Z15">
        <f t="shared" ref="Z15:AD15" si="7">+Z14*0.2</f>
        <v>2252.5555760000002</v>
      </c>
      <c r="AA15">
        <f t="shared" si="7"/>
        <v>2404.3093526240004</v>
      </c>
      <c r="AB15">
        <f t="shared" si="7"/>
        <v>2563.2026782429762</v>
      </c>
      <c r="AC15">
        <f t="shared" si="7"/>
        <v>2729.5231594849274</v>
      </c>
      <c r="AD15">
        <f t="shared" si="7"/>
        <v>2903.5690199345181</v>
      </c>
    </row>
    <row r="16" spans="1:65" s="4" customFormat="1" ht="15" x14ac:dyDescent="0.25">
      <c r="B16" s="4" t="s">
        <v>28</v>
      </c>
      <c r="I16" s="4">
        <f>+I14+I15</f>
        <v>4057</v>
      </c>
      <c r="M16" s="4">
        <f>+M14+M15</f>
        <v>4462</v>
      </c>
      <c r="P16" s="4" t="s">
        <v>55</v>
      </c>
      <c r="Q16" s="5">
        <f>+Q15/main!C2-1</f>
        <v>0.94114496342295073</v>
      </c>
      <c r="V16" s="4">
        <f>+V14+V15</f>
        <v>7470</v>
      </c>
      <c r="W16" s="4">
        <v>-1854</v>
      </c>
      <c r="X16" s="4">
        <f>+X14+X15</f>
        <v>7260</v>
      </c>
      <c r="Y16" s="4">
        <f t="shared" ref="Y16:AD16" si="8">+Y14+Y15</f>
        <v>12645.984</v>
      </c>
      <c r="Z16" s="4">
        <f t="shared" si="8"/>
        <v>13515.333456000002</v>
      </c>
      <c r="AA16" s="4">
        <f t="shared" si="8"/>
        <v>14425.856115744002</v>
      </c>
      <c r="AB16" s="4">
        <f t="shared" si="8"/>
        <v>15379.216069457856</v>
      </c>
      <c r="AC16" s="4">
        <f t="shared" si="8"/>
        <v>16377.138956909563</v>
      </c>
      <c r="AD16" s="4">
        <f t="shared" si="8"/>
        <v>17421.414119607107</v>
      </c>
      <c r="AE16" s="4">
        <f>+AD16*0.99</f>
        <v>17247.199978411034</v>
      </c>
      <c r="AF16" s="4">
        <f t="shared" ref="AF16:BM16" si="9">+AE16*0.99</f>
        <v>17074.727978626925</v>
      </c>
      <c r="AG16" s="4">
        <f t="shared" si="9"/>
        <v>16903.980698840656</v>
      </c>
      <c r="AH16" s="4">
        <f t="shared" si="9"/>
        <v>16734.940891852249</v>
      </c>
      <c r="AI16" s="4">
        <f t="shared" si="9"/>
        <v>16567.591482933727</v>
      </c>
      <c r="AJ16" s="4">
        <f t="shared" si="9"/>
        <v>16401.915568104389</v>
      </c>
      <c r="AK16" s="4">
        <f t="shared" si="9"/>
        <v>16237.896412423344</v>
      </c>
      <c r="AL16" s="4">
        <f t="shared" si="9"/>
        <v>16075.517448299111</v>
      </c>
      <c r="AM16" s="4">
        <f t="shared" si="9"/>
        <v>15914.762273816121</v>
      </c>
      <c r="AN16" s="4">
        <f t="shared" si="9"/>
        <v>15755.61465107796</v>
      </c>
      <c r="AO16" s="4">
        <f t="shared" si="9"/>
        <v>15598.05850456718</v>
      </c>
      <c r="AP16" s="4">
        <f t="shared" si="9"/>
        <v>15442.077919521507</v>
      </c>
      <c r="AQ16" s="4">
        <f t="shared" si="9"/>
        <v>15287.657140326291</v>
      </c>
      <c r="AR16" s="4">
        <f t="shared" si="9"/>
        <v>15134.780568923028</v>
      </c>
      <c r="AS16" s="4">
        <f t="shared" si="9"/>
        <v>14983.432763233797</v>
      </c>
      <c r="AT16" s="4">
        <f t="shared" si="9"/>
        <v>14833.59843560146</v>
      </c>
      <c r="AU16" s="4">
        <f t="shared" si="9"/>
        <v>14685.262451245444</v>
      </c>
      <c r="AV16" s="4">
        <f t="shared" si="9"/>
        <v>14538.40982673299</v>
      </c>
      <c r="AW16" s="4">
        <f t="shared" si="9"/>
        <v>14393.02572846566</v>
      </c>
      <c r="AX16" s="4">
        <f t="shared" si="9"/>
        <v>14249.095471181003</v>
      </c>
      <c r="AY16" s="4">
        <f t="shared" si="9"/>
        <v>14106.604516469193</v>
      </c>
      <c r="AZ16" s="4">
        <f t="shared" si="9"/>
        <v>13965.5384713045</v>
      </c>
      <c r="BA16" s="4">
        <f t="shared" si="9"/>
        <v>13825.883086591455</v>
      </c>
      <c r="BB16" s="4">
        <f t="shared" si="9"/>
        <v>13687.624255725541</v>
      </c>
      <c r="BC16" s="4">
        <f t="shared" si="9"/>
        <v>13550.748013168286</v>
      </c>
      <c r="BD16" s="4">
        <f t="shared" si="9"/>
        <v>13415.240533036604</v>
      </c>
      <c r="BE16" s="4">
        <f t="shared" si="9"/>
        <v>13281.088127706238</v>
      </c>
      <c r="BF16" s="4">
        <f t="shared" si="9"/>
        <v>13148.277246429176</v>
      </c>
      <c r="BG16" s="4">
        <f t="shared" si="9"/>
        <v>13016.794473964885</v>
      </c>
      <c r="BH16" s="4">
        <f t="shared" si="9"/>
        <v>12886.626529225236</v>
      </c>
      <c r="BI16" s="4">
        <f t="shared" si="9"/>
        <v>12757.760263932983</v>
      </c>
      <c r="BJ16" s="4">
        <f t="shared" si="9"/>
        <v>12630.182661293653</v>
      </c>
      <c r="BK16" s="4">
        <f t="shared" si="9"/>
        <v>12503.880834680716</v>
      </c>
      <c r="BL16" s="4">
        <f t="shared" si="9"/>
        <v>12378.842026333909</v>
      </c>
      <c r="BM16" s="4">
        <f t="shared" si="9"/>
        <v>12255.053606070569</v>
      </c>
    </row>
    <row r="17" spans="2:35" x14ac:dyDescent="0.2">
      <c r="B17" t="s">
        <v>29</v>
      </c>
      <c r="I17">
        <f>+I16/I18</f>
        <v>6.6836902800658979</v>
      </c>
      <c r="M17">
        <f>+M16/M18</f>
        <v>7.3509060955518946</v>
      </c>
      <c r="V17">
        <f>+V16/V18</f>
        <v>11.996145816605106</v>
      </c>
      <c r="W17">
        <f>+W16/W18</f>
        <v>-3.0433355219960601</v>
      </c>
      <c r="X17">
        <f>+X16/X18</f>
        <v>11.948650427913099</v>
      </c>
      <c r="Y17">
        <f t="shared" ref="Y17:AD17" si="10">+Y16/Y18</f>
        <v>20.813008558262013</v>
      </c>
      <c r="Z17">
        <f t="shared" si="10"/>
        <v>22.243800947992103</v>
      </c>
      <c r="AA17">
        <f t="shared" si="10"/>
        <v>23.742357004186967</v>
      </c>
      <c r="AB17">
        <f t="shared" si="10"/>
        <v>25.311415519186728</v>
      </c>
      <c r="AC17">
        <f t="shared" si="10"/>
        <v>26.953816584775449</v>
      </c>
      <c r="AD17">
        <f t="shared" si="10"/>
        <v>28.672505134310576</v>
      </c>
    </row>
    <row r="18" spans="2:35" x14ac:dyDescent="0.2">
      <c r="B18" t="s">
        <v>1</v>
      </c>
      <c r="I18">
        <v>607</v>
      </c>
      <c r="M18">
        <v>607</v>
      </c>
      <c r="V18">
        <v>622.70000000000005</v>
      </c>
      <c r="W18">
        <v>609.20000000000005</v>
      </c>
      <c r="X18">
        <v>607.6</v>
      </c>
      <c r="Y18">
        <f>+X18</f>
        <v>607.6</v>
      </c>
      <c r="Z18">
        <f t="shared" ref="Z18:AD18" si="11">+Y18</f>
        <v>607.6</v>
      </c>
      <c r="AA18">
        <f t="shared" si="11"/>
        <v>607.6</v>
      </c>
      <c r="AB18">
        <f t="shared" si="11"/>
        <v>607.6</v>
      </c>
      <c r="AC18">
        <f t="shared" si="11"/>
        <v>607.6</v>
      </c>
      <c r="AD18">
        <f t="shared" si="11"/>
        <v>607.6</v>
      </c>
    </row>
    <row r="20" spans="2:35" x14ac:dyDescent="0.2">
      <c r="B20" t="s">
        <v>33</v>
      </c>
      <c r="I20" s="2" t="s">
        <v>35</v>
      </c>
      <c r="M20" s="2">
        <f>+M5/I5-1</f>
        <v>2.5248274701228812E-2</v>
      </c>
      <c r="W20" s="2">
        <f>+W5/V5-1</f>
        <v>-3.0391959798995005E-2</v>
      </c>
      <c r="X20" s="2">
        <f t="shared" ref="X20:AD20" si="12">+X5/W5-1</f>
        <v>5.4314026286330641E-3</v>
      </c>
      <c r="Y20" s="2">
        <f t="shared" si="12"/>
        <v>3.0000000000000027E-2</v>
      </c>
      <c r="Z20" s="2">
        <f t="shared" si="12"/>
        <v>3.0000000000000027E-2</v>
      </c>
      <c r="AA20" s="2">
        <f t="shared" si="12"/>
        <v>3.0000000000000027E-2</v>
      </c>
      <c r="AB20" s="2">
        <f t="shared" si="12"/>
        <v>3.0000000000000027E-2</v>
      </c>
      <c r="AC20" s="2">
        <f t="shared" si="12"/>
        <v>3.0000000000000027E-2</v>
      </c>
      <c r="AD20" s="2">
        <f t="shared" si="12"/>
        <v>3.0000000000000027E-2</v>
      </c>
      <c r="AE20" s="2"/>
      <c r="AF20" s="2"/>
      <c r="AG20" s="2"/>
      <c r="AH20" s="2"/>
      <c r="AI20" s="2"/>
    </row>
    <row r="21" spans="2:35" x14ac:dyDescent="0.2">
      <c r="B21" t="s">
        <v>24</v>
      </c>
      <c r="I21" s="2">
        <f>+I12/I5</f>
        <v>0.4640632890085844</v>
      </c>
      <c r="M21" s="2">
        <f>+M12/M5</f>
        <v>0.4954851420128058</v>
      </c>
      <c r="W21" s="2">
        <f>+W12/W5</f>
        <v>0.41581325925618806</v>
      </c>
      <c r="X21" s="2">
        <f t="shared" ref="X21:AD21" si="13">+X12/X5</f>
        <v>0.43847422680412373</v>
      </c>
      <c r="Y21" s="2">
        <f t="shared" si="13"/>
        <v>0.44392593334000602</v>
      </c>
      <c r="Z21" s="2">
        <f t="shared" si="13"/>
        <v>0.44932471068621954</v>
      </c>
      <c r="AA21" s="2">
        <f t="shared" si="13"/>
        <v>0.45467107271839219</v>
      </c>
      <c r="AB21" s="2">
        <f t="shared" si="13"/>
        <v>0.45996552832306797</v>
      </c>
      <c r="AC21" s="2">
        <f t="shared" si="13"/>
        <v>0.46520858144614496</v>
      </c>
      <c r="AD21" s="2">
        <f t="shared" si="13"/>
        <v>0.47040073114084258</v>
      </c>
      <c r="AE21" s="2"/>
      <c r="AF21" s="2"/>
      <c r="AG21" s="2"/>
      <c r="AH21" s="2"/>
      <c r="AI21" s="2"/>
    </row>
    <row r="23" spans="2:35" x14ac:dyDescent="0.2">
      <c r="B23" t="s">
        <v>40</v>
      </c>
      <c r="G23" s="1">
        <f>+G24-G34</f>
        <v>-27492</v>
      </c>
      <c r="H23" s="1">
        <f>+G23+H17</f>
        <v>-27492</v>
      </c>
      <c r="I23" s="1">
        <f>+H23+I17</f>
        <v>-27485.316309719936</v>
      </c>
      <c r="J23" s="1">
        <f>+I23+J17</f>
        <v>-27485.316309719936</v>
      </c>
      <c r="K23" s="1">
        <f>+J23+K17</f>
        <v>-27485.316309719936</v>
      </c>
      <c r="L23" s="1">
        <f>+K23+L17</f>
        <v>-27485.316309719936</v>
      </c>
      <c r="M23" s="1">
        <f>+L23+M17</f>
        <v>-27477.965403624385</v>
      </c>
      <c r="V23" t="s">
        <v>35</v>
      </c>
      <c r="X23" s="1">
        <f>+X24-X34</f>
        <v>-27492</v>
      </c>
      <c r="Y23" s="1">
        <f>+X23+Y16</f>
        <v>-14846.016</v>
      </c>
      <c r="Z23" s="1">
        <f t="shared" ref="Z23:AI23" si="14">+Y23+Z16</f>
        <v>-1330.6825439999975</v>
      </c>
      <c r="AA23" s="1">
        <f t="shared" si="14"/>
        <v>13095.173571744004</v>
      </c>
      <c r="AB23" s="1">
        <f t="shared" si="14"/>
        <v>28474.389641201858</v>
      </c>
      <c r="AC23" s="1">
        <f t="shared" si="14"/>
        <v>44851.528598111421</v>
      </c>
      <c r="AD23" s="1">
        <f t="shared" si="14"/>
        <v>62272.942717718528</v>
      </c>
      <c r="AE23" s="1">
        <f t="shared" si="14"/>
        <v>79520.142696129566</v>
      </c>
      <c r="AF23" s="1">
        <f t="shared" si="14"/>
        <v>96594.870674756487</v>
      </c>
      <c r="AG23" s="1">
        <f t="shared" si="14"/>
        <v>113498.85137359714</v>
      </c>
      <c r="AH23" s="1">
        <f t="shared" si="14"/>
        <v>130233.79226544939</v>
      </c>
      <c r="AI23" s="1">
        <f t="shared" si="14"/>
        <v>146801.38374838312</v>
      </c>
    </row>
    <row r="24" spans="2:35" x14ac:dyDescent="0.2">
      <c r="B24" s="1" t="s">
        <v>3</v>
      </c>
      <c r="C24" s="1"/>
      <c r="D24" s="1"/>
      <c r="E24" s="1"/>
      <c r="F24" s="1"/>
      <c r="G24" s="1">
        <f>1016+20+2664</f>
        <v>3700</v>
      </c>
      <c r="H24" s="1"/>
      <c r="I24" s="1"/>
      <c r="J24" s="1"/>
      <c r="K24" s="1"/>
      <c r="L24" s="1"/>
      <c r="M24" s="1"/>
      <c r="X24" s="1">
        <f>1016+20+2664</f>
        <v>3700</v>
      </c>
    </row>
    <row r="25" spans="2:35" x14ac:dyDescent="0.2">
      <c r="B25" s="1" t="s">
        <v>41</v>
      </c>
      <c r="C25" s="1"/>
      <c r="D25" s="1"/>
      <c r="E25" s="1"/>
      <c r="F25" s="1"/>
      <c r="G25" s="1">
        <v>1894</v>
      </c>
      <c r="H25" s="1"/>
      <c r="I25" s="1"/>
      <c r="J25" s="1"/>
      <c r="K25" s="1"/>
      <c r="L25" s="1"/>
      <c r="M25" s="1"/>
      <c r="X25" s="1">
        <v>1894</v>
      </c>
    </row>
    <row r="26" spans="2:35" x14ac:dyDescent="0.2">
      <c r="B26" s="1" t="s">
        <v>42</v>
      </c>
      <c r="C26" s="1"/>
      <c r="D26" s="1"/>
      <c r="E26" s="1"/>
      <c r="F26" s="1"/>
      <c r="G26" s="1">
        <v>769</v>
      </c>
      <c r="H26" s="1"/>
      <c r="I26" s="1"/>
      <c r="J26" s="1"/>
      <c r="K26" s="1"/>
      <c r="L26" s="1"/>
      <c r="M26" s="1"/>
      <c r="X26" s="1">
        <v>769</v>
      </c>
    </row>
    <row r="27" spans="2:35" x14ac:dyDescent="0.2">
      <c r="B27" s="1" t="s">
        <v>43</v>
      </c>
      <c r="C27" s="1"/>
      <c r="D27" s="1"/>
      <c r="E27" s="1"/>
      <c r="F27" s="1"/>
      <c r="G27" s="1">
        <v>322</v>
      </c>
      <c r="H27" s="1"/>
      <c r="I27" s="1"/>
      <c r="J27" s="1"/>
      <c r="K27" s="1"/>
      <c r="L27" s="1"/>
      <c r="M27" s="1"/>
      <c r="X27" s="1">
        <v>322</v>
      </c>
    </row>
    <row r="28" spans="2:35" x14ac:dyDescent="0.2">
      <c r="B28" s="1" t="s">
        <v>44</v>
      </c>
      <c r="C28" s="1"/>
      <c r="D28" s="1"/>
      <c r="E28" s="1"/>
      <c r="F28" s="1"/>
      <c r="G28" s="1">
        <v>58343</v>
      </c>
      <c r="H28" s="1"/>
      <c r="I28" s="1"/>
      <c r="J28" s="1"/>
      <c r="K28" s="1"/>
      <c r="L28" s="1"/>
      <c r="M28" s="1"/>
      <c r="X28" s="1">
        <v>58343</v>
      </c>
    </row>
    <row r="29" spans="2:35" x14ac:dyDescent="0.2">
      <c r="B29" s="1" t="s">
        <v>45</v>
      </c>
      <c r="C29" s="1"/>
      <c r="D29" s="1"/>
      <c r="E29" s="1"/>
      <c r="F29" s="1"/>
      <c r="G29" s="1">
        <v>1297</v>
      </c>
      <c r="H29" s="1"/>
      <c r="I29" s="1"/>
      <c r="J29" s="1"/>
      <c r="K29" s="1"/>
      <c r="L29" s="1"/>
      <c r="M29" s="1"/>
      <c r="X29" s="1">
        <v>1297</v>
      </c>
    </row>
    <row r="30" spans="2:35" x14ac:dyDescent="0.2">
      <c r="B30" s="1" t="s">
        <v>20</v>
      </c>
      <c r="C30" s="1"/>
      <c r="D30" s="1"/>
      <c r="E30" s="1"/>
      <c r="F30" s="1"/>
      <c r="G30" s="1">
        <v>1390</v>
      </c>
      <c r="H30" s="1"/>
      <c r="I30" s="1"/>
      <c r="J30" s="1"/>
      <c r="K30" s="1"/>
      <c r="L30" s="1"/>
      <c r="M30" s="1"/>
      <c r="X30" s="1">
        <v>1390</v>
      </c>
    </row>
    <row r="31" spans="2:35" x14ac:dyDescent="0.2">
      <c r="B31" s="1" t="s">
        <v>46</v>
      </c>
      <c r="C31" s="1"/>
      <c r="D31" s="1"/>
      <c r="E31" s="1"/>
      <c r="F31" s="1"/>
      <c r="G31" s="1">
        <f>SUM(G24:G30)</f>
        <v>67715</v>
      </c>
      <c r="H31" s="1"/>
      <c r="I31" s="1"/>
      <c r="J31" s="1"/>
      <c r="K31" s="1"/>
      <c r="L31" s="1"/>
      <c r="M31" s="1"/>
      <c r="X31" s="1">
        <f>SUM(X24:X30)</f>
        <v>67715</v>
      </c>
    </row>
    <row r="33" spans="2:24" x14ac:dyDescent="0.2">
      <c r="B33" s="1" t="s">
        <v>47</v>
      </c>
      <c r="C33" s="1"/>
      <c r="D33" s="1"/>
      <c r="E33" s="1"/>
      <c r="F33" s="1"/>
      <c r="G33" s="1">
        <v>3829</v>
      </c>
      <c r="H33" s="1"/>
      <c r="I33" s="1"/>
      <c r="J33" s="1"/>
      <c r="K33" s="1"/>
      <c r="L33" s="1"/>
      <c r="M33" s="1"/>
      <c r="X33" s="1">
        <v>3829</v>
      </c>
    </row>
    <row r="34" spans="2:24" x14ac:dyDescent="0.2">
      <c r="B34" s="1" t="s">
        <v>4</v>
      </c>
      <c r="C34" s="1"/>
      <c r="D34" s="1"/>
      <c r="E34" s="1"/>
      <c r="F34" s="1"/>
      <c r="G34" s="1">
        <f>1425+29767</f>
        <v>31192</v>
      </c>
      <c r="H34" s="1"/>
      <c r="I34" s="1"/>
      <c r="J34" s="1"/>
      <c r="K34" s="1"/>
      <c r="L34" s="1"/>
      <c r="M34" s="1"/>
      <c r="X34" s="1">
        <f>1425+29767</f>
        <v>31192</v>
      </c>
    </row>
    <row r="35" spans="2:24" x14ac:dyDescent="0.2">
      <c r="B35" s="1" t="s">
        <v>45</v>
      </c>
      <c r="C35" s="1"/>
      <c r="D35" s="1"/>
      <c r="E35" s="1"/>
      <c r="F35" s="1"/>
      <c r="G35" s="1">
        <v>925</v>
      </c>
      <c r="H35" s="1"/>
      <c r="I35" s="1"/>
      <c r="J35" s="1"/>
      <c r="K35" s="1"/>
      <c r="L35" s="1"/>
      <c r="M35" s="1"/>
      <c r="X35" s="1">
        <v>925</v>
      </c>
    </row>
    <row r="36" spans="2:24" x14ac:dyDescent="0.2">
      <c r="B36" s="1" t="s">
        <v>48</v>
      </c>
      <c r="C36" s="1"/>
      <c r="D36" s="1"/>
      <c r="E36" s="1"/>
      <c r="F36" s="1"/>
      <c r="G36" s="1">
        <v>13151</v>
      </c>
      <c r="H36" s="1"/>
      <c r="I36" s="1"/>
      <c r="J36" s="1"/>
      <c r="K36" s="1"/>
      <c r="L36" s="1"/>
      <c r="M36" s="1"/>
      <c r="X36" s="1">
        <v>13151</v>
      </c>
    </row>
    <row r="37" spans="2:24" x14ac:dyDescent="0.2">
      <c r="B37" s="1" t="s">
        <v>49</v>
      </c>
      <c r="C37" s="1"/>
      <c r="D37" s="1"/>
      <c r="E37" s="1"/>
      <c r="F37" s="1"/>
      <c r="G37" s="1">
        <v>1728</v>
      </c>
      <c r="H37" s="1"/>
      <c r="I37" s="1"/>
      <c r="J37" s="1"/>
      <c r="K37" s="1"/>
      <c r="L37" s="1"/>
      <c r="M37" s="1"/>
      <c r="X37" s="1">
        <v>1728</v>
      </c>
    </row>
    <row r="38" spans="2:24" x14ac:dyDescent="0.2">
      <c r="B38" s="1" t="s">
        <v>50</v>
      </c>
      <c r="C38" s="1"/>
      <c r="D38" s="1"/>
      <c r="E38" s="1"/>
      <c r="F38" s="1"/>
      <c r="G38" s="1">
        <v>16890</v>
      </c>
      <c r="H38" s="1"/>
      <c r="I38" s="1"/>
      <c r="J38" s="1"/>
      <c r="K38" s="1"/>
      <c r="L38" s="1"/>
      <c r="M38" s="1"/>
      <c r="X38" s="1">
        <v>16890</v>
      </c>
    </row>
    <row r="39" spans="2:24" x14ac:dyDescent="0.2">
      <c r="B39" s="1" t="s">
        <v>51</v>
      </c>
      <c r="C39" s="1"/>
      <c r="D39" s="1"/>
      <c r="E39" s="1"/>
      <c r="F39" s="1"/>
      <c r="G39" s="1">
        <f>SUM(G33:G38)</f>
        <v>67715</v>
      </c>
      <c r="H39" s="1"/>
      <c r="I39" s="1"/>
      <c r="J39" s="1"/>
      <c r="K39" s="1"/>
      <c r="L39" s="1"/>
      <c r="M39" s="1"/>
      <c r="X39" s="1">
        <f>SUM(X33:X38)</f>
        <v>67715</v>
      </c>
    </row>
    <row r="41" spans="2:24" x14ac:dyDescent="0.2">
      <c r="B41" s="1" t="s">
        <v>52</v>
      </c>
      <c r="C41" s="1"/>
      <c r="D41" s="1"/>
      <c r="E41" s="1">
        <v>9362</v>
      </c>
      <c r="F41" s="1">
        <v>8379</v>
      </c>
      <c r="G41" s="1">
        <v>9346</v>
      </c>
      <c r="H41" s="1"/>
      <c r="I41" s="1"/>
      <c r="J41" s="1"/>
      <c r="K41" s="1"/>
      <c r="L41" s="1"/>
      <c r="M41" s="1"/>
      <c r="X41" s="1">
        <v>9346</v>
      </c>
    </row>
    <row r="42" spans="2:24" x14ac:dyDescent="0.2">
      <c r="B42" s="1" t="s">
        <v>53</v>
      </c>
      <c r="C42" s="1"/>
      <c r="D42" s="1"/>
      <c r="E42" s="1">
        <v>3620</v>
      </c>
      <c r="F42" s="1">
        <v>3606</v>
      </c>
      <c r="G42" s="1">
        <v>3452</v>
      </c>
      <c r="H42" s="1"/>
      <c r="I42" s="1"/>
      <c r="J42" s="1"/>
      <c r="K42" s="1"/>
      <c r="L42" s="1"/>
      <c r="M42" s="1"/>
      <c r="X42" s="1">
        <v>3452</v>
      </c>
    </row>
    <row r="43" spans="2:24" x14ac:dyDescent="0.2">
      <c r="B43" s="1" t="s">
        <v>54</v>
      </c>
      <c r="C43" s="1"/>
      <c r="D43" s="1"/>
      <c r="E43" s="1">
        <f>+E41-E42</f>
        <v>5742</v>
      </c>
      <c r="F43" s="1">
        <f>+F41-F42</f>
        <v>4773</v>
      </c>
      <c r="G43" s="1">
        <f>+G41-G42</f>
        <v>5894</v>
      </c>
      <c r="H43" s="1"/>
      <c r="I43" s="1"/>
      <c r="J43" s="1"/>
      <c r="K43" s="1"/>
      <c r="L43" s="1"/>
      <c r="M43" s="1"/>
      <c r="X43" s="1">
        <f>+X41-X42</f>
        <v>5894</v>
      </c>
    </row>
  </sheetData>
  <hyperlinks>
    <hyperlink ref="A1" location="main!A1" display="main" xr:uid="{9526F964-6F85-44E6-99A9-9BCC726295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2025-04-18T08:59:08Z</dcterms:created>
  <dcterms:modified xsi:type="dcterms:W3CDTF">2025-04-18T21:27:36Z</dcterms:modified>
</cp:coreProperties>
</file>