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1" documentId="8_{E93A6741-EA70-4BCB-9F35-7FE6BDBEABF6}" xr6:coauthVersionLast="47" xr6:coauthVersionMax="47" xr10:uidLastSave="{C9398F78-9361-40DC-8113-4FBCDF0268DC}"/>
  <bookViews>
    <workbookView xWindow="-105" yWindow="0" windowWidth="14610" windowHeight="15585" activeTab="1" xr2:uid="{2D4DD9F4-D985-4312-A11D-1B02377D644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2" l="1"/>
  <c r="R10" i="2"/>
  <c r="R7" i="2"/>
  <c r="R22" i="2" s="1"/>
  <c r="L4" i="1"/>
  <c r="L7" i="1" s="1"/>
  <c r="O18" i="2"/>
  <c r="P18" i="2"/>
  <c r="O19" i="2" s="1"/>
  <c r="Q18" i="2"/>
  <c r="R18" i="2" s="1"/>
  <c r="G22" i="2"/>
  <c r="F22" i="2"/>
  <c r="E22" i="2"/>
  <c r="G11" i="2"/>
  <c r="F11" i="2"/>
  <c r="E11" i="2"/>
  <c r="D11" i="2"/>
  <c r="C11" i="2"/>
  <c r="H11" i="2"/>
  <c r="H22" i="2"/>
  <c r="Q15" i="2"/>
  <c r="Q13" i="2"/>
  <c r="Q10" i="2"/>
  <c r="Q11" i="2" s="1"/>
  <c r="Q8" i="2"/>
  <c r="Q7" i="2"/>
  <c r="Q9" i="2" s="1"/>
  <c r="Q23" i="2" s="1"/>
  <c r="P15" i="2"/>
  <c r="P13" i="2"/>
  <c r="P10" i="2"/>
  <c r="P11" i="2" s="1"/>
  <c r="P8" i="2"/>
  <c r="P7" i="2"/>
  <c r="C28" i="2"/>
  <c r="O15" i="2"/>
  <c r="O13" i="2"/>
  <c r="O10" i="2"/>
  <c r="O11" i="2" s="1"/>
  <c r="O8" i="2"/>
  <c r="O7" i="2"/>
  <c r="P2" i="2"/>
  <c r="Q2" i="2" s="1"/>
  <c r="R2" i="2" s="1"/>
  <c r="S2" i="2" s="1"/>
  <c r="T2" i="2" s="1"/>
  <c r="U2" i="2" s="1"/>
  <c r="V2" i="2" s="1"/>
  <c r="W2" i="2" s="1"/>
  <c r="C46" i="2"/>
  <c r="C37" i="2"/>
  <c r="D28" i="2"/>
  <c r="O28" i="2" s="1"/>
  <c r="C9" i="2"/>
  <c r="D57" i="2"/>
  <c r="G46" i="2"/>
  <c r="F46" i="2"/>
  <c r="E46" i="2"/>
  <c r="D46" i="2"/>
  <c r="H46" i="2"/>
  <c r="D37" i="2"/>
  <c r="D9" i="2"/>
  <c r="E37" i="2"/>
  <c r="E28" i="2"/>
  <c r="G37" i="2"/>
  <c r="G28" i="2"/>
  <c r="E9" i="2"/>
  <c r="E57" i="2"/>
  <c r="G57" i="2"/>
  <c r="F28" i="2"/>
  <c r="P28" i="2" s="1"/>
  <c r="H28" i="2"/>
  <c r="Q28" i="2" s="1"/>
  <c r="R13" i="2" s="1"/>
  <c r="G9" i="2"/>
  <c r="G23" i="2" s="1"/>
  <c r="F57" i="2"/>
  <c r="F37" i="2"/>
  <c r="F9" i="2"/>
  <c r="F23" i="2" s="1"/>
  <c r="H57" i="2"/>
  <c r="H37" i="2"/>
  <c r="H9" i="2"/>
  <c r="B8" i="1"/>
  <c r="S18" i="2" l="1"/>
  <c r="Q19" i="2"/>
  <c r="R9" i="2"/>
  <c r="S7" i="2"/>
  <c r="P19" i="2"/>
  <c r="T10" i="2"/>
  <c r="U10" i="2" s="1"/>
  <c r="V10" i="2" s="1"/>
  <c r="W10" i="2" s="1"/>
  <c r="E12" i="2"/>
  <c r="E24" i="2" s="1"/>
  <c r="C12" i="2"/>
  <c r="C24" i="2" s="1"/>
  <c r="D12" i="2"/>
  <c r="D14" i="2" s="1"/>
  <c r="H12" i="2"/>
  <c r="H24" i="2" s="1"/>
  <c r="P22" i="2"/>
  <c r="F12" i="2"/>
  <c r="F14" i="2" s="1"/>
  <c r="F25" i="2" s="1"/>
  <c r="Q12" i="2"/>
  <c r="Q14" i="2" s="1"/>
  <c r="H23" i="2"/>
  <c r="G12" i="2"/>
  <c r="Q22" i="2"/>
  <c r="E23" i="2"/>
  <c r="C23" i="2"/>
  <c r="D23" i="2"/>
  <c r="C48" i="2"/>
  <c r="C49" i="2" s="1"/>
  <c r="O9" i="2"/>
  <c r="O23" i="2" s="1"/>
  <c r="D48" i="2"/>
  <c r="E48" i="2"/>
  <c r="E49" i="2" s="1"/>
  <c r="P9" i="2"/>
  <c r="P23" i="2" s="1"/>
  <c r="H48" i="2"/>
  <c r="H49" i="2" s="1"/>
  <c r="G48" i="2"/>
  <c r="F48" i="2"/>
  <c r="T7" i="2" l="1"/>
  <c r="S9" i="2"/>
  <c r="E14" i="2"/>
  <c r="E16" i="2" s="1"/>
  <c r="E52" i="2" s="1"/>
  <c r="D24" i="2"/>
  <c r="T18" i="2"/>
  <c r="R19" i="2"/>
  <c r="R11" i="2"/>
  <c r="P12" i="2"/>
  <c r="P14" i="2" s="1"/>
  <c r="P25" i="2" s="1"/>
  <c r="C14" i="2"/>
  <c r="C16" i="2" s="1"/>
  <c r="C51" i="2" s="1"/>
  <c r="F16" i="2"/>
  <c r="F51" i="2" s="1"/>
  <c r="F24" i="2"/>
  <c r="Q24" i="2"/>
  <c r="H14" i="2"/>
  <c r="O12" i="2"/>
  <c r="G14" i="2"/>
  <c r="G24" i="2"/>
  <c r="D16" i="2"/>
  <c r="D51" i="2" s="1"/>
  <c r="D25" i="2"/>
  <c r="Q25" i="2"/>
  <c r="Q16" i="2"/>
  <c r="Q20" i="2" s="1"/>
  <c r="D49" i="2"/>
  <c r="G49" i="2"/>
  <c r="F49" i="2"/>
  <c r="U18" i="2" l="1"/>
  <c r="S19" i="2"/>
  <c r="E25" i="2"/>
  <c r="T9" i="2"/>
  <c r="U7" i="2"/>
  <c r="R23" i="2"/>
  <c r="R12" i="2"/>
  <c r="R24" i="2" s="1"/>
  <c r="S22" i="2"/>
  <c r="H25" i="2"/>
  <c r="H16" i="2"/>
  <c r="H52" i="2" s="1"/>
  <c r="C25" i="2"/>
  <c r="F52" i="2"/>
  <c r="S11" i="2"/>
  <c r="P16" i="2"/>
  <c r="P24" i="2"/>
  <c r="C52" i="2"/>
  <c r="F26" i="2"/>
  <c r="O24" i="2"/>
  <c r="O14" i="2"/>
  <c r="G25" i="2"/>
  <c r="G16" i="2"/>
  <c r="D52" i="2"/>
  <c r="E26" i="2"/>
  <c r="E51" i="2"/>
  <c r="V18" i="2" l="1"/>
  <c r="T19" i="2"/>
  <c r="U9" i="2"/>
  <c r="V7" i="2"/>
  <c r="S23" i="2"/>
  <c r="S12" i="2"/>
  <c r="S24" i="2" s="1"/>
  <c r="R14" i="2"/>
  <c r="T22" i="2"/>
  <c r="H51" i="2"/>
  <c r="H26" i="2"/>
  <c r="T11" i="2"/>
  <c r="G26" i="2"/>
  <c r="G51" i="2"/>
  <c r="G52" i="2"/>
  <c r="O16" i="2"/>
  <c r="O25" i="2"/>
  <c r="W18" i="2" l="1"/>
  <c r="U19" i="2"/>
  <c r="W7" i="2"/>
  <c r="W9" i="2" s="1"/>
  <c r="V9" i="2"/>
  <c r="T23" i="2"/>
  <c r="T12" i="2"/>
  <c r="T24" i="2" s="1"/>
  <c r="R15" i="2"/>
  <c r="R25" i="2" s="1"/>
  <c r="U22" i="2"/>
  <c r="U11" i="2"/>
  <c r="Q26" i="2"/>
  <c r="P26" i="2"/>
  <c r="V19" i="2" l="1"/>
  <c r="W19" i="2"/>
  <c r="R16" i="2"/>
  <c r="R17" i="2" s="1"/>
  <c r="U23" i="2"/>
  <c r="U12" i="2"/>
  <c r="U24" i="2" s="1"/>
  <c r="V22" i="2"/>
  <c r="W11" i="2"/>
  <c r="V11" i="2"/>
  <c r="R28" i="2" l="1"/>
  <c r="S13" i="2" s="1"/>
  <c r="R26" i="2"/>
  <c r="R20" i="2"/>
  <c r="V23" i="2"/>
  <c r="V12" i="2"/>
  <c r="V24" i="2" s="1"/>
  <c r="W22" i="2"/>
  <c r="S14" i="2" l="1"/>
  <c r="S15" i="2" s="1"/>
  <c r="S25" i="2" s="1"/>
  <c r="W23" i="2"/>
  <c r="W12" i="2"/>
  <c r="W24" i="2" s="1"/>
  <c r="S16" i="2" l="1"/>
  <c r="S17" i="2" l="1"/>
  <c r="S28" i="2"/>
  <c r="T13" i="2" s="1"/>
  <c r="S20" i="2"/>
  <c r="S26" i="2"/>
  <c r="T14" i="2" l="1"/>
  <c r="T15" i="2" l="1"/>
  <c r="T25" i="2" s="1"/>
  <c r="T16" i="2" l="1"/>
  <c r="T28" i="2" s="1"/>
  <c r="U13" i="2" s="1"/>
  <c r="T26" i="2" l="1"/>
  <c r="T20" i="2"/>
  <c r="T17" i="2"/>
  <c r="U14" i="2"/>
  <c r="U15" i="2" l="1"/>
  <c r="U25" i="2" s="1"/>
  <c r="U16" i="2" l="1"/>
  <c r="U17" i="2" s="1"/>
  <c r="U28" i="2" l="1"/>
  <c r="V13" i="2" s="1"/>
  <c r="V14" i="2" s="1"/>
  <c r="U20" i="2"/>
  <c r="U26" i="2"/>
  <c r="V15" i="2" l="1"/>
  <c r="V25" i="2" s="1"/>
  <c r="V16" i="2"/>
  <c r="V17" i="2" l="1"/>
  <c r="V26" i="2"/>
  <c r="V20" i="2"/>
  <c r="V28" i="2"/>
  <c r="W13" i="2" s="1"/>
  <c r="W14" i="2" l="1"/>
  <c r="W15" i="2" l="1"/>
  <c r="W25" i="2" s="1"/>
  <c r="W16" i="2" l="1"/>
  <c r="W17" i="2" l="1"/>
  <c r="X16" i="2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K24" i="2" s="1"/>
  <c r="K25" i="2" s="1"/>
  <c r="K26" i="2" s="1"/>
  <c r="W26" i="2"/>
  <c r="W20" i="2"/>
  <c r="W28" i="2"/>
  <c r="X28" i="2" l="1"/>
  <c r="Y28" i="2" s="1"/>
  <c r="Z28" i="2" s="1"/>
  <c r="AA28" i="2" s="1"/>
  <c r="AB28" i="2" s="1"/>
  <c r="AC28" i="2" s="1"/>
  <c r="AD28" i="2" s="1"/>
</calcChain>
</file>

<file path=xl/sharedStrings.xml><?xml version="1.0" encoding="utf-8"?>
<sst xmlns="http://schemas.openxmlformats.org/spreadsheetml/2006/main" count="95" uniqueCount="69">
  <si>
    <t xml:space="preserve"> </t>
  </si>
  <si>
    <t>Price</t>
  </si>
  <si>
    <t>Shares</t>
  </si>
  <si>
    <t>MC</t>
  </si>
  <si>
    <t>Cash</t>
  </si>
  <si>
    <t>Debt</t>
  </si>
  <si>
    <t>EV</t>
  </si>
  <si>
    <t xml:space="preserve">Institutional ownership </t>
  </si>
  <si>
    <t>%</t>
  </si>
  <si>
    <t>S224</t>
  </si>
  <si>
    <t>S122</t>
  </si>
  <si>
    <t>S222</t>
  </si>
  <si>
    <t>S123</t>
  </si>
  <si>
    <t>S223</t>
  </si>
  <si>
    <t>S124</t>
  </si>
  <si>
    <t>S125</t>
  </si>
  <si>
    <t>Revenue</t>
  </si>
  <si>
    <t>COGS</t>
  </si>
  <si>
    <t>Gross Profit</t>
  </si>
  <si>
    <t>GA</t>
  </si>
  <si>
    <t>OPEX</t>
  </si>
  <si>
    <t>Interest Income</t>
  </si>
  <si>
    <t>Pretaxe</t>
  </si>
  <si>
    <t>Tax</t>
  </si>
  <si>
    <t>NI</t>
  </si>
  <si>
    <t>EPS</t>
  </si>
  <si>
    <t>NC</t>
  </si>
  <si>
    <t>Intangible</t>
  </si>
  <si>
    <t>Development Cost</t>
  </si>
  <si>
    <t>Rights UA</t>
  </si>
  <si>
    <t>PPE</t>
  </si>
  <si>
    <t>DT</t>
  </si>
  <si>
    <t>Trade n Other Receivebles</t>
  </si>
  <si>
    <t>Contract Assets</t>
  </si>
  <si>
    <t xml:space="preserve">Assets </t>
  </si>
  <si>
    <t>Trade Paybles</t>
  </si>
  <si>
    <t>Leases</t>
  </si>
  <si>
    <t>Contracts</t>
  </si>
  <si>
    <t>Accrueals n Other Creditors</t>
  </si>
  <si>
    <t>Taxes</t>
  </si>
  <si>
    <t>Liabilities</t>
  </si>
  <si>
    <t>SE</t>
  </si>
  <si>
    <t>L+SE</t>
  </si>
  <si>
    <t>ROA</t>
  </si>
  <si>
    <t>ROE</t>
  </si>
  <si>
    <t>CFFF</t>
  </si>
  <si>
    <t>CFFI</t>
  </si>
  <si>
    <t>CFFO</t>
  </si>
  <si>
    <t>CFC</t>
  </si>
  <si>
    <t>X</t>
  </si>
  <si>
    <t>Rev y/y</t>
  </si>
  <si>
    <t>Gross Margin</t>
  </si>
  <si>
    <t>Operating Margin</t>
  </si>
  <si>
    <t>Tax Rate</t>
  </si>
  <si>
    <t>NI y/y</t>
  </si>
  <si>
    <t>Operating Profit</t>
  </si>
  <si>
    <t>MR</t>
  </si>
  <si>
    <t>DR</t>
  </si>
  <si>
    <t>NPV</t>
  </si>
  <si>
    <t>Per share</t>
  </si>
  <si>
    <t>EV/E</t>
  </si>
  <si>
    <t>Ratio</t>
  </si>
  <si>
    <t>Share Dillution</t>
  </si>
  <si>
    <t>ARR</t>
  </si>
  <si>
    <t>Soluna</t>
  </si>
  <si>
    <t>75K</t>
  </si>
  <si>
    <t>custis</t>
  </si>
  <si>
    <t>Kooth is an online anonymous text based counseling service from trained mental health professionals to work with children and young people</t>
  </si>
  <si>
    <t>Most recurring rev comes from govern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</si>
</sst>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164" fontId="2" fillId="0" borderId="0" xfId="0" applyNumberFormat="1" applyFont="1"/>
    <xf numFmtId="3" fontId="2" fillId="0" borderId="0" xfId="0" applyNumberFormat="1" applyFont="1"/>
    <xf numFmtId="164" fontId="3" fillId="0" borderId="0" xfId="0" applyNumberFormat="1" applyFont="1"/>
    <xf numFmtId="9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553F-4EED-4BE2-9153-7330BD1D5390}">
  <dimension ref="B1:M14"/>
  <sheetViews>
    <sheetView workbookViewId="0">
      <selection activeCell="B15" sqref="B15"/>
    </sheetView>
  </sheetViews>
  <sheetFormatPr defaultRowHeight="15" x14ac:dyDescent="0.25"/>
  <sheetData>
    <row r="1" spans="2:13" x14ac:dyDescent="0.25">
      <c r="B1" t="s">
        <v>0</v>
      </c>
    </row>
    <row r="2" spans="2:13" x14ac:dyDescent="0.25">
      <c r="B2" t="s">
        <v>0</v>
      </c>
      <c r="K2" s="2" t="s">
        <v>1</v>
      </c>
      <c r="L2" s="3">
        <v>1.55</v>
      </c>
      <c r="M2" t="s">
        <v>9</v>
      </c>
    </row>
    <row r="3" spans="2:13" x14ac:dyDescent="0.25">
      <c r="K3" s="2" t="s">
        <v>2</v>
      </c>
      <c r="L3" s="2">
        <v>36.694682999999998</v>
      </c>
    </row>
    <row r="4" spans="2:13" x14ac:dyDescent="0.25">
      <c r="K4" s="2" t="s">
        <v>3</v>
      </c>
      <c r="L4" s="2">
        <f>+L3*L2</f>
        <v>56.876758649999999</v>
      </c>
      <c r="M4" t="s">
        <v>0</v>
      </c>
    </row>
    <row r="5" spans="2:13" x14ac:dyDescent="0.25">
      <c r="K5" s="2" t="s">
        <v>4</v>
      </c>
      <c r="L5" s="2">
        <v>21.841000000000001</v>
      </c>
      <c r="M5" t="s">
        <v>9</v>
      </c>
    </row>
    <row r="6" spans="2:13" x14ac:dyDescent="0.25">
      <c r="K6" s="2" t="s">
        <v>5</v>
      </c>
      <c r="L6" s="2">
        <v>0</v>
      </c>
      <c r="M6" t="s">
        <v>9</v>
      </c>
    </row>
    <row r="7" spans="2:13" x14ac:dyDescent="0.25">
      <c r="B7" s="1" t="s">
        <v>7</v>
      </c>
      <c r="K7" s="2" t="s">
        <v>6</v>
      </c>
      <c r="L7" s="2">
        <f>+L4-L5+L6</f>
        <v>35.035758649999998</v>
      </c>
    </row>
    <row r="8" spans="2:13" x14ac:dyDescent="0.25">
      <c r="B8">
        <f>25.8+9.8+9+7.3+6.8+6.7+6.5</f>
        <v>71.899999999999991</v>
      </c>
      <c r="C8" t="s">
        <v>8</v>
      </c>
    </row>
    <row r="10" spans="2:13" x14ac:dyDescent="0.25">
      <c r="B10" t="s">
        <v>64</v>
      </c>
      <c r="H10" t="s">
        <v>0</v>
      </c>
      <c r="K10" s="2"/>
    </row>
    <row r="11" spans="2:13" x14ac:dyDescent="0.25">
      <c r="B11" t="s">
        <v>65</v>
      </c>
      <c r="C11" t="s">
        <v>66</v>
      </c>
      <c r="H11" t="s">
        <v>0</v>
      </c>
    </row>
    <row r="12" spans="2:13" x14ac:dyDescent="0.25">
      <c r="H12" t="s">
        <v>0</v>
      </c>
    </row>
    <row r="13" spans="2:13" x14ac:dyDescent="0.25">
      <c r="B13" t="s">
        <v>67</v>
      </c>
    </row>
    <row r="14" spans="2:13" x14ac:dyDescent="0.25">
      <c r="B1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C964-5D0B-4EFE-90A4-93730CBCF8A3}">
  <dimension ref="B1:CN5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L18" sqref="L18"/>
    </sheetView>
  </sheetViews>
  <sheetFormatPr defaultRowHeight="14.25" x14ac:dyDescent="0.2"/>
  <cols>
    <col min="1" max="1" width="9.140625" style="4"/>
    <col min="2" max="2" width="14.7109375" style="4" bestFit="1" customWidth="1"/>
    <col min="3" max="16384" width="9.140625" style="4"/>
  </cols>
  <sheetData>
    <row r="1" spans="2:92" x14ac:dyDescent="0.2">
      <c r="G1" s="4" t="s">
        <v>49</v>
      </c>
    </row>
    <row r="2" spans="2:92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9</v>
      </c>
      <c r="I2" s="4" t="s">
        <v>15</v>
      </c>
      <c r="O2" s="5">
        <v>2022</v>
      </c>
      <c r="P2" s="5">
        <f>+O2+1</f>
        <v>2023</v>
      </c>
      <c r="Q2" s="5">
        <f t="shared" ref="Q2:W2" si="0">+P2+1</f>
        <v>2024</v>
      </c>
      <c r="R2" s="5">
        <f t="shared" si="0"/>
        <v>2025</v>
      </c>
      <c r="S2" s="5">
        <f t="shared" si="0"/>
        <v>2026</v>
      </c>
      <c r="T2" s="5">
        <f t="shared" si="0"/>
        <v>2027</v>
      </c>
      <c r="U2" s="5">
        <f t="shared" si="0"/>
        <v>2028</v>
      </c>
      <c r="V2" s="5">
        <f t="shared" si="0"/>
        <v>2029</v>
      </c>
      <c r="W2" s="5">
        <f t="shared" si="0"/>
        <v>2030</v>
      </c>
    </row>
    <row r="3" spans="2:92" x14ac:dyDescent="0.2">
      <c r="B3" s="4" t="s">
        <v>63</v>
      </c>
      <c r="O3" s="5"/>
      <c r="P3" s="5"/>
      <c r="Q3" s="5"/>
      <c r="R3" s="5"/>
      <c r="S3" s="5"/>
      <c r="T3" s="5"/>
      <c r="U3" s="5"/>
      <c r="V3" s="5"/>
      <c r="W3" s="5"/>
    </row>
    <row r="4" spans="2:92" x14ac:dyDescent="0.2">
      <c r="O4" s="5"/>
      <c r="P4" s="5"/>
      <c r="Q4" s="5"/>
      <c r="R4" s="5"/>
      <c r="S4" s="5"/>
      <c r="T4" s="5"/>
      <c r="U4" s="5"/>
      <c r="V4" s="5"/>
      <c r="W4" s="5"/>
    </row>
    <row r="7" spans="2:92" x14ac:dyDescent="0.2">
      <c r="B7" s="4" t="s">
        <v>16</v>
      </c>
      <c r="C7" s="4">
        <v>9.0220000000000002</v>
      </c>
      <c r="D7" s="4">
        <v>20.12</v>
      </c>
      <c r="E7" s="4">
        <v>11.66</v>
      </c>
      <c r="F7" s="4">
        <v>33.337000000000003</v>
      </c>
      <c r="G7" s="4">
        <v>32.494</v>
      </c>
      <c r="H7" s="4">
        <v>66.744</v>
      </c>
      <c r="O7" s="4">
        <f>+SUM(C7:D7)</f>
        <v>29.142000000000003</v>
      </c>
      <c r="P7" s="4">
        <f>+SUM(E7:F7)</f>
        <v>44.997</v>
      </c>
      <c r="Q7" s="4">
        <f>+SUM(G7:H7)</f>
        <v>99.238</v>
      </c>
      <c r="R7" s="4">
        <f>+Q7*1.3</f>
        <v>129.0094</v>
      </c>
      <c r="S7" s="4">
        <f t="shared" ref="S7:T7" si="1">+R7*1.3</f>
        <v>167.71222</v>
      </c>
      <c r="T7" s="4">
        <f t="shared" si="1"/>
        <v>218.02588600000001</v>
      </c>
      <c r="U7" s="4">
        <f>+T7*1.2</f>
        <v>261.63106320000003</v>
      </c>
      <c r="V7" s="4">
        <f t="shared" ref="V7:W7" si="2">+U7*1.2</f>
        <v>313.95727584000002</v>
      </c>
      <c r="W7" s="4">
        <f t="shared" si="2"/>
        <v>376.74873100799999</v>
      </c>
    </row>
    <row r="8" spans="2:92" x14ac:dyDescent="0.2">
      <c r="B8" s="4" t="s">
        <v>17</v>
      </c>
      <c r="C8" s="4">
        <v>2.8519999999999999</v>
      </c>
      <c r="D8" s="4">
        <v>6.2649999999999997</v>
      </c>
      <c r="E8" s="4">
        <v>3.8719999999999999</v>
      </c>
      <c r="F8" s="4">
        <v>7.48</v>
      </c>
      <c r="G8" s="4">
        <v>5.7270000000000003</v>
      </c>
      <c r="H8" s="4">
        <v>14.757</v>
      </c>
      <c r="O8" s="4">
        <f>+SUM(C8:D8)</f>
        <v>9.1169999999999991</v>
      </c>
      <c r="P8" s="4">
        <f>+SUM(E8:F8)</f>
        <v>11.352</v>
      </c>
      <c r="Q8" s="4">
        <f>+SUM(G8:H8)</f>
        <v>20.484000000000002</v>
      </c>
      <c r="R8" s="4">
        <v>2</v>
      </c>
    </row>
    <row r="9" spans="2:92" s="6" customFormat="1" ht="15" x14ac:dyDescent="0.25">
      <c r="B9" s="6" t="s">
        <v>18</v>
      </c>
      <c r="C9" s="6">
        <f>+C7-C8</f>
        <v>6.17</v>
      </c>
      <c r="D9" s="6">
        <f>+D7-D8</f>
        <v>13.855</v>
      </c>
      <c r="E9" s="6">
        <f>+E7-E8</f>
        <v>7.7880000000000003</v>
      </c>
      <c r="F9" s="6">
        <f>+F7-F8</f>
        <v>25.857000000000003</v>
      </c>
      <c r="G9" s="6">
        <f>+G7-G8</f>
        <v>26.766999999999999</v>
      </c>
      <c r="H9" s="6">
        <f>+H7-H8</f>
        <v>51.987000000000002</v>
      </c>
      <c r="O9" s="6">
        <f>+O7-O8</f>
        <v>20.025000000000006</v>
      </c>
      <c r="P9" s="6">
        <f>+P7-P8</f>
        <v>33.644999999999996</v>
      </c>
      <c r="Q9" s="6">
        <f>+Q7-Q8</f>
        <v>78.753999999999991</v>
      </c>
      <c r="R9" s="6">
        <f>+R7*0.7</f>
        <v>90.306579999999997</v>
      </c>
      <c r="S9" s="6">
        <f t="shared" ref="S9:W9" si="3">+S7*0.7</f>
        <v>117.39855399999999</v>
      </c>
      <c r="T9" s="6">
        <f t="shared" si="3"/>
        <v>152.61812019999999</v>
      </c>
      <c r="U9" s="6">
        <f t="shared" si="3"/>
        <v>183.14174424000001</v>
      </c>
      <c r="V9" s="6">
        <f t="shared" si="3"/>
        <v>219.77009308800001</v>
      </c>
      <c r="W9" s="6">
        <f t="shared" si="3"/>
        <v>263.72411170559997</v>
      </c>
    </row>
    <row r="10" spans="2:92" x14ac:dyDescent="0.2">
      <c r="B10" s="4" t="s">
        <v>19</v>
      </c>
      <c r="C10" s="4">
        <v>6.758</v>
      </c>
      <c r="D10" s="4">
        <v>14.766999999999999</v>
      </c>
      <c r="E10" s="4">
        <v>9.6059999999999999</v>
      </c>
      <c r="F10" s="4">
        <v>28.119</v>
      </c>
      <c r="G10" s="4">
        <v>22.766999999999999</v>
      </c>
      <c r="H10" s="4">
        <v>42.831000000000003</v>
      </c>
      <c r="O10" s="4">
        <f>+SUM(C10:D10)</f>
        <v>21.524999999999999</v>
      </c>
      <c r="P10" s="4">
        <f>+SUM(E10:F10)</f>
        <v>37.725000000000001</v>
      </c>
      <c r="Q10" s="4">
        <f>+SUM(G10:H10)</f>
        <v>65.597999999999999</v>
      </c>
      <c r="R10" s="4">
        <f>+Q10*1.3</f>
        <v>85.2774</v>
      </c>
      <c r="S10" s="4">
        <f t="shared" ref="S10" si="4">+R10*1.3</f>
        <v>110.86062</v>
      </c>
      <c r="T10" s="4">
        <f t="shared" ref="T10:W10" si="5">+S10*1.2</f>
        <v>133.03274399999998</v>
      </c>
      <c r="U10" s="4">
        <f t="shared" si="5"/>
        <v>159.63929279999996</v>
      </c>
      <c r="V10" s="4">
        <f t="shared" si="5"/>
        <v>191.56715135999994</v>
      </c>
      <c r="W10" s="4">
        <f t="shared" si="5"/>
        <v>229.88058163199992</v>
      </c>
    </row>
    <row r="11" spans="2:92" x14ac:dyDescent="0.2">
      <c r="B11" s="4" t="s">
        <v>20</v>
      </c>
      <c r="C11" s="4">
        <f t="shared" ref="C11:G11" si="6">+C10</f>
        <v>6.758</v>
      </c>
      <c r="D11" s="4">
        <f t="shared" si="6"/>
        <v>14.766999999999999</v>
      </c>
      <c r="E11" s="4">
        <f t="shared" si="6"/>
        <v>9.6059999999999999</v>
      </c>
      <c r="F11" s="4">
        <f t="shared" si="6"/>
        <v>28.119</v>
      </c>
      <c r="G11" s="4">
        <f t="shared" si="6"/>
        <v>22.766999999999999</v>
      </c>
      <c r="H11" s="4">
        <f>+H10</f>
        <v>42.831000000000003</v>
      </c>
      <c r="O11" s="4">
        <f t="shared" ref="O11:P11" si="7">+O10</f>
        <v>21.524999999999999</v>
      </c>
      <c r="P11" s="4">
        <f t="shared" si="7"/>
        <v>37.725000000000001</v>
      </c>
      <c r="Q11" s="4">
        <f>+Q10</f>
        <v>65.597999999999999</v>
      </c>
      <c r="R11" s="4">
        <f>+R10</f>
        <v>85.2774</v>
      </c>
      <c r="S11" s="4">
        <f t="shared" ref="S11:W11" si="8">+S10</f>
        <v>110.86062</v>
      </c>
      <c r="T11" s="4">
        <f t="shared" si="8"/>
        <v>133.03274399999998</v>
      </c>
      <c r="U11" s="4">
        <f t="shared" si="8"/>
        <v>159.63929279999996</v>
      </c>
      <c r="V11" s="4">
        <f t="shared" si="8"/>
        <v>191.56715135999994</v>
      </c>
      <c r="W11" s="4">
        <f t="shared" si="8"/>
        <v>229.88058163199992</v>
      </c>
    </row>
    <row r="12" spans="2:92" s="6" customFormat="1" ht="15" x14ac:dyDescent="0.25">
      <c r="B12" s="6" t="s">
        <v>55</v>
      </c>
      <c r="C12" s="6">
        <f t="shared" ref="C12:G12" si="9">+C9-C11</f>
        <v>-0.58800000000000008</v>
      </c>
      <c r="D12" s="6">
        <f t="shared" si="9"/>
        <v>-0.91199999999999903</v>
      </c>
      <c r="E12" s="6">
        <f t="shared" si="9"/>
        <v>-1.8179999999999996</v>
      </c>
      <c r="F12" s="6">
        <f t="shared" si="9"/>
        <v>-2.2619999999999969</v>
      </c>
      <c r="G12" s="6">
        <f t="shared" si="9"/>
        <v>4</v>
      </c>
      <c r="H12" s="6">
        <f>+H9-H11</f>
        <v>9.1559999999999988</v>
      </c>
      <c r="O12" s="6">
        <f t="shared" ref="O12:Q12" si="10">+O9-O11</f>
        <v>-1.4999999999999929</v>
      </c>
      <c r="P12" s="6">
        <f t="shared" si="10"/>
        <v>-4.0800000000000054</v>
      </c>
      <c r="Q12" s="6">
        <f t="shared" si="10"/>
        <v>13.155999999999992</v>
      </c>
      <c r="R12" s="6">
        <f t="shared" ref="R12" si="11">+R9-R11</f>
        <v>5.0291799999999967</v>
      </c>
      <c r="S12" s="6">
        <f t="shared" ref="S12" si="12">+S9-S11</f>
        <v>6.5379339999999928</v>
      </c>
      <c r="T12" s="6">
        <f t="shared" ref="T12" si="13">+T9-T11</f>
        <v>19.585376200000013</v>
      </c>
      <c r="U12" s="6">
        <f t="shared" ref="U12" si="14">+U9-U11</f>
        <v>23.502451440000044</v>
      </c>
      <c r="V12" s="6">
        <f t="shared" ref="V12" si="15">+V9-V11</f>
        <v>28.20294172800007</v>
      </c>
      <c r="W12" s="6">
        <f t="shared" ref="W12" si="16">+W9-W11</f>
        <v>33.84353007360005</v>
      </c>
    </row>
    <row r="13" spans="2:92" x14ac:dyDescent="0.2">
      <c r="B13" s="4" t="s">
        <v>21</v>
      </c>
      <c r="C13" s="4">
        <v>1.7000000000000001E-2</v>
      </c>
      <c r="D13" s="4">
        <v>8.1000000000000003E-2</v>
      </c>
      <c r="E13" s="4">
        <v>9.0999999999999998E-2</v>
      </c>
      <c r="F13" s="4">
        <v>0.29799999999999999</v>
      </c>
      <c r="G13" s="4">
        <v>0.30099999999999999</v>
      </c>
      <c r="H13" s="4">
        <v>0.70199999999999996</v>
      </c>
      <c r="O13" s="4">
        <f>+SUM(C13:D13)</f>
        <v>9.8000000000000004E-2</v>
      </c>
      <c r="P13" s="4">
        <f>+SUM(E13:F13)</f>
        <v>0.38900000000000001</v>
      </c>
      <c r="Q13" s="4">
        <f>+SUM(G13:H13)</f>
        <v>1.0029999999999999</v>
      </c>
      <c r="R13" s="4">
        <f>+Q28*0.035</f>
        <v>0.76443500000000009</v>
      </c>
      <c r="S13" s="4">
        <f t="shared" ref="S13:W13" si="17">+R28*0.035</f>
        <v>0.92665622000000003</v>
      </c>
      <c r="T13" s="4">
        <f t="shared" si="17"/>
        <v>1.1356647461599998</v>
      </c>
      <c r="U13" s="4">
        <f t="shared" si="17"/>
        <v>1.7158538926524802</v>
      </c>
      <c r="V13" s="4">
        <f t="shared" si="17"/>
        <v>2.4219664419667506</v>
      </c>
      <c r="W13" s="4">
        <f t="shared" si="17"/>
        <v>3.2794638707258219</v>
      </c>
    </row>
    <row r="14" spans="2:92" x14ac:dyDescent="0.2">
      <c r="B14" s="4" t="s">
        <v>22</v>
      </c>
      <c r="C14" s="4">
        <f t="shared" ref="C14:G14" si="18">+C12+C13</f>
        <v>-0.57100000000000006</v>
      </c>
      <c r="D14" s="4">
        <f t="shared" si="18"/>
        <v>-0.83099999999999907</v>
      </c>
      <c r="E14" s="4">
        <f t="shared" si="18"/>
        <v>-1.7269999999999996</v>
      </c>
      <c r="F14" s="4">
        <f t="shared" si="18"/>
        <v>-1.9639999999999969</v>
      </c>
      <c r="G14" s="4">
        <f t="shared" si="18"/>
        <v>4.3010000000000002</v>
      </c>
      <c r="H14" s="4">
        <f>+H12+H13</f>
        <v>9.8579999999999988</v>
      </c>
      <c r="O14" s="4">
        <f t="shared" ref="O14:R14" si="19">+O12+O13</f>
        <v>-1.4019999999999928</v>
      </c>
      <c r="P14" s="4">
        <f t="shared" si="19"/>
        <v>-3.6910000000000052</v>
      </c>
      <c r="Q14" s="4">
        <f t="shared" si="19"/>
        <v>14.158999999999992</v>
      </c>
      <c r="R14" s="4">
        <f t="shared" si="19"/>
        <v>5.7936149999999964</v>
      </c>
      <c r="S14" s="4">
        <f t="shared" ref="S14" si="20">+S12+S13</f>
        <v>7.4645902199999927</v>
      </c>
      <c r="T14" s="4">
        <f t="shared" ref="T14" si="21">+T12+T13</f>
        <v>20.721040946160013</v>
      </c>
      <c r="U14" s="4">
        <f t="shared" ref="U14" si="22">+U12+U13</f>
        <v>25.218305332652523</v>
      </c>
      <c r="V14" s="4">
        <f t="shared" ref="V14" si="23">+V12+V13</f>
        <v>30.624908169966822</v>
      </c>
      <c r="W14" s="4">
        <f t="shared" ref="W14" si="24">+W12+W13</f>
        <v>37.12299394432587</v>
      </c>
    </row>
    <row r="15" spans="2:92" x14ac:dyDescent="0.2">
      <c r="B15" s="4" t="s">
        <v>23</v>
      </c>
      <c r="C15" s="4">
        <v>0.22900000000000001</v>
      </c>
      <c r="D15" s="4">
        <v>0.115</v>
      </c>
      <c r="E15" s="4">
        <v>1.202</v>
      </c>
      <c r="F15" s="4">
        <v>1.7949999999999999</v>
      </c>
      <c r="G15" s="4">
        <v>-1.07</v>
      </c>
      <c r="H15" s="4">
        <v>1.8240000000000001</v>
      </c>
      <c r="J15" s="4" t="s">
        <v>0</v>
      </c>
      <c r="O15" s="4">
        <f>+SUM(C15:D15)</f>
        <v>0.34400000000000003</v>
      </c>
      <c r="P15" s="4">
        <f>+SUM(E15:F15)</f>
        <v>2.9969999999999999</v>
      </c>
      <c r="Q15" s="4">
        <f>+SUM(G15:H15)</f>
        <v>0.754</v>
      </c>
      <c r="R15" s="4">
        <f>+R14*0.2</f>
        <v>1.1587229999999993</v>
      </c>
      <c r="S15" s="4">
        <f t="shared" ref="S15:W15" si="25">+S14*0.2</f>
        <v>1.4929180439999987</v>
      </c>
      <c r="T15" s="4">
        <f t="shared" si="25"/>
        <v>4.1442081892320024</v>
      </c>
      <c r="U15" s="4">
        <f t="shared" si="25"/>
        <v>5.0436610665305048</v>
      </c>
      <c r="V15" s="4">
        <f t="shared" si="25"/>
        <v>6.1249816339933645</v>
      </c>
      <c r="W15" s="4">
        <f t="shared" si="25"/>
        <v>7.4245987888651745</v>
      </c>
    </row>
    <row r="16" spans="2:92" s="6" customFormat="1" ht="15" x14ac:dyDescent="0.25">
      <c r="B16" s="6" t="s">
        <v>24</v>
      </c>
      <c r="C16" s="6">
        <f t="shared" ref="C16:G16" si="26">+C14+C15</f>
        <v>-0.34200000000000008</v>
      </c>
      <c r="D16" s="6">
        <f t="shared" si="26"/>
        <v>-0.71599999999999908</v>
      </c>
      <c r="E16" s="6">
        <f t="shared" si="26"/>
        <v>-0.52499999999999969</v>
      </c>
      <c r="F16" s="6">
        <f t="shared" si="26"/>
        <v>-0.16899999999999693</v>
      </c>
      <c r="G16" s="6">
        <f t="shared" si="26"/>
        <v>3.2309999999999999</v>
      </c>
      <c r="H16" s="6">
        <f>+H14+H15</f>
        <v>11.681999999999999</v>
      </c>
      <c r="O16" s="6">
        <f t="shared" ref="O16:Q16" si="27">+O14+O15</f>
        <v>-1.0579999999999927</v>
      </c>
      <c r="P16" s="6">
        <f t="shared" si="27"/>
        <v>-0.69400000000000528</v>
      </c>
      <c r="Q16" s="6">
        <f t="shared" si="27"/>
        <v>14.912999999999991</v>
      </c>
      <c r="R16" s="6">
        <f>+R14-R15</f>
        <v>4.6348919999999971</v>
      </c>
      <c r="S16" s="6">
        <f t="shared" ref="S16:W16" si="28">+S14-S15</f>
        <v>5.971672175999994</v>
      </c>
      <c r="T16" s="6">
        <f t="shared" si="28"/>
        <v>16.57683275692801</v>
      </c>
      <c r="U16" s="6">
        <f t="shared" si="28"/>
        <v>20.174644266122019</v>
      </c>
      <c r="V16" s="6">
        <f t="shared" si="28"/>
        <v>24.499926535973458</v>
      </c>
      <c r="W16" s="6">
        <f t="shared" si="28"/>
        <v>29.698395155460695</v>
      </c>
      <c r="X16" s="6">
        <f>+W16*(1-$K$22)</f>
        <v>29.104427252351481</v>
      </c>
      <c r="Y16" s="6">
        <f>+X16*(1-$K$22)</f>
        <v>28.522338707304453</v>
      </c>
      <c r="Z16" s="6">
        <f>+Y16*(1-$K$22)</f>
        <v>27.951891933158365</v>
      </c>
      <c r="AA16" s="6">
        <f>+Z16*(1-$K$22)</f>
        <v>27.392854094495195</v>
      </c>
      <c r="AB16" s="6">
        <f>+AA16*(1-$K$22)</f>
        <v>26.84499701260529</v>
      </c>
      <c r="AC16" s="6">
        <f>+AB16*(1-$K$22)</f>
        <v>26.308097072353185</v>
      </c>
      <c r="AD16" s="6">
        <f>+AC16*(1-$K$22)</f>
        <v>25.78193513090612</v>
      </c>
      <c r="AE16" s="6">
        <f>+AD16*(1-$K$22)</f>
        <v>25.266296428287998</v>
      </c>
      <c r="AF16" s="6">
        <f>+AE16*(1-$K$22)</f>
        <v>24.760970499722237</v>
      </c>
      <c r="AG16" s="6">
        <f>+AF16*(1-$K$22)</f>
        <v>24.265751089727793</v>
      </c>
      <c r="AH16" s="6">
        <f>+AG16*(1-$K$22)</f>
        <v>23.780436067933238</v>
      </c>
      <c r="AI16" s="6">
        <f>+AH16*(1-$K$22)</f>
        <v>23.304827346574573</v>
      </c>
      <c r="AJ16" s="6">
        <f>+AI16*(1-$K$22)</f>
        <v>22.838730799643081</v>
      </c>
      <c r="AK16" s="6">
        <f>+AJ16*(1-$K$22)</f>
        <v>22.381956183650217</v>
      </c>
      <c r="AL16" s="6">
        <f>+AK16*(1-$K$22)</f>
        <v>21.934317059977214</v>
      </c>
      <c r="AM16" s="6">
        <f>+AL16*(1-$K$22)</f>
        <v>21.495630718777669</v>
      </c>
      <c r="AN16" s="6">
        <f>+AM16*(1-$K$22)</f>
        <v>21.065718104402116</v>
      </c>
      <c r="AO16" s="6">
        <f>+AN16*(1-$K$22)</f>
        <v>20.644403742314072</v>
      </c>
      <c r="AP16" s="6">
        <f>+AO16*(1-$K$22)</f>
        <v>20.231515667467789</v>
      </c>
      <c r="AQ16" s="6">
        <f>+AP16*(1-$K$22)</f>
        <v>19.826885354118435</v>
      </c>
      <c r="AR16" s="6">
        <f>+AQ16*(1-$K$22)</f>
        <v>19.430347647036065</v>
      </c>
      <c r="AS16" s="6">
        <f>+AR16*(1-$K$22)</f>
        <v>19.041740694095342</v>
      </c>
      <c r="AT16" s="6">
        <f>+AS16*(1-$K$22)</f>
        <v>18.660905880213434</v>
      </c>
      <c r="AU16" s="6">
        <f>+AT16*(1-$K$22)</f>
        <v>18.287687762609167</v>
      </c>
      <c r="AV16" s="6">
        <f>+AU16*(1-$K$22)</f>
        <v>17.921934007356985</v>
      </c>
      <c r="AW16" s="6">
        <f>+AV16*(1-$K$22)</f>
        <v>17.563495327209843</v>
      </c>
      <c r="AX16" s="6">
        <f>+AW16*(1-$K$22)</f>
        <v>17.212225420665646</v>
      </c>
      <c r="AY16" s="6">
        <f>+AX16*(1-$K$22)</f>
        <v>16.867980912252332</v>
      </c>
      <c r="AZ16" s="6">
        <f>+AY16*(1-$K$22)</f>
        <v>16.530621294007286</v>
      </c>
      <c r="BA16" s="6">
        <f>+AZ16*(1-$K$22)</f>
        <v>16.200008868127139</v>
      </c>
      <c r="BB16" s="6">
        <f>+BA16*(1-$K$22)</f>
        <v>15.876008690764596</v>
      </c>
      <c r="BC16" s="6">
        <f>+BB16*(1-$K$22)</f>
        <v>15.558488516949303</v>
      </c>
      <c r="BD16" s="6">
        <f>+BC16*(1-$K$22)</f>
        <v>15.247318746610317</v>
      </c>
      <c r="BE16" s="6">
        <f>+BD16*(1-$K$22)</f>
        <v>14.942372371678109</v>
      </c>
      <c r="BF16" s="6">
        <f>+BE16*(1-$K$22)</f>
        <v>14.643524924244547</v>
      </c>
      <c r="BG16" s="6">
        <f>+BF16*(1-$K$22)</f>
        <v>14.350654425759656</v>
      </c>
      <c r="BH16" s="6">
        <f>+BG16*(1-$K$22)</f>
        <v>14.063641337244462</v>
      </c>
      <c r="BI16" s="6">
        <f>+BH16*(1-$K$22)</f>
        <v>13.782368510499573</v>
      </c>
      <c r="BJ16" s="6">
        <f>+BI16*(1-$K$22)</f>
        <v>13.506721140289581</v>
      </c>
      <c r="BK16" s="6">
        <f>+BJ16*(1-$K$22)</f>
        <v>13.236586717483789</v>
      </c>
      <c r="BL16" s="6">
        <f>+BK16*(1-$K$22)</f>
        <v>12.971854983134113</v>
      </c>
      <c r="BM16" s="6">
        <f>+BL16*(1-$K$22)</f>
        <v>12.712417883471431</v>
      </c>
      <c r="BN16" s="6">
        <f>+BM16*(1-$K$22)</f>
        <v>12.458169525802003</v>
      </c>
      <c r="BO16" s="6">
        <f>+BN16*(1-$K$22)</f>
        <v>12.209006135285962</v>
      </c>
      <c r="BP16" s="6">
        <f>+BO16*(1-$K$22)</f>
        <v>11.964826012580243</v>
      </c>
      <c r="BQ16" s="6">
        <f>+BP16*(1-$K$22)</f>
        <v>11.725529492328638</v>
      </c>
      <c r="BR16" s="6">
        <f>+BQ16*(1-$K$22)</f>
        <v>11.491018902482065</v>
      </c>
      <c r="BS16" s="6">
        <f>+BR16*(1-$K$22)</f>
        <v>11.261198524432423</v>
      </c>
      <c r="BT16" s="6">
        <f>+BS16*(1-$K$22)</f>
        <v>11.035974553943774</v>
      </c>
      <c r="BU16" s="6">
        <f>+BT16*(1-$K$22)</f>
        <v>10.815255062864898</v>
      </c>
      <c r="BV16" s="6">
        <f>+BU16*(1-$K$22)</f>
        <v>10.5989499616076</v>
      </c>
      <c r="BW16" s="6">
        <f>+BV16*(1-$K$22)</f>
        <v>10.386970962375448</v>
      </c>
      <c r="BX16" s="6">
        <f>+BW16*(1-$K$22)</f>
        <v>10.179231543127939</v>
      </c>
      <c r="BY16" s="6">
        <f>+BX16*(1-$K$22)</f>
        <v>9.975646912265379</v>
      </c>
      <c r="BZ16" s="6">
        <f>+BY16*(1-$K$22)</f>
        <v>9.7761339740200714</v>
      </c>
      <c r="CA16" s="6">
        <f>+BZ16*(1-$K$22)</f>
        <v>9.5806112945396702</v>
      </c>
      <c r="CB16" s="6">
        <f>+CA16*(1-$K$22)</f>
        <v>9.3889990686488769</v>
      </c>
      <c r="CC16" s="6">
        <f>+CB16*(1-$K$22)</f>
        <v>9.2012190872758985</v>
      </c>
      <c r="CD16" s="6">
        <f>+CC16*(1-$K$22)</f>
        <v>9.0171947055303807</v>
      </c>
      <c r="CE16" s="6">
        <f>+CD16*(1-$K$22)</f>
        <v>8.8368508114197724</v>
      </c>
      <c r="CF16" s="6">
        <f>+CE16*(1-$K$22)</f>
        <v>8.6601137951913767</v>
      </c>
      <c r="CG16" s="6">
        <f>+CF16*(1-$K$22)</f>
        <v>8.4869115192875491</v>
      </c>
      <c r="CH16" s="6">
        <f>+CG16*(1-$K$22)</f>
        <v>8.3171732889017971</v>
      </c>
      <c r="CI16" s="6">
        <f>+CH16*(1-$K$22)</f>
        <v>8.150829823123761</v>
      </c>
      <c r="CJ16" s="6">
        <f>+CI16*(1-$K$22)</f>
        <v>7.9878132266612853</v>
      </c>
      <c r="CK16" s="6">
        <f>+CJ16*(1-$K$22)</f>
        <v>7.8280569621280591</v>
      </c>
      <c r="CL16" s="6">
        <f>+CK16*(1-$K$22)</f>
        <v>7.6714958228854977</v>
      </c>
      <c r="CM16" s="6">
        <f>+CL16*(1-$K$22)</f>
        <v>7.5180659064277879</v>
      </c>
      <c r="CN16" s="6">
        <f>+CM16*(1-$K$22)</f>
        <v>7.3677045882992322</v>
      </c>
    </row>
    <row r="17" spans="2:30" x14ac:dyDescent="0.2">
      <c r="B17" s="4" t="s">
        <v>25</v>
      </c>
      <c r="C17" s="4">
        <v>-0.01</v>
      </c>
      <c r="D17" s="4">
        <v>0</v>
      </c>
      <c r="E17" s="4">
        <v>0</v>
      </c>
      <c r="F17" s="4">
        <v>0</v>
      </c>
      <c r="G17" s="4">
        <v>-0.02</v>
      </c>
      <c r="H17" s="4">
        <v>0.22</v>
      </c>
      <c r="I17" s="4" t="s">
        <v>0</v>
      </c>
      <c r="O17" s="4">
        <v>0</v>
      </c>
      <c r="P17" s="4">
        <v>0</v>
      </c>
      <c r="Q17" s="4">
        <v>0</v>
      </c>
      <c r="R17" s="4">
        <f>+R16/R18</f>
        <v>0.10983446483418907</v>
      </c>
      <c r="S17" s="4">
        <f t="shared" ref="S17:W17" si="29">+S16/S18</f>
        <v>0.12305439725572277</v>
      </c>
      <c r="T17" s="4">
        <f t="shared" si="29"/>
        <v>0.29703313202052939</v>
      </c>
      <c r="U17" s="4">
        <f t="shared" si="29"/>
        <v>0.31434849397227788</v>
      </c>
      <c r="V17" s="4">
        <f t="shared" si="29"/>
        <v>0.33194982200018536</v>
      </c>
      <c r="W17" s="4">
        <f t="shared" si="29"/>
        <v>0.34989907883907162</v>
      </c>
      <c r="X17" s="4" t="s">
        <v>0</v>
      </c>
    </row>
    <row r="18" spans="2:30" x14ac:dyDescent="0.2">
      <c r="B18" s="4" t="s">
        <v>2</v>
      </c>
      <c r="C18" s="4" t="s">
        <v>0</v>
      </c>
      <c r="D18" s="4">
        <v>33.055776000000002</v>
      </c>
      <c r="E18" s="4">
        <v>33.055776000000002</v>
      </c>
      <c r="F18" s="4">
        <v>34.765324999999997</v>
      </c>
      <c r="G18" s="4">
        <v>36.537732900000002</v>
      </c>
      <c r="H18" s="5">
        <v>36.694682999999998</v>
      </c>
      <c r="O18" s="4">
        <f>+D18</f>
        <v>33.055776000000002</v>
      </c>
      <c r="P18" s="4">
        <f>+F18</f>
        <v>34.765324999999997</v>
      </c>
      <c r="Q18" s="5">
        <f>+H18</f>
        <v>36.694682999999998</v>
      </c>
      <c r="R18" s="4">
        <f>+Q18*1.15</f>
        <v>42.198885449999992</v>
      </c>
      <c r="S18" s="4">
        <f t="shared" ref="S18:W18" si="30">+R18*1.15</f>
        <v>48.52871826749999</v>
      </c>
      <c r="T18" s="4">
        <f t="shared" si="30"/>
        <v>55.808026007624981</v>
      </c>
      <c r="U18" s="4">
        <f t="shared" si="30"/>
        <v>64.179229908768718</v>
      </c>
      <c r="V18" s="4">
        <f t="shared" si="30"/>
        <v>73.806114395084023</v>
      </c>
      <c r="W18" s="4">
        <f t="shared" si="30"/>
        <v>84.877031554346615</v>
      </c>
    </row>
    <row r="19" spans="2:30" x14ac:dyDescent="0.2">
      <c r="B19" s="4" t="s">
        <v>62</v>
      </c>
      <c r="O19" s="7">
        <f>+P18/O18-1</f>
        <v>5.1717103842910728E-2</v>
      </c>
      <c r="P19" s="7">
        <f t="shared" ref="P19:Q19" si="31">+Q18/P18-1</f>
        <v>5.5496619116893076E-2</v>
      </c>
      <c r="Q19" s="7">
        <f t="shared" si="31"/>
        <v>0.14999999999999991</v>
      </c>
      <c r="R19" s="7">
        <f t="shared" ref="R19" si="32">+S18/R18-1</f>
        <v>0.14999999999999991</v>
      </c>
      <c r="S19" s="7">
        <f t="shared" ref="S19" si="33">+T18/S18-1</f>
        <v>0.14999999999999991</v>
      </c>
      <c r="T19" s="7">
        <f t="shared" ref="T19" si="34">+U18/T18-1</f>
        <v>0.14999999999999991</v>
      </c>
      <c r="U19" s="7">
        <f t="shared" ref="U19" si="35">+V18/U18-1</f>
        <v>0.14999999999999991</v>
      </c>
      <c r="V19" s="7">
        <f t="shared" ref="V19" si="36">+W18/V18-1</f>
        <v>0.14999999999999991</v>
      </c>
      <c r="W19" s="7">
        <f t="shared" ref="W19" si="37">+X18/W18-1</f>
        <v>-1</v>
      </c>
    </row>
    <row r="20" spans="2:30" s="6" customFormat="1" ht="15" x14ac:dyDescent="0.25">
      <c r="B20" s="6" t="s">
        <v>60</v>
      </c>
      <c r="O20" s="6" t="s">
        <v>0</v>
      </c>
      <c r="P20" s="6" t="s">
        <v>0</v>
      </c>
      <c r="Q20" s="6">
        <f>+Q18/Q16</f>
        <v>2.4605835847917938</v>
      </c>
      <c r="R20" s="6">
        <f t="shared" ref="R20:W20" si="38">+R18/R16</f>
        <v>9.1046103015992639</v>
      </c>
      <c r="S20" s="6">
        <f t="shared" si="38"/>
        <v>8.126487328379433</v>
      </c>
      <c r="T20" s="6">
        <f t="shared" si="38"/>
        <v>3.3666278007359973</v>
      </c>
      <c r="U20" s="6">
        <f t="shared" si="38"/>
        <v>3.1811827292806725</v>
      </c>
      <c r="V20" s="6">
        <f t="shared" si="38"/>
        <v>3.0125034981926926</v>
      </c>
      <c r="W20" s="6">
        <f t="shared" si="38"/>
        <v>2.8579669409759378</v>
      </c>
    </row>
    <row r="22" spans="2:30" x14ac:dyDescent="0.2">
      <c r="B22" s="4" t="s">
        <v>50</v>
      </c>
      <c r="C22" s="7" t="s">
        <v>0</v>
      </c>
      <c r="D22" s="7" t="s">
        <v>0</v>
      </c>
      <c r="E22" s="7">
        <f>+E7/C7-1</f>
        <v>0.29239636444247386</v>
      </c>
      <c r="F22" s="7">
        <f>+F7/D7-1</f>
        <v>0.6569085487077535</v>
      </c>
      <c r="G22" s="7">
        <f>+G7/E7-1</f>
        <v>1.7867924528301886</v>
      </c>
      <c r="H22" s="7">
        <f>+H7/F7-1</f>
        <v>1.0020997690254072</v>
      </c>
      <c r="J22" s="4" t="s">
        <v>56</v>
      </c>
      <c r="K22" s="7">
        <v>0.02</v>
      </c>
      <c r="N22" s="4" t="s">
        <v>0</v>
      </c>
      <c r="O22" s="7" t="s">
        <v>0</v>
      </c>
      <c r="P22" s="7">
        <f>+P7/O7-1</f>
        <v>0.54406011941527677</v>
      </c>
      <c r="Q22" s="7">
        <f>+Q7/O7-1</f>
        <v>2.4053256468327495</v>
      </c>
      <c r="R22" s="7">
        <f t="shared" ref="R22:W22" si="39">+R7/P7-1</f>
        <v>1.8670666933351114</v>
      </c>
      <c r="S22" s="7">
        <f t="shared" si="39"/>
        <v>0.69</v>
      </c>
      <c r="T22" s="7">
        <f t="shared" si="39"/>
        <v>0.69000000000000017</v>
      </c>
      <c r="U22" s="7">
        <f t="shared" si="39"/>
        <v>0.56000000000000005</v>
      </c>
      <c r="V22" s="7">
        <f t="shared" si="39"/>
        <v>0.43999999999999995</v>
      </c>
      <c r="W22" s="7">
        <f t="shared" si="39"/>
        <v>0.43999999999999972</v>
      </c>
    </row>
    <row r="23" spans="2:30" x14ac:dyDescent="0.2">
      <c r="B23" s="4" t="s">
        <v>51</v>
      </c>
      <c r="C23" s="7">
        <f>+C9/C7</f>
        <v>0.68388383950343601</v>
      </c>
      <c r="D23" s="7">
        <f>+D9/D7</f>
        <v>0.68861829025844934</v>
      </c>
      <c r="E23" s="7">
        <f>+E9/E7</f>
        <v>0.66792452830188676</v>
      </c>
      <c r="F23" s="7">
        <f>+F9/F7</f>
        <v>0.77562468128505868</v>
      </c>
      <c r="G23" s="7">
        <f>+G9/G7</f>
        <v>0.82375207730657962</v>
      </c>
      <c r="H23" s="7">
        <f>+H9/H7</f>
        <v>0.77890147428982381</v>
      </c>
      <c r="J23" s="4" t="s">
        <v>57</v>
      </c>
      <c r="K23" s="7">
        <v>0.09</v>
      </c>
      <c r="O23" s="7">
        <f>+O9/O7</f>
        <v>0.68715256331068575</v>
      </c>
      <c r="P23" s="7">
        <f>+P9/P7</f>
        <v>0.74771651443429554</v>
      </c>
      <c r="Q23" s="7">
        <f>+Q9/Q7</f>
        <v>0.79358713396078107</v>
      </c>
      <c r="R23" s="7">
        <f t="shared" ref="R23:W23" si="40">+R9/R7</f>
        <v>0.7</v>
      </c>
      <c r="S23" s="7">
        <f t="shared" si="40"/>
        <v>0.7</v>
      </c>
      <c r="T23" s="7">
        <f t="shared" si="40"/>
        <v>0.7</v>
      </c>
      <c r="U23" s="7">
        <f t="shared" si="40"/>
        <v>0.7</v>
      </c>
      <c r="V23" s="7">
        <f t="shared" si="40"/>
        <v>0.7</v>
      </c>
      <c r="W23" s="7">
        <f t="shared" si="40"/>
        <v>0.7</v>
      </c>
    </row>
    <row r="24" spans="2:30" x14ac:dyDescent="0.2">
      <c r="B24" s="4" t="s">
        <v>52</v>
      </c>
      <c r="C24" s="7">
        <f>+C12/C7</f>
        <v>-6.5174019064508981E-2</v>
      </c>
      <c r="D24" s="7">
        <f>+D12/D7</f>
        <v>-4.5328031809145082E-2</v>
      </c>
      <c r="E24" s="7">
        <f>+E12/E7</f>
        <v>-0.15591766723842193</v>
      </c>
      <c r="F24" s="7">
        <f>+F12/F7</f>
        <v>-6.7852536221015586E-2</v>
      </c>
      <c r="G24" s="7">
        <f>+G12/G7</f>
        <v>0.12309964916599987</v>
      </c>
      <c r="H24" s="7">
        <f>+H12/H7</f>
        <v>0.13718087019057892</v>
      </c>
      <c r="I24" s="4" t="s">
        <v>0</v>
      </c>
      <c r="J24" s="4" t="s">
        <v>58</v>
      </c>
      <c r="K24" s="4">
        <f>+NPV(K23,R16:CN16)-main!L5+main!L6</f>
        <v>205.82290656108884</v>
      </c>
      <c r="O24" s="7">
        <f>+O12/O7</f>
        <v>-5.1472102120650357E-2</v>
      </c>
      <c r="P24" s="7">
        <f>+P12/P7</f>
        <v>-9.0672711514101056E-2</v>
      </c>
      <c r="Q24" s="7">
        <f>+Q12/Q7</f>
        <v>0.13257018480823871</v>
      </c>
      <c r="R24" s="7">
        <f t="shared" ref="R24:W24" si="41">+R12/R7</f>
        <v>3.8983050847457602E-2</v>
      </c>
      <c r="S24" s="7">
        <f t="shared" si="41"/>
        <v>3.8983050847457582E-2</v>
      </c>
      <c r="T24" s="7">
        <f t="shared" si="41"/>
        <v>8.9830508474576326E-2</v>
      </c>
      <c r="U24" s="7">
        <f t="shared" si="41"/>
        <v>8.9830508474576437E-2</v>
      </c>
      <c r="V24" s="7">
        <f t="shared" si="41"/>
        <v>8.9830508474576493E-2</v>
      </c>
      <c r="W24" s="7">
        <f t="shared" si="41"/>
        <v>8.9830508474576409E-2</v>
      </c>
    </row>
    <row r="25" spans="2:30" x14ac:dyDescent="0.2">
      <c r="B25" s="4" t="s">
        <v>53</v>
      </c>
      <c r="C25" s="7">
        <f>+C15/C14</f>
        <v>-0.40105078809106826</v>
      </c>
      <c r="D25" s="7">
        <f>+D15/D14</f>
        <v>-0.13838748495788222</v>
      </c>
      <c r="E25" s="7">
        <f>+E15/E14</f>
        <v>-0.69600463231036491</v>
      </c>
      <c r="F25" s="7">
        <f>+F15/F14</f>
        <v>-0.91395112016293423</v>
      </c>
      <c r="G25" s="7">
        <f>+G15/G14</f>
        <v>-0.24877935363868869</v>
      </c>
      <c r="H25" s="7">
        <f>+H15/H14</f>
        <v>0.1850273889227024</v>
      </c>
      <c r="J25" s="4" t="s">
        <v>59</v>
      </c>
      <c r="K25" s="8">
        <f>+K24/main!L3</f>
        <v>5.609066211611335</v>
      </c>
      <c r="O25" s="7">
        <f>+O15/O14</f>
        <v>-0.24536376604850341</v>
      </c>
      <c r="P25" s="7">
        <f>+P15/P14</f>
        <v>-0.81197507450555284</v>
      </c>
      <c r="Q25" s="7">
        <f>+Q15/Q14</f>
        <v>5.3252348329684333E-2</v>
      </c>
      <c r="R25" s="7">
        <f t="shared" ref="R25:W25" si="42">+R15/R14</f>
        <v>0.2</v>
      </c>
      <c r="S25" s="7">
        <f t="shared" si="42"/>
        <v>0.2</v>
      </c>
      <c r="T25" s="7">
        <f t="shared" si="42"/>
        <v>0.19999999999999998</v>
      </c>
      <c r="U25" s="7">
        <f t="shared" si="42"/>
        <v>0.2</v>
      </c>
      <c r="V25" s="7">
        <f t="shared" si="42"/>
        <v>0.2</v>
      </c>
      <c r="W25" s="7">
        <f t="shared" si="42"/>
        <v>0.2</v>
      </c>
    </row>
    <row r="26" spans="2:30" x14ac:dyDescent="0.2">
      <c r="B26" s="4" t="s">
        <v>54</v>
      </c>
      <c r="E26" s="7">
        <f>+ABS(E16/C16-1)</f>
        <v>0.53508771929824439</v>
      </c>
      <c r="F26" s="7">
        <f>+ABS(F16/D16-1)</f>
        <v>0.76396648044693138</v>
      </c>
      <c r="G26" s="7">
        <f>+ABS(G16/E16-1)</f>
        <v>7.1542857142857175</v>
      </c>
      <c r="H26" s="7">
        <f>+ABS(H16/F16-1)</f>
        <v>70.124260355030827</v>
      </c>
      <c r="J26" s="4" t="s">
        <v>61</v>
      </c>
      <c r="K26" s="7">
        <f>+K25/main!L2-1</f>
        <v>2.6187523945879581</v>
      </c>
      <c r="O26" s="7" t="s">
        <v>0</v>
      </c>
      <c r="P26" s="7">
        <f>+P16/O16-1</f>
        <v>-0.34404536862002832</v>
      </c>
      <c r="Q26" s="7">
        <f>+ABS(Q16/O16-1)</f>
        <v>15.095463137996308</v>
      </c>
      <c r="R26" s="7">
        <f t="shared" ref="R26:W26" si="43">+ABS(R16/P16-1)</f>
        <v>7.6785187319884178</v>
      </c>
      <c r="S26" s="7">
        <f t="shared" si="43"/>
        <v>0.59956600442566899</v>
      </c>
      <c r="T26" s="7">
        <f t="shared" si="43"/>
        <v>2.5765305333820119</v>
      </c>
      <c r="U26" s="7">
        <f t="shared" si="43"/>
        <v>2.3783911225407559</v>
      </c>
      <c r="V26" s="7">
        <f t="shared" si="43"/>
        <v>0.47796185768563815</v>
      </c>
      <c r="W26" s="7">
        <f t="shared" si="43"/>
        <v>0.47206536897065865</v>
      </c>
    </row>
    <row r="28" spans="2:30" s="6" customFormat="1" ht="15" x14ac:dyDescent="0.25">
      <c r="B28" s="6" t="s">
        <v>26</v>
      </c>
      <c r="C28" s="6">
        <f>+C29-C39</f>
        <v>7.9790000000000001</v>
      </c>
      <c r="D28" s="6">
        <f>+D29-D39</f>
        <v>8.4920000000000009</v>
      </c>
      <c r="E28" s="6">
        <f>+E29-E39</f>
        <v>5.85</v>
      </c>
      <c r="F28" s="6">
        <f>+F29-F39</f>
        <v>11.004</v>
      </c>
      <c r="G28" s="6">
        <f>+G29-G39</f>
        <v>14.94</v>
      </c>
      <c r="H28" s="6">
        <f>+H29-H39</f>
        <v>21.841000000000001</v>
      </c>
      <c r="O28" s="6">
        <f>+D28</f>
        <v>8.4920000000000009</v>
      </c>
      <c r="P28" s="6">
        <f>+F28</f>
        <v>11.004</v>
      </c>
      <c r="Q28" s="6">
        <f>+H28</f>
        <v>21.841000000000001</v>
      </c>
      <c r="R28" s="6">
        <f>+Q28+R16</f>
        <v>26.475891999999998</v>
      </c>
      <c r="S28" s="6">
        <f>+R28+S16</f>
        <v>32.447564175999993</v>
      </c>
      <c r="T28" s="6">
        <f>+S28+T16</f>
        <v>49.024396932927999</v>
      </c>
      <c r="U28" s="6">
        <f>+T28+U16</f>
        <v>69.199041199050015</v>
      </c>
      <c r="V28" s="6">
        <f>+U28+V16</f>
        <v>93.698967735023473</v>
      </c>
      <c r="W28" s="6">
        <f>+V28+W16</f>
        <v>123.39736289048417</v>
      </c>
      <c r="X28" s="6">
        <f>+W28+X16</f>
        <v>152.50179014283566</v>
      </c>
      <c r="Y28" s="6">
        <f>+X28+Y16</f>
        <v>181.0241288501401</v>
      </c>
      <c r="Z28" s="6">
        <f>+Y28+Z16</f>
        <v>208.97602078329845</v>
      </c>
      <c r="AA28" s="6">
        <f>+Z28+AA16</f>
        <v>236.36887487779364</v>
      </c>
      <c r="AB28" s="6">
        <f>+AA28+AB16</f>
        <v>263.21387189039893</v>
      </c>
      <c r="AC28" s="6">
        <f>+AB28+AC16</f>
        <v>289.52196896275211</v>
      </c>
      <c r="AD28" s="6">
        <f>+AC28+AD16</f>
        <v>315.30390409365822</v>
      </c>
    </row>
    <row r="29" spans="2:30" x14ac:dyDescent="0.2">
      <c r="B29" s="4" t="s">
        <v>4</v>
      </c>
      <c r="C29" s="4">
        <v>8.31</v>
      </c>
      <c r="D29" s="4">
        <v>8.4920000000000009</v>
      </c>
      <c r="E29" s="4">
        <v>5.85</v>
      </c>
      <c r="F29" s="4">
        <v>11.004</v>
      </c>
      <c r="G29" s="4">
        <v>14.94</v>
      </c>
      <c r="H29" s="4">
        <v>21.841000000000001</v>
      </c>
    </row>
    <row r="30" spans="2:30" x14ac:dyDescent="0.2">
      <c r="B30" s="4" t="s">
        <v>27</v>
      </c>
      <c r="C30" s="4">
        <v>0.51100000000000001</v>
      </c>
      <c r="D30" s="4">
        <v>0.51100000000000001</v>
      </c>
      <c r="E30" s="4">
        <v>0.51100000000000001</v>
      </c>
      <c r="F30" s="4">
        <v>0.51100000000000001</v>
      </c>
      <c r="G30" s="4">
        <v>0.51100000000000001</v>
      </c>
      <c r="H30" s="4">
        <v>0.51100000000000001</v>
      </c>
    </row>
    <row r="31" spans="2:30" x14ac:dyDescent="0.2">
      <c r="B31" s="4" t="s">
        <v>28</v>
      </c>
      <c r="C31" s="4">
        <v>3.0750000000000002</v>
      </c>
      <c r="D31" s="4">
        <v>3.681</v>
      </c>
      <c r="E31" s="4">
        <v>5.7939999999999996</v>
      </c>
      <c r="F31" s="4">
        <v>8.75</v>
      </c>
      <c r="G31" s="4">
        <v>10.179</v>
      </c>
      <c r="H31" s="4">
        <v>10.124000000000001</v>
      </c>
    </row>
    <row r="32" spans="2:30" x14ac:dyDescent="0.2">
      <c r="B32" s="4" t="s">
        <v>29</v>
      </c>
      <c r="C32" s="4">
        <v>0</v>
      </c>
      <c r="D32" s="4">
        <v>6.9000000000000006E-2</v>
      </c>
      <c r="E32" s="4">
        <v>5.2999999999999999E-2</v>
      </c>
      <c r="F32" s="4">
        <v>4.2000000000000003E-2</v>
      </c>
      <c r="G32" s="4">
        <v>3.1E-2</v>
      </c>
      <c r="H32" s="4">
        <v>0.02</v>
      </c>
    </row>
    <row r="33" spans="2:9" x14ac:dyDescent="0.2">
      <c r="B33" s="4" t="s">
        <v>30</v>
      </c>
      <c r="C33" s="4">
        <v>9.6000000000000002E-2</v>
      </c>
      <c r="D33" s="4">
        <v>0.122</v>
      </c>
      <c r="E33" s="4">
        <v>0.15</v>
      </c>
      <c r="F33" s="4">
        <v>0.30399999999999999</v>
      </c>
      <c r="G33" s="4">
        <v>0.30199999999999999</v>
      </c>
      <c r="H33" s="4">
        <v>0.26600000000000001</v>
      </c>
    </row>
    <row r="34" spans="2:9" x14ac:dyDescent="0.2">
      <c r="B34" s="4" t="s">
        <v>31</v>
      </c>
      <c r="C34" s="4">
        <v>0.42</v>
      </c>
      <c r="D34" s="4">
        <v>0</v>
      </c>
      <c r="E34" s="4">
        <v>1.6259999999999999</v>
      </c>
      <c r="F34" s="4">
        <v>2.649</v>
      </c>
      <c r="G34" s="4">
        <v>1.5369999999999999</v>
      </c>
      <c r="H34" s="4">
        <v>1.244</v>
      </c>
    </row>
    <row r="35" spans="2:9" x14ac:dyDescent="0.2">
      <c r="B35" s="4" t="s">
        <v>32</v>
      </c>
      <c r="C35" s="4">
        <v>2.6320000000000001</v>
      </c>
      <c r="D35" s="4">
        <v>2.6179999999999999</v>
      </c>
      <c r="E35" s="4">
        <v>2.355</v>
      </c>
      <c r="F35" s="4">
        <v>7.1740000000000004</v>
      </c>
      <c r="G35" s="4">
        <v>6.234</v>
      </c>
      <c r="H35" s="4">
        <v>8.7330000000000005</v>
      </c>
    </row>
    <row r="36" spans="2:9" x14ac:dyDescent="0.2">
      <c r="B36" s="4" t="s">
        <v>33</v>
      </c>
      <c r="C36" s="4">
        <v>0.42599999999999999</v>
      </c>
      <c r="D36" s="4">
        <v>0.64900000000000002</v>
      </c>
      <c r="E36" s="4">
        <v>0.18</v>
      </c>
      <c r="F36" s="4">
        <v>0.251</v>
      </c>
      <c r="G36" s="4">
        <v>2.157</v>
      </c>
      <c r="H36" s="4">
        <v>0.26200000000000001</v>
      </c>
    </row>
    <row r="37" spans="2:9" s="6" customFormat="1" ht="15" x14ac:dyDescent="0.25">
      <c r="B37" s="6" t="s">
        <v>34</v>
      </c>
      <c r="C37" s="6">
        <f>+SUM(C29:C36)</f>
        <v>15.47</v>
      </c>
      <c r="D37" s="6">
        <f>+SUM(D29:D36)</f>
        <v>16.142000000000003</v>
      </c>
      <c r="E37" s="6">
        <f>+SUM(E29:E36)</f>
        <v>16.518999999999998</v>
      </c>
      <c r="F37" s="6">
        <f>+SUM(F29:F36)</f>
        <v>30.685000000000002</v>
      </c>
      <c r="G37" s="6">
        <f>+SUM(G29:G36)</f>
        <v>35.890999999999991</v>
      </c>
      <c r="H37" s="6">
        <f>+SUM(H29:H36)</f>
        <v>43.001000000000005</v>
      </c>
    </row>
    <row r="39" spans="2:9" x14ac:dyDescent="0.2">
      <c r="B39" s="4" t="s">
        <v>5</v>
      </c>
      <c r="C39" s="4">
        <v>0.33100000000000002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</row>
    <row r="40" spans="2:9" x14ac:dyDescent="0.2">
      <c r="B40" s="4" t="s">
        <v>35</v>
      </c>
      <c r="C40" s="4">
        <v>2.7970000000000002</v>
      </c>
      <c r="D40" s="4">
        <v>0.68</v>
      </c>
      <c r="E40" s="4">
        <v>1.0009999999999999</v>
      </c>
      <c r="F40" s="4">
        <v>1.5549999999999999</v>
      </c>
      <c r="G40" s="4">
        <v>1.0469999999999999</v>
      </c>
      <c r="H40" s="4">
        <v>2.6829999999999998</v>
      </c>
    </row>
    <row r="41" spans="2:9" x14ac:dyDescent="0.2">
      <c r="B41" s="4" t="s">
        <v>37</v>
      </c>
      <c r="C41" s="4">
        <v>0</v>
      </c>
      <c r="D41" s="4">
        <v>2.5830000000000002</v>
      </c>
      <c r="E41" s="4">
        <v>5.7380000000000004</v>
      </c>
      <c r="F41" s="4">
        <v>5.1559999999999997</v>
      </c>
      <c r="G41" s="4">
        <v>3.0960000000000001</v>
      </c>
      <c r="H41" s="4">
        <v>3.7810000000000001</v>
      </c>
    </row>
    <row r="42" spans="2:9" x14ac:dyDescent="0.2">
      <c r="B42" s="4" t="s">
        <v>36</v>
      </c>
      <c r="C42" s="4">
        <v>0.73699999999999999</v>
      </c>
      <c r="D42" s="4">
        <v>6.8000000000000005E-2</v>
      </c>
      <c r="E42" s="4">
        <v>3.4000000000000002E-2</v>
      </c>
      <c r="F42" s="4">
        <v>4.3999999999999997E-2</v>
      </c>
      <c r="G42" s="4">
        <v>5.3999999999999999E-2</v>
      </c>
      <c r="H42" s="4">
        <v>2.3E-2</v>
      </c>
    </row>
    <row r="43" spans="2:9" x14ac:dyDescent="0.2">
      <c r="B43" s="4" t="s">
        <v>38</v>
      </c>
      <c r="C43" s="4">
        <v>0</v>
      </c>
      <c r="D43" s="4">
        <v>0.97699999999999998</v>
      </c>
      <c r="E43" s="4">
        <v>3.5510000000000002</v>
      </c>
      <c r="F43" s="4">
        <v>2.5209999999999999</v>
      </c>
      <c r="G43" s="4">
        <v>0.91300000000000003</v>
      </c>
      <c r="H43" s="4">
        <v>5.2640000000000002</v>
      </c>
    </row>
    <row r="44" spans="2:9" x14ac:dyDescent="0.2">
      <c r="B44" s="4" t="s">
        <v>39</v>
      </c>
      <c r="C44" s="4">
        <v>0.95599999999999996</v>
      </c>
      <c r="D44" s="4">
        <v>0.96699999999999997</v>
      </c>
      <c r="E44" s="4">
        <v>0.312</v>
      </c>
      <c r="F44" s="4">
        <v>0.65100000000000002</v>
      </c>
      <c r="G44" s="4">
        <v>0.76900000000000002</v>
      </c>
      <c r="H44" s="4">
        <v>1.526</v>
      </c>
    </row>
    <row r="45" spans="2:9" x14ac:dyDescent="0.2">
      <c r="B45" s="4" t="s">
        <v>31</v>
      </c>
      <c r="C45" s="4">
        <v>0</v>
      </c>
      <c r="D45" s="4">
        <v>0.34799999999999998</v>
      </c>
      <c r="E45" s="4">
        <v>0</v>
      </c>
      <c r="F45" s="4">
        <v>0</v>
      </c>
      <c r="G45" s="4">
        <v>0</v>
      </c>
      <c r="H45" s="4">
        <v>0</v>
      </c>
      <c r="I45" s="4" t="s">
        <v>0</v>
      </c>
    </row>
    <row r="46" spans="2:9" s="6" customFormat="1" ht="15" x14ac:dyDescent="0.25">
      <c r="B46" s="6" t="s">
        <v>40</v>
      </c>
      <c r="C46" s="6">
        <f t="shared" ref="C46:G46" si="44">+SUM(C39:C45)</f>
        <v>4.8209999999999997</v>
      </c>
      <c r="D46" s="6">
        <f t="shared" si="44"/>
        <v>5.6230000000000002</v>
      </c>
      <c r="E46" s="6">
        <f t="shared" si="44"/>
        <v>10.636000000000001</v>
      </c>
      <c r="F46" s="6">
        <f t="shared" si="44"/>
        <v>9.9269999999999996</v>
      </c>
      <c r="G46" s="6">
        <f t="shared" si="44"/>
        <v>5.8790000000000004</v>
      </c>
      <c r="H46" s="6">
        <f>+SUM(H39:H45)</f>
        <v>13.277000000000001</v>
      </c>
    </row>
    <row r="47" spans="2:9" x14ac:dyDescent="0.2">
      <c r="D47" s="4" t="s">
        <v>0</v>
      </c>
    </row>
    <row r="48" spans="2:9" x14ac:dyDescent="0.2">
      <c r="B48" s="4" t="s">
        <v>41</v>
      </c>
      <c r="C48" s="4">
        <f>+C37-C46</f>
        <v>10.649000000000001</v>
      </c>
      <c r="D48" s="4">
        <f>+D37-D46</f>
        <v>10.519000000000002</v>
      </c>
      <c r="E48" s="4">
        <f>+E37-E46</f>
        <v>5.8829999999999973</v>
      </c>
      <c r="F48" s="4">
        <f>+F37-F46</f>
        <v>20.758000000000003</v>
      </c>
      <c r="G48" s="4">
        <f>+G37-G46</f>
        <v>30.01199999999999</v>
      </c>
      <c r="H48" s="4">
        <f>+H37-H46</f>
        <v>29.724000000000004</v>
      </c>
    </row>
    <row r="49" spans="2:8" x14ac:dyDescent="0.2">
      <c r="B49" s="4" t="s">
        <v>42</v>
      </c>
      <c r="C49" s="4">
        <f>+C46+C48</f>
        <v>15.47</v>
      </c>
      <c r="D49" s="4">
        <f>+D46+D48</f>
        <v>16.142000000000003</v>
      </c>
      <c r="E49" s="4">
        <f>+E46+E48</f>
        <v>16.518999999999998</v>
      </c>
      <c r="F49" s="4">
        <f>+F46+F48</f>
        <v>30.685000000000002</v>
      </c>
      <c r="G49" s="4">
        <f t="shared" ref="G49:H49" si="45">+G46+G48</f>
        <v>35.890999999999991</v>
      </c>
      <c r="H49" s="4">
        <f t="shared" si="45"/>
        <v>43.001000000000005</v>
      </c>
    </row>
    <row r="51" spans="2:8" x14ac:dyDescent="0.2">
      <c r="B51" s="4" t="s">
        <v>43</v>
      </c>
      <c r="C51" s="7">
        <f>+C37/C16</f>
        <v>-45.233918128654963</v>
      </c>
      <c r="D51" s="7">
        <f>+D37/D16</f>
        <v>-22.5446927374302</v>
      </c>
      <c r="E51" s="7">
        <f>+E37/E16</f>
        <v>-31.464761904761922</v>
      </c>
      <c r="F51" s="7">
        <f>+F37/F16</f>
        <v>-181.56804733728143</v>
      </c>
      <c r="G51" s="7">
        <f>+G37/G16</f>
        <v>11.108325595790774</v>
      </c>
      <c r="H51" s="7">
        <f>+H37/H16</f>
        <v>3.6809621640130121</v>
      </c>
    </row>
    <row r="52" spans="2:8" x14ac:dyDescent="0.2">
      <c r="B52" s="4" t="s">
        <v>44</v>
      </c>
      <c r="C52" s="7">
        <f>+C48/C16</f>
        <v>-31.137426900584792</v>
      </c>
      <c r="D52" s="7">
        <f>+D48/D16</f>
        <v>-14.691340782122927</v>
      </c>
      <c r="E52" s="7">
        <f>+E48/E16</f>
        <v>-11.205714285714286</v>
      </c>
      <c r="F52" s="7">
        <f>+F48/F16</f>
        <v>-122.82840236686616</v>
      </c>
      <c r="G52" s="7">
        <f>+G48/G16</f>
        <v>9.2887650882079829</v>
      </c>
      <c r="H52" s="7">
        <f>+H48/H16</f>
        <v>2.5444273240883417</v>
      </c>
    </row>
    <row r="54" spans="2:8" x14ac:dyDescent="0.2">
      <c r="B54" s="4" t="s">
        <v>47</v>
      </c>
      <c r="D54" s="4">
        <v>0.71599999999999997</v>
      </c>
      <c r="E54" s="4">
        <v>1.867</v>
      </c>
      <c r="F54" s="4">
        <v>1.867</v>
      </c>
      <c r="G54" s="4">
        <v>7.6589999999999998</v>
      </c>
      <c r="H54" s="4">
        <v>17.087</v>
      </c>
    </row>
    <row r="55" spans="2:8" x14ac:dyDescent="0.2">
      <c r="B55" s="4" t="s">
        <v>46</v>
      </c>
      <c r="D55" s="4">
        <v>8.7005999999999997</v>
      </c>
      <c r="E55" s="4">
        <v>8.7005999999999997</v>
      </c>
      <c r="F55" s="4">
        <v>-8.7059999999999995</v>
      </c>
      <c r="G55" s="4">
        <v>-3.7229999999999999</v>
      </c>
      <c r="H55" s="4">
        <v>-6.3049999999999997</v>
      </c>
    </row>
    <row r="56" spans="2:8" x14ac:dyDescent="0.2">
      <c r="B56" s="4" t="s">
        <v>45</v>
      </c>
      <c r="D56" s="4">
        <v>9.3870000000000005</v>
      </c>
      <c r="E56" s="4">
        <v>9.3870000000000005</v>
      </c>
      <c r="F56" s="4">
        <v>0</v>
      </c>
      <c r="G56" s="4">
        <v>0</v>
      </c>
      <c r="H56" s="4">
        <v>0</v>
      </c>
    </row>
    <row r="57" spans="2:8" s="6" customFormat="1" ht="15" x14ac:dyDescent="0.25">
      <c r="B57" s="6" t="s">
        <v>48</v>
      </c>
      <c r="D57" s="6">
        <f>+D54+D55+D56</f>
        <v>18.803599999999999</v>
      </c>
      <c r="E57" s="6">
        <f>+E54+E55+E56</f>
        <v>19.954599999999999</v>
      </c>
      <c r="F57" s="6">
        <f>+F54+F55+F56</f>
        <v>-6.8389999999999995</v>
      </c>
      <c r="G57" s="6">
        <f>+G54+G55+G56</f>
        <v>3.9359999999999999</v>
      </c>
      <c r="H57" s="6">
        <f>+H54+H55+H56</f>
        <v>10.782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2025-08-11T11:37:28Z</dcterms:created>
  <dcterms:modified xsi:type="dcterms:W3CDTF">2025-08-11T21:29:20Z</dcterms:modified>
</cp:coreProperties>
</file>