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5" documentId="8_{22983583-9359-4F45-91C1-1F2B8DCC0E57}" xr6:coauthVersionLast="47" xr6:coauthVersionMax="47" xr10:uidLastSave="{B457069B-4D73-480D-818F-7BA0A0CE771A}"/>
  <bookViews>
    <workbookView xWindow="-120" yWindow="-120" windowWidth="29040" windowHeight="15720" activeTab="1" xr2:uid="{F8D720D6-6235-4291-8274-52EC6A71405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2" l="1"/>
  <c r="AB5" i="2" s="1"/>
  <c r="AC5" i="2" s="1"/>
  <c r="Z5" i="2"/>
  <c r="Y28" i="2"/>
  <c r="AA12" i="2"/>
  <c r="AB12" i="2" s="1"/>
  <c r="AC12" i="2" s="1"/>
  <c r="AD12" i="2" s="1"/>
  <c r="AE12" i="2" s="1"/>
  <c r="Z12" i="2"/>
  <c r="AB11" i="2"/>
  <c r="AC11" i="2" s="1"/>
  <c r="AD11" i="2" s="1"/>
  <c r="AE11" i="2" s="1"/>
  <c r="AA11" i="2"/>
  <c r="Z11" i="2"/>
  <c r="AA10" i="2"/>
  <c r="AB10" i="2" s="1"/>
  <c r="AC10" i="2" s="1"/>
  <c r="AD10" i="2" s="1"/>
  <c r="AE10" i="2" s="1"/>
  <c r="Z10" i="2"/>
  <c r="Z9" i="2"/>
  <c r="Z14" i="2" s="1"/>
  <c r="AB8" i="2"/>
  <c r="AC8" i="2" s="1"/>
  <c r="AD8" i="2" s="1"/>
  <c r="AE8" i="2" s="1"/>
  <c r="AA8" i="2"/>
  <c r="AA7" i="2"/>
  <c r="AB7" i="2" s="1"/>
  <c r="AC7" i="2" s="1"/>
  <c r="AD7" i="2" s="1"/>
  <c r="AE7" i="2" s="1"/>
  <c r="Z8" i="2"/>
  <c r="Z7" i="2"/>
  <c r="AA6" i="2"/>
  <c r="AB6" i="2" s="1"/>
  <c r="AC6" i="2" s="1"/>
  <c r="AD6" i="2" s="1"/>
  <c r="AE6" i="2" s="1"/>
  <c r="Z6" i="2"/>
  <c r="Z23" i="2"/>
  <c r="X23" i="2"/>
  <c r="Y23" i="2"/>
  <c r="M22" i="2"/>
  <c r="L22" i="2"/>
  <c r="O22" i="2"/>
  <c r="X57" i="2"/>
  <c r="W57" i="2"/>
  <c r="X28" i="2"/>
  <c r="Y57" i="2"/>
  <c r="X30" i="2"/>
  <c r="Y51" i="2"/>
  <c r="Y44" i="2"/>
  <c r="Y52" i="2" s="1"/>
  <c r="Y36" i="2"/>
  <c r="Y35" i="2"/>
  <c r="Y30" i="2"/>
  <c r="Y39" i="2" s="1"/>
  <c r="Z20" i="2"/>
  <c r="AA20" i="2" s="1"/>
  <c r="AB20" i="2" s="1"/>
  <c r="AC20" i="2" s="1"/>
  <c r="AD20" i="2" s="1"/>
  <c r="AE20" i="2" s="1"/>
  <c r="Y15" i="2"/>
  <c r="Y13" i="2"/>
  <c r="Z13" i="2" s="1"/>
  <c r="AA13" i="2" s="1"/>
  <c r="AB13" i="2" s="1"/>
  <c r="AC13" i="2" s="1"/>
  <c r="AD13" i="2" s="1"/>
  <c r="AE13" i="2" s="1"/>
  <c r="Y8" i="2"/>
  <c r="Y5" i="2"/>
  <c r="X15" i="2"/>
  <c r="X13" i="2"/>
  <c r="X8" i="2"/>
  <c r="X5" i="2"/>
  <c r="W15" i="2"/>
  <c r="W13" i="2"/>
  <c r="W8" i="2"/>
  <c r="W5" i="2"/>
  <c r="X2" i="2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N17" i="2"/>
  <c r="N12" i="2"/>
  <c r="N11" i="2"/>
  <c r="N10" i="2"/>
  <c r="N7" i="2"/>
  <c r="N6" i="2"/>
  <c r="N4" i="2"/>
  <c r="N3" i="2"/>
  <c r="I15" i="2"/>
  <c r="I13" i="2"/>
  <c r="I8" i="2"/>
  <c r="I5" i="2"/>
  <c r="F15" i="2"/>
  <c r="F8" i="2"/>
  <c r="F13" i="2"/>
  <c r="F5" i="2"/>
  <c r="L15" i="2"/>
  <c r="M15" i="2"/>
  <c r="M13" i="2"/>
  <c r="M8" i="2"/>
  <c r="M5" i="2"/>
  <c r="L7" i="1"/>
  <c r="L5" i="1"/>
  <c r="H15" i="2"/>
  <c r="H8" i="2"/>
  <c r="H13" i="2"/>
  <c r="H5" i="2"/>
  <c r="L13" i="2"/>
  <c r="L5" i="2"/>
  <c r="K15" i="2"/>
  <c r="K13" i="2"/>
  <c r="K8" i="2"/>
  <c r="K5" i="2"/>
  <c r="O13" i="2"/>
  <c r="O8" i="2"/>
  <c r="Z15" i="2" l="1"/>
  <c r="W9" i="2"/>
  <c r="W14" i="2" s="1"/>
  <c r="W16" i="2" s="1"/>
  <c r="W18" i="2" s="1"/>
  <c r="W19" i="2" s="1"/>
  <c r="N5" i="2"/>
  <c r="N15" i="2"/>
  <c r="N13" i="2"/>
  <c r="N8" i="2"/>
  <c r="N9" i="2" s="1"/>
  <c r="M9" i="2"/>
  <c r="F9" i="2"/>
  <c r="F23" i="2" s="1"/>
  <c r="Y9" i="2"/>
  <c r="Y14" i="2" s="1"/>
  <c r="Y16" i="2" s="1"/>
  <c r="Y18" i="2" s="1"/>
  <c r="Y19" i="2" s="1"/>
  <c r="X9" i="2"/>
  <c r="X14" i="2" s="1"/>
  <c r="X16" i="2" s="1"/>
  <c r="X18" i="2" s="1"/>
  <c r="X19" i="2" s="1"/>
  <c r="I9" i="2"/>
  <c r="K9" i="2"/>
  <c r="H9" i="2"/>
  <c r="L9" i="2"/>
  <c r="O15" i="2"/>
  <c r="O5" i="2"/>
  <c r="L3" i="1"/>
  <c r="L4" i="1"/>
  <c r="AA9" i="2" l="1"/>
  <c r="AA14" i="2" s="1"/>
  <c r="AA23" i="2"/>
  <c r="F14" i="2"/>
  <c r="F16" i="2" s="1"/>
  <c r="L14" i="2"/>
  <c r="L23" i="2"/>
  <c r="H14" i="2"/>
  <c r="H23" i="2"/>
  <c r="Z16" i="2"/>
  <c r="Z17" i="2" s="1"/>
  <c r="K14" i="2"/>
  <c r="K23" i="2"/>
  <c r="I14" i="2"/>
  <c r="I23" i="2"/>
  <c r="M14" i="2"/>
  <c r="M23" i="2"/>
  <c r="N14" i="2"/>
  <c r="N23" i="2"/>
  <c r="O9" i="2"/>
  <c r="AB9" i="2" l="1"/>
  <c r="AB14" i="2" s="1"/>
  <c r="AB23" i="2"/>
  <c r="Z18" i="2"/>
  <c r="Z28" i="2" s="1"/>
  <c r="F24" i="2"/>
  <c r="AA15" i="2"/>
  <c r="N16" i="2"/>
  <c r="N24" i="2"/>
  <c r="H16" i="2"/>
  <c r="H24" i="2"/>
  <c r="M16" i="2"/>
  <c r="M24" i="2"/>
  <c r="I16" i="2"/>
  <c r="I24" i="2"/>
  <c r="L16" i="2"/>
  <c r="L24" i="2"/>
  <c r="F18" i="2"/>
  <c r="F19" i="2" s="1"/>
  <c r="F25" i="2"/>
  <c r="K16" i="2"/>
  <c r="K24" i="2"/>
  <c r="O14" i="2"/>
  <c r="O23" i="2"/>
  <c r="AC9" i="2" l="1"/>
  <c r="AC14" i="2" s="1"/>
  <c r="AC23" i="2"/>
  <c r="Z19" i="2"/>
  <c r="AA16" i="2"/>
  <c r="O24" i="2"/>
  <c r="O16" i="2"/>
  <c r="M18" i="2"/>
  <c r="M25" i="2"/>
  <c r="H18" i="2"/>
  <c r="H19" i="2" s="1"/>
  <c r="H25" i="2"/>
  <c r="K18" i="2"/>
  <c r="K19" i="2" s="1"/>
  <c r="K25" i="2"/>
  <c r="N18" i="2"/>
  <c r="N19" i="2" s="1"/>
  <c r="N25" i="2"/>
  <c r="L18" i="2"/>
  <c r="L25" i="2"/>
  <c r="AD5" i="2"/>
  <c r="I18" i="2"/>
  <c r="I19" i="2" s="1"/>
  <c r="I25" i="2"/>
  <c r="AD9" i="2" l="1"/>
  <c r="AD14" i="2" s="1"/>
  <c r="AD23" i="2"/>
  <c r="AA17" i="2"/>
  <c r="AA18" i="2" s="1"/>
  <c r="AA28" i="2" s="1"/>
  <c r="AB15" i="2"/>
  <c r="AB16" i="2" s="1"/>
  <c r="M19" i="2"/>
  <c r="M26" i="2"/>
  <c r="AE5" i="2"/>
  <c r="O18" i="2"/>
  <c r="O25" i="2"/>
  <c r="L19" i="2"/>
  <c r="L26" i="2"/>
  <c r="AE9" i="2" l="1"/>
  <c r="AE14" i="2" s="1"/>
  <c r="AE23" i="2"/>
  <c r="AA19" i="2"/>
  <c r="AB17" i="2"/>
  <c r="AB18" i="2" s="1"/>
  <c r="AB28" i="2" s="1"/>
  <c r="O19" i="2"/>
  <c r="O26" i="2"/>
  <c r="AB19" i="2" l="1"/>
  <c r="AC15" i="2"/>
  <c r="AC16" i="2" s="1"/>
  <c r="AC17" i="2" l="1"/>
  <c r="AC18" i="2" s="1"/>
  <c r="AC28" i="2" s="1"/>
  <c r="AD15" i="2"/>
  <c r="AD16" i="2" s="1"/>
  <c r="AC19" i="2" l="1"/>
  <c r="AD17" i="2"/>
  <c r="AD18" i="2" s="1"/>
  <c r="AD28" i="2" s="1"/>
  <c r="AE15" i="2"/>
  <c r="AE16" i="2" s="1"/>
  <c r="AD19" i="2" l="1"/>
  <c r="AE17" i="2"/>
  <c r="AE18" i="2" s="1"/>
  <c r="AE28" i="2" s="1"/>
  <c r="AE19" i="2" l="1"/>
  <c r="AF18" i="2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AF28" i="2" l="1"/>
  <c r="AG28" i="2" s="1"/>
  <c r="AH28" i="2" s="1"/>
  <c r="AI28" i="2" s="1"/>
  <c r="AJ28" i="2" s="1"/>
  <c r="R14" i="2"/>
  <c r="R15" i="2" s="1"/>
  <c r="R16" i="2" s="1"/>
</calcChain>
</file>

<file path=xl/sharedStrings.xml><?xml version="1.0" encoding="utf-8"?>
<sst xmlns="http://schemas.openxmlformats.org/spreadsheetml/2006/main" count="103" uniqueCount="75">
  <si>
    <t>Price</t>
  </si>
  <si>
    <t>MC</t>
  </si>
  <si>
    <t>Shares</t>
  </si>
  <si>
    <t>Cash</t>
  </si>
  <si>
    <t>Debt</t>
  </si>
  <si>
    <t>EV</t>
  </si>
  <si>
    <t>ceo</t>
  </si>
  <si>
    <t>staff</t>
  </si>
  <si>
    <t>Pos</t>
  </si>
  <si>
    <t>cos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</si>
  <si>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</si>
  <si>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</si>
  <si>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</si>
  <si>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</si>
  <si>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</si>
  <si>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</si>
  <si>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</si>
  <si>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</si>
  <si>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</si>
  <si>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</si>
  <si>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</si>
  <si>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</si>
  <si>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</si>
  <si>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Genomics</t>
  </si>
  <si>
    <t>Data and services</t>
  </si>
  <si>
    <t>Revenue</t>
  </si>
  <si>
    <t>COGS</t>
  </si>
  <si>
    <t>RD</t>
  </si>
  <si>
    <t>SGA</t>
  </si>
  <si>
    <t>OPEX</t>
  </si>
  <si>
    <t>Interest Income</t>
  </si>
  <si>
    <t>PRETAX</t>
  </si>
  <si>
    <t>TAX</t>
  </si>
  <si>
    <t xml:space="preserve">NI </t>
  </si>
  <si>
    <t>EPS</t>
  </si>
  <si>
    <t>Tecnhology RD</t>
  </si>
  <si>
    <t>Gross Profit</t>
  </si>
  <si>
    <t>Operating Profit</t>
  </si>
  <si>
    <t xml:space="preserve"> </t>
  </si>
  <si>
    <t>NC</t>
  </si>
  <si>
    <t xml:space="preserve">Cash </t>
  </si>
  <si>
    <t>AR</t>
  </si>
  <si>
    <t>Inventory</t>
  </si>
  <si>
    <t>OCA</t>
  </si>
  <si>
    <t>PPE</t>
  </si>
  <si>
    <t>Intangibles</t>
  </si>
  <si>
    <t>Investments</t>
  </si>
  <si>
    <t>Leases</t>
  </si>
  <si>
    <t>Restricted Cash</t>
  </si>
  <si>
    <t>AP</t>
  </si>
  <si>
    <t>AE</t>
  </si>
  <si>
    <t>OCL</t>
  </si>
  <si>
    <t>DR</t>
  </si>
  <si>
    <t>Licensing fees</t>
  </si>
  <si>
    <t>OLL</t>
  </si>
  <si>
    <t>Convertibles</t>
  </si>
  <si>
    <t>Interest payable</t>
  </si>
  <si>
    <t>Liabilities</t>
  </si>
  <si>
    <t xml:space="preserve">Assets  </t>
  </si>
  <si>
    <t>x</t>
  </si>
  <si>
    <t>Gross Margin</t>
  </si>
  <si>
    <t>Operating Margin</t>
  </si>
  <si>
    <t>Tax Rate</t>
  </si>
  <si>
    <t>NI y/y</t>
  </si>
  <si>
    <t xml:space="preserve">  </t>
  </si>
  <si>
    <t>NPV</t>
  </si>
  <si>
    <t>MR</t>
  </si>
  <si>
    <t>Per Share</t>
  </si>
  <si>
    <t>Upside</t>
  </si>
  <si>
    <t>cff</t>
  </si>
  <si>
    <t>CFFO</t>
  </si>
  <si>
    <t>CFFF</t>
  </si>
  <si>
    <t>CFFI</t>
  </si>
  <si>
    <t>CFC</t>
  </si>
  <si>
    <t>rev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</si>
</sst>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 applyFont="1"/>
    <xf numFmtId="0" fontId="1" fillId="0" borderId="0" xfId="0" applyFont="1"/>
    <xf numFmtId="0" fontId="0" fillId="0" borderId="0" xfId="0" applyFont="1"/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Font="1"/>
    <xf numFmtId="2" fontId="0" fillId="0" borderId="0" xfId="0" applyNumberFormat="1"/>
    <xf numFmtId="9" fontId="0" fillId="0" borderId="0" xfId="0" applyNumberFormat="1"/>
    <xf numFmtId="8" fontId="1" fillId="0" borderId="0" xfId="0" applyNumberFormat="1" applyFont="1"/>
    <xf numFmtId="9" fontId="1" fillId="0" borderId="0" xfId="0" applyNumberFormat="1" applyFont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9C81-97FB-420F-B4DF-442BF911F655}">
  <dimension ref="B2:L12"/>
  <sheetViews>
    <sheetView workbookViewId="0">
      <selection activeCell="L8" sqref="L8"/>
    </sheetView>
  </sheetViews>
  <sheetFormatPr defaultRowHeight="15" x14ac:dyDescent="0.25"/>
  <sheetData>
    <row r="2" spans="2:12" x14ac:dyDescent="0.25">
      <c r="B2" t="s">
        <v>6</v>
      </c>
      <c r="K2" t="s">
        <v>0</v>
      </c>
      <c r="L2" s="1">
        <v>58.92</v>
      </c>
    </row>
    <row r="3" spans="2:12" x14ac:dyDescent="0.25">
      <c r="K3" t="s">
        <v>2</v>
      </c>
      <c r="L3" s="1">
        <f>168.072456+5.043789</f>
        <v>173.11624499999999</v>
      </c>
    </row>
    <row r="4" spans="2:12" x14ac:dyDescent="0.25">
      <c r="K4" t="s">
        <v>1</v>
      </c>
      <c r="L4" s="1">
        <f>+L2*L3</f>
        <v>10200.009155399999</v>
      </c>
    </row>
    <row r="5" spans="2:12" x14ac:dyDescent="0.25">
      <c r="B5" t="s">
        <v>7</v>
      </c>
      <c r="K5" t="s">
        <v>3</v>
      </c>
      <c r="L5">
        <f>151.603+67.183</f>
        <v>218.786</v>
      </c>
    </row>
    <row r="6" spans="2:12" x14ac:dyDescent="0.25">
      <c r="K6" t="s">
        <v>4</v>
      </c>
      <c r="L6" s="1">
        <v>467.14400000000001</v>
      </c>
    </row>
    <row r="7" spans="2:12" x14ac:dyDescent="0.25">
      <c r="K7" t="s">
        <v>5</v>
      </c>
      <c r="L7" s="1">
        <f>+L4-L5+L6</f>
        <v>10448.367155399999</v>
      </c>
    </row>
    <row r="9" spans="2:12" x14ac:dyDescent="0.25">
      <c r="B9" t="s">
        <v>8</v>
      </c>
    </row>
    <row r="12" spans="2:12" x14ac:dyDescent="0.25">
      <c r="B12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5B3B-A836-4379-8809-2E1DB20C5D54}">
  <dimension ref="A1:XFD57"/>
  <sheetViews>
    <sheetView tabSelected="1" topLeftCell="B1" zoomScale="130" zoomScaleNormal="130" workbookViewId="0">
      <pane xSplit="1" ySplit="2" topLeftCell="H3" activePane="bottomRight" state="frozen"/>
      <selection activeCell="B1" sqref="B1"/>
      <selection pane="topRight" activeCell="C1" sqref="C1"/>
      <selection pane="bottomLeft" activeCell="B3" sqref="B3"/>
      <selection pane="bottomRight" activeCell="Y14" sqref="Y14"/>
    </sheetView>
  </sheetViews>
  <sheetFormatPr defaultRowHeight="15" x14ac:dyDescent="0.25"/>
  <cols>
    <col min="2" max="2" width="16.7109375" bestFit="1" customWidth="1"/>
    <col min="17" max="17" width="13.28515625" bestFit="1" customWidth="1"/>
    <col min="18" max="18" width="11" bestFit="1" customWidth="1"/>
  </cols>
  <sheetData>
    <row r="1" spans="2:69 16384:16384" x14ac:dyDescent="0.25">
      <c r="H1" t="s">
        <v>59</v>
      </c>
      <c r="I1" t="s">
        <v>59</v>
      </c>
      <c r="K1" t="s">
        <v>59</v>
      </c>
      <c r="L1" t="s">
        <v>59</v>
      </c>
      <c r="M1" t="s">
        <v>59</v>
      </c>
      <c r="O1" t="s">
        <v>59</v>
      </c>
    </row>
    <row r="2" spans="2:69 16384:16384" x14ac:dyDescent="0.25">
      <c r="B2" s="4"/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W2" s="11">
        <v>2022</v>
      </c>
      <c r="X2" s="11">
        <f>+W2+1</f>
        <v>2023</v>
      </c>
      <c r="Y2" s="11">
        <f t="shared" ref="Y2:AE2" si="0">+X2+1</f>
        <v>2024</v>
      </c>
      <c r="Z2" s="11">
        <f t="shared" si="0"/>
        <v>2025</v>
      </c>
      <c r="AA2" s="11">
        <f t="shared" si="0"/>
        <v>2026</v>
      </c>
      <c r="AB2" s="11">
        <f t="shared" si="0"/>
        <v>2027</v>
      </c>
      <c r="AC2" s="11">
        <f t="shared" si="0"/>
        <v>2028</v>
      </c>
      <c r="AD2" s="11">
        <f t="shared" si="0"/>
        <v>2029</v>
      </c>
      <c r="AE2" s="11">
        <f t="shared" si="0"/>
        <v>2030</v>
      </c>
      <c r="AF2" s="11">
        <f t="shared" ref="AF2:AI2" si="1">+AE2+1</f>
        <v>2031</v>
      </c>
      <c r="AG2" s="11">
        <f t="shared" si="1"/>
        <v>2032</v>
      </c>
      <c r="AH2" s="11">
        <f t="shared" si="1"/>
        <v>2033</v>
      </c>
      <c r="AI2" s="11">
        <f t="shared" si="1"/>
        <v>2034</v>
      </c>
      <c r="AJ2" s="11">
        <f t="shared" ref="AJ2" si="2">+AI2+1</f>
        <v>2035</v>
      </c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</row>
    <row r="3" spans="2:69 16384:16384" x14ac:dyDescent="0.25">
      <c r="B3" s="4" t="s">
        <v>23</v>
      </c>
      <c r="C3" s="4"/>
      <c r="D3" s="4"/>
      <c r="E3" s="4"/>
      <c r="F3" s="4">
        <v>82.058000000000007</v>
      </c>
      <c r="G3" s="4"/>
      <c r="H3" s="4">
        <v>91.924000000000007</v>
      </c>
      <c r="I3" s="4">
        <v>96.814999999999998</v>
      </c>
      <c r="K3" s="4">
        <v>102.569</v>
      </c>
      <c r="L3" s="4">
        <v>112.324</v>
      </c>
      <c r="M3" s="4">
        <v>116.422</v>
      </c>
      <c r="N3" s="4">
        <f>451.749-M3-L3-K3</f>
        <v>120.43399999999998</v>
      </c>
      <c r="O3" s="4">
        <v>193.804</v>
      </c>
      <c r="W3" s="11">
        <v>197.98400000000001</v>
      </c>
      <c r="X3" s="11">
        <v>363.02199999999999</v>
      </c>
      <c r="Y3" s="11">
        <v>451.74900000000002</v>
      </c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</row>
    <row r="4" spans="2:69 16384:16384" x14ac:dyDescent="0.25">
      <c r="B4" s="4" t="s">
        <v>24</v>
      </c>
      <c r="C4" s="4"/>
      <c r="D4" s="4"/>
      <c r="E4" s="4"/>
      <c r="F4" s="4">
        <v>33.566000000000003</v>
      </c>
      <c r="G4" s="4"/>
      <c r="H4" s="4">
        <v>40.493000000000002</v>
      </c>
      <c r="I4" s="4">
        <v>39.241999999999997</v>
      </c>
      <c r="K4" s="4">
        <v>43.250999999999998</v>
      </c>
      <c r="L4" s="4">
        <v>53.645000000000003</v>
      </c>
      <c r="M4" s="4">
        <v>64.507000000000005</v>
      </c>
      <c r="N4" s="4">
        <f>241.649-M4-L4-K4</f>
        <v>80.245999999999981</v>
      </c>
      <c r="O4" s="4">
        <v>61.933</v>
      </c>
      <c r="W4" s="11">
        <v>122.684</v>
      </c>
      <c r="X4" s="11">
        <v>168.8</v>
      </c>
      <c r="Y4" s="11">
        <v>241.649</v>
      </c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</row>
    <row r="5" spans="2:69 16384:16384" s="2" customFormat="1" x14ac:dyDescent="0.25">
      <c r="B5" s="5" t="s">
        <v>25</v>
      </c>
      <c r="C5" s="5"/>
      <c r="D5" s="5"/>
      <c r="E5" s="5"/>
      <c r="F5" s="5">
        <f>+F3+F4</f>
        <v>115.62400000000001</v>
      </c>
      <c r="G5" s="5"/>
      <c r="H5" s="5">
        <f>+H3+H4</f>
        <v>132.417</v>
      </c>
      <c r="I5" s="5">
        <f>+I3+I4</f>
        <v>136.05699999999999</v>
      </c>
      <c r="K5" s="5">
        <f>+K3+K4</f>
        <v>145.82</v>
      </c>
      <c r="L5" s="5">
        <f>+L3+L4</f>
        <v>165.96899999999999</v>
      </c>
      <c r="M5" s="5">
        <f>+M3+M4</f>
        <v>180.929</v>
      </c>
      <c r="N5" s="5">
        <f>+N3+N4</f>
        <v>200.67999999999995</v>
      </c>
      <c r="O5" s="5">
        <f>+O3+O4</f>
        <v>255.73699999999999</v>
      </c>
      <c r="W5" s="12">
        <f>+W3+W4</f>
        <v>320.66800000000001</v>
      </c>
      <c r="X5" s="12">
        <f>+X3+X4</f>
        <v>531.822</v>
      </c>
      <c r="Y5" s="12">
        <f>+Y3+Y4</f>
        <v>693.39800000000002</v>
      </c>
      <c r="Z5" s="12">
        <f>+Y5*1.35</f>
        <v>936.08730000000014</v>
      </c>
      <c r="AA5" s="12">
        <f t="shared" ref="AA5:AC5" si="3">+Z5*1.35</f>
        <v>1263.7178550000003</v>
      </c>
      <c r="AB5" s="12">
        <f t="shared" si="3"/>
        <v>1706.0191042500005</v>
      </c>
      <c r="AC5" s="12">
        <f t="shared" si="3"/>
        <v>2303.1257907375007</v>
      </c>
      <c r="AD5" s="12">
        <f t="shared" ref="AA5:AE5" si="4">+AC5*1.3</f>
        <v>2994.0635279587509</v>
      </c>
      <c r="AE5" s="12">
        <f t="shared" si="4"/>
        <v>3892.2825863463763</v>
      </c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</row>
    <row r="6" spans="2:69 16384:16384" x14ac:dyDescent="0.25">
      <c r="B6" s="4" t="s">
        <v>23</v>
      </c>
      <c r="C6" s="4"/>
      <c r="D6" s="4"/>
      <c r="E6" s="4"/>
      <c r="F6" s="4">
        <v>45.28</v>
      </c>
      <c r="G6" s="4"/>
      <c r="H6" s="4">
        <v>46.960999999999999</v>
      </c>
      <c r="I6" s="4">
        <v>46.54</v>
      </c>
      <c r="K6" s="4">
        <v>52.835000000000001</v>
      </c>
      <c r="L6" s="4">
        <v>68.323999999999998</v>
      </c>
      <c r="M6" s="4">
        <v>60.125999999999998</v>
      </c>
      <c r="N6" s="4">
        <f>243.467-M6-L6-K6</f>
        <v>62.182000000000009</v>
      </c>
      <c r="O6" s="4">
        <v>84.783000000000001</v>
      </c>
      <c r="W6" s="11">
        <v>150.255</v>
      </c>
      <c r="X6" s="11">
        <v>189.16499999999999</v>
      </c>
      <c r="Y6" s="11">
        <v>243.46700000000001</v>
      </c>
      <c r="Z6" s="11">
        <f>+Y6*1.2</f>
        <v>292.16039999999998</v>
      </c>
      <c r="AA6" s="11">
        <f t="shared" ref="AA6:AC6" si="5">+Z6*1.2</f>
        <v>350.59247999999997</v>
      </c>
      <c r="AB6" s="11">
        <f t="shared" si="5"/>
        <v>420.71097599999996</v>
      </c>
      <c r="AC6" s="11">
        <f t="shared" si="5"/>
        <v>504.85317119999991</v>
      </c>
      <c r="AD6" s="11">
        <f>+AC6*1.15</f>
        <v>580.58114687999989</v>
      </c>
      <c r="AE6" s="11">
        <f t="shared" ref="AE6" si="6">+AD6*1.15</f>
        <v>667.66831891199979</v>
      </c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</row>
    <row r="7" spans="2:69 16384:16384" x14ac:dyDescent="0.25">
      <c r="B7" s="4" t="s">
        <v>24</v>
      </c>
      <c r="C7" s="4"/>
      <c r="D7" s="4"/>
      <c r="E7" s="4"/>
      <c r="F7" s="4">
        <v>11.393000000000001</v>
      </c>
      <c r="G7" s="4"/>
      <c r="H7" s="4">
        <v>13.807</v>
      </c>
      <c r="I7" s="4">
        <v>15.49</v>
      </c>
      <c r="K7" s="4">
        <v>15.288</v>
      </c>
      <c r="L7" s="4">
        <v>22.132000000000001</v>
      </c>
      <c r="M7" s="4">
        <v>14.964</v>
      </c>
      <c r="N7" s="4">
        <f>68.818-M7-L7-K7</f>
        <v>16.433999999999997</v>
      </c>
      <c r="O7" s="4">
        <v>15.750999999999999</v>
      </c>
      <c r="W7" s="11">
        <v>40.226999999999997</v>
      </c>
      <c r="X7" s="11">
        <v>56.481999999999999</v>
      </c>
      <c r="Y7" s="11">
        <v>68.817999999999998</v>
      </c>
      <c r="Z7" s="11">
        <f t="shared" ref="Z7:AE8" si="7">+Y7*1.2</f>
        <v>82.581599999999995</v>
      </c>
      <c r="AA7" s="11">
        <f t="shared" si="7"/>
        <v>99.097919999999988</v>
      </c>
      <c r="AB7" s="11">
        <f t="shared" si="7"/>
        <v>118.91750399999998</v>
      </c>
      <c r="AC7" s="11">
        <f t="shared" si="7"/>
        <v>142.70100479999996</v>
      </c>
      <c r="AD7" s="11">
        <f t="shared" si="7"/>
        <v>171.24120575999996</v>
      </c>
      <c r="AE7" s="11">
        <f t="shared" si="7"/>
        <v>205.48944691199995</v>
      </c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</row>
    <row r="8" spans="2:69 16384:16384" s="3" customFormat="1" x14ac:dyDescent="0.25">
      <c r="B8" s="6" t="s">
        <v>26</v>
      </c>
      <c r="C8" s="6"/>
      <c r="D8" s="6"/>
      <c r="E8" s="6"/>
      <c r="F8" s="6">
        <f>+F6+F7</f>
        <v>56.673000000000002</v>
      </c>
      <c r="G8" s="6"/>
      <c r="H8" s="6">
        <f>+H6+H7</f>
        <v>60.768000000000001</v>
      </c>
      <c r="I8" s="6">
        <f>+I6+I7</f>
        <v>62.03</v>
      </c>
      <c r="K8" s="6">
        <f>+K6+K7</f>
        <v>68.123000000000005</v>
      </c>
      <c r="L8" s="6">
        <v>77.908000000000001</v>
      </c>
      <c r="M8" s="6">
        <f>+M6+M7</f>
        <v>75.09</v>
      </c>
      <c r="N8" s="6">
        <f>+N6+N7</f>
        <v>78.616000000000014</v>
      </c>
      <c r="O8" s="6">
        <f>+O6+O7</f>
        <v>100.53400000000001</v>
      </c>
      <c r="W8" s="1">
        <f>+W6+W7</f>
        <v>190.482</v>
      </c>
      <c r="X8" s="1">
        <f>+X6+X7</f>
        <v>245.64699999999999</v>
      </c>
      <c r="Y8" s="1">
        <f>+Y6+Y7</f>
        <v>312.28500000000003</v>
      </c>
      <c r="Z8" s="11">
        <f t="shared" si="7"/>
        <v>374.74200000000002</v>
      </c>
      <c r="AA8" s="11">
        <f t="shared" si="7"/>
        <v>449.69040000000001</v>
      </c>
      <c r="AB8" s="11">
        <f t="shared" si="7"/>
        <v>539.62847999999997</v>
      </c>
      <c r="AC8" s="11">
        <f t="shared" si="7"/>
        <v>647.55417599999998</v>
      </c>
      <c r="AD8" s="11">
        <f t="shared" si="7"/>
        <v>777.06501119999996</v>
      </c>
      <c r="AE8" s="11">
        <f t="shared" si="7"/>
        <v>932.47801343999993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</row>
    <row r="9" spans="2:69 16384:16384" s="2" customFormat="1" x14ac:dyDescent="0.25">
      <c r="B9" s="5" t="s">
        <v>36</v>
      </c>
      <c r="C9" s="5"/>
      <c r="D9" s="5"/>
      <c r="E9" s="5"/>
      <c r="F9" s="5">
        <f>+F5-F8</f>
        <v>58.951000000000008</v>
      </c>
      <c r="G9" s="5"/>
      <c r="H9" s="5">
        <f>+H5-H8</f>
        <v>71.649000000000001</v>
      </c>
      <c r="I9" s="5">
        <f>+I5-I8</f>
        <v>74.026999999999987</v>
      </c>
      <c r="K9" s="5">
        <f>+K5-K8</f>
        <v>77.696999999999989</v>
      </c>
      <c r="L9" s="5">
        <f>+L5-L8</f>
        <v>88.060999999999993</v>
      </c>
      <c r="M9" s="5">
        <f>+M5-M8</f>
        <v>105.839</v>
      </c>
      <c r="N9" s="5">
        <f>+N5-N8</f>
        <v>122.06399999999994</v>
      </c>
      <c r="O9" s="5">
        <f>+O5-O8</f>
        <v>155.20299999999997</v>
      </c>
      <c r="W9" s="12">
        <f>+W5-W8</f>
        <v>130.18600000000001</v>
      </c>
      <c r="X9" s="12">
        <f>+X5-X8</f>
        <v>286.17500000000001</v>
      </c>
      <c r="Y9" s="12">
        <f>+Y5-Y8</f>
        <v>381.113</v>
      </c>
      <c r="Z9" s="12">
        <f t="shared" ref="Z9:AE9" si="8">+Z5-Z8</f>
        <v>561.34530000000018</v>
      </c>
      <c r="AA9" s="12">
        <f t="shared" si="8"/>
        <v>814.02745500000037</v>
      </c>
      <c r="AB9" s="12">
        <f t="shared" si="8"/>
        <v>1166.3906242500007</v>
      </c>
      <c r="AC9" s="12">
        <f t="shared" si="8"/>
        <v>1655.5716147375006</v>
      </c>
      <c r="AD9" s="12">
        <f t="shared" si="8"/>
        <v>2216.9985167587511</v>
      </c>
      <c r="AE9" s="12">
        <f t="shared" si="8"/>
        <v>2959.8045729063765</v>
      </c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XFD9" s="2" t="s">
        <v>38</v>
      </c>
    </row>
    <row r="10" spans="2:69 16384:16384" x14ac:dyDescent="0.25">
      <c r="B10" s="4" t="s">
        <v>35</v>
      </c>
      <c r="C10" s="4"/>
      <c r="D10" s="4"/>
      <c r="E10" s="4"/>
      <c r="F10" s="6">
        <v>22.902000000000001</v>
      </c>
      <c r="G10" s="4"/>
      <c r="H10" s="6">
        <v>23.427</v>
      </c>
      <c r="I10" s="6">
        <v>24.155999999999999</v>
      </c>
      <c r="K10" s="4">
        <v>27.067</v>
      </c>
      <c r="L10" s="6">
        <v>77.908000000000001</v>
      </c>
      <c r="M10" s="4">
        <v>30.68</v>
      </c>
      <c r="N10" s="4">
        <f>167.519-M10-L10-K10</f>
        <v>31.863999999999997</v>
      </c>
      <c r="O10" s="4">
        <v>33.390999999999998</v>
      </c>
      <c r="P10" s="3"/>
      <c r="W10" s="1">
        <v>79.082999999999998</v>
      </c>
      <c r="X10" s="1">
        <v>95.155000000000001</v>
      </c>
      <c r="Y10" s="1">
        <v>167.51900000000001</v>
      </c>
      <c r="Z10" s="11">
        <f>+Y10*1.3</f>
        <v>217.77470000000002</v>
      </c>
      <c r="AA10" s="11">
        <f t="shared" ref="AA10:AE10" si="9">+Z10*1.3</f>
        <v>283.10711000000003</v>
      </c>
      <c r="AB10" s="11">
        <f t="shared" si="9"/>
        <v>368.03924300000006</v>
      </c>
      <c r="AC10" s="11">
        <f t="shared" si="9"/>
        <v>478.45101590000007</v>
      </c>
      <c r="AD10" s="11">
        <f t="shared" si="9"/>
        <v>621.98632067000017</v>
      </c>
      <c r="AE10" s="11">
        <f t="shared" si="9"/>
        <v>808.58221687100024</v>
      </c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</row>
    <row r="11" spans="2:69 16384:16384" x14ac:dyDescent="0.25">
      <c r="B11" s="4" t="s">
        <v>27</v>
      </c>
      <c r="C11" s="4"/>
      <c r="D11" s="4"/>
      <c r="E11" s="4"/>
      <c r="F11" s="4">
        <v>20.863</v>
      </c>
      <c r="G11" s="4"/>
      <c r="H11" s="4">
        <v>22.170999999999999</v>
      </c>
      <c r="I11" s="4">
        <v>23.234000000000002</v>
      </c>
      <c r="K11" s="4">
        <v>24.34</v>
      </c>
      <c r="L11" s="4">
        <v>68.025000000000006</v>
      </c>
      <c r="M11" s="4">
        <v>27.347999999999999</v>
      </c>
      <c r="N11" s="4">
        <f>149.325-M11-L11-K11</f>
        <v>29.611999999999984</v>
      </c>
      <c r="O11" s="4">
        <v>35.874000000000002</v>
      </c>
      <c r="P11" s="3"/>
      <c r="W11" s="1">
        <v>83.158000000000001</v>
      </c>
      <c r="X11" s="1">
        <v>90.343000000000004</v>
      </c>
      <c r="Y11" s="1">
        <v>149.32499999999999</v>
      </c>
      <c r="Z11" s="11">
        <f>+Y11*1.2</f>
        <v>179.18999999999997</v>
      </c>
      <c r="AA11" s="11">
        <f t="shared" ref="AA11:AE11" si="10">+Z11*1.2</f>
        <v>215.02799999999996</v>
      </c>
      <c r="AB11" s="11">
        <f t="shared" si="10"/>
        <v>258.03359999999992</v>
      </c>
      <c r="AC11" s="11">
        <f t="shared" si="10"/>
        <v>309.64031999999992</v>
      </c>
      <c r="AD11" s="11">
        <f t="shared" si="10"/>
        <v>371.56838399999987</v>
      </c>
      <c r="AE11" s="11">
        <f t="shared" si="10"/>
        <v>445.88206079999981</v>
      </c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</row>
    <row r="12" spans="2:69 16384:16384" x14ac:dyDescent="0.25">
      <c r="B12" s="4" t="s">
        <v>28</v>
      </c>
      <c r="C12" s="4"/>
      <c r="D12" s="4"/>
      <c r="E12" s="4"/>
      <c r="F12" s="4">
        <v>69.046999999999997</v>
      </c>
      <c r="G12" s="4"/>
      <c r="H12" s="4">
        <v>71.188999999999993</v>
      </c>
      <c r="I12" s="4">
        <v>71.426000000000002</v>
      </c>
      <c r="K12" s="4">
        <v>79.563999999999993</v>
      </c>
      <c r="L12" s="4">
        <v>463.072</v>
      </c>
      <c r="M12" s="4">
        <v>101.42700000000001</v>
      </c>
      <c r="N12" s="4">
        <f>755.351-M12-L12-K12</f>
        <v>111.28799999999998</v>
      </c>
      <c r="O12" s="4">
        <v>154.62700000000001</v>
      </c>
      <c r="Q12" t="s">
        <v>66</v>
      </c>
      <c r="R12" s="8">
        <v>0.01</v>
      </c>
      <c r="W12" s="1">
        <v>233.37700000000001</v>
      </c>
      <c r="X12" s="1">
        <v>296.76</v>
      </c>
      <c r="Y12" s="1">
        <v>755.351</v>
      </c>
      <c r="Z12" s="11">
        <f>+Y12*1.15</f>
        <v>868.65364999999997</v>
      </c>
      <c r="AA12" s="11">
        <f t="shared" ref="AA12:AE12" si="11">+Z12*1.15</f>
        <v>998.95169749999991</v>
      </c>
      <c r="AB12" s="11">
        <f t="shared" si="11"/>
        <v>1148.7944521249999</v>
      </c>
      <c r="AC12" s="11">
        <f t="shared" si="11"/>
        <v>1321.1136199437499</v>
      </c>
      <c r="AD12" s="11">
        <f t="shared" si="11"/>
        <v>1519.2806629353122</v>
      </c>
      <c r="AE12" s="11">
        <f t="shared" si="11"/>
        <v>1747.172762375609</v>
      </c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</row>
    <row r="13" spans="2:69 16384:16384" x14ac:dyDescent="0.25">
      <c r="B13" s="4" t="s">
        <v>29</v>
      </c>
      <c r="C13" s="4"/>
      <c r="D13" s="4"/>
      <c r="E13" s="4"/>
      <c r="F13" s="4">
        <f>+F10+F11+F12</f>
        <v>112.812</v>
      </c>
      <c r="G13" s="4"/>
      <c r="H13" s="4">
        <f>+H10+H11+H12</f>
        <v>116.78699999999999</v>
      </c>
      <c r="I13" s="4">
        <f>+I10+I11+I12</f>
        <v>118.816</v>
      </c>
      <c r="K13" s="4">
        <f>+K10+K11+K12</f>
        <v>130.971</v>
      </c>
      <c r="L13" s="4">
        <f>+L10+L11+L12</f>
        <v>609.005</v>
      </c>
      <c r="M13" s="4">
        <f>+M10+M11+M12</f>
        <v>159.45500000000001</v>
      </c>
      <c r="N13" s="4">
        <f>+N10+N11+N12</f>
        <v>172.76399999999995</v>
      </c>
      <c r="O13" s="4">
        <f>+O10+O11+O12</f>
        <v>223.892</v>
      </c>
      <c r="Q13" t="s">
        <v>52</v>
      </c>
      <c r="R13" s="8">
        <v>0.09</v>
      </c>
      <c r="W13" s="11">
        <f>+W12+W11+W10</f>
        <v>395.61800000000005</v>
      </c>
      <c r="X13" s="11">
        <f>+X12+X11+X10</f>
        <v>482.25800000000004</v>
      </c>
      <c r="Y13" s="11">
        <f>+Y12+Y11+Y10</f>
        <v>1072.1949999999999</v>
      </c>
      <c r="Z13" s="11">
        <f>+Y13*1.1</f>
        <v>1179.4145000000001</v>
      </c>
      <c r="AA13" s="11">
        <f t="shared" ref="AA13:AE13" si="12">+Z13*1.1</f>
        <v>1297.3559500000001</v>
      </c>
      <c r="AB13" s="11">
        <f t="shared" si="12"/>
        <v>1427.0915450000002</v>
      </c>
      <c r="AC13" s="11">
        <f t="shared" si="12"/>
        <v>1569.8006995000003</v>
      </c>
      <c r="AD13" s="11">
        <f t="shared" si="12"/>
        <v>1726.7807694500004</v>
      </c>
      <c r="AE13" s="11">
        <f t="shared" si="12"/>
        <v>1899.4588463950006</v>
      </c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</row>
    <row r="14" spans="2:69 16384:16384" s="2" customFormat="1" x14ac:dyDescent="0.25">
      <c r="B14" s="5" t="s">
        <v>37</v>
      </c>
      <c r="C14" s="5"/>
      <c r="D14" s="5"/>
      <c r="E14" s="5"/>
      <c r="F14" s="5">
        <f>+F9-F13</f>
        <v>-53.86099999999999</v>
      </c>
      <c r="G14" s="5"/>
      <c r="H14" s="5">
        <f>+H9-H13</f>
        <v>-45.137999999999991</v>
      </c>
      <c r="I14" s="5">
        <f>+I9-I13</f>
        <v>-44.789000000000016</v>
      </c>
      <c r="K14" s="5">
        <f>+K9-K13</f>
        <v>-53.274000000000015</v>
      </c>
      <c r="L14" s="5">
        <f>+L9-L13</f>
        <v>-520.94399999999996</v>
      </c>
      <c r="M14" s="5">
        <f>+M9-M13</f>
        <v>-53.616000000000014</v>
      </c>
      <c r="N14" s="5">
        <f>+N9-N13</f>
        <v>-50.700000000000017</v>
      </c>
      <c r="O14" s="5">
        <f>+O9-O13</f>
        <v>-68.689000000000021</v>
      </c>
      <c r="Q14" s="2" t="s">
        <v>65</v>
      </c>
      <c r="R14" s="9">
        <f>+NPV(R13,Z18:BF18)</f>
        <v>6324.3281279209286</v>
      </c>
      <c r="W14" s="12">
        <f>+W9-W13</f>
        <v>-265.43200000000002</v>
      </c>
      <c r="X14" s="12">
        <f>+X9-X13</f>
        <v>-196.08300000000003</v>
      </c>
      <c r="Y14" s="12">
        <f>+Y9-Y13</f>
        <v>-691.08199999999988</v>
      </c>
      <c r="Z14" s="12">
        <f t="shared" ref="Z14:AE14" si="13">+Z9-Z13</f>
        <v>-618.06919999999991</v>
      </c>
      <c r="AA14" s="12">
        <f t="shared" si="13"/>
        <v>-483.32849499999975</v>
      </c>
      <c r="AB14" s="12">
        <f t="shared" si="13"/>
        <v>-260.70092074999957</v>
      </c>
      <c r="AC14" s="12">
        <f t="shared" si="13"/>
        <v>85.770915237500276</v>
      </c>
      <c r="AD14" s="12">
        <f t="shared" si="13"/>
        <v>490.21774730875063</v>
      </c>
      <c r="AE14" s="12">
        <f t="shared" si="13"/>
        <v>1060.3457265113759</v>
      </c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</row>
    <row r="15" spans="2:69 16384:16384" s="3" customFormat="1" x14ac:dyDescent="0.25">
      <c r="B15" s="6" t="s">
        <v>30</v>
      </c>
      <c r="C15" s="6"/>
      <c r="D15" s="6"/>
      <c r="E15" s="6"/>
      <c r="F15" s="6">
        <f>2.424-9.191+6.388</f>
        <v>-0.37900000000000134</v>
      </c>
      <c r="G15" s="6" t="s">
        <v>38</v>
      </c>
      <c r="H15" s="6">
        <f>1.957-11.712+-0.766</f>
        <v>-10.520999999999999</v>
      </c>
      <c r="I15" s="6">
        <f>1.483-12.342-2.287</f>
        <v>-13.146000000000001</v>
      </c>
      <c r="J15" s="3" t="s">
        <v>38</v>
      </c>
      <c r="K15" s="6">
        <f>1.031-13.238+0.749</f>
        <v>-11.457999999999998</v>
      </c>
      <c r="L15" s="6">
        <f>-1.718-13.295-7.048</f>
        <v>-22.061</v>
      </c>
      <c r="M15" s="6">
        <f>4.789-13.761-11.522</f>
        <v>-20.494</v>
      </c>
      <c r="N15" s="6">
        <f>11.084-53.653+32.336-M15-L15-K15</f>
        <v>43.779999999999994</v>
      </c>
      <c r="O15" s="6">
        <f>1.813-18.003-27.455</f>
        <v>-43.644999999999996</v>
      </c>
      <c r="Q15" s="3" t="s">
        <v>67</v>
      </c>
      <c r="R15" s="3">
        <f>+R14/main!L3</f>
        <v>36.532262630355277</v>
      </c>
      <c r="W15" s="1">
        <f>3.032-21.894-4.846</f>
        <v>-23.707999999999998</v>
      </c>
      <c r="X15" s="1">
        <f>7.601-46.869+21.822</f>
        <v>-17.446000000000002</v>
      </c>
      <c r="Y15" s="1">
        <f>11.084-53.653+32.336</f>
        <v>-10.233000000000004</v>
      </c>
      <c r="Z15" s="1">
        <f>+V28*0.05</f>
        <v>0</v>
      </c>
      <c r="AA15" s="1">
        <f>+W28*0.05</f>
        <v>0</v>
      </c>
      <c r="AB15" s="1">
        <f>+X28*0.05</f>
        <v>-2.9483500000000009</v>
      </c>
      <c r="AC15" s="1">
        <f>+Y28*0.05</f>
        <v>9.0509500000000003</v>
      </c>
      <c r="AD15" s="1">
        <f>+Z28*0.05</f>
        <v>-28.033201999999996</v>
      </c>
      <c r="AE15" s="1">
        <f>+AA28*0.05</f>
        <v>-57.032911699999978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</row>
    <row r="16" spans="2:69 16384:16384" s="2" customFormat="1" x14ac:dyDescent="0.25">
      <c r="B16" s="5" t="s">
        <v>31</v>
      </c>
      <c r="C16" s="5"/>
      <c r="D16" s="5"/>
      <c r="E16" s="5"/>
      <c r="F16" s="5">
        <f>+F14+F15</f>
        <v>-54.239999999999995</v>
      </c>
      <c r="G16" s="5"/>
      <c r="H16" s="5">
        <f>+H14+H15</f>
        <v>-55.658999999999992</v>
      </c>
      <c r="I16" s="5">
        <f>+I14+I15</f>
        <v>-57.935000000000016</v>
      </c>
      <c r="K16" s="5">
        <f>+K14+K15</f>
        <v>-64.732000000000014</v>
      </c>
      <c r="L16" s="5">
        <f>+L14+L15</f>
        <v>-543.005</v>
      </c>
      <c r="M16" s="5">
        <f>+M14+M15</f>
        <v>-74.110000000000014</v>
      </c>
      <c r="N16" s="5">
        <f>+N14+N15</f>
        <v>-6.920000000000023</v>
      </c>
      <c r="O16" s="5">
        <f>+O14+O15</f>
        <v>-112.33400000000002</v>
      </c>
      <c r="Q16" s="2" t="s">
        <v>68</v>
      </c>
      <c r="R16" s="10">
        <f>+R15/main!L2-1</f>
        <v>-0.37996838712906866</v>
      </c>
      <c r="W16" s="12">
        <f>+W14+W15</f>
        <v>-289.14</v>
      </c>
      <c r="X16" s="12">
        <f>+X14+X15</f>
        <v>-213.52900000000002</v>
      </c>
      <c r="Y16" s="12">
        <f>+Y14+Y15</f>
        <v>-701.31499999999983</v>
      </c>
      <c r="Z16" s="12">
        <f t="shared" ref="Z16:AE16" si="14">+Z14+Z15</f>
        <v>-618.06919999999991</v>
      </c>
      <c r="AA16" s="12">
        <f t="shared" si="14"/>
        <v>-483.32849499999975</v>
      </c>
      <c r="AB16" s="12">
        <f t="shared" si="14"/>
        <v>-263.64927074999957</v>
      </c>
      <c r="AC16" s="12">
        <f t="shared" si="14"/>
        <v>94.821865237500276</v>
      </c>
      <c r="AD16" s="12">
        <f t="shared" si="14"/>
        <v>462.18454530875061</v>
      </c>
      <c r="AE16" s="12">
        <f t="shared" si="14"/>
        <v>1003.3128148113759</v>
      </c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</row>
    <row r="17" spans="2:69" s="7" customFormat="1" x14ac:dyDescent="0.25">
      <c r="B17" s="7" t="s">
        <v>32</v>
      </c>
      <c r="F17" s="7">
        <v>-1.0999999999999999E-2</v>
      </c>
      <c r="H17" s="7">
        <v>-3.0000000000000001E-3</v>
      </c>
      <c r="I17" s="7">
        <v>-6.5000000000000002E-2</v>
      </c>
      <c r="K17" s="7">
        <v>-1.0999999999999999E-2</v>
      </c>
      <c r="L17" s="7">
        <v>-9.5000000000000001E-2</v>
      </c>
      <c r="M17" s="7">
        <v>-3.7999999999999999E-2</v>
      </c>
      <c r="N17" s="7">
        <f>-0.266-M17-L17-K17</f>
        <v>-0.12200000000000001</v>
      </c>
      <c r="O17" s="7">
        <v>46.18</v>
      </c>
      <c r="W17" s="11">
        <v>-6.6000000000000003E-2</v>
      </c>
      <c r="X17" s="11">
        <v>-0.28799999999999998</v>
      </c>
      <c r="Y17" s="11">
        <v>-0.26600000000000001</v>
      </c>
      <c r="Z17" s="11">
        <f>+Z16*0.2</f>
        <v>-123.61383999999998</v>
      </c>
      <c r="AA17" s="11">
        <f t="shared" ref="AA17:AE17" si="15">+AA16*0.2</f>
        <v>-96.665698999999961</v>
      </c>
      <c r="AB17" s="11">
        <f t="shared" si="15"/>
        <v>-52.729854149999916</v>
      </c>
      <c r="AC17" s="11">
        <f t="shared" si="15"/>
        <v>18.964373047500057</v>
      </c>
      <c r="AD17" s="11">
        <f t="shared" si="15"/>
        <v>92.436909061750129</v>
      </c>
      <c r="AE17" s="11">
        <f t="shared" si="15"/>
        <v>200.66256296227519</v>
      </c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</row>
    <row r="18" spans="2:69" s="2" customFormat="1" x14ac:dyDescent="0.25">
      <c r="B18" s="5" t="s">
        <v>33</v>
      </c>
      <c r="C18" s="5"/>
      <c r="D18" s="5"/>
      <c r="E18" s="5"/>
      <c r="F18" s="5">
        <f>+F16+F17</f>
        <v>-54.250999999999998</v>
      </c>
      <c r="G18" s="5"/>
      <c r="H18" s="5">
        <f>+H16+H17</f>
        <v>-55.661999999999992</v>
      </c>
      <c r="I18" s="5">
        <f>+I16+I17</f>
        <v>-58.000000000000014</v>
      </c>
      <c r="K18" s="5">
        <f>+K16+K17</f>
        <v>-64.743000000000009</v>
      </c>
      <c r="L18" s="5">
        <f>+L16+L17</f>
        <v>-543.1</v>
      </c>
      <c r="M18" s="5">
        <f>+M16+M17</f>
        <v>-74.14800000000001</v>
      </c>
      <c r="N18" s="5">
        <f>+N16+N17</f>
        <v>-7.0420000000000229</v>
      </c>
      <c r="O18" s="5">
        <f>+O16+O17</f>
        <v>-66.154000000000025</v>
      </c>
      <c r="Q18" s="2" t="s">
        <v>38</v>
      </c>
      <c r="W18" s="12">
        <f t="shared" ref="W18:AJ18" si="16">+W16+W17</f>
        <v>-289.20599999999996</v>
      </c>
      <c r="X18" s="12">
        <f t="shared" si="16"/>
        <v>-213.81700000000004</v>
      </c>
      <c r="Y18" s="12">
        <f t="shared" si="16"/>
        <v>-701.58099999999979</v>
      </c>
      <c r="Z18" s="12">
        <f t="shared" si="16"/>
        <v>-741.68303999999989</v>
      </c>
      <c r="AA18" s="12">
        <f t="shared" si="16"/>
        <v>-579.99419399999965</v>
      </c>
      <c r="AB18" s="12">
        <f t="shared" si="16"/>
        <v>-316.37912489999951</v>
      </c>
      <c r="AC18" s="12">
        <f t="shared" si="16"/>
        <v>113.78623828500034</v>
      </c>
      <c r="AD18" s="12">
        <f t="shared" si="16"/>
        <v>554.62145437050071</v>
      </c>
      <c r="AE18" s="12">
        <f t="shared" si="16"/>
        <v>1203.9753777736512</v>
      </c>
      <c r="AF18" s="12">
        <f>+AE18*(1-$R$12)</f>
        <v>1191.9356239959147</v>
      </c>
      <c r="AG18" s="12">
        <f t="shared" ref="AG18:BQ18" si="17">+AF18*(1-$R$12)</f>
        <v>1180.0162677559556</v>
      </c>
      <c r="AH18" s="12">
        <f t="shared" si="17"/>
        <v>1168.2161050783961</v>
      </c>
      <c r="AI18" s="12">
        <f t="shared" si="17"/>
        <v>1156.5339440276123</v>
      </c>
      <c r="AJ18" s="12">
        <f t="shared" si="17"/>
        <v>1144.9686045873361</v>
      </c>
      <c r="AK18" s="12">
        <f t="shared" si="17"/>
        <v>1133.5189185414627</v>
      </c>
      <c r="AL18" s="12">
        <f t="shared" si="17"/>
        <v>1122.1837293560479</v>
      </c>
      <c r="AM18" s="12">
        <f t="shared" si="17"/>
        <v>1110.9618920624875</v>
      </c>
      <c r="AN18" s="12">
        <f t="shared" si="17"/>
        <v>1099.8522731418627</v>
      </c>
      <c r="AO18" s="12">
        <f t="shared" si="17"/>
        <v>1088.853750410444</v>
      </c>
      <c r="AP18" s="12">
        <f t="shared" si="17"/>
        <v>1077.9652129063395</v>
      </c>
      <c r="AQ18" s="12">
        <f t="shared" si="17"/>
        <v>1067.1855607772761</v>
      </c>
      <c r="AR18" s="12">
        <f t="shared" si="17"/>
        <v>1056.5137051695033</v>
      </c>
      <c r="AS18" s="12">
        <f t="shared" si="17"/>
        <v>1045.9485681178082</v>
      </c>
      <c r="AT18" s="12">
        <f t="shared" si="17"/>
        <v>1035.48908243663</v>
      </c>
      <c r="AU18" s="12">
        <f t="shared" si="17"/>
        <v>1025.1341916122637</v>
      </c>
      <c r="AV18" s="12">
        <f t="shared" si="17"/>
        <v>1014.8828496961411</v>
      </c>
      <c r="AW18" s="12">
        <f t="shared" si="17"/>
        <v>1004.7340211991797</v>
      </c>
      <c r="AX18" s="12">
        <f t="shared" si="17"/>
        <v>994.68668098718786</v>
      </c>
      <c r="AY18" s="12">
        <f t="shared" si="17"/>
        <v>984.73981417731602</v>
      </c>
      <c r="AZ18" s="12">
        <f t="shared" si="17"/>
        <v>974.89241603554285</v>
      </c>
      <c r="BA18" s="12">
        <f t="shared" si="17"/>
        <v>965.14349187518746</v>
      </c>
      <c r="BB18" s="12">
        <f t="shared" si="17"/>
        <v>955.49205695643559</v>
      </c>
      <c r="BC18" s="12">
        <f t="shared" si="17"/>
        <v>945.9371363868712</v>
      </c>
      <c r="BD18" s="12">
        <f t="shared" si="17"/>
        <v>936.47776502300246</v>
      </c>
      <c r="BE18" s="12">
        <f t="shared" si="17"/>
        <v>927.11298737277241</v>
      </c>
      <c r="BF18" s="12">
        <f t="shared" si="17"/>
        <v>917.84185749904464</v>
      </c>
      <c r="BG18" s="12">
        <f t="shared" si="17"/>
        <v>908.66343892405416</v>
      </c>
      <c r="BH18" s="12">
        <f t="shared" si="17"/>
        <v>899.57680453481362</v>
      </c>
      <c r="BI18" s="12">
        <f t="shared" si="17"/>
        <v>890.58103648946542</v>
      </c>
      <c r="BJ18" s="12">
        <f t="shared" si="17"/>
        <v>881.67522612457071</v>
      </c>
      <c r="BK18" s="12">
        <f t="shared" si="17"/>
        <v>872.858473863325</v>
      </c>
      <c r="BL18" s="12">
        <f t="shared" si="17"/>
        <v>864.12988912469177</v>
      </c>
      <c r="BM18" s="12">
        <f t="shared" si="17"/>
        <v>855.48859023344482</v>
      </c>
      <c r="BN18" s="12">
        <f t="shared" si="17"/>
        <v>846.93370433111033</v>
      </c>
      <c r="BO18" s="12">
        <f t="shared" si="17"/>
        <v>838.46436728779918</v>
      </c>
      <c r="BP18" s="12">
        <f t="shared" si="17"/>
        <v>830.07972361492114</v>
      </c>
      <c r="BQ18" s="12">
        <f t="shared" si="17"/>
        <v>821.77892637877187</v>
      </c>
    </row>
    <row r="19" spans="2:69" s="7" customFormat="1" x14ac:dyDescent="0.25">
      <c r="B19" s="7" t="s">
        <v>34</v>
      </c>
      <c r="F19" s="7">
        <f>+F18/F20</f>
        <v>-0.85800819244334081</v>
      </c>
      <c r="H19" s="7">
        <f>+H18/H20</f>
        <v>-0.87814343861420485</v>
      </c>
      <c r="I19" s="7">
        <f>+I18/I20</f>
        <v>-0.91647441772271931</v>
      </c>
      <c r="K19" s="7">
        <f>+K18/K20</f>
        <v>-1.0206999842345894</v>
      </c>
      <c r="L19" s="7">
        <f>+L18/L20</f>
        <v>-6.597023990282417</v>
      </c>
      <c r="M19" s="7">
        <f>+M18/M20</f>
        <v>-0.44772117962466496</v>
      </c>
      <c r="N19" s="7">
        <f>+N18/N20</f>
        <v>-5.8757269564201811E-2</v>
      </c>
      <c r="O19" s="7">
        <f>+O18/O20</f>
        <v>-0.38798634652153019</v>
      </c>
      <c r="W19" s="11">
        <f>+W18/W20</f>
        <v>-4.5882408935144054</v>
      </c>
      <c r="X19" s="11">
        <f>+X18/X20</f>
        <v>-3.3775155593466661</v>
      </c>
      <c r="Y19" s="11">
        <f>+Y18/Y20</f>
        <v>-5.8538744586938547</v>
      </c>
      <c r="Z19" s="11">
        <f t="shared" ref="Z19:AE19" si="18">+Z18/Z20</f>
        <v>-6.1884791696217727</v>
      </c>
      <c r="AA19" s="11">
        <f t="shared" si="18"/>
        <v>-4.8393744962411001</v>
      </c>
      <c r="AB19" s="11">
        <f t="shared" si="18"/>
        <v>-2.6398144740465042</v>
      </c>
      <c r="AC19" s="11">
        <f t="shared" si="18"/>
        <v>0.94941333081627988</v>
      </c>
      <c r="AD19" s="11">
        <f t="shared" si="18"/>
        <v>4.6276686027459615</v>
      </c>
      <c r="AE19" s="11">
        <f t="shared" si="18"/>
        <v>10.045769074198793</v>
      </c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</row>
    <row r="20" spans="2:69" x14ac:dyDescent="0.25">
      <c r="B20" s="4" t="s">
        <v>2</v>
      </c>
      <c r="C20" s="4"/>
      <c r="D20" s="4"/>
      <c r="E20" s="4"/>
      <c r="F20" s="4">
        <v>63.228999999999999</v>
      </c>
      <c r="G20" s="4"/>
      <c r="H20" s="4">
        <v>63.386000000000003</v>
      </c>
      <c r="I20" s="4">
        <v>63.286000000000001</v>
      </c>
      <c r="K20" s="4">
        <v>63.43</v>
      </c>
      <c r="L20" s="4">
        <v>82.325000000000003</v>
      </c>
      <c r="M20" s="4">
        <v>165.61199999999999</v>
      </c>
      <c r="N20" s="4">
        <v>119.849</v>
      </c>
      <c r="O20" s="4">
        <v>170.506</v>
      </c>
      <c r="W20" s="11">
        <v>63.031999999999996</v>
      </c>
      <c r="X20" s="11">
        <v>63.305999999999997</v>
      </c>
      <c r="Y20" s="11">
        <v>119.849</v>
      </c>
      <c r="Z20" s="11">
        <f>+Y20</f>
        <v>119.849</v>
      </c>
      <c r="AA20" s="11">
        <f t="shared" ref="AA20:AE20" si="19">+Z20</f>
        <v>119.849</v>
      </c>
      <c r="AB20" s="11">
        <f t="shared" si="19"/>
        <v>119.849</v>
      </c>
      <c r="AC20" s="11">
        <f t="shared" si="19"/>
        <v>119.849</v>
      </c>
      <c r="AD20" s="11">
        <f t="shared" si="19"/>
        <v>119.849</v>
      </c>
      <c r="AE20" s="11">
        <f t="shared" si="19"/>
        <v>119.849</v>
      </c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</row>
    <row r="21" spans="2:69" x14ac:dyDescent="0.25">
      <c r="B21" s="4"/>
      <c r="C21" s="4"/>
      <c r="D21" s="4"/>
      <c r="E21" s="4"/>
      <c r="F21" s="4"/>
      <c r="G21" s="4"/>
      <c r="H21" s="4"/>
      <c r="I21" s="4"/>
      <c r="K21" s="4"/>
      <c r="L21" s="4"/>
      <c r="M21" s="4"/>
      <c r="N21" s="4"/>
      <c r="O21" s="4"/>
      <c r="Q21" t="s">
        <v>38</v>
      </c>
      <c r="T21" s="7"/>
      <c r="U21" s="7"/>
      <c r="V21" s="7"/>
    </row>
    <row r="22" spans="2:69" x14ac:dyDescent="0.25">
      <c r="B22" s="4" t="s">
        <v>74</v>
      </c>
      <c r="C22" s="4"/>
      <c r="D22" s="4"/>
      <c r="E22" s="4"/>
      <c r="F22" s="8"/>
      <c r="G22" s="8"/>
      <c r="H22" s="8"/>
      <c r="I22" s="8" t="s">
        <v>38</v>
      </c>
      <c r="J22" s="8" t="s">
        <v>38</v>
      </c>
      <c r="K22" s="8" t="s">
        <v>38</v>
      </c>
      <c r="L22" s="8">
        <f t="shared" ref="I22:N22" si="20">+L5/H5-1</f>
        <v>0.25338136342010453</v>
      </c>
      <c r="M22" s="8">
        <f t="shared" si="20"/>
        <v>0.32980295023409312</v>
      </c>
      <c r="N22" s="8" t="s">
        <v>38</v>
      </c>
      <c r="O22" s="8">
        <f>+O5/K5-1</f>
        <v>0.75378548895899056</v>
      </c>
      <c r="Q22" s="11" t="s">
        <v>38</v>
      </c>
      <c r="T22" s="7"/>
      <c r="U22" s="7"/>
      <c r="V22" s="7"/>
    </row>
    <row r="23" spans="2:69" x14ac:dyDescent="0.25">
      <c r="B23" s="4" t="s">
        <v>60</v>
      </c>
      <c r="C23" s="4"/>
      <c r="D23" s="4"/>
      <c r="E23" s="4"/>
      <c r="F23" s="8">
        <f>+F9/F5</f>
        <v>0.50985089600774924</v>
      </c>
      <c r="G23" s="8"/>
      <c r="H23" s="8">
        <f>+H9/H5</f>
        <v>0.54108611432066878</v>
      </c>
      <c r="I23" s="8">
        <f>+I9/I5</f>
        <v>0.54408813952975588</v>
      </c>
      <c r="J23" s="8"/>
      <c r="K23" s="8">
        <f>+K9/K5</f>
        <v>0.53282814428747771</v>
      </c>
      <c r="L23" s="8">
        <f>+L9/L5</f>
        <v>0.53058703733829804</v>
      </c>
      <c r="M23" s="8">
        <f>+M9/M5</f>
        <v>0.58497532181131828</v>
      </c>
      <c r="N23" s="8">
        <f>+N9/N5</f>
        <v>0.60825194339246547</v>
      </c>
      <c r="O23" s="8">
        <f>+O9/O5</f>
        <v>0.60688519846561106</v>
      </c>
      <c r="T23" s="7"/>
      <c r="U23" s="7"/>
      <c r="V23" s="7"/>
      <c r="X23" s="8">
        <f t="shared" ref="X23:Y23" si="21">+X5/W5-1</f>
        <v>0.65848166951488762</v>
      </c>
      <c r="Y23" s="8">
        <f>+Y5/X5-1</f>
        <v>0.30381593841548482</v>
      </c>
      <c r="Z23" s="8">
        <f t="shared" ref="Z23:AE23" si="22">+Z5/Y5-1</f>
        <v>0.35000000000000009</v>
      </c>
      <c r="AA23" s="8">
        <f t="shared" si="22"/>
        <v>0.35000000000000009</v>
      </c>
      <c r="AB23" s="8">
        <f t="shared" si="22"/>
        <v>0.35000000000000009</v>
      </c>
      <c r="AC23" s="8">
        <f t="shared" si="22"/>
        <v>0.35000000000000009</v>
      </c>
      <c r="AD23" s="8">
        <f t="shared" si="22"/>
        <v>0.30000000000000004</v>
      </c>
      <c r="AE23" s="8">
        <f t="shared" si="22"/>
        <v>0.30000000000000004</v>
      </c>
    </row>
    <row r="24" spans="2:69" x14ac:dyDescent="0.25">
      <c r="B24" s="4" t="s">
        <v>61</v>
      </c>
      <c r="C24" s="4"/>
      <c r="D24" s="4"/>
      <c r="E24" s="4"/>
      <c r="F24" s="8">
        <f>+F14/F5</f>
        <v>-0.46582889365529634</v>
      </c>
      <c r="G24" s="8"/>
      <c r="H24" s="8">
        <f>+H14/H5</f>
        <v>-0.34087768186864215</v>
      </c>
      <c r="I24" s="8">
        <f>+I14/I5</f>
        <v>-0.32919291179432164</v>
      </c>
      <c r="J24" s="8"/>
      <c r="K24" s="8">
        <f>+K14/K5</f>
        <v>-0.36534083116170635</v>
      </c>
      <c r="L24" s="8">
        <f>+L14/L5</f>
        <v>-3.1388030294814091</v>
      </c>
      <c r="M24" s="8">
        <f>+M14/M5</f>
        <v>-0.29633723725881428</v>
      </c>
      <c r="N24" s="8">
        <f>+N14/N5</f>
        <v>-0.25264102053019749</v>
      </c>
      <c r="O24" s="8">
        <f>+O14/O5</f>
        <v>-0.26859234291479145</v>
      </c>
      <c r="T24" s="7"/>
      <c r="U24" s="7"/>
      <c r="V24" s="7"/>
    </row>
    <row r="25" spans="2:69" x14ac:dyDescent="0.25">
      <c r="B25" s="4" t="s">
        <v>62</v>
      </c>
      <c r="C25" s="4"/>
      <c r="D25" s="4"/>
      <c r="E25" s="4"/>
      <c r="F25" s="8">
        <f>+F17/F16</f>
        <v>2.028023598820059E-4</v>
      </c>
      <c r="G25" s="8" t="s">
        <v>38</v>
      </c>
      <c r="H25" s="8">
        <f>+H17/H16</f>
        <v>5.3899638872419567E-5</v>
      </c>
      <c r="I25" s="8">
        <f>+I17/I16</f>
        <v>1.1219470095797011E-3</v>
      </c>
      <c r="J25" s="8"/>
      <c r="K25" s="8">
        <f>+K17/K16</f>
        <v>1.6993140950380024E-4</v>
      </c>
      <c r="L25" s="8">
        <f>+L17/L16</f>
        <v>1.7495234850507823E-4</v>
      </c>
      <c r="M25" s="8">
        <f>+M17/M16</f>
        <v>5.1275131561192807E-4</v>
      </c>
      <c r="N25" s="8">
        <f>+N17/N16</f>
        <v>1.7630057803468151E-2</v>
      </c>
      <c r="O25" s="8">
        <f>+O17/O16</f>
        <v>-0.41109548311285982</v>
      </c>
      <c r="T25" s="7"/>
      <c r="U25" s="7"/>
      <c r="V25" s="7"/>
    </row>
    <row r="26" spans="2:69" x14ac:dyDescent="0.25">
      <c r="B26" s="4" t="s">
        <v>63</v>
      </c>
      <c r="C26" s="4"/>
      <c r="D26" s="4"/>
      <c r="E26" s="4"/>
      <c r="F26" s="8" t="s">
        <v>38</v>
      </c>
      <c r="G26" s="8" t="s">
        <v>38</v>
      </c>
      <c r="H26" s="8" t="s">
        <v>64</v>
      </c>
      <c r="I26" s="8" t="s">
        <v>38</v>
      </c>
      <c r="J26" s="8"/>
      <c r="K26" s="8" t="s">
        <v>38</v>
      </c>
      <c r="L26" s="8">
        <f t="shared" ref="L26" si="23">+L18/H18</f>
        <v>9.7571053860802728</v>
      </c>
      <c r="M26" s="8">
        <f t="shared" ref="M26" si="24">+M18/I18</f>
        <v>1.278413793103448</v>
      </c>
      <c r="N26" s="8" t="s">
        <v>38</v>
      </c>
      <c r="O26" s="8">
        <f>+O18/K18</f>
        <v>1.0217938618846827</v>
      </c>
      <c r="T26" s="7"/>
      <c r="U26" s="7"/>
      <c r="V26" s="7"/>
    </row>
    <row r="27" spans="2:69" x14ac:dyDescent="0.25">
      <c r="B27" s="4"/>
      <c r="C27" s="4"/>
      <c r="D27" s="4"/>
      <c r="E27" s="4"/>
      <c r="F27" s="4"/>
      <c r="G27" s="4"/>
      <c r="H27" s="4"/>
      <c r="I27" s="4"/>
      <c r="K27" s="4"/>
      <c r="L27" s="4"/>
      <c r="M27" s="4"/>
      <c r="N27" s="4"/>
      <c r="O27" s="4"/>
      <c r="T27" s="7"/>
      <c r="U27" s="7"/>
      <c r="V27" s="7"/>
    </row>
    <row r="28" spans="2:69" x14ac:dyDescent="0.25">
      <c r="B28" s="4" t="s">
        <v>39</v>
      </c>
      <c r="W28" s="7"/>
      <c r="X28" s="7">
        <f>+X30-X41</f>
        <v>-58.967000000000013</v>
      </c>
      <c r="Y28" s="7">
        <f>+Y30-Y41</f>
        <v>181.01900000000001</v>
      </c>
      <c r="Z28" s="7">
        <f>+Y28+Z18</f>
        <v>-560.66403999999989</v>
      </c>
      <c r="AA28" s="7">
        <f t="shared" ref="AA28:AJ28" si="25">+Z28+AA18</f>
        <v>-1140.6582339999995</v>
      </c>
      <c r="AB28" s="7">
        <f t="shared" si="25"/>
        <v>-1457.0373588999992</v>
      </c>
      <c r="AC28" s="7">
        <f t="shared" si="25"/>
        <v>-1343.2511206149989</v>
      </c>
      <c r="AD28" s="7">
        <f t="shared" si="25"/>
        <v>-788.62966624449814</v>
      </c>
      <c r="AE28" s="7">
        <f t="shared" si="25"/>
        <v>415.34571152915305</v>
      </c>
      <c r="AF28" s="7">
        <f t="shared" si="25"/>
        <v>1607.2813355250678</v>
      </c>
      <c r="AG28" s="7">
        <f t="shared" si="25"/>
        <v>2787.2976032810234</v>
      </c>
      <c r="AH28" s="7">
        <f t="shared" si="25"/>
        <v>3955.5137083594195</v>
      </c>
      <c r="AI28" s="7">
        <f t="shared" si="25"/>
        <v>5112.047652387032</v>
      </c>
      <c r="AJ28" s="7">
        <f t="shared" si="25"/>
        <v>6257.0162569743679</v>
      </c>
    </row>
    <row r="29" spans="2:69" x14ac:dyDescent="0.25">
      <c r="J29" t="s">
        <v>38</v>
      </c>
    </row>
    <row r="30" spans="2:69" x14ac:dyDescent="0.25">
      <c r="B30" s="4" t="s">
        <v>40</v>
      </c>
      <c r="X30">
        <f>165.767+31.807</f>
        <v>197.57399999999998</v>
      </c>
      <c r="Y30">
        <f>340.954+107.309</f>
        <v>448.26300000000003</v>
      </c>
    </row>
    <row r="31" spans="2:69" x14ac:dyDescent="0.25">
      <c r="B31" t="s">
        <v>41</v>
      </c>
      <c r="Y31">
        <v>154.81899999999999</v>
      </c>
    </row>
    <row r="32" spans="2:69" x14ac:dyDescent="0.25">
      <c r="B32" s="4" t="s">
        <v>42</v>
      </c>
      <c r="Y32">
        <v>38.386000000000003</v>
      </c>
    </row>
    <row r="33" spans="2:25" x14ac:dyDescent="0.25">
      <c r="B33" t="s">
        <v>43</v>
      </c>
      <c r="Y33">
        <v>26.135000000000002</v>
      </c>
    </row>
    <row r="34" spans="2:25" x14ac:dyDescent="0.25">
      <c r="B34" s="4" t="s">
        <v>44</v>
      </c>
      <c r="Y34">
        <v>58.055999999999997</v>
      </c>
    </row>
    <row r="35" spans="2:25" x14ac:dyDescent="0.25">
      <c r="B35" t="s">
        <v>45</v>
      </c>
      <c r="Y35">
        <f>73.343+11.716</f>
        <v>85.058999999999997</v>
      </c>
    </row>
    <row r="36" spans="2:25" x14ac:dyDescent="0.25">
      <c r="B36" s="4" t="s">
        <v>46</v>
      </c>
      <c r="Y36">
        <f>8.305+91.45</f>
        <v>99.754999999999995</v>
      </c>
    </row>
    <row r="37" spans="2:25" x14ac:dyDescent="0.25">
      <c r="B37" t="s">
        <v>47</v>
      </c>
      <c r="Y37">
        <v>14.762</v>
      </c>
    </row>
    <row r="38" spans="2:25" x14ac:dyDescent="0.25">
      <c r="B38" s="4" t="s">
        <v>48</v>
      </c>
      <c r="Y38">
        <v>0.88100000000000001</v>
      </c>
    </row>
    <row r="39" spans="2:25" s="2" customFormat="1" x14ac:dyDescent="0.25">
      <c r="B39" s="5" t="s">
        <v>58</v>
      </c>
      <c r="Y39" s="2">
        <f>+SUM(Y30:Y38)</f>
        <v>926.11599999999987</v>
      </c>
    </row>
    <row r="41" spans="2:25" x14ac:dyDescent="0.25">
      <c r="B41" s="4" t="s">
        <v>4</v>
      </c>
      <c r="X41">
        <v>256.541</v>
      </c>
      <c r="Y41">
        <v>267.24400000000003</v>
      </c>
    </row>
    <row r="42" spans="2:25" x14ac:dyDescent="0.25">
      <c r="B42" s="4" t="s">
        <v>49</v>
      </c>
      <c r="Y42">
        <v>53.804000000000002</v>
      </c>
    </row>
    <row r="43" spans="2:25" x14ac:dyDescent="0.25">
      <c r="B43" t="s">
        <v>50</v>
      </c>
      <c r="Y43">
        <v>130.40700000000001</v>
      </c>
    </row>
    <row r="44" spans="2:25" x14ac:dyDescent="0.25">
      <c r="B44" s="4" t="s">
        <v>52</v>
      </c>
      <c r="Y44">
        <f>75.981+15.955</f>
        <v>91.935999999999993</v>
      </c>
    </row>
    <row r="45" spans="2:25" x14ac:dyDescent="0.25">
      <c r="B45" s="4" t="s">
        <v>51</v>
      </c>
      <c r="Y45">
        <v>6.9640000000000004</v>
      </c>
    </row>
    <row r="46" spans="2:25" x14ac:dyDescent="0.25">
      <c r="B46" s="4" t="s">
        <v>53</v>
      </c>
      <c r="Y46">
        <v>1.5</v>
      </c>
    </row>
    <row r="47" spans="2:25" x14ac:dyDescent="0.25">
      <c r="B47" s="4" t="s">
        <v>47</v>
      </c>
      <c r="Y47">
        <v>26.199000000000002</v>
      </c>
    </row>
    <row r="48" spans="2:25" x14ac:dyDescent="0.25">
      <c r="B48" s="4" t="s">
        <v>55</v>
      </c>
      <c r="Y48">
        <v>168.19200000000001</v>
      </c>
    </row>
    <row r="49" spans="1:25" x14ac:dyDescent="0.25">
      <c r="B49" s="4" t="s">
        <v>54</v>
      </c>
      <c r="Y49">
        <v>15.98</v>
      </c>
    </row>
    <row r="50" spans="1:25" x14ac:dyDescent="0.25">
      <c r="B50" s="4" t="s">
        <v>56</v>
      </c>
      <c r="Y50">
        <v>70.45</v>
      </c>
    </row>
    <row r="51" spans="1:25" x14ac:dyDescent="0.25">
      <c r="B51" s="4" t="s">
        <v>52</v>
      </c>
      <c r="Y51">
        <f>23.932+6.71</f>
        <v>30.641999999999999</v>
      </c>
    </row>
    <row r="52" spans="1:25" s="2" customFormat="1" x14ac:dyDescent="0.25">
      <c r="B52" s="5" t="s">
        <v>57</v>
      </c>
      <c r="Y52" s="2">
        <f>+SUM(Y41:Y51)</f>
        <v>863.31800000000021</v>
      </c>
    </row>
    <row r="54" spans="1:25" x14ac:dyDescent="0.25">
      <c r="A54" t="s">
        <v>69</v>
      </c>
      <c r="B54" s="4" t="s">
        <v>70</v>
      </c>
      <c r="W54">
        <v>-168.20400000000001</v>
      </c>
      <c r="X54">
        <v>-214.339</v>
      </c>
      <c r="Y54">
        <v>-189.04499999999999</v>
      </c>
    </row>
    <row r="55" spans="1:25" x14ac:dyDescent="0.25">
      <c r="B55" s="4" t="s">
        <v>71</v>
      </c>
      <c r="W55">
        <v>-57.939</v>
      </c>
      <c r="X55">
        <v>40.314999999999998</v>
      </c>
      <c r="Y55">
        <v>-130.392</v>
      </c>
    </row>
    <row r="56" spans="1:25" x14ac:dyDescent="0.25">
      <c r="B56" s="4" t="s">
        <v>72</v>
      </c>
      <c r="W56">
        <v>251.39099999999999</v>
      </c>
      <c r="X56">
        <v>117.547</v>
      </c>
      <c r="Y56">
        <v>494.32900000000001</v>
      </c>
    </row>
    <row r="57" spans="1:25" x14ac:dyDescent="0.25">
      <c r="B57" s="4" t="s">
        <v>73</v>
      </c>
      <c r="W57">
        <f t="shared" ref="W57:X57" si="26">+W54+W55+W56</f>
        <v>25.24799999999999</v>
      </c>
      <c r="X57">
        <f t="shared" si="26"/>
        <v>-56.477000000000004</v>
      </c>
      <c r="Y57">
        <f>+Y54+Y55+Y56</f>
        <v>174.892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cp:lastPrinted>2025-07-30T09:59:43Z</cp:lastPrinted>
  <dcterms:created xsi:type="dcterms:W3CDTF">2025-07-30T09:51:55Z</dcterms:created>
  <dcterms:modified xsi:type="dcterms:W3CDTF">2025-08-10T12:20:00Z</dcterms:modified>
</cp:coreProperties>
</file>