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32" documentId="8_{3FE6928D-735E-449F-B88E-CE4F80EDA77E}" xr6:coauthVersionLast="47" xr6:coauthVersionMax="47" xr10:uidLastSave="{D1EB9E75-A9ED-42A5-B0F2-E410017C9217}"/>
  <bookViews>
    <workbookView xWindow="-105" yWindow="0" windowWidth="14610" windowHeight="15585" activeTab="1" xr2:uid="{A11FA151-8478-470D-956F-19D74E6A88E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2" l="1"/>
  <c r="P40" i="2"/>
  <c r="P42" i="2"/>
  <c r="P45" i="2"/>
  <c r="P44" i="2"/>
  <c r="P43" i="2"/>
  <c r="P46" i="2"/>
  <c r="P35" i="2"/>
  <c r="P32" i="2"/>
  <c r="P30" i="2"/>
  <c r="P28" i="2"/>
  <c r="P26" i="2"/>
  <c r="P24" i="2"/>
  <c r="P18" i="2"/>
  <c r="P8" i="2"/>
  <c r="P9" i="2" s="1"/>
  <c r="P11" i="2"/>
  <c r="O11" i="2"/>
  <c r="O8" i="2"/>
  <c r="O9" i="2" s="1"/>
  <c r="O5" i="2"/>
  <c r="O19" i="2" s="1"/>
  <c r="P5" i="2"/>
  <c r="P19" i="2" s="1"/>
  <c r="N2" i="2"/>
  <c r="O2" i="2" s="1"/>
  <c r="P2" i="2" s="1"/>
  <c r="Q2" i="2" s="1"/>
  <c r="R2" i="2" s="1"/>
  <c r="S2" i="2" s="1"/>
  <c r="T2" i="2" s="1"/>
  <c r="U2" i="2" s="1"/>
  <c r="V2" i="2" s="1"/>
  <c r="W2" i="2" s="1"/>
  <c r="E11" i="2"/>
  <c r="E8" i="2"/>
  <c r="E9" i="2" s="1"/>
  <c r="E5" i="2"/>
  <c r="G11" i="2"/>
  <c r="G8" i="2"/>
  <c r="G9" i="2" s="1"/>
  <c r="G5" i="2"/>
  <c r="M7" i="1"/>
  <c r="M5" i="1"/>
  <c r="M4" i="1"/>
  <c r="G10" i="2" l="1"/>
  <c r="G12" i="2" s="1"/>
  <c r="P47" i="2"/>
  <c r="P10" i="2"/>
  <c r="P20" i="2" s="1"/>
  <c r="P36" i="2"/>
  <c r="P12" i="2"/>
  <c r="P21" i="2" s="1"/>
  <c r="G19" i="2"/>
  <c r="O10" i="2"/>
  <c r="E10" i="2"/>
  <c r="E12" i="2" s="1"/>
  <c r="E14" i="2" s="1"/>
  <c r="G20" i="2" l="1"/>
  <c r="P14" i="2"/>
  <c r="P15" i="2"/>
  <c r="O12" i="2"/>
  <c r="O20" i="2"/>
  <c r="G21" i="2"/>
  <c r="G14" i="2"/>
  <c r="O14" i="2" l="1"/>
  <c r="O21" i="2"/>
  <c r="O15" i="2" l="1"/>
  <c r="P22" i="2"/>
</calcChain>
</file>

<file path=xl/sharedStrings.xml><?xml version="1.0" encoding="utf-8"?>
<sst xmlns="http://schemas.openxmlformats.org/spreadsheetml/2006/main" count="67" uniqueCount="61">
  <si>
    <t>Shares</t>
  </si>
  <si>
    <t>Cash</t>
  </si>
  <si>
    <t>Debt</t>
  </si>
  <si>
    <t>WSE: ACP</t>
  </si>
  <si>
    <t>Price PLN</t>
  </si>
  <si>
    <t>MC PLN</t>
  </si>
  <si>
    <t>Cash PLN</t>
  </si>
  <si>
    <t>Debt PLN</t>
  </si>
  <si>
    <t>EV PLN</t>
  </si>
  <si>
    <t>H123</t>
  </si>
  <si>
    <t>H223</t>
  </si>
  <si>
    <t>H124</t>
  </si>
  <si>
    <t>H224</t>
  </si>
  <si>
    <t>H125</t>
  </si>
  <si>
    <t>Revenue</t>
  </si>
  <si>
    <t>COGS</t>
  </si>
  <si>
    <t>Gross Profit</t>
  </si>
  <si>
    <t>Selling</t>
  </si>
  <si>
    <t>GA</t>
  </si>
  <si>
    <t>OPEX</t>
  </si>
  <si>
    <t>Operating Profit</t>
  </si>
  <si>
    <t>Interest Income</t>
  </si>
  <si>
    <t>Pretax</t>
  </si>
  <si>
    <t>Taxes</t>
  </si>
  <si>
    <t>NI</t>
  </si>
  <si>
    <t>EPS</t>
  </si>
  <si>
    <t>Other</t>
  </si>
  <si>
    <t xml:space="preserve"> </t>
  </si>
  <si>
    <t>Revenue Growth</t>
  </si>
  <si>
    <t>Gross Margin</t>
  </si>
  <si>
    <t>EBITDA Margin</t>
  </si>
  <si>
    <t>Tax Rate</t>
  </si>
  <si>
    <t>NI Growth</t>
  </si>
  <si>
    <t>NC</t>
  </si>
  <si>
    <t>PPE</t>
  </si>
  <si>
    <t>Intangibles</t>
  </si>
  <si>
    <t>RUA</t>
  </si>
  <si>
    <t>DT</t>
  </si>
  <si>
    <t>Accrued Income</t>
  </si>
  <si>
    <t>Inventory</t>
  </si>
  <si>
    <t>Contracts</t>
  </si>
  <si>
    <t>Assets</t>
  </si>
  <si>
    <t>Corporate Taxes</t>
  </si>
  <si>
    <t>Receivebles</t>
  </si>
  <si>
    <t>Leases</t>
  </si>
  <si>
    <t>Provisions</t>
  </si>
  <si>
    <t xml:space="preserve">Accrual </t>
  </si>
  <si>
    <t>Trade Payables</t>
  </si>
  <si>
    <t>Liabilities</t>
  </si>
  <si>
    <t>S/E</t>
  </si>
  <si>
    <t>L+S/E</t>
  </si>
  <si>
    <t>ROTE</t>
  </si>
  <si>
    <t>ROA</t>
  </si>
  <si>
    <t>Model NI</t>
  </si>
  <si>
    <t>Reported NI</t>
  </si>
  <si>
    <t>CFFO</t>
  </si>
  <si>
    <t>CFFI</t>
  </si>
  <si>
    <t>CFFF</t>
  </si>
  <si>
    <t>CIC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</si>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</sst>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7430-763D-4F33-83CD-D703FB52809C}">
  <dimension ref="B2:M7"/>
  <sheetViews>
    <sheetView workbookViewId="0">
      <selection activeCell="M3" sqref="M3"/>
    </sheetView>
  </sheetViews>
  <sheetFormatPr defaultRowHeight="15" x14ac:dyDescent="0.25"/>
  <sheetData>
    <row r="2" spans="2:13" x14ac:dyDescent="0.25">
      <c r="B2" t="s">
        <v>3</v>
      </c>
      <c r="L2" t="s">
        <v>4</v>
      </c>
      <c r="M2" s="1">
        <v>205</v>
      </c>
    </row>
    <row r="3" spans="2:13" x14ac:dyDescent="0.25">
      <c r="L3" t="s">
        <v>0</v>
      </c>
      <c r="M3" s="1">
        <v>68.191430999999994</v>
      </c>
    </row>
    <row r="4" spans="2:13" x14ac:dyDescent="0.25">
      <c r="L4" t="s">
        <v>5</v>
      </c>
      <c r="M4" s="1">
        <f>+M2*M3</f>
        <v>13979.243354999999</v>
      </c>
    </row>
    <row r="5" spans="2:13" x14ac:dyDescent="0.25">
      <c r="L5" t="s">
        <v>6</v>
      </c>
      <c r="M5" s="1">
        <f>2468.7+0.1443</f>
        <v>2468.8442999999997</v>
      </c>
    </row>
    <row r="6" spans="2:13" x14ac:dyDescent="0.25">
      <c r="L6" t="s">
        <v>7</v>
      </c>
      <c r="M6" s="1">
        <v>1572.7</v>
      </c>
    </row>
    <row r="7" spans="2:13" x14ac:dyDescent="0.25">
      <c r="L7" t="s">
        <v>8</v>
      </c>
      <c r="M7" s="1">
        <f>+M4-M5+M6</f>
        <v>13083.099054999999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B954-1394-4671-9AAA-10133E1C3A74}">
  <dimension ref="B2:W61"/>
  <sheetViews>
    <sheetView tabSelected="1" workbookViewId="0">
      <pane xSplit="2" ySplit="2" topLeftCell="G21" activePane="bottomRight" state="frozen"/>
      <selection pane="topRight" activeCell="C1" sqref="C1"/>
      <selection pane="bottomLeft" activeCell="A3" sqref="A3"/>
      <selection pane="bottomRight" activeCell="L38" sqref="L38"/>
    </sheetView>
  </sheetViews>
  <sheetFormatPr defaultRowHeight="15" x14ac:dyDescent="0.25"/>
  <cols>
    <col min="2" max="2" width="15" bestFit="1" customWidth="1"/>
  </cols>
  <sheetData>
    <row r="2" spans="2:23" x14ac:dyDescent="0.2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27</v>
      </c>
      <c r="M2">
        <v>2021</v>
      </c>
      <c r="N2">
        <f>+M2+1</f>
        <v>2022</v>
      </c>
      <c r="O2">
        <f t="shared" ref="O2:W2" si="0">+N2+1</f>
        <v>2023</v>
      </c>
      <c r="P2">
        <f t="shared" si="0"/>
        <v>2024</v>
      </c>
      <c r="Q2">
        <f t="shared" si="0"/>
        <v>2025</v>
      </c>
      <c r="R2">
        <f t="shared" si="0"/>
        <v>2026</v>
      </c>
      <c r="S2">
        <f t="shared" si="0"/>
        <v>2027</v>
      </c>
      <c r="T2">
        <f t="shared" si="0"/>
        <v>2028</v>
      </c>
      <c r="U2">
        <f t="shared" si="0"/>
        <v>2029</v>
      </c>
      <c r="V2">
        <f t="shared" si="0"/>
        <v>2030</v>
      </c>
      <c r="W2">
        <f t="shared" si="0"/>
        <v>2031</v>
      </c>
    </row>
    <row r="3" spans="2:23" x14ac:dyDescent="0.25">
      <c r="B3" t="s">
        <v>14</v>
      </c>
      <c r="E3">
        <v>4147.2</v>
      </c>
      <c r="G3">
        <v>4460.6000000000004</v>
      </c>
      <c r="O3" s="1">
        <v>16896.5</v>
      </c>
      <c r="P3" s="1">
        <v>17132</v>
      </c>
    </row>
    <row r="4" spans="2:23" x14ac:dyDescent="0.25">
      <c r="B4" t="s">
        <v>15</v>
      </c>
      <c r="E4">
        <v>-3221.5</v>
      </c>
      <c r="G4">
        <v>-3437.7</v>
      </c>
      <c r="O4" s="1">
        <v>-13171</v>
      </c>
      <c r="P4" s="1">
        <v>-13242.6</v>
      </c>
    </row>
    <row r="5" spans="2:23" x14ac:dyDescent="0.25">
      <c r="B5" t="s">
        <v>16</v>
      </c>
      <c r="E5">
        <f>+E3+E4</f>
        <v>925.69999999999982</v>
      </c>
      <c r="G5">
        <f>+G3+G4</f>
        <v>1022.9000000000005</v>
      </c>
      <c r="O5" s="1">
        <f>+O3+O4</f>
        <v>3725.5</v>
      </c>
      <c r="P5" s="1">
        <f>+P3+P4</f>
        <v>3889.3999999999996</v>
      </c>
    </row>
    <row r="6" spans="2:23" x14ac:dyDescent="0.25">
      <c r="B6" t="s">
        <v>17</v>
      </c>
      <c r="E6">
        <v>-230.8</v>
      </c>
      <c r="G6">
        <v>-247.6</v>
      </c>
      <c r="O6" s="1">
        <v>-941.1</v>
      </c>
      <c r="P6" s="1">
        <v>-950.4</v>
      </c>
    </row>
    <row r="7" spans="2:23" x14ac:dyDescent="0.25">
      <c r="B7" t="s">
        <v>18</v>
      </c>
      <c r="E7">
        <v>-292.60000000000002</v>
      </c>
      <c r="G7">
        <v>-308.10000000000002</v>
      </c>
      <c r="O7" s="1">
        <v>-1165</v>
      </c>
      <c r="P7" s="1">
        <v>-1172.5999999999999</v>
      </c>
    </row>
    <row r="8" spans="2:23" x14ac:dyDescent="0.25">
      <c r="B8" t="s">
        <v>26</v>
      </c>
      <c r="E8">
        <f>25.8-23.9</f>
        <v>1.9000000000000021</v>
      </c>
      <c r="G8">
        <f>15.5-24.5</f>
        <v>-9</v>
      </c>
      <c r="O8" s="1">
        <f>86.2-81.4</f>
        <v>4.7999999999999972</v>
      </c>
      <c r="P8" s="1">
        <f>146.8-121.5</f>
        <v>25.300000000000011</v>
      </c>
    </row>
    <row r="9" spans="2:23" x14ac:dyDescent="0.25">
      <c r="B9" t="s">
        <v>19</v>
      </c>
      <c r="E9">
        <f>+E6+E7+E8</f>
        <v>-521.50000000000011</v>
      </c>
      <c r="G9">
        <f>+G6+G7+G8</f>
        <v>-564.70000000000005</v>
      </c>
      <c r="O9" s="1">
        <f>+O6+O7+O8</f>
        <v>-2101.2999999999997</v>
      </c>
      <c r="P9" s="1">
        <f>+P6+P7+P8</f>
        <v>-2097.6999999999998</v>
      </c>
    </row>
    <row r="10" spans="2:23" x14ac:dyDescent="0.25">
      <c r="B10" t="s">
        <v>20</v>
      </c>
      <c r="E10">
        <f>+E5+E9</f>
        <v>404.1999999999997</v>
      </c>
      <c r="G10">
        <f>+G5+G9</f>
        <v>458.2000000000005</v>
      </c>
      <c r="O10" s="1">
        <f>+O5+O9</f>
        <v>1624.2000000000003</v>
      </c>
      <c r="P10" s="1">
        <f>+P5+P9</f>
        <v>1791.6999999999998</v>
      </c>
    </row>
    <row r="11" spans="2:23" x14ac:dyDescent="0.25">
      <c r="B11" t="s">
        <v>21</v>
      </c>
      <c r="E11">
        <f>55.7-76</f>
        <v>-20.299999999999997</v>
      </c>
      <c r="G11">
        <f>47.3-102.6</f>
        <v>-55.3</v>
      </c>
      <c r="O11" s="1">
        <f>166.3-264.8</f>
        <v>-98.5</v>
      </c>
      <c r="P11" s="1">
        <f>176.7-309.9</f>
        <v>-133.19999999999999</v>
      </c>
    </row>
    <row r="12" spans="2:23" x14ac:dyDescent="0.25">
      <c r="B12" t="s">
        <v>22</v>
      </c>
      <c r="E12">
        <f>+E10+E11</f>
        <v>383.89999999999969</v>
      </c>
      <c r="G12">
        <f>+G10+G11</f>
        <v>402.90000000000049</v>
      </c>
      <c r="O12" s="1">
        <f>+O10+O11</f>
        <v>1525.7000000000003</v>
      </c>
      <c r="P12" s="1">
        <f>+P10+P11</f>
        <v>1658.4999999999998</v>
      </c>
    </row>
    <row r="13" spans="2:23" x14ac:dyDescent="0.25">
      <c r="B13" t="s">
        <v>23</v>
      </c>
      <c r="E13">
        <v>-83.2</v>
      </c>
      <c r="G13">
        <v>-93.9</v>
      </c>
      <c r="O13" s="1">
        <v>-317.10000000000002</v>
      </c>
      <c r="P13" s="1">
        <v>-353.7</v>
      </c>
    </row>
    <row r="14" spans="2:23" x14ac:dyDescent="0.25">
      <c r="B14" t="s">
        <v>24</v>
      </c>
      <c r="E14">
        <f>+E12+E13</f>
        <v>300.6999999999997</v>
      </c>
      <c r="G14">
        <f>+G12+G13</f>
        <v>309.00000000000045</v>
      </c>
      <c r="O14" s="1">
        <f>+O12+O13</f>
        <v>1208.6000000000004</v>
      </c>
      <c r="P14" s="1">
        <f>+P12+P13</f>
        <v>1304.7999999999997</v>
      </c>
    </row>
    <row r="15" spans="2:23" x14ac:dyDescent="0.25">
      <c r="B15" t="s">
        <v>25</v>
      </c>
      <c r="O15" s="1">
        <f>+O14/O16</f>
        <v>15.325518333414431</v>
      </c>
      <c r="P15" s="1">
        <f>+P14/P16</f>
        <v>19.134368950257105</v>
      </c>
    </row>
    <row r="16" spans="2:23" x14ac:dyDescent="0.25">
      <c r="B16" t="s">
        <v>0</v>
      </c>
      <c r="O16" s="1">
        <v>78.861932999999993</v>
      </c>
      <c r="P16" s="1">
        <v>68.191430999999994</v>
      </c>
    </row>
    <row r="18" spans="2:16" x14ac:dyDescent="0.25">
      <c r="B18" t="s">
        <v>28</v>
      </c>
      <c r="P18" s="2">
        <f>+P3/O3-1</f>
        <v>1.3937797768768689E-2</v>
      </c>
    </row>
    <row r="19" spans="2:16" x14ac:dyDescent="0.25">
      <c r="B19" t="s">
        <v>29</v>
      </c>
      <c r="G19" s="2">
        <f>+G5/G3</f>
        <v>0.22931892570506221</v>
      </c>
      <c r="O19" s="2">
        <f t="shared" ref="O19:P19" si="1">+O5/O3</f>
        <v>0.22048945047790963</v>
      </c>
      <c r="P19" s="2">
        <f t="shared" si="1"/>
        <v>0.22702544945131914</v>
      </c>
    </row>
    <row r="20" spans="2:16" x14ac:dyDescent="0.25">
      <c r="B20" t="s">
        <v>30</v>
      </c>
      <c r="G20" s="2">
        <f>+G10/G3</f>
        <v>0.10272160695870521</v>
      </c>
      <c r="O20" s="2">
        <f t="shared" ref="O20:P20" si="2">+O10/O3</f>
        <v>9.6126416713520568E-2</v>
      </c>
      <c r="P20" s="2">
        <f t="shared" si="2"/>
        <v>0.10458206864347419</v>
      </c>
    </row>
    <row r="21" spans="2:16" x14ac:dyDescent="0.25">
      <c r="B21" t="s">
        <v>31</v>
      </c>
      <c r="G21" s="2">
        <f>+ABS(G13/G12)</f>
        <v>0.23306031273268774</v>
      </c>
      <c r="O21" s="2">
        <f t="shared" ref="O21:P21" si="3">+ABS(O13/O12)</f>
        <v>0.20783902470996918</v>
      </c>
      <c r="P21" s="2">
        <f t="shared" si="3"/>
        <v>0.21326499849261382</v>
      </c>
    </row>
    <row r="22" spans="2:16" x14ac:dyDescent="0.25">
      <c r="B22" t="s">
        <v>32</v>
      </c>
      <c r="P22" s="2">
        <f>+P14/O14-1</f>
        <v>7.9596227039549383E-2</v>
      </c>
    </row>
    <row r="24" spans="2:16" x14ac:dyDescent="0.25">
      <c r="B24" t="s">
        <v>33</v>
      </c>
      <c r="P24">
        <f>3299.3+178.8</f>
        <v>3478.1000000000004</v>
      </c>
    </row>
    <row r="25" spans="2:16" x14ac:dyDescent="0.25">
      <c r="B25" t="s">
        <v>34</v>
      </c>
      <c r="P25">
        <v>920.9</v>
      </c>
    </row>
    <row r="26" spans="2:16" x14ac:dyDescent="0.25">
      <c r="B26" t="s">
        <v>35</v>
      </c>
      <c r="P26">
        <f>2022+6223.4</f>
        <v>8245.4</v>
      </c>
    </row>
    <row r="27" spans="2:16" x14ac:dyDescent="0.25">
      <c r="B27" t="s">
        <v>36</v>
      </c>
      <c r="P27">
        <v>956.8</v>
      </c>
    </row>
    <row r="28" spans="2:16" x14ac:dyDescent="0.25">
      <c r="B28" t="s">
        <v>43</v>
      </c>
      <c r="P28">
        <f>94.5+4256.1+172.7</f>
        <v>4523.3</v>
      </c>
    </row>
    <row r="29" spans="2:16" x14ac:dyDescent="0.25">
      <c r="B29" t="s">
        <v>37</v>
      </c>
      <c r="P29">
        <v>199.2</v>
      </c>
    </row>
    <row r="30" spans="2:16" x14ac:dyDescent="0.25">
      <c r="B30" t="s">
        <v>38</v>
      </c>
      <c r="P30">
        <f>107+389.1</f>
        <v>496.1</v>
      </c>
    </row>
    <row r="31" spans="2:16" x14ac:dyDescent="0.25">
      <c r="B31" t="s">
        <v>42</v>
      </c>
      <c r="P31">
        <v>135.19999999999999</v>
      </c>
    </row>
    <row r="32" spans="2:16" x14ac:dyDescent="0.25">
      <c r="B32" t="s">
        <v>26</v>
      </c>
      <c r="P32">
        <f>157.1+249.8</f>
        <v>406.9</v>
      </c>
    </row>
    <row r="33" spans="2:16" x14ac:dyDescent="0.25">
      <c r="B33" t="s">
        <v>39</v>
      </c>
      <c r="P33">
        <v>374.6</v>
      </c>
    </row>
    <row r="34" spans="2:16" x14ac:dyDescent="0.25">
      <c r="B34" t="s">
        <v>40</v>
      </c>
      <c r="P34">
        <v>554.6</v>
      </c>
    </row>
    <row r="35" spans="2:16" x14ac:dyDescent="0.25">
      <c r="B35" t="s">
        <v>1</v>
      </c>
      <c r="P35">
        <f>3299.3+178.8</f>
        <v>3478.1000000000004</v>
      </c>
    </row>
    <row r="36" spans="2:16" x14ac:dyDescent="0.25">
      <c r="B36" t="s">
        <v>41</v>
      </c>
      <c r="P36">
        <f>+SUM(P25:P35)</f>
        <v>20291.099999999999</v>
      </c>
    </row>
    <row r="38" spans="2:16" x14ac:dyDescent="0.25">
      <c r="B38" t="s">
        <v>44</v>
      </c>
      <c r="P38">
        <v>726.5</v>
      </c>
    </row>
    <row r="39" spans="2:16" x14ac:dyDescent="0.25">
      <c r="B39" t="s">
        <v>37</v>
      </c>
      <c r="P39">
        <v>573.9</v>
      </c>
    </row>
    <row r="40" spans="2:16" x14ac:dyDescent="0.25">
      <c r="B40" t="s">
        <v>40</v>
      </c>
      <c r="P40">
        <f>386.8+1335.8</f>
        <v>1722.6</v>
      </c>
    </row>
    <row r="41" spans="2:16" x14ac:dyDescent="0.25">
      <c r="B41" t="s">
        <v>42</v>
      </c>
      <c r="P41">
        <f>124.3+180.2</f>
        <v>304.5</v>
      </c>
    </row>
    <row r="42" spans="2:16" x14ac:dyDescent="0.25">
      <c r="B42" t="s">
        <v>26</v>
      </c>
      <c r="P42">
        <f>18.1+409.4+670.4+387.7</f>
        <v>1485.6000000000001</v>
      </c>
    </row>
    <row r="43" spans="2:16" x14ac:dyDescent="0.25">
      <c r="B43" t="s">
        <v>45</v>
      </c>
      <c r="P43">
        <f>74+49.5</f>
        <v>123.5</v>
      </c>
    </row>
    <row r="44" spans="2:16" x14ac:dyDescent="0.25">
      <c r="B44" t="s">
        <v>46</v>
      </c>
      <c r="P44">
        <f>52.2+629</f>
        <v>681.2</v>
      </c>
    </row>
    <row r="45" spans="2:16" x14ac:dyDescent="0.25">
      <c r="B45" t="s">
        <v>47</v>
      </c>
      <c r="P45">
        <f>1868+0</f>
        <v>1868</v>
      </c>
    </row>
    <row r="46" spans="2:16" x14ac:dyDescent="0.25">
      <c r="B46" t="s">
        <v>2</v>
      </c>
      <c r="P46">
        <f>1748.2+1187.6+0</f>
        <v>2935.8</v>
      </c>
    </row>
    <row r="47" spans="2:16" x14ac:dyDescent="0.25">
      <c r="B47" t="s">
        <v>48</v>
      </c>
      <c r="P47">
        <f>++SUM(P38:P46)</f>
        <v>10421.6</v>
      </c>
    </row>
    <row r="48" spans="2:16" x14ac:dyDescent="0.25">
      <c r="B48" t="s">
        <v>49</v>
      </c>
    </row>
    <row r="49" spans="2:2" x14ac:dyDescent="0.25">
      <c r="B49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4" spans="2:2" x14ac:dyDescent="0.25">
      <c r="B54" t="s">
        <v>53</v>
      </c>
    </row>
    <row r="55" spans="2:2" x14ac:dyDescent="0.25">
      <c r="B55" t="s">
        <v>54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0" spans="2:2" x14ac:dyDescent="0.25">
      <c r="B60" t="s">
        <v>59</v>
      </c>
    </row>
    <row r="61" spans="2:2" x14ac:dyDescent="0.25">
      <c r="B6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2025-09-05T11:48:17Z</dcterms:created>
  <dcterms:modified xsi:type="dcterms:W3CDTF">2025-09-05T18:53:40Z</dcterms:modified>
</cp:coreProperties>
</file>