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"/>
    </mc:Choice>
  </mc:AlternateContent>
  <xr:revisionPtr revIDLastSave="364" documentId="8_{8314B833-CB5C-4328-A54C-EE9A85F9D761}" xr6:coauthVersionLast="47" xr6:coauthVersionMax="47" xr10:uidLastSave="{234B6C66-1623-4754-892E-36359099F8FF}"/>
  <bookViews>
    <workbookView xWindow="-105" yWindow="0" windowWidth="14610" windowHeight="15585" activeTab="1" xr2:uid="{D4DF1F70-2BA3-4922-AD20-43940B353E5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2" l="1"/>
  <c r="Y7" i="2"/>
  <c r="Y6" i="2"/>
  <c r="Z6" i="2" s="1"/>
  <c r="AA6" i="2" s="1"/>
  <c r="AB6" i="2" s="1"/>
  <c r="AC6" i="2" s="1"/>
  <c r="Y5" i="2"/>
  <c r="Y4" i="2"/>
  <c r="Z4" i="2" s="1"/>
  <c r="AA4" i="2" s="1"/>
  <c r="AB4" i="2" s="1"/>
  <c r="AC4" i="2" s="1"/>
  <c r="Z3" i="2"/>
  <c r="AA3" i="2" s="1"/>
  <c r="Y3" i="2"/>
  <c r="W20" i="2"/>
  <c r="V20" i="2"/>
  <c r="V52" i="2"/>
  <c r="V50" i="2"/>
  <c r="V45" i="2"/>
  <c r="W52" i="2"/>
  <c r="W50" i="2"/>
  <c r="W45" i="2"/>
  <c r="W43" i="2"/>
  <c r="W42" i="2"/>
  <c r="V36" i="2"/>
  <c r="V26" i="2"/>
  <c r="V21" i="2"/>
  <c r="V29" i="2" s="1"/>
  <c r="W36" i="2"/>
  <c r="W26" i="2"/>
  <c r="W21" i="2"/>
  <c r="X6" i="2"/>
  <c r="X4" i="2"/>
  <c r="X3" i="2"/>
  <c r="X15" i="2" s="1"/>
  <c r="W15" i="2"/>
  <c r="V15" i="2"/>
  <c r="U15" i="2"/>
  <c r="T15" i="2"/>
  <c r="S15" i="2"/>
  <c r="K15" i="2"/>
  <c r="J15" i="2"/>
  <c r="I15" i="2"/>
  <c r="H15" i="2"/>
  <c r="G15" i="2"/>
  <c r="F15" i="2"/>
  <c r="E15" i="2"/>
  <c r="D15" i="2"/>
  <c r="L15" i="2"/>
  <c r="V5" i="2"/>
  <c r="V7" i="2" s="1"/>
  <c r="V9" i="2" s="1"/>
  <c r="V11" i="2" s="1"/>
  <c r="V12" i="2" s="1"/>
  <c r="U5" i="2"/>
  <c r="U7" i="2" s="1"/>
  <c r="U9" i="2" s="1"/>
  <c r="U11" i="2" s="1"/>
  <c r="U12" i="2" s="1"/>
  <c r="T5" i="2"/>
  <c r="T7" i="2" s="1"/>
  <c r="T9" i="2" s="1"/>
  <c r="T11" i="2" s="1"/>
  <c r="T12" i="2" s="1"/>
  <c r="S5" i="2"/>
  <c r="S7" i="2" s="1"/>
  <c r="S9" i="2" s="1"/>
  <c r="S11" i="2" s="1"/>
  <c r="S12" i="2" s="1"/>
  <c r="R5" i="2"/>
  <c r="R7" i="2" s="1"/>
  <c r="R9" i="2" s="1"/>
  <c r="R11" i="2" s="1"/>
  <c r="R12" i="2" s="1"/>
  <c r="W5" i="2"/>
  <c r="W7" i="2" s="1"/>
  <c r="W9" i="2" s="1"/>
  <c r="W11" i="2" s="1"/>
  <c r="W12" i="2" s="1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F5" i="2"/>
  <c r="F7" i="2" s="1"/>
  <c r="F9" i="2" s="1"/>
  <c r="F11" i="2" s="1"/>
  <c r="F12" i="2" s="1"/>
  <c r="J5" i="2"/>
  <c r="J7" i="2" s="1"/>
  <c r="J9" i="2" s="1"/>
  <c r="J11" i="2" s="1"/>
  <c r="J12" i="2" s="1"/>
  <c r="D5" i="2"/>
  <c r="D7" i="2" s="1"/>
  <c r="D9" i="2" s="1"/>
  <c r="D11" i="2" s="1"/>
  <c r="D12" i="2" s="1"/>
  <c r="C5" i="2"/>
  <c r="C7" i="2" s="1"/>
  <c r="C9" i="2" s="1"/>
  <c r="C11" i="2" s="1"/>
  <c r="C12" i="2" s="1"/>
  <c r="E5" i="2"/>
  <c r="E7" i="2" s="1"/>
  <c r="E9" i="2" s="1"/>
  <c r="E11" i="2" s="1"/>
  <c r="E12" i="2" s="1"/>
  <c r="I5" i="2"/>
  <c r="I7" i="2" s="1"/>
  <c r="I9" i="2" s="1"/>
  <c r="I11" i="2" s="1"/>
  <c r="I12" i="2" s="1"/>
  <c r="G5" i="2"/>
  <c r="G7" i="2" s="1"/>
  <c r="G9" i="2" s="1"/>
  <c r="G11" i="2" s="1"/>
  <c r="G12" i="2" s="1"/>
  <c r="K5" i="2"/>
  <c r="K7" i="2" s="1"/>
  <c r="K9" i="2" s="1"/>
  <c r="K11" i="2" s="1"/>
  <c r="K12" i="2" s="1"/>
  <c r="H5" i="2"/>
  <c r="H7" i="2" s="1"/>
  <c r="H9" i="2" s="1"/>
  <c r="H11" i="2" s="1"/>
  <c r="H12" i="2" s="1"/>
  <c r="L5" i="2"/>
  <c r="L7" i="2" s="1"/>
  <c r="L9" i="2" s="1"/>
  <c r="L11" i="2" s="1"/>
  <c r="L12" i="2" s="1"/>
  <c r="M5" i="1"/>
  <c r="M4" i="1"/>
  <c r="M7" i="1" s="1"/>
  <c r="AA5" i="2" l="1"/>
  <c r="AA7" i="2" s="1"/>
  <c r="AB3" i="2"/>
  <c r="Z5" i="2"/>
  <c r="Z7" i="2" s="1"/>
  <c r="V42" i="2"/>
  <c r="V43" i="2"/>
  <c r="W29" i="2"/>
  <c r="V38" i="2"/>
  <c r="V39" i="2" s="1"/>
  <c r="I17" i="2"/>
  <c r="K17" i="2"/>
  <c r="U17" i="2"/>
  <c r="L17" i="2"/>
  <c r="H16" i="2"/>
  <c r="R17" i="2"/>
  <c r="I18" i="2"/>
  <c r="E16" i="2"/>
  <c r="L16" i="2"/>
  <c r="G16" i="2"/>
  <c r="L18" i="2"/>
  <c r="I16" i="2"/>
  <c r="S17" i="2"/>
  <c r="G17" i="2"/>
  <c r="T17" i="2"/>
  <c r="H17" i="2"/>
  <c r="F16" i="2"/>
  <c r="S18" i="2"/>
  <c r="K16" i="2"/>
  <c r="F18" i="2"/>
  <c r="S16" i="2"/>
  <c r="T18" i="2"/>
  <c r="X5" i="2"/>
  <c r="V17" i="2"/>
  <c r="E18" i="2"/>
  <c r="C17" i="2"/>
  <c r="G18" i="2"/>
  <c r="T16" i="2"/>
  <c r="U18" i="2"/>
  <c r="J16" i="2"/>
  <c r="R16" i="2"/>
  <c r="D17" i="2"/>
  <c r="H18" i="2"/>
  <c r="U16" i="2"/>
  <c r="V18" i="2"/>
  <c r="E17" i="2"/>
  <c r="V16" i="2"/>
  <c r="C16" i="2"/>
  <c r="F17" i="2"/>
  <c r="J18" i="2"/>
  <c r="W16" i="2"/>
  <c r="K18" i="2"/>
  <c r="D16" i="2"/>
  <c r="J17" i="2"/>
  <c r="D18" i="2"/>
  <c r="W17" i="2"/>
  <c r="W18" i="2"/>
  <c r="AB5" i="2" l="1"/>
  <c r="AB7" i="2" s="1"/>
  <c r="AC3" i="2"/>
  <c r="AC5" i="2" s="1"/>
  <c r="AC7" i="2" s="1"/>
  <c r="W38" i="2"/>
  <c r="X7" i="2"/>
  <c r="X9" i="2" s="1"/>
  <c r="X16" i="2"/>
  <c r="Y15" i="2"/>
  <c r="X10" i="2" l="1"/>
  <c r="X11" i="2" s="1"/>
  <c r="X20" i="2" s="1"/>
  <c r="W39" i="2"/>
  <c r="Y16" i="2"/>
  <c r="Z15" i="2"/>
  <c r="X17" i="2"/>
  <c r="Y8" i="2" l="1"/>
  <c r="Y9" i="2" s="1"/>
  <c r="Y10" i="2" s="1"/>
  <c r="Y11" i="2" s="1"/>
  <c r="Y20" i="2" s="1"/>
  <c r="Y17" i="2"/>
  <c r="Z16" i="2"/>
  <c r="AA15" i="2"/>
  <c r="Z8" i="2" l="1"/>
  <c r="Z9" i="2" s="1"/>
  <c r="Z10" i="2" s="1"/>
  <c r="Z11" i="2" s="1"/>
  <c r="Z20" i="2" s="1"/>
  <c r="X18" i="2"/>
  <c r="Y18" i="2"/>
  <c r="AA16" i="2"/>
  <c r="AB15" i="2"/>
  <c r="Z17" i="2"/>
  <c r="AA8" i="2" l="1"/>
  <c r="AA9" i="2" s="1"/>
  <c r="AB16" i="2"/>
  <c r="AC15" i="2"/>
  <c r="AA17" i="2"/>
  <c r="AA10" i="2" l="1"/>
  <c r="AA11" i="2" s="1"/>
  <c r="AA20" i="2" s="1"/>
  <c r="AB17" i="2"/>
  <c r="AC16" i="2"/>
  <c r="AB8" i="2" l="1"/>
  <c r="AB9" i="2" s="1"/>
  <c r="Z18" i="2"/>
  <c r="AC17" i="2"/>
  <c r="AB10" i="2" l="1"/>
  <c r="AB11" i="2" s="1"/>
  <c r="AB20" i="2" s="1"/>
  <c r="AA18" i="2"/>
  <c r="AC8" i="2" l="1"/>
  <c r="AC9" i="2" s="1"/>
  <c r="AB18" i="2"/>
  <c r="AC10" i="2" l="1"/>
  <c r="AC11" i="2"/>
  <c r="AC20" i="2" s="1"/>
  <c r="AD11" i="2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AF15" i="2" s="1"/>
  <c r="AF16" i="2" s="1"/>
  <c r="AF17" i="2" s="1"/>
  <c r="AC18" i="2"/>
</calcChain>
</file>

<file path=xl/sharedStrings.xml><?xml version="1.0" encoding="utf-8"?>
<sst xmlns="http://schemas.openxmlformats.org/spreadsheetml/2006/main" count="73" uniqueCount="64">
  <si>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</si>
  <si>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</si>
  <si>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</si>
  <si>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</si>
  <si>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</si>
  <si>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</si>
  <si>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</si>
  <si>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</si>
  <si>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</si>
  <si>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Q424</t>
  </si>
  <si>
    <t>Q125</t>
  </si>
  <si>
    <t>Q225</t>
  </si>
  <si>
    <t>Revenue</t>
  </si>
  <si>
    <t>COGS</t>
  </si>
  <si>
    <t>Gross Profit</t>
  </si>
  <si>
    <t>SGA</t>
  </si>
  <si>
    <t>Other</t>
  </si>
  <si>
    <t>Operating Profit</t>
  </si>
  <si>
    <t>Other Income</t>
  </si>
  <si>
    <t>Pretax</t>
  </si>
  <si>
    <t>Tax</t>
  </si>
  <si>
    <t xml:space="preserve">NI </t>
  </si>
  <si>
    <t>EPS</t>
  </si>
  <si>
    <t>Q325</t>
  </si>
  <si>
    <t>Subsidiaries</t>
  </si>
  <si>
    <t>Gemma Power</t>
  </si>
  <si>
    <t>Systems, LLC and Affiliates</t>
  </si>
  <si>
    <t>Atlantic Projects Co LDA</t>
  </si>
  <si>
    <t>Roberts Co</t>
  </si>
  <si>
    <t>Southern Maylands Cable</t>
  </si>
  <si>
    <t xml:space="preserve"> </t>
  </si>
  <si>
    <t>Q425</t>
  </si>
  <si>
    <t>Q126</t>
  </si>
  <si>
    <t>Q226</t>
  </si>
  <si>
    <t>Revenue Growth</t>
  </si>
  <si>
    <t>Gross Margin</t>
  </si>
  <si>
    <t>EBITDA Margin</t>
  </si>
  <si>
    <t>NI Growth</t>
  </si>
  <si>
    <t>NPV</t>
  </si>
  <si>
    <t>NC</t>
  </si>
  <si>
    <t>AR</t>
  </si>
  <si>
    <t>Contracts</t>
  </si>
  <si>
    <t>PPE</t>
  </si>
  <si>
    <t>Intangibles</t>
  </si>
  <si>
    <t>DT</t>
  </si>
  <si>
    <t>RUA</t>
  </si>
  <si>
    <t>Assets</t>
  </si>
  <si>
    <t>AP</t>
  </si>
  <si>
    <t>AE</t>
  </si>
  <si>
    <t>Liabilities</t>
  </si>
  <si>
    <t>ROTE</t>
  </si>
  <si>
    <t>ROA</t>
  </si>
  <si>
    <t>Model NI</t>
  </si>
  <si>
    <t>Reported NI</t>
  </si>
  <si>
    <t>CFFO</t>
  </si>
  <si>
    <t>CFFI</t>
  </si>
  <si>
    <t>CFFF</t>
  </si>
  <si>
    <t>CIC</t>
  </si>
  <si>
    <t>Capex</t>
  </si>
  <si>
    <t>FCF</t>
  </si>
  <si>
    <t>S/E</t>
  </si>
  <si>
    <t>L+S/E</t>
  </si>
  <si>
    <t>Per Share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</si>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</sst>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AE99-A862-49CA-B7BD-FF1DDA413F5F}">
  <dimension ref="B2:M14"/>
  <sheetViews>
    <sheetView topLeftCell="B1" workbookViewId="0">
      <selection activeCell="C205" sqref="C205"/>
    </sheetView>
  </sheetViews>
  <sheetFormatPr defaultRowHeight="14.25" x14ac:dyDescent="0.2"/>
  <sheetData>
    <row r="2" spans="2:13" x14ac:dyDescent="0.2">
      <c r="L2" t="s">
        <v>0</v>
      </c>
      <c r="M2" s="1">
        <v>217</v>
      </c>
    </row>
    <row r="3" spans="2:13" x14ac:dyDescent="0.2">
      <c r="L3" t="s">
        <v>1</v>
      </c>
      <c r="M3" s="1">
        <v>13.811574999999999</v>
      </c>
    </row>
    <row r="4" spans="2:13" x14ac:dyDescent="0.2">
      <c r="L4" t="s">
        <v>2</v>
      </c>
      <c r="M4" s="1">
        <f>+M2*M3</f>
        <v>2997.1117749999999</v>
      </c>
    </row>
    <row r="5" spans="2:13" x14ac:dyDescent="0.2">
      <c r="L5" t="s">
        <v>3</v>
      </c>
      <c r="M5" s="1">
        <f>177.85+394.34</f>
        <v>572.18999999999994</v>
      </c>
    </row>
    <row r="6" spans="2:13" x14ac:dyDescent="0.2">
      <c r="L6" t="s">
        <v>4</v>
      </c>
      <c r="M6" s="1">
        <v>0</v>
      </c>
    </row>
    <row r="7" spans="2:13" x14ac:dyDescent="0.2">
      <c r="L7" t="s">
        <v>5</v>
      </c>
      <c r="M7" s="1">
        <f>+M4-M5+M6</f>
        <v>2424.9217749999998</v>
      </c>
    </row>
    <row r="10" spans="2:13" x14ac:dyDescent="0.2">
      <c r="B10" t="s">
        <v>24</v>
      </c>
      <c r="C10" t="s">
        <v>25</v>
      </c>
    </row>
    <row r="11" spans="2:13" x14ac:dyDescent="0.2">
      <c r="C11" t="s">
        <v>26</v>
      </c>
    </row>
    <row r="12" spans="2:13" x14ac:dyDescent="0.2">
      <c r="C12" t="s">
        <v>27</v>
      </c>
    </row>
    <row r="13" spans="2:13" x14ac:dyDescent="0.2">
      <c r="C13" t="s">
        <v>28</v>
      </c>
    </row>
    <row r="14" spans="2:13" x14ac:dyDescent="0.2">
      <c r="C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2FD2-763A-44B7-B246-E053876E3167}">
  <dimension ref="B2:BB52"/>
  <sheetViews>
    <sheetView tabSelected="1" topLeftCell="B2" workbookViewId="0">
      <pane xSplit="1" ySplit="1" topLeftCell="R32" activePane="bottomRight" state="frozen"/>
      <selection activeCell="B2" sqref="B2"/>
      <selection pane="topRight" activeCell="C2" sqref="C2"/>
      <selection pane="bottomLeft" activeCell="B3" sqref="B3"/>
      <selection pane="bottomRight" activeCell="R18" sqref="R18"/>
    </sheetView>
  </sheetViews>
  <sheetFormatPr defaultRowHeight="14.25" x14ac:dyDescent="0.2"/>
  <cols>
    <col min="2" max="2" width="14.625" bestFit="1" customWidth="1"/>
    <col min="32" max="32" width="9.375" bestFit="1" customWidth="1"/>
  </cols>
  <sheetData>
    <row r="2" spans="2:54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23</v>
      </c>
      <c r="J2" t="s">
        <v>31</v>
      </c>
      <c r="K2" t="s">
        <v>32</v>
      </c>
      <c r="L2" t="s">
        <v>33</v>
      </c>
      <c r="R2">
        <v>2020</v>
      </c>
      <c r="S2">
        <f>+R2+1</f>
        <v>2021</v>
      </c>
      <c r="T2">
        <f t="shared" ref="T2:AD2" si="0">+S2+1</f>
        <v>2022</v>
      </c>
      <c r="U2">
        <f t="shared" si="0"/>
        <v>2023</v>
      </c>
      <c r="V2">
        <f t="shared" si="0"/>
        <v>2024</v>
      </c>
      <c r="W2">
        <f t="shared" si="0"/>
        <v>2025</v>
      </c>
      <c r="X2">
        <f t="shared" si="0"/>
        <v>2026</v>
      </c>
      <c r="Y2">
        <f t="shared" si="0"/>
        <v>2027</v>
      </c>
      <c r="Z2">
        <f t="shared" si="0"/>
        <v>2028</v>
      </c>
      <c r="AA2">
        <f t="shared" si="0"/>
        <v>2029</v>
      </c>
      <c r="AB2">
        <f t="shared" si="0"/>
        <v>2030</v>
      </c>
      <c r="AC2">
        <f t="shared" si="0"/>
        <v>2031</v>
      </c>
      <c r="AD2" t="s">
        <v>30</v>
      </c>
    </row>
    <row r="3" spans="2:54" s="2" customFormat="1" ht="15" x14ac:dyDescent="0.25">
      <c r="B3" s="2" t="s">
        <v>12</v>
      </c>
      <c r="C3" s="3">
        <v>103.675</v>
      </c>
      <c r="D3" s="3">
        <v>141.34899999999999</v>
      </c>
      <c r="E3" s="3">
        <v>163.755</v>
      </c>
      <c r="F3" s="3">
        <v>164.6</v>
      </c>
      <c r="G3" s="3">
        <v>157.68199999999999</v>
      </c>
      <c r="H3" s="3">
        <v>227.01499999999999</v>
      </c>
      <c r="I3" s="3">
        <v>257.00799999999998</v>
      </c>
      <c r="J3" s="3">
        <v>232.5</v>
      </c>
      <c r="K3" s="3">
        <v>193.66</v>
      </c>
      <c r="L3" s="3">
        <v>237.74299999999999</v>
      </c>
      <c r="R3" s="3">
        <v>239</v>
      </c>
      <c r="S3" s="3">
        <v>392.2</v>
      </c>
      <c r="T3" s="3">
        <v>509.4</v>
      </c>
      <c r="U3" s="3">
        <v>455</v>
      </c>
      <c r="V3" s="3">
        <v>573.29999999999995</v>
      </c>
      <c r="W3" s="3">
        <v>874.2</v>
      </c>
      <c r="X3" s="2">
        <f>+W3*1.1</f>
        <v>961.62000000000012</v>
      </c>
      <c r="Y3" s="2">
        <f t="shared" ref="Y3:AC3" si="1">+X3*1.1</f>
        <v>1057.7820000000002</v>
      </c>
      <c r="Z3" s="2">
        <f t="shared" si="1"/>
        <v>1163.5602000000003</v>
      </c>
      <c r="AA3" s="2">
        <f t="shared" si="1"/>
        <v>1279.9162200000005</v>
      </c>
      <c r="AB3" s="2">
        <f t="shared" si="1"/>
        <v>1407.9078420000008</v>
      </c>
      <c r="AC3" s="2">
        <f t="shared" si="1"/>
        <v>1548.6986262000009</v>
      </c>
    </row>
    <row r="4" spans="2:54" x14ac:dyDescent="0.2">
      <c r="B4" t="s">
        <v>13</v>
      </c>
      <c r="C4" s="1">
        <v>89.45</v>
      </c>
      <c r="D4" s="1">
        <v>117.607</v>
      </c>
      <c r="E4" s="1">
        <v>144.52000000000001</v>
      </c>
      <c r="F4" s="1">
        <v>140.9</v>
      </c>
      <c r="G4" s="1">
        <v>139.738</v>
      </c>
      <c r="H4" s="1">
        <v>195.91</v>
      </c>
      <c r="I4" s="1">
        <v>212.68100000000001</v>
      </c>
      <c r="J4" s="1">
        <v>184.9</v>
      </c>
      <c r="K4" s="1">
        <v>156.797</v>
      </c>
      <c r="L4" s="1">
        <v>193.476</v>
      </c>
      <c r="R4" s="1">
        <v>245.8</v>
      </c>
      <c r="S4" s="1">
        <v>330.1</v>
      </c>
      <c r="T4" s="1">
        <v>409.6</v>
      </c>
      <c r="U4" s="1">
        <v>368.7</v>
      </c>
      <c r="V4" s="1">
        <v>492.5</v>
      </c>
      <c r="W4" s="1">
        <v>733.2</v>
      </c>
      <c r="X4">
        <f>+W4*1.08</f>
        <v>791.85600000000011</v>
      </c>
      <c r="Y4">
        <f t="shared" ref="Y4:AC4" si="2">+X4*1.08</f>
        <v>855.20448000000022</v>
      </c>
      <c r="Z4">
        <f t="shared" si="2"/>
        <v>923.62083840000025</v>
      </c>
      <c r="AA4">
        <f t="shared" si="2"/>
        <v>997.51050547200032</v>
      </c>
      <c r="AB4">
        <f t="shared" si="2"/>
        <v>1077.3113459097603</v>
      </c>
      <c r="AC4">
        <f t="shared" si="2"/>
        <v>1163.4962535825412</v>
      </c>
    </row>
    <row r="5" spans="2:54" x14ac:dyDescent="0.2">
      <c r="B5" t="s">
        <v>14</v>
      </c>
      <c r="C5" s="1">
        <f>+C3-C4</f>
        <v>14.224999999999994</v>
      </c>
      <c r="D5" s="1">
        <f>+D3-D4</f>
        <v>23.74199999999999</v>
      </c>
      <c r="E5" s="1">
        <f>+E3-E4</f>
        <v>19.234999999999985</v>
      </c>
      <c r="F5" s="1">
        <f>+F3-F4</f>
        <v>23.699999999999989</v>
      </c>
      <c r="G5" s="1">
        <f>+G3-G4</f>
        <v>17.943999999999988</v>
      </c>
      <c r="H5" s="1">
        <f>+H3-H4</f>
        <v>31.10499999999999</v>
      </c>
      <c r="I5" s="1">
        <f>+I3-I4</f>
        <v>44.32699999999997</v>
      </c>
      <c r="J5" s="1">
        <f>+J3-J4</f>
        <v>47.599999999999994</v>
      </c>
      <c r="K5" s="1">
        <f>+K3-K4</f>
        <v>36.863</v>
      </c>
      <c r="L5" s="1">
        <f>+L3-L4</f>
        <v>44.266999999999996</v>
      </c>
      <c r="R5" s="1">
        <f t="shared" ref="R5:V5" si="3">+R3-R4</f>
        <v>-6.8000000000000114</v>
      </c>
      <c r="S5" s="1">
        <f t="shared" si="3"/>
        <v>62.099999999999966</v>
      </c>
      <c r="T5" s="1">
        <f t="shared" si="3"/>
        <v>99.799999999999955</v>
      </c>
      <c r="U5" s="1">
        <f t="shared" si="3"/>
        <v>86.300000000000011</v>
      </c>
      <c r="V5" s="1">
        <f t="shared" si="3"/>
        <v>80.799999999999955</v>
      </c>
      <c r="W5" s="1">
        <f>+W3-W4</f>
        <v>141</v>
      </c>
      <c r="X5" s="1">
        <f t="shared" ref="X5:AC5" si="4">+X3-X4</f>
        <v>169.76400000000001</v>
      </c>
      <c r="Y5" s="1">
        <f t="shared" ref="Y5" si="5">+Y3-Y4</f>
        <v>202.57751999999994</v>
      </c>
      <c r="Z5" s="1">
        <f t="shared" ref="Z5" si="6">+Z3-Z4</f>
        <v>239.9393616000001</v>
      </c>
      <c r="AA5" s="1">
        <f t="shared" ref="AA5" si="7">+AA3-AA4</f>
        <v>282.4057145280002</v>
      </c>
      <c r="AB5" s="1">
        <f t="shared" ref="AB5" si="8">+AB3-AB4</f>
        <v>330.59649609024041</v>
      </c>
      <c r="AC5" s="1">
        <f t="shared" ref="AC5" si="9">+AC3-AC4</f>
        <v>385.20237261745979</v>
      </c>
    </row>
    <row r="6" spans="2:54" x14ac:dyDescent="0.2">
      <c r="B6" t="s">
        <v>15</v>
      </c>
      <c r="C6" s="1">
        <v>10.590999999999999</v>
      </c>
      <c r="D6" s="1">
        <v>10.500999999999999</v>
      </c>
      <c r="E6" s="1">
        <v>11.375</v>
      </c>
      <c r="F6" s="1">
        <v>11.9</v>
      </c>
      <c r="G6" s="1">
        <v>11.425000000000001</v>
      </c>
      <c r="H6" s="1">
        <v>12.428000000000001</v>
      </c>
      <c r="I6" s="1">
        <v>13.994999999999999</v>
      </c>
      <c r="J6" s="1">
        <v>14.9</v>
      </c>
      <c r="K6" s="1">
        <v>12.521000000000001</v>
      </c>
      <c r="L6" s="1">
        <v>14.212</v>
      </c>
      <c r="R6" s="1">
        <v>49</v>
      </c>
      <c r="S6" s="1">
        <v>39</v>
      </c>
      <c r="T6" s="1">
        <v>47.3</v>
      </c>
      <c r="U6" s="1">
        <v>44.7</v>
      </c>
      <c r="V6" s="1">
        <v>44.4</v>
      </c>
      <c r="W6" s="1">
        <v>52.8</v>
      </c>
      <c r="X6">
        <f>+W6*1.03</f>
        <v>54.384</v>
      </c>
      <c r="Y6">
        <f t="shared" ref="Y6:AC6" si="10">+X6*1.03</f>
        <v>56.015520000000002</v>
      </c>
      <c r="Z6">
        <f t="shared" si="10"/>
        <v>57.6959856</v>
      </c>
      <c r="AA6">
        <f t="shared" si="10"/>
        <v>59.426865167999999</v>
      </c>
      <c r="AB6">
        <f t="shared" si="10"/>
        <v>61.209671123040003</v>
      </c>
      <c r="AC6">
        <f t="shared" si="10"/>
        <v>63.045961256731204</v>
      </c>
    </row>
    <row r="7" spans="2:54" x14ac:dyDescent="0.2">
      <c r="B7" t="s">
        <v>17</v>
      </c>
      <c r="C7" s="1">
        <f>+C5-C6</f>
        <v>3.633999999999995</v>
      </c>
      <c r="D7" s="1">
        <f>+D5-D6</f>
        <v>13.240999999999991</v>
      </c>
      <c r="E7" s="1">
        <f>+E5-E6</f>
        <v>7.8599999999999852</v>
      </c>
      <c r="F7" s="1">
        <f>+F5-F6</f>
        <v>11.799999999999988</v>
      </c>
      <c r="G7" s="1">
        <f>+G5-G6</f>
        <v>6.5189999999999877</v>
      </c>
      <c r="H7" s="1">
        <f>+H5-H6</f>
        <v>18.676999999999989</v>
      </c>
      <c r="I7" s="1">
        <f>+I5-I6</f>
        <v>30.331999999999972</v>
      </c>
      <c r="J7" s="1">
        <f>+J5-J6</f>
        <v>32.699999999999996</v>
      </c>
      <c r="K7" s="1">
        <f>+K5-K6</f>
        <v>24.341999999999999</v>
      </c>
      <c r="L7" s="1">
        <f>+L5-L6</f>
        <v>30.054999999999996</v>
      </c>
      <c r="R7" s="1">
        <f t="shared" ref="R7:V7" si="11">+R5-R6</f>
        <v>-55.800000000000011</v>
      </c>
      <c r="S7" s="1">
        <f t="shared" si="11"/>
        <v>23.099999999999966</v>
      </c>
      <c r="T7" s="1">
        <f t="shared" si="11"/>
        <v>52.499999999999957</v>
      </c>
      <c r="U7" s="1">
        <f t="shared" si="11"/>
        <v>41.600000000000009</v>
      </c>
      <c r="V7" s="1">
        <f t="shared" si="11"/>
        <v>36.399999999999956</v>
      </c>
      <c r="W7" s="1">
        <f>+W5-W6</f>
        <v>88.2</v>
      </c>
      <c r="X7" s="1">
        <f t="shared" ref="X7:AC7" si="12">+X5-X6</f>
        <v>115.38000000000001</v>
      </c>
      <c r="Y7" s="1">
        <f t="shared" ref="Y7" si="13">+Y5-Y6</f>
        <v>146.56199999999993</v>
      </c>
      <c r="Z7" s="1">
        <f t="shared" ref="Z7" si="14">+Z5-Z6</f>
        <v>182.2433760000001</v>
      </c>
      <c r="AA7" s="1">
        <f t="shared" ref="AA7" si="15">+AA5-AA6</f>
        <v>222.9788493600002</v>
      </c>
      <c r="AB7" s="1">
        <f t="shared" ref="AB7" si="16">+AB5-AB6</f>
        <v>269.38682496720043</v>
      </c>
      <c r="AC7" s="1">
        <f t="shared" ref="AC7" si="17">+AC5-AC6</f>
        <v>322.15641136072861</v>
      </c>
    </row>
    <row r="8" spans="2:54" x14ac:dyDescent="0.2">
      <c r="B8" t="s">
        <v>18</v>
      </c>
      <c r="C8" s="1">
        <v>-0.629</v>
      </c>
      <c r="D8" s="1">
        <v>4.1180000000000003</v>
      </c>
      <c r="E8" s="1">
        <v>3.7330000000000001</v>
      </c>
      <c r="F8" s="1">
        <v>5.3</v>
      </c>
      <c r="G8" s="1">
        <v>4.7939999999999996</v>
      </c>
      <c r="H8" s="1">
        <v>5.6040000000000001</v>
      </c>
      <c r="I8" s="1">
        <v>6.6459999999999999</v>
      </c>
      <c r="J8" s="1">
        <v>6</v>
      </c>
      <c r="K8" s="1">
        <v>5.444</v>
      </c>
      <c r="L8" s="1">
        <v>5.5810000000000004</v>
      </c>
      <c r="R8" s="1">
        <v>8.1</v>
      </c>
      <c r="S8" s="1">
        <v>1.9</v>
      </c>
      <c r="T8" s="1">
        <v>2.6</v>
      </c>
      <c r="U8" s="1">
        <v>4.3</v>
      </c>
      <c r="V8" s="1">
        <v>12.5</v>
      </c>
      <c r="W8" s="1">
        <v>23</v>
      </c>
      <c r="X8">
        <f>+W20*0.007</f>
        <v>3.6759590000000006</v>
      </c>
      <c r="Y8">
        <f t="shared" ref="Y8:AC8" si="18">+X20*0.007</f>
        <v>4.3010027847500005</v>
      </c>
      <c r="Z8">
        <f t="shared" si="18"/>
        <v>5.0930335493699372</v>
      </c>
      <c r="AA8">
        <f t="shared" si="18"/>
        <v>6.0765496995041302</v>
      </c>
      <c r="AB8">
        <f t="shared" si="18"/>
        <v>7.2790905445665288</v>
      </c>
      <c r="AC8">
        <f t="shared" si="18"/>
        <v>8.7315866010033059</v>
      </c>
    </row>
    <row r="9" spans="2:54" x14ac:dyDescent="0.2">
      <c r="B9" t="s">
        <v>19</v>
      </c>
      <c r="C9" s="1">
        <f>+C7+C8</f>
        <v>3.004999999999995</v>
      </c>
      <c r="D9" s="1">
        <f>+D7+D8</f>
        <v>17.358999999999991</v>
      </c>
      <c r="E9" s="1">
        <f>+E7+E8</f>
        <v>11.592999999999986</v>
      </c>
      <c r="F9" s="1">
        <f>+F7+F8</f>
        <v>17.099999999999987</v>
      </c>
      <c r="G9" s="1">
        <f>+G7+G8</f>
        <v>11.312999999999988</v>
      </c>
      <c r="H9" s="1">
        <f>+H7+H8</f>
        <v>24.280999999999988</v>
      </c>
      <c r="I9" s="1">
        <f>+I7+I8</f>
        <v>36.977999999999973</v>
      </c>
      <c r="J9" s="1">
        <f>+J7+J8</f>
        <v>38.699999999999996</v>
      </c>
      <c r="K9" s="1">
        <f>+K7+K8</f>
        <v>29.785999999999998</v>
      </c>
      <c r="L9" s="1">
        <f>+L7+L8</f>
        <v>35.635999999999996</v>
      </c>
      <c r="R9" s="1">
        <f t="shared" ref="R9:V9" si="19">+R7+R8</f>
        <v>-47.70000000000001</v>
      </c>
      <c r="S9" s="1">
        <f t="shared" si="19"/>
        <v>24.999999999999964</v>
      </c>
      <c r="T9" s="1">
        <f t="shared" si="19"/>
        <v>55.099999999999959</v>
      </c>
      <c r="U9" s="1">
        <f t="shared" si="19"/>
        <v>45.900000000000006</v>
      </c>
      <c r="V9" s="1">
        <f t="shared" si="19"/>
        <v>48.899999999999956</v>
      </c>
      <c r="W9" s="1">
        <f>+W7+W8</f>
        <v>111.2</v>
      </c>
      <c r="X9" s="1">
        <f>+X7+X8</f>
        <v>119.05595900000002</v>
      </c>
      <c r="Y9" s="1">
        <f t="shared" ref="Y9:AC9" si="20">+Y7+Y8</f>
        <v>150.86300278474994</v>
      </c>
      <c r="Z9" s="1">
        <f t="shared" si="20"/>
        <v>187.33640954937005</v>
      </c>
      <c r="AA9" s="1">
        <f t="shared" si="20"/>
        <v>229.05539905950434</v>
      </c>
      <c r="AB9" s="1">
        <f t="shared" si="20"/>
        <v>276.66591551176697</v>
      </c>
      <c r="AC9" s="1">
        <f t="shared" si="20"/>
        <v>330.88799796173191</v>
      </c>
    </row>
    <row r="10" spans="2:54" x14ac:dyDescent="0.2">
      <c r="B10" t="s">
        <v>20</v>
      </c>
      <c r="C10" s="1">
        <v>0.89500000000000002</v>
      </c>
      <c r="D10" s="1">
        <v>4.5919999999999996</v>
      </c>
      <c r="E10" s="1">
        <v>6.1289999999999996</v>
      </c>
      <c r="F10" s="1">
        <v>5</v>
      </c>
      <c r="G10" s="1">
        <v>3.431</v>
      </c>
      <c r="H10" s="1">
        <v>6.0830000000000002</v>
      </c>
      <c r="I10" s="1">
        <v>8.968</v>
      </c>
      <c r="J10" s="1">
        <v>7.3</v>
      </c>
      <c r="K10" s="1">
        <v>7.2359999999999998</v>
      </c>
      <c r="L10" s="1">
        <v>0.36099999999999999</v>
      </c>
      <c r="R10" s="1">
        <v>-7.1</v>
      </c>
      <c r="S10" s="1">
        <v>1.1000000000000001</v>
      </c>
      <c r="T10" s="1">
        <v>11.4</v>
      </c>
      <c r="U10" s="1">
        <v>11.3</v>
      </c>
      <c r="V10" s="1">
        <v>16.600000000000001</v>
      </c>
      <c r="W10" s="1">
        <v>25.7</v>
      </c>
      <c r="X10">
        <f>+X9*0.25</f>
        <v>29.763989750000004</v>
      </c>
      <c r="Y10">
        <f t="shared" ref="Y10:AC10" si="21">+Y9*0.25</f>
        <v>37.715750696187484</v>
      </c>
      <c r="Z10">
        <f t="shared" si="21"/>
        <v>46.834102387342512</v>
      </c>
      <c r="AA10">
        <f t="shared" si="21"/>
        <v>57.263849764876085</v>
      </c>
      <c r="AB10">
        <f t="shared" si="21"/>
        <v>69.166478877941742</v>
      </c>
      <c r="AC10">
        <f t="shared" si="21"/>
        <v>82.721999490432978</v>
      </c>
    </row>
    <row r="11" spans="2:54" x14ac:dyDescent="0.2">
      <c r="B11" t="s">
        <v>21</v>
      </c>
      <c r="C11" s="1">
        <f>+C9-C10</f>
        <v>2.109999999999995</v>
      </c>
      <c r="D11" s="1">
        <f>+D9-D10</f>
        <v>12.766999999999992</v>
      </c>
      <c r="E11" s="1">
        <f>+E9-E10</f>
        <v>5.4639999999999862</v>
      </c>
      <c r="F11" s="1">
        <f>+F9-F10</f>
        <v>12.099999999999987</v>
      </c>
      <c r="G11" s="1">
        <f>+G9-G10</f>
        <v>7.8819999999999881</v>
      </c>
      <c r="H11" s="1">
        <f>+H9-H10</f>
        <v>18.197999999999986</v>
      </c>
      <c r="I11" s="1">
        <f>+I9-I10</f>
        <v>28.009999999999973</v>
      </c>
      <c r="J11" s="1">
        <f>+J9-J10</f>
        <v>31.399999999999995</v>
      </c>
      <c r="K11" s="1">
        <f>+K9-K10</f>
        <v>22.549999999999997</v>
      </c>
      <c r="L11" s="1">
        <f>+L9-L10</f>
        <v>35.274999999999999</v>
      </c>
      <c r="R11" s="1">
        <f t="shared" ref="R11:V11" si="22">+R9-R10</f>
        <v>-40.600000000000009</v>
      </c>
      <c r="S11" s="1">
        <f t="shared" si="22"/>
        <v>23.899999999999963</v>
      </c>
      <c r="T11" s="1">
        <f t="shared" si="22"/>
        <v>43.69999999999996</v>
      </c>
      <c r="U11" s="1">
        <f t="shared" si="22"/>
        <v>34.600000000000009</v>
      </c>
      <c r="V11" s="1">
        <f t="shared" si="22"/>
        <v>32.299999999999955</v>
      </c>
      <c r="W11" s="1">
        <f>+W9-W10</f>
        <v>85.5</v>
      </c>
      <c r="X11" s="1">
        <f>+X9-X10</f>
        <v>89.291969250000008</v>
      </c>
      <c r="Y11" s="1">
        <f t="shared" ref="Y11:AC11" si="23">+Y9-Y10</f>
        <v>113.14725208856245</v>
      </c>
      <c r="Z11" s="1">
        <f t="shared" si="23"/>
        <v>140.50230716202753</v>
      </c>
      <c r="AA11" s="1">
        <f t="shared" si="23"/>
        <v>171.79154929462825</v>
      </c>
      <c r="AB11" s="1">
        <f t="shared" si="23"/>
        <v>207.49943663382521</v>
      </c>
      <c r="AC11" s="1">
        <f t="shared" si="23"/>
        <v>248.16599847129893</v>
      </c>
      <c r="AD11" s="1">
        <f>+AC11*0.99</f>
        <v>245.68433848658594</v>
      </c>
      <c r="AE11" s="1">
        <f t="shared" ref="AE11:BB11" si="24">+AD11*0.99</f>
        <v>243.22749510172008</v>
      </c>
      <c r="AF11" s="1">
        <f t="shared" si="24"/>
        <v>240.79522015070287</v>
      </c>
      <c r="AG11" s="1">
        <f t="shared" si="24"/>
        <v>238.38726794919583</v>
      </c>
      <c r="AH11" s="1">
        <f t="shared" si="24"/>
        <v>236.00339526970387</v>
      </c>
      <c r="AI11" s="1">
        <f t="shared" si="24"/>
        <v>233.64336131700682</v>
      </c>
      <c r="AJ11" s="1">
        <f t="shared" si="24"/>
        <v>231.30692770383675</v>
      </c>
      <c r="AK11" s="1">
        <f t="shared" si="24"/>
        <v>228.99385842679837</v>
      </c>
      <c r="AL11" s="1">
        <f t="shared" si="24"/>
        <v>226.70391984253038</v>
      </c>
      <c r="AM11" s="1">
        <f t="shared" si="24"/>
        <v>224.43688064410509</v>
      </c>
      <c r="AN11" s="1">
        <f t="shared" si="24"/>
        <v>222.19251183766403</v>
      </c>
      <c r="AO11" s="1">
        <f t="shared" si="24"/>
        <v>219.97058671928738</v>
      </c>
      <c r="AP11" s="1">
        <f t="shared" si="24"/>
        <v>217.77088085209451</v>
      </c>
      <c r="AQ11" s="1">
        <f t="shared" si="24"/>
        <v>215.59317204357356</v>
      </c>
      <c r="AR11" s="1">
        <f t="shared" si="24"/>
        <v>213.43724032313781</v>
      </c>
      <c r="AS11" s="1">
        <f t="shared" si="24"/>
        <v>211.30286791990645</v>
      </c>
      <c r="AT11" s="1">
        <f t="shared" si="24"/>
        <v>209.18983924070739</v>
      </c>
      <c r="AU11" s="1">
        <f t="shared" si="24"/>
        <v>207.09794084830031</v>
      </c>
      <c r="AV11" s="1">
        <f t="shared" si="24"/>
        <v>205.02696143981731</v>
      </c>
      <c r="AW11" s="1">
        <f t="shared" si="24"/>
        <v>202.97669182541915</v>
      </c>
      <c r="AX11" s="1">
        <f t="shared" si="24"/>
        <v>200.94692490716497</v>
      </c>
      <c r="AY11" s="1">
        <f t="shared" si="24"/>
        <v>198.93745565809331</v>
      </c>
      <c r="AZ11" s="1">
        <f t="shared" si="24"/>
        <v>196.94808110151237</v>
      </c>
      <c r="BA11" s="1">
        <f t="shared" si="24"/>
        <v>194.97860029049724</v>
      </c>
      <c r="BB11" s="1">
        <f t="shared" si="24"/>
        <v>193.02881428759227</v>
      </c>
    </row>
    <row r="12" spans="2:54" x14ac:dyDescent="0.2">
      <c r="B12" t="s">
        <v>22</v>
      </c>
      <c r="C12" s="1">
        <f>+C11/C13</f>
        <v>0.15731007231790017</v>
      </c>
      <c r="D12" s="1">
        <f>+D11/D13</f>
        <v>0.94277063949195039</v>
      </c>
      <c r="E12" s="1">
        <f>+E11/E13</f>
        <v>0.40996398559423669</v>
      </c>
      <c r="F12" s="1">
        <f>+F11/F13</f>
        <v>0.9078631452581023</v>
      </c>
      <c r="G12" s="1">
        <f>+G11/G13</f>
        <v>0.59455382062306616</v>
      </c>
      <c r="H12" s="1">
        <f>+H11/H13</f>
        <v>1.3577557263299251</v>
      </c>
      <c r="I12" s="1">
        <f>+I11/I13</f>
        <v>2.0702143385070197</v>
      </c>
      <c r="J12" s="1">
        <f>+J11/J13</f>
        <v>2.3207686622320765</v>
      </c>
      <c r="K12" s="1">
        <f>+K11/K13</f>
        <v>1.6546815380099793</v>
      </c>
      <c r="L12" s="1">
        <f>+L11/L13</f>
        <v>2.5690044425023668</v>
      </c>
      <c r="R12" s="1">
        <f t="shared" ref="R12:V12" si="25">+R11/R13</f>
        <v>-2.9568130507610522</v>
      </c>
      <c r="S12" s="1">
        <f t="shared" si="25"/>
        <v>1.7405869929356903</v>
      </c>
      <c r="T12" s="1">
        <f t="shared" si="25"/>
        <v>3.1825795644891093</v>
      </c>
      <c r="U12" s="1">
        <f t="shared" si="25"/>
        <v>2.5198456048357736</v>
      </c>
      <c r="V12" s="1">
        <f t="shared" si="25"/>
        <v>2.3523414172310795</v>
      </c>
      <c r="W12" s="1">
        <f>+W11/W13</f>
        <v>6.2267861044352193</v>
      </c>
    </row>
    <row r="13" spans="2:54" x14ac:dyDescent="0.2">
      <c r="B13" t="s">
        <v>1</v>
      </c>
      <c r="C13" s="1">
        <v>13.413</v>
      </c>
      <c r="D13" s="1">
        <v>13.542</v>
      </c>
      <c r="E13" s="1">
        <v>13.327999999999999</v>
      </c>
      <c r="F13" s="1">
        <v>13.327999999999999</v>
      </c>
      <c r="G13" s="1">
        <v>13.257</v>
      </c>
      <c r="H13" s="1">
        <v>13.403</v>
      </c>
      <c r="I13" s="1">
        <v>13.53</v>
      </c>
      <c r="J13" s="1">
        <v>13.53</v>
      </c>
      <c r="K13" s="1">
        <v>13.628</v>
      </c>
      <c r="L13" s="1">
        <v>13.731</v>
      </c>
      <c r="R13" s="1">
        <v>13.731</v>
      </c>
      <c r="S13" s="1">
        <v>13.731</v>
      </c>
      <c r="T13" s="1">
        <v>13.731</v>
      </c>
      <c r="U13" s="1">
        <v>13.731</v>
      </c>
      <c r="V13" s="1">
        <v>13.731</v>
      </c>
      <c r="W13" s="1">
        <v>13.731</v>
      </c>
    </row>
    <row r="15" spans="2:54" s="2" customFormat="1" ht="15" x14ac:dyDescent="0.25">
      <c r="B15" s="2" t="s">
        <v>34</v>
      </c>
      <c r="C15" s="5" t="s">
        <v>30</v>
      </c>
      <c r="D15" s="5">
        <f t="shared" ref="D15:K15" si="26">+D3/C3-1</f>
        <v>0.36338557993730403</v>
      </c>
      <c r="E15" s="5">
        <f t="shared" si="26"/>
        <v>0.15851544758010316</v>
      </c>
      <c r="F15" s="5">
        <f t="shared" si="26"/>
        <v>5.1601477817471153E-3</v>
      </c>
      <c r="G15" s="5">
        <f t="shared" si="26"/>
        <v>-4.2029161603888254E-2</v>
      </c>
      <c r="H15" s="5">
        <f t="shared" si="26"/>
        <v>0.43970142438578907</v>
      </c>
      <c r="I15" s="5">
        <f t="shared" si="26"/>
        <v>0.13211902297205036</v>
      </c>
      <c r="J15" s="5">
        <f t="shared" si="26"/>
        <v>-9.535889933387276E-2</v>
      </c>
      <c r="K15" s="5">
        <f t="shared" si="26"/>
        <v>-0.1670537634408602</v>
      </c>
      <c r="L15" s="5">
        <f>+L3/K3-1</f>
        <v>0.22763089951461324</v>
      </c>
      <c r="R15" s="5" t="s">
        <v>30</v>
      </c>
      <c r="S15" s="5">
        <f t="shared" ref="S15:W15" si="27">+S3/R3-1</f>
        <v>0.64100418410041837</v>
      </c>
      <c r="T15" s="5">
        <f t="shared" si="27"/>
        <v>0.29882712901580821</v>
      </c>
      <c r="U15" s="5">
        <f t="shared" si="27"/>
        <v>-0.10679230467216327</v>
      </c>
      <c r="V15" s="5">
        <f t="shared" si="27"/>
        <v>0.26</v>
      </c>
      <c r="W15" s="5">
        <f t="shared" si="27"/>
        <v>0.52485609628466801</v>
      </c>
      <c r="X15" s="5">
        <f t="shared" ref="X15:AC15" si="28">+X3/W3-1</f>
        <v>0.10000000000000009</v>
      </c>
      <c r="Y15" s="5">
        <f t="shared" si="28"/>
        <v>0.10000000000000009</v>
      </c>
      <c r="Z15" s="5">
        <f t="shared" si="28"/>
        <v>0.10000000000000009</v>
      </c>
      <c r="AA15" s="5">
        <f t="shared" si="28"/>
        <v>0.10000000000000009</v>
      </c>
      <c r="AB15" s="5">
        <f t="shared" si="28"/>
        <v>0.10000000000000009</v>
      </c>
      <c r="AC15" s="5">
        <f t="shared" si="28"/>
        <v>0.10000000000000009</v>
      </c>
      <c r="AE15" s="2" t="s">
        <v>38</v>
      </c>
      <c r="AF15" s="6">
        <f>+NPV(0.0085,W11:BB11)</f>
        <v>5652.0117276813744</v>
      </c>
    </row>
    <row r="16" spans="2:54" x14ac:dyDescent="0.2">
      <c r="B16" t="s">
        <v>35</v>
      </c>
      <c r="C16" s="4">
        <f t="shared" ref="C16:L16" si="29">+C5/C3</f>
        <v>0.13720761996624062</v>
      </c>
      <c r="D16" s="4">
        <f t="shared" si="29"/>
        <v>0.1679672300476126</v>
      </c>
      <c r="E16" s="4">
        <f t="shared" si="29"/>
        <v>0.11746206222710748</v>
      </c>
      <c r="F16" s="4">
        <f t="shared" si="29"/>
        <v>0.14398541919805583</v>
      </c>
      <c r="G16" s="4">
        <f t="shared" si="29"/>
        <v>0.11379865805862426</v>
      </c>
      <c r="H16" s="4">
        <f t="shared" si="29"/>
        <v>0.13701737770631892</v>
      </c>
      <c r="I16" s="4">
        <f t="shared" si="29"/>
        <v>0.17247323040527912</v>
      </c>
      <c r="J16" s="4">
        <f t="shared" si="29"/>
        <v>0.20473118279569891</v>
      </c>
      <c r="K16" s="4">
        <f t="shared" si="29"/>
        <v>0.19034906537230198</v>
      </c>
      <c r="L16" s="4">
        <f>+L5/L3</f>
        <v>0.18619685963414273</v>
      </c>
      <c r="R16" s="4">
        <f t="shared" ref="R16:W16" si="30">+R5/R3</f>
        <v>-2.8451882845188334E-2</v>
      </c>
      <c r="S16" s="4">
        <f t="shared" si="30"/>
        <v>0.15833758286588467</v>
      </c>
      <c r="T16" s="4">
        <f t="shared" si="30"/>
        <v>0.19591676482135839</v>
      </c>
      <c r="U16" s="4">
        <f t="shared" si="30"/>
        <v>0.18967032967032971</v>
      </c>
      <c r="V16" s="4">
        <f t="shared" si="30"/>
        <v>0.14093842665271231</v>
      </c>
      <c r="W16" s="4">
        <f t="shared" si="30"/>
        <v>0.16129032258064516</v>
      </c>
      <c r="X16" s="4">
        <f t="shared" ref="X16:AC16" si="31">+X5/X3</f>
        <v>0.17653958944281523</v>
      </c>
      <c r="Y16" s="4">
        <f t="shared" si="31"/>
        <v>0.19151159690749125</v>
      </c>
      <c r="Z16" s="4">
        <f t="shared" si="31"/>
        <v>0.20621138605462788</v>
      </c>
      <c r="AA16" s="4">
        <f t="shared" si="31"/>
        <v>0.22064390630818015</v>
      </c>
      <c r="AB16" s="4">
        <f t="shared" si="31"/>
        <v>0.23481401710257696</v>
      </c>
      <c r="AC16" s="4">
        <f t="shared" si="31"/>
        <v>0.24872648951889381</v>
      </c>
      <c r="AE16" t="s">
        <v>62</v>
      </c>
      <c r="AF16">
        <f>+AF15/main!M3</f>
        <v>409.2228241660618</v>
      </c>
    </row>
    <row r="17" spans="2:32" x14ac:dyDescent="0.2">
      <c r="B17" t="s">
        <v>36</v>
      </c>
      <c r="C17" s="4">
        <f t="shared" ref="C17:L17" si="32">+C7/C3</f>
        <v>3.5051844707017075E-2</v>
      </c>
      <c r="D17" s="4">
        <f t="shared" si="32"/>
        <v>9.3675936865488904E-2</v>
      </c>
      <c r="E17" s="4">
        <f t="shared" si="32"/>
        <v>4.7998534395896221E-2</v>
      </c>
      <c r="F17" s="4">
        <f t="shared" si="32"/>
        <v>7.1688942891858981E-2</v>
      </c>
      <c r="G17" s="4">
        <f t="shared" si="32"/>
        <v>4.1342702401034923E-2</v>
      </c>
      <c r="H17" s="4">
        <f t="shared" si="32"/>
        <v>8.2272096557496163E-2</v>
      </c>
      <c r="I17" s="4">
        <f t="shared" si="32"/>
        <v>0.11801967253937611</v>
      </c>
      <c r="J17" s="4">
        <f t="shared" si="32"/>
        <v>0.14064516129032256</v>
      </c>
      <c r="K17" s="4">
        <f t="shared" si="32"/>
        <v>0.12569451616234636</v>
      </c>
      <c r="L17" s="4">
        <f>+L7/L3</f>
        <v>0.12641802282296427</v>
      </c>
      <c r="R17" s="4">
        <f t="shared" ref="R17:W17" si="33">+R7/R3</f>
        <v>-0.23347280334728038</v>
      </c>
      <c r="S17" s="4">
        <f t="shared" si="33"/>
        <v>5.8898521162672024E-2</v>
      </c>
      <c r="T17" s="4">
        <f t="shared" si="33"/>
        <v>0.10306242638398108</v>
      </c>
      <c r="U17" s="4">
        <f t="shared" si="33"/>
        <v>9.1428571428571442E-2</v>
      </c>
      <c r="V17" s="4">
        <f t="shared" si="33"/>
        <v>6.3492063492063419E-2</v>
      </c>
      <c r="W17" s="4">
        <f t="shared" si="33"/>
        <v>0.10089224433768017</v>
      </c>
      <c r="X17" s="4">
        <f t="shared" ref="X17:AC17" si="34">+X7/X3</f>
        <v>0.11998502526985712</v>
      </c>
      <c r="Y17" s="4">
        <f t="shared" si="34"/>
        <v>0.13855595954553954</v>
      </c>
      <c r="Z17" s="4">
        <f t="shared" si="34"/>
        <v>0.15662565288843674</v>
      </c>
      <c r="AA17" s="4">
        <f t="shared" si="34"/>
        <v>0.17421362888892844</v>
      </c>
      <c r="AB17" s="4">
        <f t="shared" si="34"/>
        <v>0.19133839370091404</v>
      </c>
      <c r="AC17" s="4">
        <f t="shared" si="34"/>
        <v>0.20801749669733671</v>
      </c>
      <c r="AE17" t="s">
        <v>63</v>
      </c>
      <c r="AF17" s="4">
        <f>+AF16/main!M2-1</f>
        <v>0.88581946620304985</v>
      </c>
    </row>
    <row r="18" spans="2:32" x14ac:dyDescent="0.2">
      <c r="B18" t="s">
        <v>37</v>
      </c>
      <c r="C18" s="4" t="s">
        <v>30</v>
      </c>
      <c r="D18" s="4">
        <f t="shared" ref="D18:K18" si="35">+D11/C11-1</f>
        <v>5.0507109004739448</v>
      </c>
      <c r="E18" s="4">
        <f t="shared" si="35"/>
        <v>-0.5720216182345117</v>
      </c>
      <c r="F18" s="4">
        <f t="shared" si="35"/>
        <v>1.2144948755490517</v>
      </c>
      <c r="G18" s="4">
        <f t="shared" si="35"/>
        <v>-0.34859504132231434</v>
      </c>
      <c r="H18" s="4">
        <f t="shared" si="35"/>
        <v>1.3088048718599357</v>
      </c>
      <c r="I18" s="4">
        <f t="shared" si="35"/>
        <v>0.5391801296845804</v>
      </c>
      <c r="J18" s="4">
        <f t="shared" si="35"/>
        <v>0.12102820421278215</v>
      </c>
      <c r="K18" s="4">
        <f t="shared" si="35"/>
        <v>-0.28184713375796178</v>
      </c>
      <c r="L18" s="4">
        <f>+L11/K11-1</f>
        <v>0.56430155210643029</v>
      </c>
      <c r="R18" s="4" t="s">
        <v>30</v>
      </c>
      <c r="S18" s="4">
        <f t="shared" ref="S18:W18" si="36">+S11/R11-1</f>
        <v>-1.5886699507389153</v>
      </c>
      <c r="T18" s="4">
        <f t="shared" si="36"/>
        <v>0.82845188284518945</v>
      </c>
      <c r="U18" s="4">
        <f t="shared" si="36"/>
        <v>-0.20823798627002199</v>
      </c>
      <c r="V18" s="4">
        <f t="shared" si="36"/>
        <v>-6.6473988439307852E-2</v>
      </c>
      <c r="W18" s="4">
        <f t="shared" si="36"/>
        <v>1.6470588235294157</v>
      </c>
      <c r="X18" s="4">
        <f t="shared" ref="X18:AC18" si="37">+X11/W11-1</f>
        <v>4.4350517543859658E-2</v>
      </c>
      <c r="Y18" s="4">
        <f t="shared" si="37"/>
        <v>0.26716045170615876</v>
      </c>
      <c r="Z18" s="4">
        <f t="shared" si="37"/>
        <v>0.24176508548394771</v>
      </c>
      <c r="AA18" s="4">
        <f t="shared" si="37"/>
        <v>0.22269557535818896</v>
      </c>
      <c r="AB18" s="4">
        <f t="shared" si="37"/>
        <v>0.20785590144458577</v>
      </c>
      <c r="AC18" s="4">
        <f t="shared" si="37"/>
        <v>0.19598396264197149</v>
      </c>
    </row>
    <row r="20" spans="2:32" x14ac:dyDescent="0.2">
      <c r="B20" t="s">
        <v>39</v>
      </c>
      <c r="V20">
        <f>+V21-V31</f>
        <v>412.40499999999997</v>
      </c>
      <c r="W20">
        <f t="shared" ref="W20" si="38">+W21-W31</f>
        <v>525.13700000000006</v>
      </c>
      <c r="X20" s="1">
        <f>+W20+X11</f>
        <v>614.42896925000002</v>
      </c>
      <c r="Y20" s="1">
        <f t="shared" ref="Y20:AC20" si="39">+X20+Y11</f>
        <v>727.5762213385625</v>
      </c>
      <c r="Z20" s="1">
        <f t="shared" si="39"/>
        <v>868.07852850058998</v>
      </c>
      <c r="AA20" s="1">
        <f t="shared" si="39"/>
        <v>1039.8700777952183</v>
      </c>
      <c r="AB20" s="1">
        <f t="shared" si="39"/>
        <v>1247.3695144290436</v>
      </c>
      <c r="AC20" s="1">
        <f t="shared" si="39"/>
        <v>1495.5355129003426</v>
      </c>
    </row>
    <row r="21" spans="2:32" x14ac:dyDescent="0.2">
      <c r="B21" t="s">
        <v>3</v>
      </c>
      <c r="V21">
        <f>197.032+215.373</f>
        <v>412.40499999999997</v>
      </c>
      <c r="W21">
        <f>145.263+379.874</f>
        <v>525.13700000000006</v>
      </c>
      <c r="X21" s="1"/>
      <c r="Y21" s="1"/>
      <c r="Z21" s="1"/>
      <c r="AA21" s="1"/>
      <c r="AB21" s="1"/>
      <c r="AC21" s="1"/>
    </row>
    <row r="22" spans="2:32" x14ac:dyDescent="0.2">
      <c r="B22" t="s">
        <v>40</v>
      </c>
      <c r="V22">
        <v>47.326000000000001</v>
      </c>
      <c r="W22">
        <v>175.80799999999999</v>
      </c>
    </row>
    <row r="23" spans="2:32" x14ac:dyDescent="0.2">
      <c r="B23" t="s">
        <v>41</v>
      </c>
      <c r="V23">
        <v>48.189</v>
      </c>
      <c r="W23">
        <v>28.43</v>
      </c>
    </row>
    <row r="24" spans="2:32" x14ac:dyDescent="0.2">
      <c r="B24" t="s">
        <v>16</v>
      </c>
      <c r="V24">
        <v>39.259</v>
      </c>
      <c r="W24">
        <v>51.924999999999997</v>
      </c>
    </row>
    <row r="25" spans="2:32" x14ac:dyDescent="0.2">
      <c r="B25" t="s">
        <v>42</v>
      </c>
      <c r="V25">
        <v>11.021000000000001</v>
      </c>
      <c r="W25">
        <v>14.462999999999999</v>
      </c>
    </row>
    <row r="26" spans="2:32" x14ac:dyDescent="0.2">
      <c r="B26" t="s">
        <v>43</v>
      </c>
      <c r="V26">
        <f>28.033+2.217</f>
        <v>30.25</v>
      </c>
      <c r="W26">
        <f>28.033+1.826</f>
        <v>29.859000000000002</v>
      </c>
    </row>
    <row r="27" spans="2:32" x14ac:dyDescent="0.2">
      <c r="B27" t="s">
        <v>44</v>
      </c>
      <c r="V27">
        <v>2.2589999999999999</v>
      </c>
      <c r="W27">
        <v>0.55200000000000005</v>
      </c>
    </row>
    <row r="28" spans="2:32" x14ac:dyDescent="0.2">
      <c r="B28" t="s">
        <v>45</v>
      </c>
      <c r="V28">
        <v>7.52</v>
      </c>
      <c r="W28">
        <v>10.053000000000001</v>
      </c>
    </row>
    <row r="29" spans="2:32" x14ac:dyDescent="0.2">
      <c r="B29" t="s">
        <v>46</v>
      </c>
      <c r="V29">
        <f>+SUM(V21:V28)</f>
        <v>598.22899999999993</v>
      </c>
      <c r="W29">
        <f>+SUM(W21:W28)</f>
        <v>836.22699999999998</v>
      </c>
    </row>
    <row r="31" spans="2:32" x14ac:dyDescent="0.2">
      <c r="B31" t="s">
        <v>4</v>
      </c>
      <c r="V31">
        <v>0</v>
      </c>
      <c r="W31">
        <v>0</v>
      </c>
    </row>
    <row r="32" spans="2:32" x14ac:dyDescent="0.2">
      <c r="B32" t="s">
        <v>47</v>
      </c>
      <c r="V32">
        <v>39.484999999999999</v>
      </c>
      <c r="W32">
        <v>97.296999999999997</v>
      </c>
    </row>
    <row r="33" spans="2:23" x14ac:dyDescent="0.2">
      <c r="B33" t="s">
        <v>48</v>
      </c>
      <c r="V33">
        <v>81.721000000000004</v>
      </c>
      <c r="W33">
        <v>83.319000000000003</v>
      </c>
    </row>
    <row r="34" spans="2:23" x14ac:dyDescent="0.2">
      <c r="B34" t="s">
        <v>41</v>
      </c>
      <c r="V34">
        <v>181.054</v>
      </c>
      <c r="W34">
        <v>299.24099999999999</v>
      </c>
    </row>
    <row r="35" spans="2:23" x14ac:dyDescent="0.2">
      <c r="B35" t="s">
        <v>16</v>
      </c>
      <c r="V35">
        <v>5.03</v>
      </c>
      <c r="W35">
        <v>4.5129999999999999</v>
      </c>
    </row>
    <row r="36" spans="2:23" x14ac:dyDescent="0.2">
      <c r="B36" t="s">
        <v>49</v>
      </c>
      <c r="V36">
        <f>+SUM(V31:V35)</f>
        <v>307.28999999999996</v>
      </c>
      <c r="W36">
        <f>+SUM(W31:W35)</f>
        <v>484.36999999999995</v>
      </c>
    </row>
    <row r="38" spans="2:23" x14ac:dyDescent="0.2">
      <c r="B38" t="s">
        <v>60</v>
      </c>
      <c r="V38">
        <f t="shared" ref="V38:W38" si="40">+V29-V36</f>
        <v>290.93899999999996</v>
      </c>
      <c r="W38">
        <f>+W29-W36</f>
        <v>351.85700000000003</v>
      </c>
    </row>
    <row r="39" spans="2:23" x14ac:dyDescent="0.2">
      <c r="B39" t="s">
        <v>61</v>
      </c>
      <c r="V39">
        <f t="shared" ref="V39" si="41">+V36+V38</f>
        <v>598.22899999999993</v>
      </c>
      <c r="W39">
        <f>+W36+W38</f>
        <v>836.22699999999998</v>
      </c>
    </row>
    <row r="42" spans="2:23" x14ac:dyDescent="0.2">
      <c r="B42" t="s">
        <v>50</v>
      </c>
      <c r="V42" s="4">
        <f>+V11/(V38-V26)</f>
        <v>0.12390242779710674</v>
      </c>
      <c r="W42" s="4">
        <f>+W11/(W38-W26)</f>
        <v>0.26552959956273015</v>
      </c>
    </row>
    <row r="43" spans="2:23" x14ac:dyDescent="0.2">
      <c r="B43" t="s">
        <v>51</v>
      </c>
      <c r="V43" s="4">
        <f>+V11/V29</f>
        <v>5.3992701791454371E-2</v>
      </c>
      <c r="W43" s="4">
        <f>+W11/W29</f>
        <v>0.10224496458497513</v>
      </c>
    </row>
    <row r="45" spans="2:23" x14ac:dyDescent="0.2">
      <c r="B45" t="s">
        <v>52</v>
      </c>
      <c r="V45" s="1">
        <f>+V11</f>
        <v>32.299999999999955</v>
      </c>
      <c r="W45" s="1">
        <f>+W11</f>
        <v>85.5</v>
      </c>
    </row>
    <row r="46" spans="2:23" x14ac:dyDescent="0.2">
      <c r="B46" t="s">
        <v>53</v>
      </c>
      <c r="V46">
        <v>32.357999999999997</v>
      </c>
      <c r="W46">
        <v>85.459000000000003</v>
      </c>
    </row>
    <row r="47" spans="2:23" x14ac:dyDescent="0.2">
      <c r="B47" t="s">
        <v>54</v>
      </c>
      <c r="V47">
        <v>116.858</v>
      </c>
      <c r="W47">
        <v>167.584</v>
      </c>
    </row>
    <row r="48" spans="2:23" x14ac:dyDescent="0.2">
      <c r="B48" t="s">
        <v>55</v>
      </c>
      <c r="V48">
        <v>-67.606999999999999</v>
      </c>
      <c r="W48">
        <v>-193.61500000000001</v>
      </c>
    </row>
    <row r="49" spans="2:23" x14ac:dyDescent="0.2">
      <c r="B49" t="s">
        <v>56</v>
      </c>
      <c r="V49">
        <v>-26.05</v>
      </c>
      <c r="W49">
        <v>26.06</v>
      </c>
    </row>
    <row r="50" spans="2:23" x14ac:dyDescent="0.2">
      <c r="B50" t="s">
        <v>57</v>
      </c>
      <c r="V50">
        <f>+V49+V48+V47</f>
        <v>23.201000000000008</v>
      </c>
      <c r="W50">
        <f>+W49+W48+W47</f>
        <v>2.8999999999996362E-2</v>
      </c>
    </row>
    <row r="51" spans="2:23" x14ac:dyDescent="0.2">
      <c r="B51" t="s">
        <v>58</v>
      </c>
      <c r="V51">
        <v>-2.7559999999999998</v>
      </c>
      <c r="W51">
        <v>-6.5830000000000002</v>
      </c>
    </row>
    <row r="52" spans="2:23" x14ac:dyDescent="0.2">
      <c r="B52" t="s">
        <v>59</v>
      </c>
      <c r="V52">
        <f t="shared" ref="V52" si="42">+V46+V51</f>
        <v>29.601999999999997</v>
      </c>
      <c r="W52">
        <f>+W46+W51</f>
        <v>78.876000000000005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2025-09-10T09:38:33Z</dcterms:created>
  <dcterms:modified xsi:type="dcterms:W3CDTF">2025-09-10T10:31:16Z</dcterms:modified>
</cp:coreProperties>
</file>