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9" documentId="8_{670F18DC-7285-4C8E-ADAA-5CD12E31E93A}" xr6:coauthVersionLast="47" xr6:coauthVersionMax="47" xr10:uidLastSave="{46F7267F-476F-416B-A6C7-0784DB3545BD}"/>
  <bookViews>
    <workbookView xWindow="-105" yWindow="0" windowWidth="14610" windowHeight="15585" xr2:uid="{BA613005-D982-42C9-891A-0F755858DE4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Q40" i="2"/>
  <c r="Q39" i="2"/>
  <c r="Q37" i="2"/>
  <c r="Q36" i="2"/>
  <c r="Q34" i="2"/>
  <c r="Q32" i="2"/>
  <c r="Q31" i="2"/>
  <c r="Q35" i="2"/>
  <c r="Q28" i="2"/>
  <c r="X11" i="2"/>
  <c r="W11" i="2"/>
  <c r="V11" i="2"/>
  <c r="U11" i="2"/>
  <c r="T11" i="2"/>
  <c r="S11" i="2"/>
  <c r="R11" i="2"/>
  <c r="X10" i="2"/>
  <c r="W10" i="2"/>
  <c r="V10" i="2"/>
  <c r="U10" i="2"/>
  <c r="T10" i="2"/>
  <c r="S10" i="2"/>
  <c r="R10" i="2"/>
  <c r="X9" i="2"/>
  <c r="W9" i="2"/>
  <c r="V9" i="2"/>
  <c r="U9" i="2"/>
  <c r="T9" i="2"/>
  <c r="S9" i="2"/>
  <c r="R9" i="2"/>
  <c r="T6" i="2"/>
  <c r="U6" i="2" s="1"/>
  <c r="V6" i="2" s="1"/>
  <c r="W6" i="2" s="1"/>
  <c r="X6" i="2" s="1"/>
  <c r="S6" i="2"/>
  <c r="R6" i="2"/>
  <c r="X5" i="2"/>
  <c r="W5" i="2"/>
  <c r="V5" i="2"/>
  <c r="U5" i="2"/>
  <c r="T5" i="2"/>
  <c r="S5" i="2"/>
  <c r="R5" i="2"/>
  <c r="S3" i="2"/>
  <c r="S16" i="2" s="1"/>
  <c r="R3" i="2"/>
  <c r="R16" i="2"/>
  <c r="P18" i="2"/>
  <c r="Q17" i="2"/>
  <c r="P17" i="2"/>
  <c r="Q16" i="2"/>
  <c r="P16" i="2"/>
  <c r="Q15" i="2"/>
  <c r="P15" i="2"/>
  <c r="O18" i="2"/>
  <c r="O17" i="2"/>
  <c r="O16" i="2"/>
  <c r="O15" i="2"/>
  <c r="I18" i="2"/>
  <c r="I17" i="2"/>
  <c r="I16" i="2"/>
  <c r="I15" i="2"/>
  <c r="H12" i="2"/>
  <c r="H11" i="2"/>
  <c r="H10" i="2"/>
  <c r="H9" i="2"/>
  <c r="H8" i="2"/>
  <c r="H7" i="2"/>
  <c r="H6" i="2"/>
  <c r="H5" i="2"/>
  <c r="H4" i="2"/>
  <c r="H3" i="2"/>
  <c r="O5" i="2"/>
  <c r="N5" i="2"/>
  <c r="N6" i="2"/>
  <c r="N7" i="2"/>
  <c r="N9" i="2" s="1"/>
  <c r="N11" i="2" s="1"/>
  <c r="O6" i="2"/>
  <c r="O7" i="2"/>
  <c r="O9" i="2" s="1"/>
  <c r="O11" i="2" s="1"/>
  <c r="P6" i="2"/>
  <c r="P5" i="2"/>
  <c r="Q6" i="2"/>
  <c r="Q5" i="2"/>
  <c r="Q7" i="2" s="1"/>
  <c r="Q9" i="2" s="1"/>
  <c r="Q11" i="2" s="1"/>
  <c r="O2" i="2"/>
  <c r="P2" i="2" s="1"/>
  <c r="Q2" i="2" s="1"/>
  <c r="R2" i="2" s="1"/>
  <c r="S2" i="2" s="1"/>
  <c r="T2" i="2" s="1"/>
  <c r="U2" i="2" s="1"/>
  <c r="V2" i="2" s="1"/>
  <c r="W2" i="2" s="1"/>
  <c r="X2" i="2" s="1"/>
  <c r="G7" i="2"/>
  <c r="G9" i="2" s="1"/>
  <c r="G11" i="2" s="1"/>
  <c r="I7" i="2"/>
  <c r="I9" i="2" s="1"/>
  <c r="I11" i="2" s="1"/>
  <c r="G4" i="2"/>
  <c r="I4" i="2"/>
  <c r="M7" i="1"/>
  <c r="M6" i="1"/>
  <c r="M4" i="1"/>
  <c r="S7" i="2" l="1"/>
  <c r="S17" i="2" s="1"/>
  <c r="R7" i="2"/>
  <c r="R17" i="2" s="1"/>
  <c r="R18" i="2"/>
  <c r="Q18" i="2"/>
  <c r="T3" i="2"/>
  <c r="R15" i="2"/>
  <c r="S15" i="2"/>
  <c r="P7" i="2"/>
  <c r="P9" i="2" s="1"/>
  <c r="P11" i="2" s="1"/>
  <c r="T7" i="2" l="1"/>
  <c r="T17" i="2" s="1"/>
  <c r="S18" i="2"/>
  <c r="T16" i="2"/>
  <c r="U3" i="2"/>
  <c r="T15" i="2"/>
  <c r="U7" i="2" l="1"/>
  <c r="U17" i="2" s="1"/>
  <c r="T18" i="2"/>
  <c r="U16" i="2"/>
  <c r="V3" i="2"/>
  <c r="U15" i="2"/>
  <c r="V7" i="2" l="1"/>
  <c r="U18" i="2"/>
  <c r="V16" i="2"/>
  <c r="W3" i="2"/>
  <c r="V15" i="2"/>
  <c r="V17" i="2"/>
  <c r="X7" i="2" l="1"/>
  <c r="W7" i="2"/>
  <c r="V18" i="2"/>
  <c r="X3" i="2"/>
  <c r="W17" i="2"/>
  <c r="W15" i="2"/>
  <c r="W16" i="2"/>
  <c r="W18" i="2" l="1"/>
  <c r="X17" i="2"/>
  <c r="X15" i="2"/>
  <c r="X16" i="2"/>
  <c r="Y11" i="2" l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X18" i="2"/>
  <c r="AA15" i="2"/>
  <c r="AA16" i="2" s="1"/>
  <c r="AA17" i="2" s="1"/>
</calcChain>
</file>

<file path=xl/sharedStrings.xml><?xml version="1.0" encoding="utf-8"?>
<sst xmlns="http://schemas.openxmlformats.org/spreadsheetml/2006/main" count="56" uniqueCount="53">
  <si>
    <t>Shares</t>
  </si>
  <si>
    <t>Cash</t>
  </si>
  <si>
    <t>Debt</t>
  </si>
  <si>
    <t>Price GBP</t>
  </si>
  <si>
    <t xml:space="preserve">Shares </t>
  </si>
  <si>
    <t>MC GBP</t>
  </si>
  <si>
    <t>Cash GBP</t>
  </si>
  <si>
    <t>Debt GBP</t>
  </si>
  <si>
    <t>EV GBP</t>
  </si>
  <si>
    <t>H122</t>
  </si>
  <si>
    <t>H222</t>
  </si>
  <si>
    <t>H123</t>
  </si>
  <si>
    <t>H224</t>
  </si>
  <si>
    <t>H124</t>
  </si>
  <si>
    <t>H223</t>
  </si>
  <si>
    <t>H125</t>
  </si>
  <si>
    <t>H225</t>
  </si>
  <si>
    <t>Revenue</t>
  </si>
  <si>
    <t>COGS</t>
  </si>
  <si>
    <t>Gross Profit</t>
  </si>
  <si>
    <t>OPEX</t>
  </si>
  <si>
    <t>Operating Profit</t>
  </si>
  <si>
    <t>Interest Income</t>
  </si>
  <si>
    <t>Pretax</t>
  </si>
  <si>
    <t>Tax</t>
  </si>
  <si>
    <t>NI</t>
  </si>
  <si>
    <t>EPS</t>
  </si>
  <si>
    <t xml:space="preserve"> </t>
  </si>
  <si>
    <t>Revenue Growth</t>
  </si>
  <si>
    <t>Gross Margin</t>
  </si>
  <si>
    <t>EBITDA Margin</t>
  </si>
  <si>
    <t>NI Growth</t>
  </si>
  <si>
    <t>NPV</t>
  </si>
  <si>
    <t>Per Share</t>
  </si>
  <si>
    <t>Upside</t>
  </si>
  <si>
    <t>NC</t>
  </si>
  <si>
    <t>PPE</t>
  </si>
  <si>
    <t>RUA</t>
  </si>
  <si>
    <t>Intagibles</t>
  </si>
  <si>
    <t>Inventory</t>
  </si>
  <si>
    <t>Trade and Receivebles</t>
  </si>
  <si>
    <t>Corporate Tax</t>
  </si>
  <si>
    <t>Assets</t>
  </si>
  <si>
    <t>Trades and Payables</t>
  </si>
  <si>
    <t>Leases</t>
  </si>
  <si>
    <t>Provisions</t>
  </si>
  <si>
    <t>DT</t>
  </si>
  <si>
    <t>Liabilities</t>
  </si>
  <si>
    <t>S/E</t>
  </si>
  <si>
    <t>L+S/E</t>
  </si>
  <si>
    <t>ROTE</t>
  </si>
  <si>
    <t>ROA</t>
  </si>
  <si>
    <t>P/BV24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</si>
</sst>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8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684D-7250-4918-9706-78E7DE183802}">
  <dimension ref="L2:M10"/>
  <sheetViews>
    <sheetView tabSelected="1" workbookViewId="0">
      <selection activeCell="L11" sqref="L11"/>
    </sheetView>
  </sheetViews>
  <sheetFormatPr defaultRowHeight="15" x14ac:dyDescent="0.25"/>
  <cols>
    <col min="13" max="13" width="10" bestFit="1" customWidth="1"/>
  </cols>
  <sheetData>
    <row r="2" spans="12:13" x14ac:dyDescent="0.25">
      <c r="L2" t="s">
        <v>3</v>
      </c>
      <c r="M2" s="6">
        <v>1.28</v>
      </c>
    </row>
    <row r="3" spans="12:13" x14ac:dyDescent="0.25">
      <c r="L3" t="s">
        <v>4</v>
      </c>
      <c r="M3" s="1">
        <v>100.58588</v>
      </c>
    </row>
    <row r="4" spans="12:13" x14ac:dyDescent="0.25">
      <c r="L4" t="s">
        <v>5</v>
      </c>
      <c r="M4" s="1">
        <f>+M3*M2</f>
        <v>128.74992639999999</v>
      </c>
    </row>
    <row r="5" spans="12:13" x14ac:dyDescent="0.25">
      <c r="L5" t="s">
        <v>6</v>
      </c>
      <c r="M5" s="1">
        <v>6.4</v>
      </c>
    </row>
    <row r="6" spans="12:13" x14ac:dyDescent="0.25">
      <c r="L6" t="s">
        <v>7</v>
      </c>
      <c r="M6" s="1">
        <f>33.6+1.6</f>
        <v>35.200000000000003</v>
      </c>
    </row>
    <row r="7" spans="12:13" x14ac:dyDescent="0.25">
      <c r="L7" t="s">
        <v>8</v>
      </c>
      <c r="M7" s="1">
        <f>+M4-M5+M6</f>
        <v>157.5499264</v>
      </c>
    </row>
    <row r="9" spans="12:13" x14ac:dyDescent="0.25">
      <c r="L9" t="s">
        <v>27</v>
      </c>
      <c r="M9">
        <f>54.3+47.2+0.4+54.3-3.5</f>
        <v>152.69999999999999</v>
      </c>
    </row>
    <row r="10" spans="12:13" x14ac:dyDescent="0.25">
      <c r="L10" t="s">
        <v>52</v>
      </c>
      <c r="M10">
        <f>+M9/M3</f>
        <v>1.5181057221948049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C7ED-CAF4-4F6F-9DFF-CE7E74BF7AF2}">
  <dimension ref="B2:BD43"/>
  <sheetViews>
    <sheetView workbookViewId="0">
      <pane xSplit="2" ySplit="2" topLeftCell="I15" activePane="bottomRight" state="frozen"/>
      <selection pane="topRight" activeCell="C1" sqref="C1"/>
      <selection pane="bottomLeft" activeCell="A3" sqref="A3"/>
      <selection pane="bottomRight" activeCell="Q34" sqref="Q34"/>
    </sheetView>
  </sheetViews>
  <sheetFormatPr defaultRowHeight="15" x14ac:dyDescent="0.25"/>
  <cols>
    <col min="2" max="2" width="15" bestFit="1" customWidth="1"/>
  </cols>
  <sheetData>
    <row r="2" spans="2:56" x14ac:dyDescent="0.25">
      <c r="C2" t="s">
        <v>9</v>
      </c>
      <c r="D2" t="s">
        <v>10</v>
      </c>
      <c r="E2" t="s">
        <v>11</v>
      </c>
      <c r="F2" t="s">
        <v>14</v>
      </c>
      <c r="G2" t="s">
        <v>13</v>
      </c>
      <c r="H2" t="s">
        <v>12</v>
      </c>
      <c r="I2" t="s">
        <v>15</v>
      </c>
      <c r="J2" t="s">
        <v>16</v>
      </c>
      <c r="N2">
        <v>2021</v>
      </c>
      <c r="O2">
        <f>+N2+1</f>
        <v>2022</v>
      </c>
      <c r="P2">
        <f t="shared" ref="P2:X2" si="0">+O2+1</f>
        <v>2023</v>
      </c>
      <c r="Q2">
        <f t="shared" si="0"/>
        <v>2024</v>
      </c>
      <c r="R2">
        <f t="shared" si="0"/>
        <v>2025</v>
      </c>
      <c r="S2">
        <f t="shared" si="0"/>
        <v>2026</v>
      </c>
      <c r="T2">
        <f t="shared" si="0"/>
        <v>2027</v>
      </c>
      <c r="U2">
        <f t="shared" si="0"/>
        <v>2028</v>
      </c>
      <c r="V2">
        <f t="shared" si="0"/>
        <v>2029</v>
      </c>
      <c r="W2">
        <f t="shared" si="0"/>
        <v>2030</v>
      </c>
      <c r="X2">
        <f t="shared" si="0"/>
        <v>2031</v>
      </c>
    </row>
    <row r="3" spans="2:56" x14ac:dyDescent="0.25">
      <c r="B3" t="s">
        <v>17</v>
      </c>
      <c r="G3">
        <v>175.7</v>
      </c>
      <c r="H3">
        <f>+Q3-G3</f>
        <v>182.2</v>
      </c>
      <c r="I3">
        <v>193.2</v>
      </c>
      <c r="N3">
        <v>339.8</v>
      </c>
      <c r="O3">
        <v>381.2</v>
      </c>
      <c r="P3">
        <v>364.5</v>
      </c>
      <c r="Q3">
        <v>357.9</v>
      </c>
      <c r="R3">
        <f>+Q3*1.09</f>
        <v>390.11099999999999</v>
      </c>
      <c r="S3">
        <f t="shared" ref="S3:X3" si="1">+R3*1.09</f>
        <v>425.22099000000003</v>
      </c>
      <c r="T3">
        <f t="shared" si="1"/>
        <v>463.49087910000009</v>
      </c>
      <c r="U3">
        <f t="shared" si="1"/>
        <v>505.20505821900014</v>
      </c>
      <c r="V3">
        <f t="shared" si="1"/>
        <v>550.6735134587102</v>
      </c>
      <c r="W3">
        <f t="shared" si="1"/>
        <v>600.23412966999422</v>
      </c>
      <c r="X3">
        <f t="shared" si="1"/>
        <v>654.25520134029375</v>
      </c>
    </row>
    <row r="4" spans="2:56" x14ac:dyDescent="0.25">
      <c r="B4" t="s">
        <v>18</v>
      </c>
      <c r="G4">
        <f>+G3-G5</f>
        <v>83.499999999999986</v>
      </c>
      <c r="H4">
        <f t="shared" ref="H4:H12" si="2">+Q4-G4</f>
        <v>-253.09999999999997</v>
      </c>
      <c r="I4">
        <f>+I3-I5</f>
        <v>94.699999999999989</v>
      </c>
      <c r="N4">
        <v>-167.7</v>
      </c>
      <c r="O4">
        <v>-196.7</v>
      </c>
      <c r="P4">
        <v>-190.7</v>
      </c>
      <c r="Q4">
        <v>-169.6</v>
      </c>
    </row>
    <row r="5" spans="2:56" x14ac:dyDescent="0.25">
      <c r="B5" t="s">
        <v>19</v>
      </c>
      <c r="G5">
        <v>92.2</v>
      </c>
      <c r="H5">
        <f t="shared" si="2"/>
        <v>96.09999999999998</v>
      </c>
      <c r="I5">
        <v>98.5</v>
      </c>
      <c r="N5">
        <f t="shared" ref="N5:O5" si="3">+N3+N4</f>
        <v>172.10000000000002</v>
      </c>
      <c r="O5">
        <f t="shared" si="3"/>
        <v>184.5</v>
      </c>
      <c r="P5">
        <f>+P3+P4</f>
        <v>173.8</v>
      </c>
      <c r="Q5">
        <f>+Q3+Q4</f>
        <v>188.29999999999998</v>
      </c>
      <c r="R5">
        <f>+R3*0.5</f>
        <v>195.05549999999999</v>
      </c>
      <c r="S5">
        <f t="shared" ref="S5:X5" si="4">+S3*0.5</f>
        <v>212.61049500000001</v>
      </c>
      <c r="T5">
        <f t="shared" si="4"/>
        <v>231.74543955000004</v>
      </c>
      <c r="U5">
        <f t="shared" si="4"/>
        <v>252.60252910950007</v>
      </c>
      <c r="V5">
        <f t="shared" si="4"/>
        <v>275.3367567293551</v>
      </c>
      <c r="W5">
        <f t="shared" si="4"/>
        <v>300.11706483499711</v>
      </c>
      <c r="X5">
        <f t="shared" si="4"/>
        <v>327.12760067014688</v>
      </c>
    </row>
    <row r="6" spans="2:56" x14ac:dyDescent="0.25">
      <c r="B6" t="s">
        <v>20</v>
      </c>
      <c r="G6">
        <v>70.400000000000006</v>
      </c>
      <c r="H6">
        <f t="shared" si="2"/>
        <v>-242.1</v>
      </c>
      <c r="I6">
        <v>75.3</v>
      </c>
      <c r="N6">
        <f>-23-119.4</f>
        <v>-142.4</v>
      </c>
      <c r="O6">
        <f>-24.3-132.2</f>
        <v>-156.5</v>
      </c>
      <c r="P6">
        <f>-25.4-133.9</f>
        <v>-159.30000000000001</v>
      </c>
      <c r="Q6">
        <f>-25.7-146</f>
        <v>-171.7</v>
      </c>
      <c r="R6">
        <f>+Q6*1.05</f>
        <v>-180.285</v>
      </c>
      <c r="S6">
        <f t="shared" ref="S6:X6" si="5">+R6*1.05</f>
        <v>-189.29925</v>
      </c>
      <c r="T6">
        <f t="shared" si="5"/>
        <v>-198.76421250000001</v>
      </c>
      <c r="U6">
        <f t="shared" si="5"/>
        <v>-208.70242312500002</v>
      </c>
      <c r="V6">
        <f t="shared" si="5"/>
        <v>-219.13754428125003</v>
      </c>
      <c r="W6">
        <f t="shared" si="5"/>
        <v>-230.09442149531253</v>
      </c>
      <c r="X6">
        <f t="shared" si="5"/>
        <v>-241.59914257007816</v>
      </c>
    </row>
    <row r="7" spans="2:56" x14ac:dyDescent="0.25">
      <c r="B7" t="s">
        <v>21</v>
      </c>
      <c r="G7">
        <f>+G5-G6</f>
        <v>21.799999999999997</v>
      </c>
      <c r="H7">
        <f t="shared" si="2"/>
        <v>-5.2000000000000028</v>
      </c>
      <c r="I7">
        <f>+I5-I6</f>
        <v>23.200000000000003</v>
      </c>
      <c r="N7">
        <f>+N5+N6</f>
        <v>29.700000000000017</v>
      </c>
      <c r="O7">
        <f>+O5+O6</f>
        <v>28</v>
      </c>
      <c r="P7">
        <f>+P5+P6</f>
        <v>14.5</v>
      </c>
      <c r="Q7">
        <f>+Q5+Q6</f>
        <v>16.599999999999994</v>
      </c>
      <c r="R7">
        <f t="shared" ref="R7:X7" si="6">+R5+R6</f>
        <v>14.770499999999998</v>
      </c>
      <c r="S7">
        <f t="shared" si="6"/>
        <v>23.311245000000014</v>
      </c>
      <c r="T7">
        <f t="shared" si="6"/>
        <v>32.98122705000003</v>
      </c>
      <c r="U7">
        <f t="shared" si="6"/>
        <v>43.900105984500044</v>
      </c>
      <c r="V7">
        <f t="shared" si="6"/>
        <v>56.199212448105072</v>
      </c>
      <c r="W7">
        <f t="shared" si="6"/>
        <v>70.022643339684578</v>
      </c>
      <c r="X7">
        <f t="shared" si="6"/>
        <v>85.528458100068718</v>
      </c>
    </row>
    <row r="8" spans="2:56" x14ac:dyDescent="0.25">
      <c r="B8" t="s">
        <v>22</v>
      </c>
      <c r="G8">
        <v>-1.3</v>
      </c>
      <c r="H8">
        <f t="shared" si="2"/>
        <v>-1.4999999999999998</v>
      </c>
      <c r="I8">
        <v>-2.2999999999999998</v>
      </c>
      <c r="N8">
        <v>-2</v>
      </c>
      <c r="O8">
        <v>-2.9</v>
      </c>
      <c r="P8">
        <v>-3.2</v>
      </c>
      <c r="Q8">
        <v>-2.8</v>
      </c>
    </row>
    <row r="9" spans="2:56" x14ac:dyDescent="0.25">
      <c r="B9" t="s">
        <v>23</v>
      </c>
      <c r="G9">
        <f>+G7+G8</f>
        <v>20.499999999999996</v>
      </c>
      <c r="H9">
        <f t="shared" si="2"/>
        <v>-6.7000000000000028</v>
      </c>
      <c r="I9">
        <f>+I7+I8</f>
        <v>20.900000000000002</v>
      </c>
      <c r="J9" t="s">
        <v>27</v>
      </c>
      <c r="N9">
        <f>+N7+N8</f>
        <v>27.700000000000017</v>
      </c>
      <c r="O9">
        <f>+O7+O8</f>
        <v>25.1</v>
      </c>
      <c r="P9">
        <f>+P7+P8</f>
        <v>11.3</v>
      </c>
      <c r="Q9">
        <f>+Q7+Q8</f>
        <v>13.799999999999994</v>
      </c>
      <c r="R9">
        <f>+R7+R8</f>
        <v>14.770499999999998</v>
      </c>
      <c r="S9">
        <f t="shared" ref="S9:X9" si="7">+S7+S8</f>
        <v>23.311245000000014</v>
      </c>
      <c r="T9">
        <f t="shared" si="7"/>
        <v>32.98122705000003</v>
      </c>
      <c r="U9">
        <f t="shared" si="7"/>
        <v>43.900105984500044</v>
      </c>
      <c r="V9">
        <f t="shared" si="7"/>
        <v>56.199212448105072</v>
      </c>
      <c r="W9">
        <f t="shared" si="7"/>
        <v>70.022643339684578</v>
      </c>
      <c r="X9">
        <f t="shared" si="7"/>
        <v>85.528458100068718</v>
      </c>
    </row>
    <row r="10" spans="2:56" x14ac:dyDescent="0.25">
      <c r="B10" t="s">
        <v>24</v>
      </c>
      <c r="G10">
        <v>-1.9</v>
      </c>
      <c r="H10">
        <f t="shared" si="2"/>
        <v>-1.4</v>
      </c>
      <c r="I10">
        <v>-1.8</v>
      </c>
      <c r="N10">
        <v>-6.1</v>
      </c>
      <c r="O10">
        <v>-4.2</v>
      </c>
      <c r="P10">
        <v>-2.1</v>
      </c>
      <c r="Q10">
        <v>-3.3</v>
      </c>
      <c r="R10">
        <f>+R9*-0.25</f>
        <v>-3.6926249999999996</v>
      </c>
      <c r="S10">
        <f t="shared" ref="S10:X10" si="8">+S9*-0.25</f>
        <v>-5.8278112500000034</v>
      </c>
      <c r="T10">
        <f t="shared" si="8"/>
        <v>-8.2453067625000074</v>
      </c>
      <c r="U10">
        <f t="shared" si="8"/>
        <v>-10.975026496125011</v>
      </c>
      <c r="V10">
        <f t="shared" si="8"/>
        <v>-14.049803112026268</v>
      </c>
      <c r="W10">
        <f t="shared" si="8"/>
        <v>-17.505660834921144</v>
      </c>
      <c r="X10">
        <f t="shared" si="8"/>
        <v>-21.38211452501718</v>
      </c>
    </row>
    <row r="11" spans="2:56" x14ac:dyDescent="0.25">
      <c r="B11" t="s">
        <v>25</v>
      </c>
      <c r="G11">
        <f>+G9+G10</f>
        <v>18.599999999999998</v>
      </c>
      <c r="H11">
        <f t="shared" si="2"/>
        <v>-8.100000000000005</v>
      </c>
      <c r="I11">
        <f>+I9+I10</f>
        <v>19.100000000000001</v>
      </c>
      <c r="N11">
        <f>+N9+N10</f>
        <v>21.600000000000016</v>
      </c>
      <c r="O11">
        <f>+O9+O10</f>
        <v>20.900000000000002</v>
      </c>
      <c r="P11">
        <f>+P9+P10</f>
        <v>9.2000000000000011</v>
      </c>
      <c r="Q11">
        <f>+Q9+Q10</f>
        <v>10.499999999999993</v>
      </c>
      <c r="R11">
        <f t="shared" ref="R11:X11" si="9">+R9+R10</f>
        <v>11.077874999999999</v>
      </c>
      <c r="S11">
        <f t="shared" si="9"/>
        <v>17.48343375000001</v>
      </c>
      <c r="T11">
        <f t="shared" si="9"/>
        <v>24.735920287500022</v>
      </c>
      <c r="U11">
        <f t="shared" si="9"/>
        <v>32.925079488375033</v>
      </c>
      <c r="V11">
        <f t="shared" si="9"/>
        <v>42.149409336078804</v>
      </c>
      <c r="W11">
        <f t="shared" si="9"/>
        <v>52.516982504763433</v>
      </c>
      <c r="X11">
        <f t="shared" si="9"/>
        <v>64.146343575051532</v>
      </c>
      <c r="Y11">
        <f>+X11*0.98</f>
        <v>62.863416703550499</v>
      </c>
      <c r="Z11">
        <f t="shared" ref="Z11:BD11" si="10">+Y11*0.98</f>
        <v>61.606148369479484</v>
      </c>
      <c r="AA11">
        <f t="shared" si="10"/>
        <v>60.374025402089892</v>
      </c>
      <c r="AB11">
        <f t="shared" si="10"/>
        <v>59.166544894048094</v>
      </c>
      <c r="AC11">
        <f t="shared" si="10"/>
        <v>57.98321399616713</v>
      </c>
      <c r="AD11">
        <f t="shared" si="10"/>
        <v>56.823549716243789</v>
      </c>
      <c r="AE11">
        <f t="shared" si="10"/>
        <v>55.687078721918915</v>
      </c>
      <c r="AF11">
        <f t="shared" si="10"/>
        <v>54.573337147480537</v>
      </c>
      <c r="AG11">
        <f t="shared" si="10"/>
        <v>53.481870404530923</v>
      </c>
      <c r="AH11">
        <f t="shared" si="10"/>
        <v>52.412232996440302</v>
      </c>
      <c r="AI11">
        <f t="shared" si="10"/>
        <v>51.363988336511497</v>
      </c>
      <c r="AJ11">
        <f t="shared" si="10"/>
        <v>50.336708569781266</v>
      </c>
      <c r="AK11">
        <f t="shared" si="10"/>
        <v>49.329974398385637</v>
      </c>
      <c r="AL11">
        <f t="shared" si="10"/>
        <v>48.343374910417921</v>
      </c>
      <c r="AM11">
        <f t="shared" si="10"/>
        <v>47.376507412209563</v>
      </c>
      <c r="AN11">
        <f t="shared" si="10"/>
        <v>46.428977263965372</v>
      </c>
      <c r="AO11">
        <f t="shared" si="10"/>
        <v>45.500397718686067</v>
      </c>
      <c r="AP11">
        <f t="shared" si="10"/>
        <v>44.590389764312341</v>
      </c>
      <c r="AQ11">
        <f t="shared" si="10"/>
        <v>43.698581969026094</v>
      </c>
      <c r="AR11">
        <f t="shared" si="10"/>
        <v>42.824610329645573</v>
      </c>
      <c r="AS11">
        <f t="shared" si="10"/>
        <v>41.968118123052662</v>
      </c>
      <c r="AT11">
        <f t="shared" si="10"/>
        <v>41.128755760591609</v>
      </c>
      <c r="AU11">
        <f t="shared" si="10"/>
        <v>40.306180645379776</v>
      </c>
      <c r="AV11">
        <f t="shared" si="10"/>
        <v>39.500057032472178</v>
      </c>
      <c r="AW11">
        <f t="shared" si="10"/>
        <v>38.710055891822734</v>
      </c>
      <c r="AX11">
        <f t="shared" si="10"/>
        <v>37.935854773986279</v>
      </c>
      <c r="AY11">
        <f t="shared" si="10"/>
        <v>37.177137678506554</v>
      </c>
      <c r="AZ11">
        <f t="shared" si="10"/>
        <v>36.433594924936422</v>
      </c>
      <c r="BA11">
        <f t="shared" si="10"/>
        <v>35.70492302643769</v>
      </c>
      <c r="BB11">
        <f t="shared" si="10"/>
        <v>34.990824565908937</v>
      </c>
      <c r="BC11">
        <f t="shared" si="10"/>
        <v>34.291008074590756</v>
      </c>
      <c r="BD11">
        <f t="shared" si="10"/>
        <v>33.605187913098938</v>
      </c>
    </row>
    <row r="12" spans="2:56" x14ac:dyDescent="0.25">
      <c r="B12" t="s">
        <v>26</v>
      </c>
      <c r="G12">
        <v>2.9</v>
      </c>
      <c r="H12">
        <f t="shared" si="2"/>
        <v>-2.9</v>
      </c>
      <c r="I12">
        <v>2.9</v>
      </c>
    </row>
    <row r="13" spans="2:56" x14ac:dyDescent="0.25">
      <c r="B13" t="s">
        <v>0</v>
      </c>
    </row>
    <row r="15" spans="2:56" s="3" customFormat="1" x14ac:dyDescent="0.25">
      <c r="B15" s="3" t="s">
        <v>28</v>
      </c>
      <c r="I15" s="4">
        <f>+I3/G3-1</f>
        <v>9.960159362549792E-2</v>
      </c>
      <c r="O15" s="4">
        <f>+O3/N3-1</f>
        <v>0.12183637433784567</v>
      </c>
      <c r="P15" s="4">
        <f t="shared" ref="P15:Q15" si="11">+P3/O3-1</f>
        <v>-4.3809024134312646E-2</v>
      </c>
      <c r="Q15" s="4">
        <f t="shared" si="11"/>
        <v>-1.8106995884773713E-2</v>
      </c>
      <c r="R15" s="4">
        <f t="shared" ref="R15:X15" si="12">+R3/Q3-1</f>
        <v>9.000000000000008E-2</v>
      </c>
      <c r="S15" s="4">
        <f t="shared" si="12"/>
        <v>9.000000000000008E-2</v>
      </c>
      <c r="T15" s="4">
        <f t="shared" si="12"/>
        <v>9.000000000000008E-2</v>
      </c>
      <c r="U15" s="4">
        <f t="shared" si="12"/>
        <v>9.000000000000008E-2</v>
      </c>
      <c r="V15" s="4">
        <f t="shared" si="12"/>
        <v>9.000000000000008E-2</v>
      </c>
      <c r="W15" s="4">
        <f t="shared" si="12"/>
        <v>9.000000000000008E-2</v>
      </c>
      <c r="X15" s="4">
        <f t="shared" si="12"/>
        <v>9.000000000000008E-2</v>
      </c>
      <c r="Z15" s="3" t="s">
        <v>32</v>
      </c>
      <c r="AA15" s="5">
        <f>+NPV(0.08,R11:BD11)</f>
        <v>518.72300801190659</v>
      </c>
    </row>
    <row r="16" spans="2:56" x14ac:dyDescent="0.25">
      <c r="B16" t="s">
        <v>29</v>
      </c>
      <c r="I16" s="2">
        <f>+I5/I3</f>
        <v>0.50983436853002073</v>
      </c>
      <c r="O16" s="2">
        <f>+O5/O3</f>
        <v>0.48399790136411336</v>
      </c>
      <c r="P16" s="2">
        <f t="shared" ref="P16:Q16" si="13">+P5/P3</f>
        <v>0.47681755829903982</v>
      </c>
      <c r="Q16" s="2">
        <f t="shared" si="13"/>
        <v>0.52612461581447334</v>
      </c>
      <c r="R16" s="2">
        <f t="shared" ref="R16:X16" si="14">+R5/R3</f>
        <v>0.5</v>
      </c>
      <c r="S16" s="2">
        <f t="shared" si="14"/>
        <v>0.5</v>
      </c>
      <c r="T16" s="2">
        <f t="shared" si="14"/>
        <v>0.5</v>
      </c>
      <c r="U16" s="2">
        <f t="shared" si="14"/>
        <v>0.5</v>
      </c>
      <c r="V16" s="2">
        <f t="shared" si="14"/>
        <v>0.5</v>
      </c>
      <c r="W16" s="2">
        <f t="shared" si="14"/>
        <v>0.5</v>
      </c>
      <c r="X16" s="2">
        <f t="shared" si="14"/>
        <v>0.5</v>
      </c>
      <c r="Z16" t="s">
        <v>33</v>
      </c>
      <c r="AA16">
        <f>+AA15/main!M3</f>
        <v>5.1570161538767323</v>
      </c>
    </row>
    <row r="17" spans="2:27" x14ac:dyDescent="0.25">
      <c r="B17" t="s">
        <v>30</v>
      </c>
      <c r="I17" s="2">
        <f>+I7/I3</f>
        <v>0.12008281573498968</v>
      </c>
      <c r="O17" s="2">
        <f>+O7/O3</f>
        <v>7.3452256033578175E-2</v>
      </c>
      <c r="P17" s="2">
        <f t="shared" ref="P17:Q17" si="15">+P7/P3</f>
        <v>3.9780521262002745E-2</v>
      </c>
      <c r="Q17" s="2">
        <f t="shared" si="15"/>
        <v>4.6381670857781492E-2</v>
      </c>
      <c r="R17" s="2">
        <f t="shared" ref="R17:X17" si="16">+R7/R3</f>
        <v>3.7862300729792284E-2</v>
      </c>
      <c r="S17" s="2">
        <f t="shared" si="16"/>
        <v>5.4821482354387094E-2</v>
      </c>
      <c r="T17" s="2">
        <f t="shared" si="16"/>
        <v>7.1158308690005945E-2</v>
      </c>
      <c r="U17" s="2">
        <f t="shared" si="16"/>
        <v>8.689561846284978E-2</v>
      </c>
      <c r="V17" s="2">
        <f t="shared" si="16"/>
        <v>0.10205541228072688</v>
      </c>
      <c r="W17" s="2">
        <f t="shared" si="16"/>
        <v>0.11665888338969109</v>
      </c>
      <c r="X17" s="2">
        <f t="shared" si="16"/>
        <v>0.13072644730199603</v>
      </c>
      <c r="Z17" t="s">
        <v>34</v>
      </c>
      <c r="AA17" s="2">
        <f>+AA16/main!M2-1</f>
        <v>3.0289188702161969</v>
      </c>
    </row>
    <row r="18" spans="2:27" x14ac:dyDescent="0.25">
      <c r="B18" t="s">
        <v>31</v>
      </c>
      <c r="I18" s="2">
        <f>+I11/G11-1</f>
        <v>2.6881720430107725E-2</v>
      </c>
      <c r="O18" s="2">
        <f>+O11/N11-1</f>
        <v>-3.2407407407407995E-2</v>
      </c>
      <c r="P18" s="2">
        <f t="shared" ref="P18:Q18" si="17">+P11/O11-1</f>
        <v>-0.55980861244019131</v>
      </c>
      <c r="Q18" s="2">
        <f t="shared" si="17"/>
        <v>0.14130434782608603</v>
      </c>
      <c r="R18" s="2">
        <f t="shared" ref="R18:X18" si="18">+R11/Q11-1</f>
        <v>5.5035714285714965E-2</v>
      </c>
      <c r="S18" s="2">
        <f t="shared" si="18"/>
        <v>0.57822991774144517</v>
      </c>
      <c r="T18" s="2">
        <f t="shared" si="18"/>
        <v>0.41482048899576185</v>
      </c>
      <c r="U18" s="2">
        <f t="shared" si="18"/>
        <v>0.33106345370191459</v>
      </c>
      <c r="V18" s="2">
        <f t="shared" si="18"/>
        <v>0.28016120206970596</v>
      </c>
      <c r="W18" s="2">
        <f t="shared" si="18"/>
        <v>0.24597196810087341</v>
      </c>
      <c r="X18" s="2">
        <f t="shared" si="18"/>
        <v>0.22144000884348758</v>
      </c>
    </row>
    <row r="20" spans="2:27" x14ac:dyDescent="0.25">
      <c r="B20" t="s">
        <v>35</v>
      </c>
    </row>
    <row r="21" spans="2:27" x14ac:dyDescent="0.25">
      <c r="B21" t="s">
        <v>36</v>
      </c>
      <c r="Q21">
        <v>60.5</v>
      </c>
    </row>
    <row r="22" spans="2:27" x14ac:dyDescent="0.25">
      <c r="B22" t="s">
        <v>37</v>
      </c>
      <c r="Q22">
        <v>54.3</v>
      </c>
    </row>
    <row r="23" spans="2:27" x14ac:dyDescent="0.25">
      <c r="B23" t="s">
        <v>38</v>
      </c>
      <c r="Q23">
        <v>14.6</v>
      </c>
    </row>
    <row r="24" spans="2:27" x14ac:dyDescent="0.25">
      <c r="B24" t="s">
        <v>39</v>
      </c>
      <c r="Q24">
        <v>47.2</v>
      </c>
    </row>
    <row r="25" spans="2:27" x14ac:dyDescent="0.25">
      <c r="B25" t="s">
        <v>40</v>
      </c>
      <c r="Q25">
        <v>45.8</v>
      </c>
    </row>
    <row r="26" spans="2:27" x14ac:dyDescent="0.25">
      <c r="B26" t="s">
        <v>41</v>
      </c>
      <c r="Q26">
        <v>1</v>
      </c>
    </row>
    <row r="27" spans="2:27" x14ac:dyDescent="0.25">
      <c r="B27" t="s">
        <v>1</v>
      </c>
      <c r="Q27">
        <v>0.4</v>
      </c>
    </row>
    <row r="28" spans="2:27" x14ac:dyDescent="0.25">
      <c r="B28" t="s">
        <v>42</v>
      </c>
      <c r="Q28">
        <f>+SUM(Q21:Q27)</f>
        <v>223.80000000000004</v>
      </c>
    </row>
    <row r="30" spans="2:27" x14ac:dyDescent="0.25">
      <c r="B30" t="s">
        <v>43</v>
      </c>
      <c r="Q30">
        <v>45.2</v>
      </c>
    </row>
    <row r="31" spans="2:27" x14ac:dyDescent="0.25">
      <c r="B31" t="s">
        <v>44</v>
      </c>
      <c r="Q31">
        <f>12.5+46.9</f>
        <v>59.4</v>
      </c>
    </row>
    <row r="32" spans="2:27" x14ac:dyDescent="0.25">
      <c r="B32" t="s">
        <v>45</v>
      </c>
      <c r="Q32">
        <f>0.4+1.3</f>
        <v>1.7000000000000002</v>
      </c>
    </row>
    <row r="33" spans="2:17" x14ac:dyDescent="0.25">
      <c r="B33" t="s">
        <v>46</v>
      </c>
      <c r="Q33">
        <v>8.6</v>
      </c>
    </row>
    <row r="34" spans="2:17" x14ac:dyDescent="0.25">
      <c r="B34" t="s">
        <v>2</v>
      </c>
      <c r="Q34">
        <f>3+0.5</f>
        <v>3.5</v>
      </c>
    </row>
    <row r="35" spans="2:17" x14ac:dyDescent="0.25">
      <c r="B35" t="s">
        <v>47</v>
      </c>
      <c r="Q35">
        <f>+SUM(Q30:Q34)</f>
        <v>118.39999999999999</v>
      </c>
    </row>
    <row r="36" spans="2:17" x14ac:dyDescent="0.25">
      <c r="B36" t="s">
        <v>48</v>
      </c>
      <c r="Q36">
        <f>+Q28-Q35</f>
        <v>105.40000000000005</v>
      </c>
    </row>
    <row r="37" spans="2:17" x14ac:dyDescent="0.25">
      <c r="B37" t="s">
        <v>49</v>
      </c>
      <c r="Q37">
        <f>+Q35+Q36</f>
        <v>223.80000000000004</v>
      </c>
    </row>
    <row r="39" spans="2:17" x14ac:dyDescent="0.25">
      <c r="B39" t="s">
        <v>50</v>
      </c>
      <c r="Q39" s="2">
        <f>+Q11/(Q36-Q23)</f>
        <v>0.11563876651982365</v>
      </c>
    </row>
    <row r="40" spans="2:17" x14ac:dyDescent="0.25">
      <c r="B40" t="s">
        <v>51</v>
      </c>
      <c r="Q40" s="2">
        <f>+Q11/Q28</f>
        <v>4.6916890080428916E-2</v>
      </c>
    </row>
    <row r="42" spans="2:17" x14ac:dyDescent="0.25">
      <c r="B42" t="s">
        <v>27</v>
      </c>
    </row>
    <row r="43" spans="2:17" x14ac:dyDescent="0.25">
      <c r="Q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Simão Clemente</dc:creator>
  <cp:lastModifiedBy>Simão Clemente</cp:lastModifiedBy>
  <dcterms:created xsi:type="dcterms:W3CDTF">2025-09-07T13:04:05Z</dcterms:created>
  <dcterms:modified xsi:type="dcterms:W3CDTF">2025-09-07T15:39:46Z</dcterms:modified>
</cp:coreProperties>
</file>