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Financials/Ações/"/>
    </mc:Choice>
  </mc:AlternateContent>
  <xr:revisionPtr revIDLastSave="26" documentId="13_ncr:1_{A20D0638-26AA-4B6F-AA33-DF76EA388510}" xr6:coauthVersionLast="47" xr6:coauthVersionMax="47" xr10:uidLastSave="{13076D20-1CFF-4431-B659-8F4155CF49A9}"/>
  <bookViews>
    <workbookView xWindow="-108" yWindow="-108" windowWidth="23256" windowHeight="12456" firstSheet="1" activeTab="1" xr2:uid="{6651DA3E-40BC-4EE9-B1BD-DE6FED3CA8D1}"/>
  </bookViews>
  <sheets>
    <sheet name="Main" sheetId="1" r:id="rId1"/>
    <sheet name="Mode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2" l="1"/>
  <c r="AF21" i="2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AQ21" i="2" s="1"/>
  <c r="AR21" i="2" s="1"/>
  <c r="AS21" i="2" s="1"/>
  <c r="AT21" i="2" s="1"/>
  <c r="AU21" i="2" s="1"/>
  <c r="AE21" i="2"/>
  <c r="S7" i="2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T6" i="2"/>
  <c r="U6" i="2" s="1"/>
  <c r="V6" i="2" s="1"/>
  <c r="W6" i="2" s="1"/>
  <c r="X6" i="2" s="1"/>
  <c r="Y6" i="2" s="1"/>
  <c r="Z6" i="2" s="1"/>
  <c r="AA6" i="2" s="1"/>
  <c r="AB6" i="2" s="1"/>
  <c r="AC6" i="2" s="1"/>
  <c r="AD6" i="2" s="1"/>
  <c r="S6" i="2"/>
  <c r="D29" i="2"/>
  <c r="C29" i="2"/>
  <c r="D28" i="2"/>
  <c r="C28" i="2"/>
  <c r="D27" i="2"/>
  <c r="C27" i="2"/>
  <c r="E29" i="2"/>
  <c r="E28" i="2"/>
  <c r="E27" i="2"/>
  <c r="F3" i="2"/>
  <c r="J3" i="2"/>
  <c r="S16" i="2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O11" i="2" l="1"/>
  <c r="F11" i="2"/>
  <c r="R23" i="2"/>
  <c r="Q23" i="2"/>
  <c r="C16" i="2"/>
  <c r="C14" i="2"/>
  <c r="C8" i="2"/>
  <c r="C5" i="2"/>
  <c r="F20" i="2"/>
  <c r="Q20" i="2" s="1"/>
  <c r="F19" i="2"/>
  <c r="F17" i="2"/>
  <c r="Q17" i="2" s="1"/>
  <c r="F13" i="2"/>
  <c r="Q13" i="2" s="1"/>
  <c r="F12" i="2"/>
  <c r="F29" i="2" s="1"/>
  <c r="F28" i="2"/>
  <c r="F10" i="2"/>
  <c r="Q10" i="2" s="1"/>
  <c r="F7" i="2"/>
  <c r="Q7" i="2" s="1"/>
  <c r="F6" i="2"/>
  <c r="Q6" i="2" s="1"/>
  <c r="Q3" i="2"/>
  <c r="F4" i="2"/>
  <c r="Q4" i="2" s="1"/>
  <c r="D16" i="2"/>
  <c r="E5" i="2"/>
  <c r="D14" i="2"/>
  <c r="D8" i="2"/>
  <c r="D5" i="2"/>
  <c r="H29" i="2"/>
  <c r="G29" i="2"/>
  <c r="H28" i="2"/>
  <c r="G28" i="2"/>
  <c r="H27" i="2"/>
  <c r="G27" i="2"/>
  <c r="J20" i="2"/>
  <c r="R20" i="2" s="1"/>
  <c r="J19" i="2"/>
  <c r="J17" i="2"/>
  <c r="R17" i="2" s="1"/>
  <c r="J13" i="2"/>
  <c r="R13" i="2" s="1"/>
  <c r="S13" i="2" s="1"/>
  <c r="T13" i="2" s="1"/>
  <c r="U13" i="2" s="1"/>
  <c r="V13" i="2" s="1"/>
  <c r="W13" i="2" s="1"/>
  <c r="X13" i="2" s="1"/>
  <c r="Y13" i="2" s="1"/>
  <c r="Z13" i="2" s="1"/>
  <c r="AA13" i="2" s="1"/>
  <c r="AB13" i="2" s="1"/>
  <c r="AC13" i="2" s="1"/>
  <c r="AD13" i="2" s="1"/>
  <c r="J12" i="2"/>
  <c r="R12" i="2" s="1"/>
  <c r="S12" i="2" s="1"/>
  <c r="T12" i="2" s="1"/>
  <c r="U12" i="2" s="1"/>
  <c r="V12" i="2" s="1"/>
  <c r="W12" i="2" s="1"/>
  <c r="X12" i="2" s="1"/>
  <c r="Y12" i="2" s="1"/>
  <c r="Z12" i="2" s="1"/>
  <c r="AA12" i="2" s="1"/>
  <c r="AB12" i="2" s="1"/>
  <c r="AC12" i="2" s="1"/>
  <c r="AD12" i="2" s="1"/>
  <c r="J11" i="2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J10" i="2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J7" i="2"/>
  <c r="R7" i="2" s="1"/>
  <c r="J6" i="2"/>
  <c r="R6" i="2" s="1"/>
  <c r="J4" i="2"/>
  <c r="R4" i="2" s="1"/>
  <c r="E16" i="2"/>
  <c r="E14" i="2"/>
  <c r="E8" i="2"/>
  <c r="I16" i="2"/>
  <c r="I29" i="2"/>
  <c r="I28" i="2"/>
  <c r="I27" i="2"/>
  <c r="I14" i="2"/>
  <c r="I8" i="2"/>
  <c r="I5" i="2"/>
  <c r="I37" i="2" s="1"/>
  <c r="G16" i="2"/>
  <c r="G14" i="2"/>
  <c r="G8" i="2"/>
  <c r="G5" i="2"/>
  <c r="G37" i="2" s="1"/>
  <c r="K16" i="2"/>
  <c r="K29" i="2"/>
  <c r="K28" i="2"/>
  <c r="K27" i="2"/>
  <c r="K14" i="2"/>
  <c r="K8" i="2"/>
  <c r="K5" i="2"/>
  <c r="K37" i="2" s="1"/>
  <c r="R2" i="2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L58" i="2"/>
  <c r="L57" i="2"/>
  <c r="L48" i="2"/>
  <c r="L53" i="2" s="1"/>
  <c r="L29" i="2"/>
  <c r="L28" i="2"/>
  <c r="L27" i="2"/>
  <c r="H16" i="2"/>
  <c r="H14" i="2"/>
  <c r="H8" i="2"/>
  <c r="H5" i="2"/>
  <c r="H37" i="2" s="1"/>
  <c r="L16" i="2"/>
  <c r="L14" i="2"/>
  <c r="L8" i="2"/>
  <c r="L5" i="2"/>
  <c r="L37" i="2" s="1"/>
  <c r="L7" i="1"/>
  <c r="L8" i="1" s="1"/>
  <c r="L5" i="1"/>
  <c r="D36" i="2" l="1"/>
  <c r="D26" i="2"/>
  <c r="C37" i="2"/>
  <c r="C26" i="2"/>
  <c r="E37" i="2"/>
  <c r="E26" i="2"/>
  <c r="S8" i="2"/>
  <c r="Q19" i="2"/>
  <c r="R27" i="2"/>
  <c r="S28" i="2"/>
  <c r="R19" i="2"/>
  <c r="S29" i="2"/>
  <c r="F16" i="2"/>
  <c r="Q16" i="2" s="1"/>
  <c r="Q8" i="2"/>
  <c r="J5" i="2"/>
  <c r="J35" i="2" s="1"/>
  <c r="Q5" i="2"/>
  <c r="Q35" i="2" s="1"/>
  <c r="C9" i="2"/>
  <c r="C33" i="2" s="1"/>
  <c r="Q11" i="2"/>
  <c r="F27" i="2"/>
  <c r="Q12" i="2"/>
  <c r="R3" i="2"/>
  <c r="R5" i="2" s="1"/>
  <c r="C35" i="2"/>
  <c r="R8" i="2"/>
  <c r="R14" i="2"/>
  <c r="F14" i="2"/>
  <c r="C36" i="2"/>
  <c r="J29" i="2"/>
  <c r="J28" i="2"/>
  <c r="F8" i="2"/>
  <c r="F5" i="2"/>
  <c r="F36" i="2" s="1"/>
  <c r="D9" i="2"/>
  <c r="D33" i="2" s="1"/>
  <c r="D37" i="2"/>
  <c r="D35" i="2"/>
  <c r="I35" i="2"/>
  <c r="K35" i="2"/>
  <c r="G26" i="2"/>
  <c r="H26" i="2"/>
  <c r="L61" i="2"/>
  <c r="L63" i="2" s="1"/>
  <c r="K36" i="2"/>
  <c r="J16" i="2"/>
  <c r="R16" i="2" s="1"/>
  <c r="L35" i="2"/>
  <c r="K9" i="2"/>
  <c r="L36" i="2"/>
  <c r="L26" i="2"/>
  <c r="I9" i="2"/>
  <c r="J14" i="2"/>
  <c r="J27" i="2"/>
  <c r="J8" i="2"/>
  <c r="E9" i="2"/>
  <c r="E33" i="2" s="1"/>
  <c r="E35" i="2"/>
  <c r="E36" i="2"/>
  <c r="I36" i="2"/>
  <c r="I26" i="2"/>
  <c r="K26" i="2"/>
  <c r="G9" i="2"/>
  <c r="G35" i="2"/>
  <c r="G36" i="2"/>
  <c r="H9" i="2"/>
  <c r="H35" i="2"/>
  <c r="H36" i="2"/>
  <c r="L9" i="2"/>
  <c r="J37" i="2" l="1"/>
  <c r="R37" i="2"/>
  <c r="S5" i="2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R35" i="2"/>
  <c r="T8" i="2"/>
  <c r="H15" i="2"/>
  <c r="H34" i="2" s="1"/>
  <c r="H31" i="2"/>
  <c r="G15" i="2"/>
  <c r="G18" i="2" s="1"/>
  <c r="G31" i="2"/>
  <c r="K33" i="2"/>
  <c r="K31" i="2"/>
  <c r="L31" i="2"/>
  <c r="I33" i="2"/>
  <c r="I31" i="2"/>
  <c r="J36" i="2"/>
  <c r="J9" i="2"/>
  <c r="S27" i="2"/>
  <c r="S14" i="2"/>
  <c r="T29" i="2"/>
  <c r="Q9" i="2"/>
  <c r="Q33" i="2" s="1"/>
  <c r="T28" i="2"/>
  <c r="F35" i="2"/>
  <c r="Q37" i="2"/>
  <c r="R29" i="2"/>
  <c r="R36" i="2"/>
  <c r="R26" i="2"/>
  <c r="Q36" i="2"/>
  <c r="R28" i="2"/>
  <c r="Q14" i="2"/>
  <c r="R9" i="2"/>
  <c r="F9" i="2"/>
  <c r="F33" i="2" s="1"/>
  <c r="F26" i="2"/>
  <c r="J26" i="2"/>
  <c r="F37" i="2"/>
  <c r="C15" i="2"/>
  <c r="C34" i="2" s="1"/>
  <c r="D15" i="2"/>
  <c r="L64" i="2"/>
  <c r="K15" i="2"/>
  <c r="L15" i="2"/>
  <c r="L33" i="2"/>
  <c r="I15" i="2"/>
  <c r="E15" i="2"/>
  <c r="G33" i="2"/>
  <c r="H33" i="2"/>
  <c r="J31" i="2" l="1"/>
  <c r="J33" i="2"/>
  <c r="R33" i="2"/>
  <c r="R31" i="2"/>
  <c r="G34" i="2"/>
  <c r="J15" i="2"/>
  <c r="J34" i="2" s="1"/>
  <c r="U8" i="2"/>
  <c r="H18" i="2"/>
  <c r="H38" i="2" s="1"/>
  <c r="Q15" i="2"/>
  <c r="F15" i="2"/>
  <c r="F18" i="2" s="1"/>
  <c r="G21" i="2"/>
  <c r="G38" i="2"/>
  <c r="U29" i="2"/>
  <c r="S26" i="2"/>
  <c r="S37" i="2"/>
  <c r="S36" i="2"/>
  <c r="U28" i="2"/>
  <c r="T27" i="2"/>
  <c r="T14" i="2"/>
  <c r="S35" i="2"/>
  <c r="R15" i="2"/>
  <c r="R18" i="2" s="1"/>
  <c r="D18" i="2"/>
  <c r="D38" i="2" s="1"/>
  <c r="D34" i="2"/>
  <c r="E18" i="2"/>
  <c r="E34" i="2"/>
  <c r="I18" i="2"/>
  <c r="I34" i="2"/>
  <c r="Q18" i="2"/>
  <c r="Q34" i="2"/>
  <c r="J18" i="2"/>
  <c r="L18" i="2"/>
  <c r="L34" i="2"/>
  <c r="K18" i="2"/>
  <c r="K34" i="2"/>
  <c r="T35" i="2"/>
  <c r="S9" i="2"/>
  <c r="C18" i="2"/>
  <c r="F34" i="2" l="1"/>
  <c r="V8" i="2"/>
  <c r="H21" i="2"/>
  <c r="H22" i="2" s="1"/>
  <c r="R34" i="2"/>
  <c r="S33" i="2"/>
  <c r="S31" i="2"/>
  <c r="H39" i="2"/>
  <c r="D21" i="2"/>
  <c r="T26" i="2"/>
  <c r="T37" i="2"/>
  <c r="T36" i="2"/>
  <c r="V29" i="2"/>
  <c r="K21" i="2"/>
  <c r="K38" i="2"/>
  <c r="S15" i="2"/>
  <c r="U27" i="2"/>
  <c r="U14" i="2"/>
  <c r="C21" i="2"/>
  <c r="C38" i="2"/>
  <c r="J21" i="2"/>
  <c r="J38" i="2"/>
  <c r="V28" i="2"/>
  <c r="F21" i="2"/>
  <c r="F38" i="2"/>
  <c r="Q21" i="2"/>
  <c r="Q39" i="2" s="1"/>
  <c r="Q38" i="2"/>
  <c r="E21" i="2"/>
  <c r="E30" i="2" s="1"/>
  <c r="E38" i="2"/>
  <c r="L21" i="2"/>
  <c r="L22" i="2" s="1"/>
  <c r="L38" i="2"/>
  <c r="I21" i="2"/>
  <c r="I38" i="2"/>
  <c r="G22" i="2"/>
  <c r="G39" i="2"/>
  <c r="R21" i="2"/>
  <c r="R38" i="2"/>
  <c r="U35" i="2"/>
  <c r="T9" i="2"/>
  <c r="C39" i="2"/>
  <c r="H30" i="2" l="1"/>
  <c r="D30" i="2"/>
  <c r="D22" i="2"/>
  <c r="G30" i="2"/>
  <c r="C30" i="2"/>
  <c r="T33" i="2"/>
  <c r="T31" i="2"/>
  <c r="D39" i="2"/>
  <c r="W8" i="2"/>
  <c r="L30" i="2"/>
  <c r="L39" i="2"/>
  <c r="C22" i="2"/>
  <c r="Q22" i="2"/>
  <c r="K22" i="2"/>
  <c r="K39" i="2"/>
  <c r="K30" i="2"/>
  <c r="F39" i="2"/>
  <c r="F30" i="2"/>
  <c r="I30" i="2"/>
  <c r="I39" i="2"/>
  <c r="I22" i="2"/>
  <c r="W29" i="2"/>
  <c r="W28" i="2"/>
  <c r="V27" i="2"/>
  <c r="V14" i="2"/>
  <c r="J22" i="2"/>
  <c r="J39" i="2"/>
  <c r="J30" i="2"/>
  <c r="U15" i="2"/>
  <c r="U26" i="2"/>
  <c r="U36" i="2"/>
  <c r="U37" i="2"/>
  <c r="E22" i="2"/>
  <c r="E39" i="2"/>
  <c r="F22" i="2"/>
  <c r="T15" i="2"/>
  <c r="S34" i="2"/>
  <c r="S18" i="2"/>
  <c r="R39" i="2"/>
  <c r="R22" i="2"/>
  <c r="R30" i="2"/>
  <c r="U9" i="2"/>
  <c r="U33" i="2" l="1"/>
  <c r="U31" i="2"/>
  <c r="X8" i="2"/>
  <c r="S19" i="2"/>
  <c r="S38" i="2" s="1"/>
  <c r="S21" i="2"/>
  <c r="U18" i="2"/>
  <c r="U34" i="2"/>
  <c r="X28" i="2"/>
  <c r="V26" i="2"/>
  <c r="V36" i="2"/>
  <c r="V37" i="2"/>
  <c r="W27" i="2"/>
  <c r="W14" i="2"/>
  <c r="T34" i="2"/>
  <c r="T18" i="2"/>
  <c r="V35" i="2"/>
  <c r="X29" i="2"/>
  <c r="V9" i="2"/>
  <c r="V33" i="2" l="1"/>
  <c r="V31" i="2"/>
  <c r="Y8" i="2"/>
  <c r="W26" i="2"/>
  <c r="W37" i="2"/>
  <c r="W36" i="2"/>
  <c r="Y28" i="2"/>
  <c r="X27" i="2"/>
  <c r="X14" i="2"/>
  <c r="Y29" i="2"/>
  <c r="W35" i="2"/>
  <c r="V15" i="2"/>
  <c r="U19" i="2"/>
  <c r="U38" i="2" s="1"/>
  <c r="U21" i="2"/>
  <c r="S39" i="2"/>
  <c r="S30" i="2"/>
  <c r="S22" i="2"/>
  <c r="T19" i="2"/>
  <c r="T38" i="2" s="1"/>
  <c r="W9" i="2"/>
  <c r="Z8" i="2" l="1"/>
  <c r="W33" i="2"/>
  <c r="W31" i="2"/>
  <c r="T21" i="2"/>
  <c r="T39" i="2" s="1"/>
  <c r="V34" i="2"/>
  <c r="V18" i="2"/>
  <c r="U39" i="2"/>
  <c r="U22" i="2"/>
  <c r="Y27" i="2"/>
  <c r="Y14" i="2"/>
  <c r="Z28" i="2"/>
  <c r="Z29" i="2"/>
  <c r="X26" i="2"/>
  <c r="X37" i="2"/>
  <c r="X36" i="2"/>
  <c r="X35" i="2"/>
  <c r="W15" i="2"/>
  <c r="Y35" i="2"/>
  <c r="X9" i="2"/>
  <c r="X33" i="2" l="1"/>
  <c r="X31" i="2"/>
  <c r="T30" i="2"/>
  <c r="T22" i="2"/>
  <c r="U30" i="2"/>
  <c r="AA8" i="2"/>
  <c r="X15" i="2"/>
  <c r="X18" i="2" s="1"/>
  <c r="Y26" i="2"/>
  <c r="Y37" i="2"/>
  <c r="Y36" i="2"/>
  <c r="AA28" i="2"/>
  <c r="V19" i="2"/>
  <c r="V38" i="2" s="1"/>
  <c r="Z27" i="2"/>
  <c r="Z35" i="2"/>
  <c r="Z14" i="2"/>
  <c r="W18" i="2"/>
  <c r="W34" i="2"/>
  <c r="AA29" i="2"/>
  <c r="Y9" i="2"/>
  <c r="X34" i="2" l="1"/>
  <c r="Y33" i="2"/>
  <c r="Y31" i="2"/>
  <c r="AB8" i="2"/>
  <c r="V21" i="2"/>
  <c r="V30" i="2" s="1"/>
  <c r="W19" i="2"/>
  <c r="W38" i="2" s="1"/>
  <c r="W21" i="2"/>
  <c r="X19" i="2"/>
  <c r="X38" i="2" s="1"/>
  <c r="X21" i="2"/>
  <c r="AB28" i="2"/>
  <c r="AB29" i="2"/>
  <c r="Z26" i="2"/>
  <c r="Z37" i="2"/>
  <c r="Z36" i="2"/>
  <c r="AA27" i="2"/>
  <c r="AA14" i="2"/>
  <c r="Y15" i="2"/>
  <c r="Z9" i="2"/>
  <c r="V39" i="2" l="1"/>
  <c r="V22" i="2"/>
  <c r="Z33" i="2"/>
  <c r="Z31" i="2"/>
  <c r="AC8" i="2"/>
  <c r="Z15" i="2"/>
  <c r="Z34" i="2" s="1"/>
  <c r="AC29" i="2"/>
  <c r="AC28" i="2"/>
  <c r="W22" i="2"/>
  <c r="W30" i="2"/>
  <c r="W39" i="2"/>
  <c r="AA26" i="2"/>
  <c r="AA36" i="2"/>
  <c r="AA37" i="2"/>
  <c r="Y34" i="2"/>
  <c r="Y18" i="2"/>
  <c r="AB27" i="2"/>
  <c r="AB14" i="2"/>
  <c r="X39" i="2"/>
  <c r="X22" i="2"/>
  <c r="X30" i="2"/>
  <c r="Z18" i="2"/>
  <c r="AA35" i="2"/>
  <c r="AB35" i="2"/>
  <c r="AA9" i="2"/>
  <c r="AD8" i="2" l="1"/>
  <c r="AA33" i="2"/>
  <c r="AA31" i="2"/>
  <c r="AA15" i="2"/>
  <c r="AA18" i="2"/>
  <c r="AA34" i="2"/>
  <c r="Z19" i="2"/>
  <c r="Z38" i="2" s="1"/>
  <c r="AC27" i="2"/>
  <c r="AC14" i="2"/>
  <c r="Y19" i="2"/>
  <c r="Y38" i="2" s="1"/>
  <c r="AD28" i="2"/>
  <c r="AB26" i="2"/>
  <c r="AB37" i="2"/>
  <c r="AB36" i="2"/>
  <c r="AD29" i="2"/>
  <c r="AC35" i="2"/>
  <c r="AB9" i="2"/>
  <c r="AB33" i="2" l="1"/>
  <c r="AB31" i="2"/>
  <c r="Z21" i="2"/>
  <c r="Z39" i="2" s="1"/>
  <c r="AC26" i="2"/>
  <c r="AC37" i="2"/>
  <c r="AC36" i="2"/>
  <c r="AD27" i="2"/>
  <c r="AD14" i="2"/>
  <c r="Y21" i="2"/>
  <c r="AB15" i="2"/>
  <c r="AA19" i="2"/>
  <c r="AA38" i="2" s="1"/>
  <c r="AC9" i="2"/>
  <c r="Z30" i="2" l="1"/>
  <c r="Z22" i="2"/>
  <c r="AC33" i="2"/>
  <c r="AC31" i="2"/>
  <c r="AA21" i="2"/>
  <c r="AA30" i="2" s="1"/>
  <c r="AB34" i="2"/>
  <c r="AB18" i="2"/>
  <c r="AD26" i="2"/>
  <c r="AD37" i="2"/>
  <c r="AD36" i="2"/>
  <c r="Y30" i="2"/>
  <c r="Y22" i="2"/>
  <c r="Y39" i="2"/>
  <c r="AD35" i="2"/>
  <c r="AC15" i="2"/>
  <c r="AD9" i="2"/>
  <c r="AA39" i="2" l="1"/>
  <c r="AA22" i="2"/>
  <c r="AD33" i="2"/>
  <c r="AD31" i="2"/>
  <c r="AD15" i="2"/>
  <c r="AD18" i="2" s="1"/>
  <c r="AC34" i="2"/>
  <c r="AC18" i="2"/>
  <c r="AB19" i="2"/>
  <c r="AB38" i="2" s="1"/>
  <c r="AD34" i="2" l="1"/>
  <c r="AC19" i="2"/>
  <c r="AC38" i="2" s="1"/>
  <c r="AD19" i="2"/>
  <c r="AD38" i="2" s="1"/>
  <c r="AB21" i="2"/>
  <c r="AD21" i="2" l="1"/>
  <c r="AB30" i="2"/>
  <c r="AB39" i="2"/>
  <c r="AB22" i="2"/>
  <c r="AC21" i="2"/>
  <c r="AC39" i="2" l="1"/>
  <c r="AC22" i="2"/>
  <c r="AC30" i="2"/>
  <c r="AD22" i="2"/>
  <c r="AD39" i="2"/>
  <c r="AD30" i="2"/>
  <c r="O13" i="2" l="1"/>
  <c r="O14" i="2" s="1"/>
  <c r="O16" i="2" s="1"/>
</calcChain>
</file>

<file path=xl/sharedStrings.xml><?xml version="1.0" encoding="utf-8"?>
<sst xmlns="http://schemas.openxmlformats.org/spreadsheetml/2006/main" count="100" uniqueCount="74">
  <si>
    <t>ALRM.COM</t>
  </si>
  <si>
    <t>Price</t>
  </si>
  <si>
    <t>Shares</t>
  </si>
  <si>
    <t>MC</t>
  </si>
  <si>
    <t>Cash</t>
  </si>
  <si>
    <t>Debt</t>
  </si>
  <si>
    <t>EV</t>
  </si>
  <si>
    <t>Its not in thousands</t>
  </si>
  <si>
    <t xml:space="preserve"> 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</si>
  <si>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</si>
  <si>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</si>
  <si>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</si>
  <si>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</si>
  <si>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</si>
  <si>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</si>
  <si>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</si>
  <si>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</si>
  <si>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</si>
  <si>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</si>
  <si>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SaaS</t>
  </si>
  <si>
    <t>Hardware</t>
  </si>
  <si>
    <t>Revenue</t>
  </si>
  <si>
    <t>COGS</t>
  </si>
  <si>
    <t>ROIC</t>
  </si>
  <si>
    <t>Gross Profit</t>
  </si>
  <si>
    <t>MR</t>
  </si>
  <si>
    <t>SM</t>
  </si>
  <si>
    <t>DR</t>
  </si>
  <si>
    <t>GA</t>
  </si>
  <si>
    <t>NC</t>
  </si>
  <si>
    <t>RD</t>
  </si>
  <si>
    <t>NPV</t>
  </si>
  <si>
    <t>AD</t>
  </si>
  <si>
    <t>Total value</t>
  </si>
  <si>
    <t>OPEX</t>
  </si>
  <si>
    <t>Per Share</t>
  </si>
  <si>
    <t>Operating Profit</t>
  </si>
  <si>
    <t>Current Price</t>
  </si>
  <si>
    <t xml:space="preserve">Interest income </t>
  </si>
  <si>
    <t>Ratio</t>
  </si>
  <si>
    <t>Other Expenses</t>
  </si>
  <si>
    <t>EBIT</t>
  </si>
  <si>
    <t>Taxes</t>
  </si>
  <si>
    <t>Other income</t>
  </si>
  <si>
    <t>Net income</t>
  </si>
  <si>
    <t>EPS</t>
  </si>
  <si>
    <t>Revenue y/y</t>
  </si>
  <si>
    <t>SM y/y</t>
  </si>
  <si>
    <t>GA y/y</t>
  </si>
  <si>
    <t>RD y/y</t>
  </si>
  <si>
    <t>Net Income y/y</t>
  </si>
  <si>
    <t>Gross Margin y/y</t>
  </si>
  <si>
    <t>Gross Margin</t>
  </si>
  <si>
    <t>Operating Margin</t>
  </si>
  <si>
    <t>SM Margin</t>
  </si>
  <si>
    <t>GA Margin</t>
  </si>
  <si>
    <t>RD Margin</t>
  </si>
  <si>
    <t>Taxe Rate</t>
  </si>
  <si>
    <t>Net Margin</t>
  </si>
  <si>
    <t>A/R</t>
  </si>
  <si>
    <t>Inventory</t>
  </si>
  <si>
    <t>OCA</t>
  </si>
  <si>
    <t>PPE</t>
  </si>
  <si>
    <t>Intangible</t>
  </si>
  <si>
    <t>DT</t>
  </si>
  <si>
    <t>Operating leases</t>
  </si>
  <si>
    <t>Other</t>
  </si>
  <si>
    <t>Assets</t>
  </si>
  <si>
    <t>A/C</t>
  </si>
  <si>
    <t>D/R</t>
  </si>
  <si>
    <t>Convertable notes</t>
  </si>
  <si>
    <t>Liabilities</t>
  </si>
  <si>
    <t>S/E</t>
  </si>
  <si>
    <t>L+S/E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</si>
</sst>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3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3" fontId="1" fillId="0" borderId="0" xfId="0" applyNumberFormat="1" applyFont="1"/>
    <xf numFmtId="9" fontId="0" fillId="0" borderId="0" xfId="0" applyNumberFormat="1"/>
    <xf numFmtId="4" fontId="0" fillId="0" borderId="0" xfId="0" applyNumberFormat="1"/>
    <xf numFmtId="2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0</xdr:row>
      <xdr:rowOff>114300</xdr:rowOff>
    </xdr:from>
    <xdr:to>
      <xdr:col>12</xdr:col>
      <xdr:colOff>7620</xdr:colOff>
      <xdr:row>39</xdr:row>
      <xdr:rowOff>129540</xdr:rowOff>
    </xdr:to>
    <xdr:cxnSp macro="">
      <xdr:nvCxnSpPr>
        <xdr:cNvPr id="8" name="Conexão reta 7">
          <a:extLst>
            <a:ext uri="{FF2B5EF4-FFF2-40B4-BE49-F238E27FC236}">
              <a16:creationId xmlns:a16="http://schemas.microsoft.com/office/drawing/2014/main" id="{1D38541D-27D6-0A87-93E1-A8D1D02D319C}"/>
            </a:ext>
          </a:extLst>
        </xdr:cNvPr>
        <xdr:cNvCxnSpPr/>
      </xdr:nvCxnSpPr>
      <xdr:spPr>
        <a:xfrm>
          <a:off x="10088880" y="114300"/>
          <a:ext cx="0" cy="685038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0</xdr:row>
      <xdr:rowOff>60960</xdr:rowOff>
    </xdr:from>
    <xdr:to>
      <xdr:col>18</xdr:col>
      <xdr:colOff>0</xdr:colOff>
      <xdr:row>39</xdr:row>
      <xdr:rowOff>76200</xdr:rowOff>
    </xdr:to>
    <xdr:cxnSp macro="">
      <xdr:nvCxnSpPr>
        <xdr:cNvPr id="10" name="Conexão reta 9">
          <a:extLst>
            <a:ext uri="{FF2B5EF4-FFF2-40B4-BE49-F238E27FC236}">
              <a16:creationId xmlns:a16="http://schemas.microsoft.com/office/drawing/2014/main" id="{B1297F9F-E2D1-49A6-B0FA-A6E6749C9F3B}"/>
            </a:ext>
          </a:extLst>
        </xdr:cNvPr>
        <xdr:cNvCxnSpPr/>
      </xdr:nvCxnSpPr>
      <xdr:spPr>
        <a:xfrm>
          <a:off x="9997440" y="60960"/>
          <a:ext cx="0" cy="579882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3F12-A3D1-4DA9-A1D2-DB59F86CD5C2}">
  <dimension ref="B3:L8"/>
  <sheetViews>
    <sheetView topLeftCell="E1" workbookViewId="0">
      <selection activeCell="L8" sqref="L8"/>
    </sheetView>
  </sheetViews>
  <sheetFormatPr defaultRowHeight="13.9"/>
  <sheetData>
    <row r="3" spans="2:12">
      <c r="B3" s="2" t="s">
        <v>0</v>
      </c>
      <c r="K3" t="s">
        <v>1</v>
      </c>
      <c r="L3" s="3">
        <v>60</v>
      </c>
    </row>
    <row r="4" spans="2:12">
      <c r="K4" t="s">
        <v>2</v>
      </c>
      <c r="L4" s="3">
        <v>49248.75</v>
      </c>
    </row>
    <row r="5" spans="2:12">
      <c r="K5" t="s">
        <v>3</v>
      </c>
      <c r="L5" s="3">
        <f>+L3*L4</f>
        <v>2954925</v>
      </c>
    </row>
    <row r="6" spans="2:12">
      <c r="K6" t="s">
        <v>4</v>
      </c>
      <c r="L6" s="3">
        <v>1104539</v>
      </c>
    </row>
    <row r="7" spans="2:12">
      <c r="K7" t="s">
        <v>5</v>
      </c>
      <c r="L7" s="3">
        <f>96075</f>
        <v>96075</v>
      </c>
    </row>
    <row r="8" spans="2:12">
      <c r="K8" t="s">
        <v>6</v>
      </c>
      <c r="L8" s="3">
        <f>+L5-L6+L7</f>
        <v>1946461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BB04-2050-4804-9184-D6D5B98A17F7}">
  <dimension ref="A1:AY64"/>
  <sheetViews>
    <sheetView tabSelected="1" workbookViewId="0">
      <pane xSplit="1" ySplit="2" topLeftCell="L3" activePane="bottomRight" state="frozen"/>
      <selection pane="bottomRight" activeCell="O8" sqref="O8"/>
      <selection pane="bottomLeft" activeCell="A3" sqref="A3"/>
      <selection pane="topRight" activeCell="B1" sqref="B1"/>
    </sheetView>
  </sheetViews>
  <sheetFormatPr defaultRowHeight="13.9"/>
  <cols>
    <col min="1" max="1" width="21.875" customWidth="1"/>
    <col min="2" max="2" width="15.125" customWidth="1"/>
    <col min="3" max="3" width="11.625" customWidth="1"/>
    <col min="4" max="4" width="9.875" style="3" bestFit="1" customWidth="1"/>
    <col min="5" max="8" width="8.75" style="3"/>
    <col min="9" max="10" width="9.875" style="3" bestFit="1" customWidth="1"/>
    <col min="11" max="11" width="8.75" style="3"/>
    <col min="12" max="12" width="10.5" style="3" bestFit="1" customWidth="1"/>
    <col min="13" max="14" width="10.5" style="3" customWidth="1"/>
    <col min="15" max="15" width="13" bestFit="1" customWidth="1"/>
    <col min="17" max="17" width="12" customWidth="1"/>
    <col min="18" max="18" width="13" bestFit="1" customWidth="1"/>
    <col min="19" max="19" width="9.875" bestFit="1" customWidth="1"/>
    <col min="21" max="21" width="10.5" customWidth="1"/>
  </cols>
  <sheetData>
    <row r="1" spans="1:51">
      <c r="B1" t="s">
        <v>7</v>
      </c>
      <c r="C1" s="3"/>
      <c r="D1"/>
      <c r="E1"/>
      <c r="F1" t="s">
        <v>8</v>
      </c>
      <c r="G1"/>
      <c r="H1"/>
      <c r="I1"/>
      <c r="J1"/>
      <c r="K1"/>
      <c r="L1"/>
      <c r="M1"/>
      <c r="N1"/>
    </row>
    <row r="2" spans="1:51">
      <c r="B2" t="s">
        <v>8</v>
      </c>
      <c r="C2" s="3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/>
      <c r="N2"/>
      <c r="Q2">
        <v>2022</v>
      </c>
      <c r="R2">
        <f>+Q2+1</f>
        <v>2023</v>
      </c>
      <c r="S2">
        <f t="shared" ref="S2:AP2" si="0">+R2+1</f>
        <v>2024</v>
      </c>
      <c r="T2">
        <f t="shared" si="0"/>
        <v>2025</v>
      </c>
      <c r="U2">
        <f t="shared" si="0"/>
        <v>2026</v>
      </c>
      <c r="V2">
        <f t="shared" si="0"/>
        <v>2027</v>
      </c>
      <c r="W2">
        <f t="shared" si="0"/>
        <v>2028</v>
      </c>
      <c r="X2">
        <f t="shared" si="0"/>
        <v>2029</v>
      </c>
      <c r="Y2">
        <f t="shared" si="0"/>
        <v>2030</v>
      </c>
      <c r="Z2">
        <f t="shared" si="0"/>
        <v>2031</v>
      </c>
      <c r="AA2">
        <f t="shared" si="0"/>
        <v>2032</v>
      </c>
      <c r="AB2">
        <f t="shared" si="0"/>
        <v>2033</v>
      </c>
      <c r="AC2">
        <f t="shared" si="0"/>
        <v>2034</v>
      </c>
      <c r="AD2">
        <f t="shared" si="0"/>
        <v>2035</v>
      </c>
      <c r="AE2">
        <f t="shared" si="0"/>
        <v>2036</v>
      </c>
      <c r="AF2">
        <f t="shared" si="0"/>
        <v>2037</v>
      </c>
      <c r="AG2">
        <f t="shared" si="0"/>
        <v>2038</v>
      </c>
      <c r="AH2">
        <f t="shared" si="0"/>
        <v>2039</v>
      </c>
      <c r="AI2">
        <f t="shared" si="0"/>
        <v>2040</v>
      </c>
      <c r="AJ2">
        <f t="shared" si="0"/>
        <v>2041</v>
      </c>
      <c r="AK2">
        <f t="shared" si="0"/>
        <v>2042</v>
      </c>
      <c r="AL2">
        <f t="shared" si="0"/>
        <v>2043</v>
      </c>
      <c r="AM2">
        <f t="shared" si="0"/>
        <v>2044</v>
      </c>
      <c r="AN2">
        <f t="shared" si="0"/>
        <v>2045</v>
      </c>
      <c r="AO2">
        <f t="shared" si="0"/>
        <v>2046</v>
      </c>
      <c r="AP2">
        <f t="shared" si="0"/>
        <v>2047</v>
      </c>
    </row>
    <row r="3" spans="1:51">
      <c r="A3" t="s">
        <v>19</v>
      </c>
      <c r="B3" t="s">
        <v>8</v>
      </c>
      <c r="C3" s="3">
        <v>123225</v>
      </c>
      <c r="D3" s="3">
        <v>129475</v>
      </c>
      <c r="E3" s="3">
        <v>133126</v>
      </c>
      <c r="F3" s="3">
        <f>520377-C3-D3-E3</f>
        <v>134551</v>
      </c>
      <c r="G3" s="3">
        <v>135394</v>
      </c>
      <c r="H3" s="3">
        <v>140432</v>
      </c>
      <c r="I3" s="3">
        <v>145027</v>
      </c>
      <c r="J3" s="3">
        <f>569200-G3-H3-I3</f>
        <v>148347</v>
      </c>
      <c r="K3" s="3">
        <v>150344</v>
      </c>
      <c r="L3" s="3">
        <v>155927</v>
      </c>
      <c r="Q3" s="3">
        <f>SUM(C3:F3)</f>
        <v>520377</v>
      </c>
      <c r="R3" s="3">
        <f>SUM(G3:J3)</f>
        <v>569200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>
      <c r="A4" t="s">
        <v>20</v>
      </c>
      <c r="C4" s="3">
        <v>82212</v>
      </c>
      <c r="D4" s="3">
        <v>83370</v>
      </c>
      <c r="E4" s="3">
        <v>83012</v>
      </c>
      <c r="F4" s="3">
        <f>322182-C4-D4-E4</f>
        <v>73588</v>
      </c>
      <c r="G4" s="3">
        <v>74322</v>
      </c>
      <c r="H4" s="3">
        <v>83443</v>
      </c>
      <c r="I4" s="3">
        <v>76827</v>
      </c>
      <c r="J4" s="3">
        <f>312482-G4-H4-I4</f>
        <v>77890</v>
      </c>
      <c r="K4" s="3">
        <v>72939</v>
      </c>
      <c r="L4" s="3">
        <v>77880</v>
      </c>
      <c r="Q4" s="3">
        <f>SUM(C4:F4)</f>
        <v>322182</v>
      </c>
      <c r="R4" s="3">
        <f>SUM(G4:J4)</f>
        <v>312482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1:51" s="1" customFormat="1">
      <c r="A5" s="1" t="s">
        <v>21</v>
      </c>
      <c r="C5" s="4">
        <f t="shared" ref="C5:L5" si="1">+C3+C4</f>
        <v>205437</v>
      </c>
      <c r="D5" s="4">
        <f t="shared" si="1"/>
        <v>212845</v>
      </c>
      <c r="E5" s="4">
        <f t="shared" si="1"/>
        <v>216138</v>
      </c>
      <c r="F5" s="4">
        <f t="shared" si="1"/>
        <v>208139</v>
      </c>
      <c r="G5" s="4">
        <f t="shared" si="1"/>
        <v>209716</v>
      </c>
      <c r="H5" s="4">
        <f t="shared" si="1"/>
        <v>223875</v>
      </c>
      <c r="I5" s="4">
        <f t="shared" si="1"/>
        <v>221854</v>
      </c>
      <c r="J5" s="4">
        <f t="shared" si="1"/>
        <v>226237</v>
      </c>
      <c r="K5" s="4">
        <f t="shared" si="1"/>
        <v>223283</v>
      </c>
      <c r="L5" s="4">
        <f t="shared" si="1"/>
        <v>233807</v>
      </c>
      <c r="M5" s="4"/>
      <c r="N5" s="4"/>
      <c r="Q5" s="4">
        <f>+Q3+Q4</f>
        <v>842559</v>
      </c>
      <c r="R5" s="4">
        <f>+R3+R4</f>
        <v>881682</v>
      </c>
      <c r="S5" s="4">
        <f>+R5*1.02</f>
        <v>899315.64</v>
      </c>
      <c r="T5" s="4">
        <f>+S5*0.99</f>
        <v>890322.48360000004</v>
      </c>
      <c r="U5" s="4">
        <f t="shared" ref="U5:AP5" si="2">+T5*0.99</f>
        <v>881419.25876400003</v>
      </c>
      <c r="V5" s="4">
        <f t="shared" si="2"/>
        <v>872605.06617636001</v>
      </c>
      <c r="W5" s="4">
        <f t="shared" si="2"/>
        <v>863879.01551459637</v>
      </c>
      <c r="X5" s="4">
        <f t="shared" si="2"/>
        <v>855240.22535945044</v>
      </c>
      <c r="Y5" s="4">
        <f t="shared" si="2"/>
        <v>846687.82310585596</v>
      </c>
      <c r="Z5" s="4">
        <f t="shared" si="2"/>
        <v>838220.94487479737</v>
      </c>
      <c r="AA5" s="4">
        <f t="shared" si="2"/>
        <v>829838.73542604933</v>
      </c>
      <c r="AB5" s="4">
        <f t="shared" si="2"/>
        <v>821540.34807178879</v>
      </c>
      <c r="AC5" s="4">
        <f t="shared" si="2"/>
        <v>813324.94459107087</v>
      </c>
      <c r="AD5" s="4">
        <f t="shared" si="2"/>
        <v>805191.69514516019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>
      <c r="A6" t="s">
        <v>19</v>
      </c>
      <c r="C6" s="3">
        <v>16894</v>
      </c>
      <c r="D6" s="3">
        <v>18688</v>
      </c>
      <c r="E6" s="3">
        <v>18437</v>
      </c>
      <c r="F6" s="3">
        <f>73897-C6-D6-E6</f>
        <v>19878</v>
      </c>
      <c r="G6" s="3">
        <v>19583</v>
      </c>
      <c r="H6" s="3">
        <v>21576</v>
      </c>
      <c r="I6" s="3">
        <v>21917</v>
      </c>
      <c r="J6" s="3">
        <f>85898-G6-H6-I6</f>
        <v>22822</v>
      </c>
      <c r="K6" s="3">
        <v>20428</v>
      </c>
      <c r="L6" s="3">
        <v>22094</v>
      </c>
      <c r="Q6" s="3">
        <f t="shared" ref="Q6:Q7" si="3">SUM(C6:F6)</f>
        <v>73897</v>
      </c>
      <c r="R6" s="3">
        <f>SUM(G6:J6)</f>
        <v>85898</v>
      </c>
      <c r="S6" s="3">
        <f>+R6*1</f>
        <v>85898</v>
      </c>
      <c r="T6" s="3">
        <f t="shared" ref="T6:AP6" si="4">+S6*1</f>
        <v>85898</v>
      </c>
      <c r="U6" s="3">
        <f t="shared" si="4"/>
        <v>85898</v>
      </c>
      <c r="V6" s="3">
        <f t="shared" si="4"/>
        <v>85898</v>
      </c>
      <c r="W6" s="3">
        <f t="shared" si="4"/>
        <v>85898</v>
      </c>
      <c r="X6" s="3">
        <f t="shared" si="4"/>
        <v>85898</v>
      </c>
      <c r="Y6" s="3">
        <f t="shared" si="4"/>
        <v>85898</v>
      </c>
      <c r="Z6" s="3">
        <f t="shared" si="4"/>
        <v>85898</v>
      </c>
      <c r="AA6" s="3">
        <f t="shared" si="4"/>
        <v>85898</v>
      </c>
      <c r="AB6" s="3">
        <f t="shared" si="4"/>
        <v>85898</v>
      </c>
      <c r="AC6" s="3">
        <f t="shared" si="4"/>
        <v>85898</v>
      </c>
      <c r="AD6" s="3">
        <f t="shared" si="4"/>
        <v>85898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>
      <c r="A7" t="s">
        <v>20</v>
      </c>
      <c r="C7" s="3">
        <v>73193</v>
      </c>
      <c r="D7" s="3">
        <v>68648</v>
      </c>
      <c r="E7" s="3">
        <v>67149</v>
      </c>
      <c r="F7" s="3">
        <f>268684-C7-D7-E7</f>
        <v>59694</v>
      </c>
      <c r="G7" s="3">
        <v>56589</v>
      </c>
      <c r="H7" s="3">
        <v>64791</v>
      </c>
      <c r="I7" s="3">
        <v>59488</v>
      </c>
      <c r="J7" s="3">
        <f>239261-G7-H7-I7</f>
        <v>58393</v>
      </c>
      <c r="K7" s="3">
        <v>56087</v>
      </c>
      <c r="L7" s="3">
        <v>59188</v>
      </c>
      <c r="Q7" s="3">
        <f t="shared" si="3"/>
        <v>268684</v>
      </c>
      <c r="R7" s="3">
        <f>SUM(G7:J7)</f>
        <v>239261</v>
      </c>
      <c r="S7" s="3">
        <f t="shared" ref="S7:AP7" si="5">+R7*1</f>
        <v>239261</v>
      </c>
      <c r="T7" s="3">
        <f t="shared" si="5"/>
        <v>239261</v>
      </c>
      <c r="U7" s="3">
        <f t="shared" si="5"/>
        <v>239261</v>
      </c>
      <c r="V7" s="3">
        <f t="shared" si="5"/>
        <v>239261</v>
      </c>
      <c r="W7" s="3">
        <f t="shared" si="5"/>
        <v>239261</v>
      </c>
      <c r="X7" s="3">
        <f t="shared" si="5"/>
        <v>239261</v>
      </c>
      <c r="Y7" s="3">
        <f t="shared" si="5"/>
        <v>239261</v>
      </c>
      <c r="Z7" s="3">
        <f t="shared" si="5"/>
        <v>239261</v>
      </c>
      <c r="AA7" s="3">
        <f t="shared" si="5"/>
        <v>239261</v>
      </c>
      <c r="AB7" s="3">
        <f t="shared" si="5"/>
        <v>239261</v>
      </c>
      <c r="AC7" s="3">
        <f t="shared" si="5"/>
        <v>239261</v>
      </c>
      <c r="AD7" s="3">
        <f t="shared" si="5"/>
        <v>239261</v>
      </c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>
      <c r="A8" t="s">
        <v>22</v>
      </c>
      <c r="C8" s="3">
        <f t="shared" ref="C8:L8" si="6">+C6+C7</f>
        <v>90087</v>
      </c>
      <c r="D8" s="3">
        <f t="shared" si="6"/>
        <v>87336</v>
      </c>
      <c r="E8" s="3">
        <f t="shared" si="6"/>
        <v>85586</v>
      </c>
      <c r="F8" s="3">
        <f t="shared" si="6"/>
        <v>79572</v>
      </c>
      <c r="G8" s="3">
        <f t="shared" si="6"/>
        <v>76172</v>
      </c>
      <c r="H8" s="3">
        <f t="shared" si="6"/>
        <v>86367</v>
      </c>
      <c r="I8" s="3">
        <f t="shared" si="6"/>
        <v>81405</v>
      </c>
      <c r="J8" s="3">
        <f t="shared" si="6"/>
        <v>81215</v>
      </c>
      <c r="K8" s="3">
        <f t="shared" si="6"/>
        <v>76515</v>
      </c>
      <c r="L8" s="3">
        <f t="shared" si="6"/>
        <v>81282</v>
      </c>
      <c r="N8" t="s">
        <v>23</v>
      </c>
      <c r="O8" s="5">
        <v>0.02</v>
      </c>
      <c r="Q8" s="3">
        <f>+Q6+Q7</f>
        <v>342581</v>
      </c>
      <c r="R8" s="3">
        <f>+R6+R7</f>
        <v>325159</v>
      </c>
      <c r="S8" s="3">
        <f>+S6+S7</f>
        <v>325159</v>
      </c>
      <c r="T8" s="3">
        <f>+T6+T7</f>
        <v>325159</v>
      </c>
      <c r="U8" s="3">
        <f t="shared" ref="U8:AP8" si="7">+U6+U7</f>
        <v>325159</v>
      </c>
      <c r="V8" s="3">
        <f t="shared" si="7"/>
        <v>325159</v>
      </c>
      <c r="W8" s="3">
        <f t="shared" si="7"/>
        <v>325159</v>
      </c>
      <c r="X8" s="3">
        <f t="shared" si="7"/>
        <v>325159</v>
      </c>
      <c r="Y8" s="3">
        <f t="shared" si="7"/>
        <v>325159</v>
      </c>
      <c r="Z8" s="3">
        <f t="shared" si="7"/>
        <v>325159</v>
      </c>
      <c r="AA8" s="3">
        <f t="shared" si="7"/>
        <v>325159</v>
      </c>
      <c r="AB8" s="3">
        <f t="shared" si="7"/>
        <v>325159</v>
      </c>
      <c r="AC8" s="3">
        <f t="shared" si="7"/>
        <v>325159</v>
      </c>
      <c r="AD8" s="3">
        <f t="shared" si="7"/>
        <v>325159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spans="1:51" s="1" customFormat="1">
      <c r="A9" s="1" t="s">
        <v>24</v>
      </c>
      <c r="C9" s="4">
        <f t="shared" ref="C9:L9" si="8">+C5-C8</f>
        <v>115350</v>
      </c>
      <c r="D9" s="4">
        <f t="shared" si="8"/>
        <v>125509</v>
      </c>
      <c r="E9" s="4">
        <f t="shared" si="8"/>
        <v>130552</v>
      </c>
      <c r="F9" s="4">
        <f t="shared" si="8"/>
        <v>128567</v>
      </c>
      <c r="G9" s="4">
        <f t="shared" si="8"/>
        <v>133544</v>
      </c>
      <c r="H9" s="4">
        <f t="shared" si="8"/>
        <v>137508</v>
      </c>
      <c r="I9" s="4">
        <f t="shared" si="8"/>
        <v>140449</v>
      </c>
      <c r="J9" s="4">
        <f t="shared" si="8"/>
        <v>145022</v>
      </c>
      <c r="K9" s="4">
        <f t="shared" si="8"/>
        <v>146768</v>
      </c>
      <c r="L9" s="4">
        <f t="shared" si="8"/>
        <v>152525</v>
      </c>
      <c r="M9" s="4"/>
      <c r="N9" t="s">
        <v>25</v>
      </c>
      <c r="O9" s="5">
        <v>-0.01</v>
      </c>
      <c r="Q9" s="4">
        <f>+Q5-Q8</f>
        <v>499978</v>
      </c>
      <c r="R9" s="4">
        <f>+R5-R8</f>
        <v>556523</v>
      </c>
      <c r="S9" s="4">
        <f>+S5*0.6</f>
        <v>539589.38399999996</v>
      </c>
      <c r="T9" s="4">
        <f t="shared" ref="T9:AP9" si="9">+T5*0.6</f>
        <v>534193.49016000004</v>
      </c>
      <c r="U9" s="4">
        <f t="shared" si="9"/>
        <v>528851.55525840004</v>
      </c>
      <c r="V9" s="4">
        <f t="shared" si="9"/>
        <v>523563.03970581596</v>
      </c>
      <c r="W9" s="4">
        <f t="shared" si="9"/>
        <v>518327.40930875781</v>
      </c>
      <c r="X9" s="4">
        <f t="shared" si="9"/>
        <v>513144.13521567022</v>
      </c>
      <c r="Y9" s="4">
        <f t="shared" si="9"/>
        <v>508012.69386351353</v>
      </c>
      <c r="Z9" s="4">
        <f t="shared" si="9"/>
        <v>502932.5669248784</v>
      </c>
      <c r="AA9" s="4">
        <f t="shared" si="9"/>
        <v>497903.24125562957</v>
      </c>
      <c r="AB9" s="4">
        <f t="shared" si="9"/>
        <v>492924.20884307323</v>
      </c>
      <c r="AC9" s="4">
        <f t="shared" si="9"/>
        <v>487994.96675464249</v>
      </c>
      <c r="AD9" s="4">
        <f t="shared" si="9"/>
        <v>483115.01708709612</v>
      </c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>
      <c r="A10" t="s">
        <v>26</v>
      </c>
      <c r="C10" s="3">
        <v>23192</v>
      </c>
      <c r="D10" s="3">
        <v>22933</v>
      </c>
      <c r="E10" s="3">
        <v>23057</v>
      </c>
      <c r="F10" s="3">
        <f>92748-C10-D10-E10</f>
        <v>23566</v>
      </c>
      <c r="G10" s="3">
        <v>26645</v>
      </c>
      <c r="H10" s="3">
        <v>23772</v>
      </c>
      <c r="I10" s="3">
        <v>23861</v>
      </c>
      <c r="J10" s="3">
        <f>100226-G10-H10-I10</f>
        <v>25948</v>
      </c>
      <c r="K10" s="3">
        <v>25454</v>
      </c>
      <c r="L10" s="3">
        <v>27837</v>
      </c>
      <c r="N10" t="s">
        <v>27</v>
      </c>
      <c r="O10" s="5">
        <v>0.09</v>
      </c>
      <c r="Q10" s="3">
        <f t="shared" ref="Q10:Q13" si="10">SUM(C10:F10)</f>
        <v>92748</v>
      </c>
      <c r="R10" s="3">
        <f>SUM(G10:J10)</f>
        <v>100226</v>
      </c>
      <c r="S10" s="3">
        <f>+R10*0.99</f>
        <v>99223.74</v>
      </c>
      <c r="T10" s="3">
        <f t="shared" ref="T10:AP13" si="11">+S10*0.99</f>
        <v>98231.502600000007</v>
      </c>
      <c r="U10" s="3">
        <f t="shared" si="11"/>
        <v>97249.18757400001</v>
      </c>
      <c r="V10" s="3">
        <f t="shared" si="11"/>
        <v>96276.69569826001</v>
      </c>
      <c r="W10" s="3">
        <f t="shared" si="11"/>
        <v>95313.928741277414</v>
      </c>
      <c r="X10" s="3">
        <f t="shared" si="11"/>
        <v>94360.789453864636</v>
      </c>
      <c r="Y10" s="3">
        <f t="shared" si="11"/>
        <v>93417.181559325982</v>
      </c>
      <c r="Z10" s="3">
        <f t="shared" si="11"/>
        <v>92483.00974373272</v>
      </c>
      <c r="AA10" s="3">
        <f t="shared" si="11"/>
        <v>91558.179646295393</v>
      </c>
      <c r="AB10" s="3">
        <f t="shared" si="11"/>
        <v>90642.59784983244</v>
      </c>
      <c r="AC10" s="3">
        <f t="shared" si="11"/>
        <v>89736.171871334111</v>
      </c>
      <c r="AD10" s="3">
        <f t="shared" si="11"/>
        <v>88838.810152620776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>
      <c r="A11" t="s">
        <v>28</v>
      </c>
      <c r="C11" s="3">
        <v>23994</v>
      </c>
      <c r="D11" s="3">
        <v>29309</v>
      </c>
      <c r="E11" s="3">
        <v>28011</v>
      </c>
      <c r="F11" s="3">
        <f>106688-C11-D11-E11</f>
        <v>25374</v>
      </c>
      <c r="G11" s="3">
        <v>28499</v>
      </c>
      <c r="H11" s="3">
        <v>28799</v>
      </c>
      <c r="I11" s="3">
        <v>31455</v>
      </c>
      <c r="J11" s="3">
        <f>112930-G11-H11-I11</f>
        <v>24177</v>
      </c>
      <c r="K11" s="3">
        <v>29296</v>
      </c>
      <c r="L11" s="3">
        <v>26104</v>
      </c>
      <c r="N11" t="s">
        <v>29</v>
      </c>
      <c r="O11" s="3">
        <f>+L43-L55</f>
        <v>1008464</v>
      </c>
      <c r="Q11" s="3">
        <f t="shared" si="10"/>
        <v>106688</v>
      </c>
      <c r="R11" s="3">
        <f>SUM(G11:J11)</f>
        <v>112930</v>
      </c>
      <c r="S11" s="3">
        <f t="shared" ref="S11:AH13" si="12">+R11*0.99</f>
        <v>111800.7</v>
      </c>
      <c r="T11" s="3">
        <f t="shared" si="12"/>
        <v>110682.693</v>
      </c>
      <c r="U11" s="3">
        <f t="shared" si="12"/>
        <v>109575.86607</v>
      </c>
      <c r="V11" s="3">
        <f t="shared" si="12"/>
        <v>108480.10740930001</v>
      </c>
      <c r="W11" s="3">
        <f t="shared" si="12"/>
        <v>107395.306335207</v>
      </c>
      <c r="X11" s="3">
        <f t="shared" si="12"/>
        <v>106321.35327185492</v>
      </c>
      <c r="Y11" s="3">
        <f t="shared" si="12"/>
        <v>105258.13973913637</v>
      </c>
      <c r="Z11" s="3">
        <f t="shared" si="12"/>
        <v>104205.55834174501</v>
      </c>
      <c r="AA11" s="3">
        <f t="shared" si="12"/>
        <v>103163.50275832757</v>
      </c>
      <c r="AB11" s="3">
        <f t="shared" si="12"/>
        <v>102131.86773074428</v>
      </c>
      <c r="AC11" s="3">
        <f t="shared" si="12"/>
        <v>101110.54905343684</v>
      </c>
      <c r="AD11" s="3">
        <f t="shared" si="12"/>
        <v>100099.44356290248</v>
      </c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</row>
    <row r="12" spans="1:51">
      <c r="A12" t="s">
        <v>30</v>
      </c>
      <c r="C12" s="3">
        <v>51490</v>
      </c>
      <c r="D12" s="3">
        <v>54156</v>
      </c>
      <c r="E12" s="3">
        <v>55581</v>
      </c>
      <c r="F12" s="3">
        <f>218635-C12-D12-E12</f>
        <v>57408</v>
      </c>
      <c r="G12" s="3">
        <v>61908</v>
      </c>
      <c r="H12" s="3">
        <v>60918</v>
      </c>
      <c r="I12" s="3">
        <v>61014</v>
      </c>
      <c r="J12" s="3">
        <f>245114-G12-H12-I12</f>
        <v>61274</v>
      </c>
      <c r="K12" s="3">
        <v>65956</v>
      </c>
      <c r="L12" s="3">
        <v>65730</v>
      </c>
      <c r="N12" t="s">
        <v>31</v>
      </c>
      <c r="O12" s="8">
        <f>+NPV(O10,S21:AU21)</f>
        <v>658806.3277069981</v>
      </c>
      <c r="Q12" s="3">
        <f t="shared" si="10"/>
        <v>218635</v>
      </c>
      <c r="R12" s="3">
        <f>SUM(G12:J12)</f>
        <v>245114</v>
      </c>
      <c r="S12" s="3">
        <f t="shared" si="12"/>
        <v>242662.86</v>
      </c>
      <c r="T12" s="3">
        <f t="shared" si="11"/>
        <v>240236.23139999999</v>
      </c>
      <c r="U12" s="3">
        <f t="shared" si="11"/>
        <v>237833.86908599999</v>
      </c>
      <c r="V12" s="3">
        <f t="shared" si="11"/>
        <v>235455.53039514</v>
      </c>
      <c r="W12" s="3">
        <f t="shared" si="11"/>
        <v>233100.97509118859</v>
      </c>
      <c r="X12" s="3">
        <f t="shared" si="11"/>
        <v>230769.96534027671</v>
      </c>
      <c r="Y12" s="3">
        <f t="shared" si="11"/>
        <v>228462.26568687396</v>
      </c>
      <c r="Z12" s="3">
        <f t="shared" si="11"/>
        <v>226177.64303000522</v>
      </c>
      <c r="AA12" s="3">
        <f t="shared" si="11"/>
        <v>223915.86659970516</v>
      </c>
      <c r="AB12" s="3">
        <f t="shared" si="11"/>
        <v>221676.70793370809</v>
      </c>
      <c r="AC12" s="3">
        <f t="shared" si="11"/>
        <v>219459.940854371</v>
      </c>
      <c r="AD12" s="3">
        <f t="shared" si="11"/>
        <v>217265.3414458273</v>
      </c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</row>
    <row r="13" spans="1:51">
      <c r="A13" t="s">
        <v>32</v>
      </c>
      <c r="C13" s="3">
        <v>7761</v>
      </c>
      <c r="D13" s="3">
        <v>7775</v>
      </c>
      <c r="E13" s="3">
        <v>7587</v>
      </c>
      <c r="F13" s="3">
        <f>30870-C13-D13-E13</f>
        <v>7747</v>
      </c>
      <c r="G13" s="3">
        <v>7673</v>
      </c>
      <c r="H13" s="3">
        <v>7860</v>
      </c>
      <c r="I13" s="3">
        <v>7948</v>
      </c>
      <c r="J13" s="3">
        <f>31424-G13-H13-I13</f>
        <v>7943</v>
      </c>
      <c r="K13" s="3">
        <v>7337</v>
      </c>
      <c r="L13" s="3">
        <v>7080</v>
      </c>
      <c r="N13" t="s">
        <v>33</v>
      </c>
      <c r="O13" s="8">
        <f>+O11+O12</f>
        <v>1667270.3277069982</v>
      </c>
      <c r="Q13" s="3">
        <f t="shared" si="10"/>
        <v>30870</v>
      </c>
      <c r="R13" s="3">
        <f>SUM(G13:J13)</f>
        <v>31424</v>
      </c>
      <c r="S13" s="3">
        <f t="shared" si="12"/>
        <v>31109.759999999998</v>
      </c>
      <c r="T13" s="3">
        <f t="shared" si="11"/>
        <v>30798.662399999997</v>
      </c>
      <c r="U13" s="3">
        <f t="shared" si="11"/>
        <v>30490.675775999996</v>
      </c>
      <c r="V13" s="3">
        <f t="shared" si="11"/>
        <v>30185.769018239997</v>
      </c>
      <c r="W13" s="3">
        <f t="shared" si="11"/>
        <v>29883.911328057595</v>
      </c>
      <c r="X13" s="3">
        <f t="shared" si="11"/>
        <v>29585.072214777018</v>
      </c>
      <c r="Y13" s="3">
        <f t="shared" si="11"/>
        <v>29289.221492629247</v>
      </c>
      <c r="Z13" s="3">
        <f t="shared" si="11"/>
        <v>28996.329277702953</v>
      </c>
      <c r="AA13" s="3">
        <f t="shared" si="11"/>
        <v>28706.365984925924</v>
      </c>
      <c r="AB13" s="3">
        <f t="shared" si="11"/>
        <v>28419.302325076664</v>
      </c>
      <c r="AC13" s="3">
        <f t="shared" si="11"/>
        <v>28135.109301825898</v>
      </c>
      <c r="AD13" s="3">
        <f t="shared" si="11"/>
        <v>27853.758208807638</v>
      </c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</row>
    <row r="14" spans="1:51">
      <c r="A14" t="s">
        <v>34</v>
      </c>
      <c r="C14" s="3">
        <f t="shared" ref="C14:L14" si="13">+C10+C11+C12+C13</f>
        <v>106437</v>
      </c>
      <c r="D14" s="3">
        <f t="shared" si="13"/>
        <v>114173</v>
      </c>
      <c r="E14" s="3">
        <f t="shared" si="13"/>
        <v>114236</v>
      </c>
      <c r="F14" s="3">
        <f t="shared" si="13"/>
        <v>114095</v>
      </c>
      <c r="G14" s="3">
        <f t="shared" si="13"/>
        <v>124725</v>
      </c>
      <c r="H14" s="3">
        <f t="shared" si="13"/>
        <v>121349</v>
      </c>
      <c r="I14" s="3">
        <f t="shared" si="13"/>
        <v>124278</v>
      </c>
      <c r="J14" s="3">
        <f t="shared" si="13"/>
        <v>119342</v>
      </c>
      <c r="K14" s="3">
        <f t="shared" si="13"/>
        <v>128043</v>
      </c>
      <c r="L14" s="3">
        <f t="shared" si="13"/>
        <v>126751</v>
      </c>
      <c r="N14" s="1" t="s">
        <v>35</v>
      </c>
      <c r="O14" s="1">
        <f>+O13/Main!L4</f>
        <v>33.854063863691934</v>
      </c>
      <c r="Q14" s="3">
        <f>+Q10+Q11+Q12+Q13</f>
        <v>448941</v>
      </c>
      <c r="R14" s="3">
        <f>+R10+R11+R12+R13</f>
        <v>489694</v>
      </c>
      <c r="S14" s="3">
        <f t="shared" ref="S14:AP14" si="14">+S10+S11+S12+S13</f>
        <v>484797.06</v>
      </c>
      <c r="T14" s="3">
        <f t="shared" si="14"/>
        <v>479949.0894</v>
      </c>
      <c r="U14" s="3">
        <f t="shared" si="14"/>
        <v>475149.59850600001</v>
      </c>
      <c r="V14" s="3">
        <f t="shared" si="14"/>
        <v>470398.10252094001</v>
      </c>
      <c r="W14" s="3">
        <f t="shared" si="14"/>
        <v>465694.12149573059</v>
      </c>
      <c r="X14" s="3">
        <f t="shared" si="14"/>
        <v>461037.18028077326</v>
      </c>
      <c r="Y14" s="3">
        <f t="shared" si="14"/>
        <v>456426.80847796553</v>
      </c>
      <c r="Z14" s="3">
        <f t="shared" si="14"/>
        <v>451862.54039318592</v>
      </c>
      <c r="AA14" s="3">
        <f t="shared" si="14"/>
        <v>447343.91498925403</v>
      </c>
      <c r="AB14" s="3">
        <f t="shared" si="14"/>
        <v>442870.47583936149</v>
      </c>
      <c r="AC14" s="3">
        <f t="shared" si="14"/>
        <v>438441.77108096785</v>
      </c>
      <c r="AD14" s="3">
        <f t="shared" si="14"/>
        <v>434057.35337015818</v>
      </c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</row>
    <row r="15" spans="1:51" s="1" customFormat="1">
      <c r="A15" s="1" t="s">
        <v>36</v>
      </c>
      <c r="C15" s="4">
        <f t="shared" ref="C15:L15" si="15">+C9-C14</f>
        <v>8913</v>
      </c>
      <c r="D15" s="4">
        <f t="shared" si="15"/>
        <v>11336</v>
      </c>
      <c r="E15" s="4">
        <f t="shared" si="15"/>
        <v>16316</v>
      </c>
      <c r="F15" s="4">
        <f t="shared" si="15"/>
        <v>14472</v>
      </c>
      <c r="G15" s="4">
        <f t="shared" si="15"/>
        <v>8819</v>
      </c>
      <c r="H15" s="4">
        <f t="shared" si="15"/>
        <v>16159</v>
      </c>
      <c r="I15" s="4">
        <f t="shared" si="15"/>
        <v>16171</v>
      </c>
      <c r="J15" s="4">
        <f t="shared" si="15"/>
        <v>25680</v>
      </c>
      <c r="K15" s="4">
        <f t="shared" si="15"/>
        <v>18725</v>
      </c>
      <c r="L15" s="4">
        <f t="shared" si="15"/>
        <v>25774</v>
      </c>
      <c r="M15" s="4"/>
      <c r="N15" t="s">
        <v>37</v>
      </c>
      <c r="O15">
        <v>60</v>
      </c>
      <c r="Q15" s="4">
        <f>+Q9-Q14</f>
        <v>51037</v>
      </c>
      <c r="R15" s="4">
        <f>+R9-R14</f>
        <v>66829</v>
      </c>
      <c r="S15" s="4">
        <f t="shared" ref="S15:AP15" si="16">+S9-S14</f>
        <v>54792.323999999964</v>
      </c>
      <c r="T15" s="4">
        <f t="shared" si="16"/>
        <v>54244.400760000048</v>
      </c>
      <c r="U15" s="4">
        <f t="shared" si="16"/>
        <v>53701.95675240003</v>
      </c>
      <c r="V15" s="4">
        <f t="shared" si="16"/>
        <v>53164.937184875947</v>
      </c>
      <c r="W15" s="4">
        <f t="shared" si="16"/>
        <v>52633.287813027215</v>
      </c>
      <c r="X15" s="4">
        <f t="shared" si="16"/>
        <v>52106.954934896959</v>
      </c>
      <c r="Y15" s="4">
        <f t="shared" si="16"/>
        <v>51585.885385547997</v>
      </c>
      <c r="Z15" s="4">
        <f t="shared" si="16"/>
        <v>51070.026531692478</v>
      </c>
      <c r="AA15" s="4">
        <f t="shared" si="16"/>
        <v>50559.326266375545</v>
      </c>
      <c r="AB15" s="4">
        <f t="shared" si="16"/>
        <v>50053.733003711735</v>
      </c>
      <c r="AC15" s="4">
        <f t="shared" si="16"/>
        <v>49553.195673674636</v>
      </c>
      <c r="AD15" s="4">
        <f t="shared" si="16"/>
        <v>49057.663716937939</v>
      </c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>
      <c r="A16" t="s">
        <v>38</v>
      </c>
      <c r="C16" s="3">
        <f>143-784</f>
        <v>-641</v>
      </c>
      <c r="D16" s="3">
        <f>1016-785</f>
        <v>231</v>
      </c>
      <c r="E16" s="3">
        <f>2903-787</f>
        <v>2116</v>
      </c>
      <c r="F16" s="3">
        <f>8759-3144-C16-D16-E16</f>
        <v>3909</v>
      </c>
      <c r="G16" s="3">
        <f>5182-868</f>
        <v>4314</v>
      </c>
      <c r="H16" s="3">
        <f>7417-827</f>
        <v>6590</v>
      </c>
      <c r="I16" s="3">
        <f>8493-906</f>
        <v>7587</v>
      </c>
      <c r="J16" s="3">
        <f>29801-3429-G16-H16-I16</f>
        <v>7881</v>
      </c>
      <c r="K16" s="3">
        <f>8540-796</f>
        <v>7744</v>
      </c>
      <c r="L16" s="3">
        <f>10856-1968</f>
        <v>8888</v>
      </c>
      <c r="N16" t="s">
        <v>39</v>
      </c>
      <c r="O16" s="5">
        <f>+O14/O15-1</f>
        <v>-0.43576560227180106</v>
      </c>
      <c r="Q16" s="3">
        <f t="shared" ref="Q16:Q20" si="17">SUM(C16:F16)</f>
        <v>5615</v>
      </c>
      <c r="R16" s="3">
        <f>SUM(G16:J16)</f>
        <v>26372</v>
      </c>
      <c r="S16" s="3">
        <f>10000+(10000*0.1)</f>
        <v>11000</v>
      </c>
      <c r="T16" s="3">
        <f>+S16+500</f>
        <v>11500</v>
      </c>
      <c r="U16" s="3">
        <f>+T16+1000</f>
        <v>12500</v>
      </c>
      <c r="V16" s="3">
        <f t="shared" ref="V16:AP16" si="18">+U16+1000</f>
        <v>13500</v>
      </c>
      <c r="W16" s="3">
        <f t="shared" si="18"/>
        <v>14500</v>
      </c>
      <c r="X16" s="3">
        <f t="shared" si="18"/>
        <v>15500</v>
      </c>
      <c r="Y16" s="3">
        <f t="shared" si="18"/>
        <v>16500</v>
      </c>
      <c r="Z16" s="3">
        <f t="shared" si="18"/>
        <v>17500</v>
      </c>
      <c r="AA16" s="3">
        <f t="shared" si="18"/>
        <v>18500</v>
      </c>
      <c r="AB16" s="3">
        <f t="shared" si="18"/>
        <v>19500</v>
      </c>
      <c r="AC16" s="3">
        <f t="shared" si="18"/>
        <v>20500</v>
      </c>
      <c r="AD16" s="3">
        <f t="shared" si="18"/>
        <v>21500</v>
      </c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</row>
    <row r="17" spans="1:51">
      <c r="A17" t="s">
        <v>40</v>
      </c>
      <c r="C17" s="3">
        <v>13</v>
      </c>
      <c r="D17" s="3">
        <v>105</v>
      </c>
      <c r="E17" s="3">
        <v>-76</v>
      </c>
      <c r="F17" s="3">
        <f>-59-C17-D17-E17</f>
        <v>-101</v>
      </c>
      <c r="G17" s="3">
        <v>-148</v>
      </c>
      <c r="H17" s="3">
        <v>-631</v>
      </c>
      <c r="I17" s="3">
        <v>-435</v>
      </c>
      <c r="J17" s="3">
        <f>4624-G17-H17-I17</f>
        <v>5838</v>
      </c>
      <c r="K17" s="3">
        <v>-318</v>
      </c>
      <c r="L17" s="3">
        <v>-1258</v>
      </c>
      <c r="Q17" s="3">
        <f t="shared" si="17"/>
        <v>-59</v>
      </c>
      <c r="R17" s="3">
        <f>SUM(G17:J17)</f>
        <v>4624</v>
      </c>
      <c r="S17" s="3">
        <v>2000</v>
      </c>
      <c r="T17" s="3">
        <v>2000</v>
      </c>
      <c r="U17" s="3">
        <v>2000</v>
      </c>
      <c r="V17" s="3">
        <v>2000</v>
      </c>
      <c r="W17" s="3">
        <v>2000</v>
      </c>
      <c r="X17" s="3">
        <v>2000</v>
      </c>
      <c r="Y17" s="3">
        <v>2000</v>
      </c>
      <c r="Z17" s="3">
        <v>2000</v>
      </c>
      <c r="AA17" s="3">
        <v>2000</v>
      </c>
      <c r="AB17" s="3">
        <v>2000</v>
      </c>
      <c r="AC17" s="3">
        <v>2000</v>
      </c>
      <c r="AD17" s="3">
        <v>2000</v>
      </c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</row>
    <row r="18" spans="1:51">
      <c r="A18" t="s">
        <v>41</v>
      </c>
      <c r="C18" s="3">
        <f t="shared" ref="C18:L18" si="19">+C15+C16+C17</f>
        <v>8285</v>
      </c>
      <c r="D18" s="3">
        <f t="shared" si="19"/>
        <v>11672</v>
      </c>
      <c r="E18" s="3">
        <f t="shared" si="19"/>
        <v>18356</v>
      </c>
      <c r="F18" s="3">
        <f t="shared" si="19"/>
        <v>18280</v>
      </c>
      <c r="G18" s="3">
        <f t="shared" si="19"/>
        <v>12985</v>
      </c>
      <c r="H18" s="3">
        <f t="shared" si="19"/>
        <v>22118</v>
      </c>
      <c r="I18" s="3">
        <f t="shared" si="19"/>
        <v>23323</v>
      </c>
      <c r="J18" s="3">
        <f t="shared" si="19"/>
        <v>39399</v>
      </c>
      <c r="K18" s="3">
        <f t="shared" si="19"/>
        <v>26151</v>
      </c>
      <c r="L18" s="3">
        <f t="shared" si="19"/>
        <v>33404</v>
      </c>
      <c r="Q18" s="3">
        <f>+Q15+Q16+Q17</f>
        <v>56593</v>
      </c>
      <c r="R18" s="3">
        <f>+R15+R16+R17</f>
        <v>97825</v>
      </c>
      <c r="S18" s="3">
        <f t="shared" ref="S18:AP18" si="20">+S15+S16+S17</f>
        <v>67792.323999999964</v>
      </c>
      <c r="T18" s="3">
        <f t="shared" si="20"/>
        <v>67744.400760000048</v>
      </c>
      <c r="U18" s="3">
        <f t="shared" si="20"/>
        <v>68201.95675240003</v>
      </c>
      <c r="V18" s="3">
        <f t="shared" si="20"/>
        <v>68664.937184875947</v>
      </c>
      <c r="W18" s="3">
        <f t="shared" si="20"/>
        <v>69133.287813027215</v>
      </c>
      <c r="X18" s="3">
        <f t="shared" si="20"/>
        <v>69606.954934896959</v>
      </c>
      <c r="Y18" s="3">
        <f t="shared" si="20"/>
        <v>70085.885385547997</v>
      </c>
      <c r="Z18" s="3">
        <f t="shared" si="20"/>
        <v>70570.026531692478</v>
      </c>
      <c r="AA18" s="3">
        <f t="shared" si="20"/>
        <v>71059.326266375545</v>
      </c>
      <c r="AB18" s="3">
        <f t="shared" si="20"/>
        <v>71553.733003711735</v>
      </c>
      <c r="AC18" s="3">
        <f t="shared" si="20"/>
        <v>72053.195673674636</v>
      </c>
      <c r="AD18" s="3">
        <f t="shared" si="20"/>
        <v>72557.663716937939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</row>
    <row r="19" spans="1:51">
      <c r="A19" t="s">
        <v>42</v>
      </c>
      <c r="C19" s="3">
        <v>-618</v>
      </c>
      <c r="D19" s="3">
        <v>844</v>
      </c>
      <c r="E19" s="3">
        <v>246</v>
      </c>
      <c r="F19" s="3">
        <f>962-C19-D19-E19</f>
        <v>490</v>
      </c>
      <c r="G19" s="3">
        <v>-1222</v>
      </c>
      <c r="H19" s="3">
        <v>6507</v>
      </c>
      <c r="I19" s="3">
        <v>3972</v>
      </c>
      <c r="J19" s="3">
        <f>17485-G19-H19-I19</f>
        <v>8228</v>
      </c>
      <c r="K19" s="3">
        <v>2747</v>
      </c>
      <c r="L19" s="3">
        <v>884</v>
      </c>
      <c r="Q19" s="3">
        <f t="shared" si="17"/>
        <v>962</v>
      </c>
      <c r="R19" s="3">
        <f>SUM(G19:J19)</f>
        <v>17485</v>
      </c>
      <c r="S19" s="3">
        <f>+S18*0.07</f>
        <v>4745.4626799999978</v>
      </c>
      <c r="T19" s="3">
        <f t="shared" ref="T19:AP19" si="21">+T18*0.07</f>
        <v>4742.1080532000042</v>
      </c>
      <c r="U19" s="3">
        <f t="shared" si="21"/>
        <v>4774.1369726680023</v>
      </c>
      <c r="V19" s="3">
        <f t="shared" si="21"/>
        <v>4806.5456029413172</v>
      </c>
      <c r="W19" s="3">
        <f t="shared" si="21"/>
        <v>4839.3301469119051</v>
      </c>
      <c r="X19" s="3">
        <f t="shared" si="21"/>
        <v>4872.4868454427879</v>
      </c>
      <c r="Y19" s="3">
        <f t="shared" si="21"/>
        <v>4906.0119769883604</v>
      </c>
      <c r="Z19" s="3">
        <f t="shared" si="21"/>
        <v>4939.9018572184741</v>
      </c>
      <c r="AA19" s="3">
        <f t="shared" si="21"/>
        <v>4974.1528386462887</v>
      </c>
      <c r="AB19" s="3">
        <f t="shared" si="21"/>
        <v>5008.7613102598216</v>
      </c>
      <c r="AC19" s="3">
        <f t="shared" si="21"/>
        <v>5043.7236971572247</v>
      </c>
      <c r="AD19" s="3">
        <f t="shared" si="21"/>
        <v>5079.0364601856563</v>
      </c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</row>
    <row r="20" spans="1:51">
      <c r="A20" t="s">
        <v>43</v>
      </c>
      <c r="C20" s="3">
        <v>176</v>
      </c>
      <c r="D20" s="3">
        <v>14</v>
      </c>
      <c r="E20" s="3">
        <v>222</v>
      </c>
      <c r="F20" s="3">
        <f>707-C20-D20-E20</f>
        <v>295</v>
      </c>
      <c r="G20" s="3">
        <v>209</v>
      </c>
      <c r="H20" s="3">
        <v>188</v>
      </c>
      <c r="I20" s="3">
        <v>173</v>
      </c>
      <c r="J20" s="3">
        <f>703-G20-H20-I20</f>
        <v>133</v>
      </c>
      <c r="K20" s="3">
        <v>191</v>
      </c>
      <c r="L20" s="3">
        <v>991</v>
      </c>
      <c r="Q20" s="3">
        <f t="shared" si="17"/>
        <v>707</v>
      </c>
      <c r="R20" s="3">
        <f>SUM(G20:J20)</f>
        <v>703</v>
      </c>
      <c r="S20" s="3">
        <v>500</v>
      </c>
      <c r="T20" s="3">
        <v>500</v>
      </c>
      <c r="U20" s="3">
        <v>500</v>
      </c>
      <c r="V20" s="3">
        <v>500</v>
      </c>
      <c r="W20" s="3">
        <v>500</v>
      </c>
      <c r="X20" s="3">
        <v>500</v>
      </c>
      <c r="Y20" s="3">
        <v>500</v>
      </c>
      <c r="Z20" s="3">
        <v>500</v>
      </c>
      <c r="AA20" s="3">
        <v>500</v>
      </c>
      <c r="AB20" s="3">
        <v>500</v>
      </c>
      <c r="AC20" s="3">
        <v>500</v>
      </c>
      <c r="AD20" s="3">
        <v>500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</row>
    <row r="21" spans="1:51" s="1" customFormat="1">
      <c r="A21" s="1" t="s">
        <v>44</v>
      </c>
      <c r="C21" s="4">
        <f t="shared" ref="C21:L21" si="22">+C18-C19+C20</f>
        <v>9079</v>
      </c>
      <c r="D21" s="4">
        <f t="shared" si="22"/>
        <v>10842</v>
      </c>
      <c r="E21" s="4">
        <f t="shared" si="22"/>
        <v>18332</v>
      </c>
      <c r="F21" s="4">
        <f t="shared" si="22"/>
        <v>18085</v>
      </c>
      <c r="G21" s="4">
        <f t="shared" si="22"/>
        <v>14416</v>
      </c>
      <c r="H21" s="4">
        <f t="shared" si="22"/>
        <v>15799</v>
      </c>
      <c r="I21" s="4">
        <f t="shared" si="22"/>
        <v>19524</v>
      </c>
      <c r="J21" s="4">
        <f t="shared" si="22"/>
        <v>31304</v>
      </c>
      <c r="K21" s="4">
        <f t="shared" si="22"/>
        <v>23595</v>
      </c>
      <c r="L21" s="4">
        <f t="shared" si="22"/>
        <v>33511</v>
      </c>
      <c r="M21" s="4"/>
      <c r="N21" s="4"/>
      <c r="Q21" s="4">
        <f>+Q18-Q19+Q20</f>
        <v>56338</v>
      </c>
      <c r="R21" s="4">
        <f>+R18-R19+R20</f>
        <v>81043</v>
      </c>
      <c r="S21" s="4">
        <f t="shared" ref="S21:AP21" si="23">+S18-S19+S20</f>
        <v>63546.861319999967</v>
      </c>
      <c r="T21" s="4">
        <f t="shared" si="23"/>
        <v>63502.292706800043</v>
      </c>
      <c r="U21" s="4">
        <f t="shared" si="23"/>
        <v>63927.819779732032</v>
      </c>
      <c r="V21" s="4">
        <f t="shared" si="23"/>
        <v>64358.391581934629</v>
      </c>
      <c r="W21" s="4">
        <f t="shared" si="23"/>
        <v>64793.957666115311</v>
      </c>
      <c r="X21" s="4">
        <f t="shared" si="23"/>
        <v>65234.468089454174</v>
      </c>
      <c r="Y21" s="4">
        <f t="shared" si="23"/>
        <v>65679.873408559637</v>
      </c>
      <c r="Z21" s="4">
        <f t="shared" si="23"/>
        <v>66130.124674474006</v>
      </c>
      <c r="AA21" s="4">
        <f t="shared" si="23"/>
        <v>66585.173427729256</v>
      </c>
      <c r="AB21" s="4">
        <f t="shared" si="23"/>
        <v>67044.971693451909</v>
      </c>
      <c r="AC21" s="4">
        <f t="shared" si="23"/>
        <v>67509.471976517409</v>
      </c>
      <c r="AD21" s="4">
        <f t="shared" si="23"/>
        <v>67978.627256752283</v>
      </c>
      <c r="AE21" s="4">
        <f>+AD21*0.99</f>
        <v>67298.840984184761</v>
      </c>
      <c r="AF21" s="4">
        <f t="shared" ref="AF21:AU21" si="24">+AE21*0.99</f>
        <v>66625.852574342905</v>
      </c>
      <c r="AG21" s="4">
        <f t="shared" si="24"/>
        <v>65959.59404859948</v>
      </c>
      <c r="AH21" s="4">
        <f t="shared" si="24"/>
        <v>65299.998108113483</v>
      </c>
      <c r="AI21" s="4">
        <f t="shared" si="24"/>
        <v>64646.998127032348</v>
      </c>
      <c r="AJ21" s="4">
        <f t="shared" si="24"/>
        <v>64000.528145762022</v>
      </c>
      <c r="AK21" s="4">
        <f t="shared" si="24"/>
        <v>63360.522864304403</v>
      </c>
      <c r="AL21" s="4">
        <f t="shared" si="24"/>
        <v>62726.917635661361</v>
      </c>
      <c r="AM21" s="4">
        <f t="shared" si="24"/>
        <v>62099.64845930475</v>
      </c>
      <c r="AN21" s="4">
        <f t="shared" si="24"/>
        <v>61478.651974711705</v>
      </c>
      <c r="AO21" s="4">
        <f t="shared" si="24"/>
        <v>60863.865454964587</v>
      </c>
      <c r="AP21" s="4">
        <f t="shared" si="24"/>
        <v>60255.226800414937</v>
      </c>
      <c r="AQ21" s="4">
        <f t="shared" si="24"/>
        <v>59652.674532410791</v>
      </c>
      <c r="AR21" s="4">
        <f t="shared" si="24"/>
        <v>59056.14778708668</v>
      </c>
      <c r="AS21" s="4">
        <f t="shared" si="24"/>
        <v>58465.586309215811</v>
      </c>
      <c r="AT21" s="4">
        <f t="shared" si="24"/>
        <v>57880.930446123653</v>
      </c>
      <c r="AU21" s="4">
        <f t="shared" si="24"/>
        <v>57302.121141662414</v>
      </c>
      <c r="AV21" s="4"/>
      <c r="AW21" s="4"/>
      <c r="AX21" s="4"/>
      <c r="AY21" s="4"/>
    </row>
    <row r="22" spans="1:51">
      <c r="A22" t="s">
        <v>45</v>
      </c>
      <c r="C22" s="6">
        <f t="shared" ref="C22:L22" si="25">+C21/C23</f>
        <v>0.18083431523438581</v>
      </c>
      <c r="D22" s="6">
        <f t="shared" si="25"/>
        <v>0.21713665644276525</v>
      </c>
      <c r="E22" s="6">
        <f t="shared" si="25"/>
        <v>0.36817554976540662</v>
      </c>
      <c r="F22" s="6">
        <f t="shared" si="25"/>
        <v>0.36223439716144434</v>
      </c>
      <c r="G22" s="6">
        <f t="shared" si="25"/>
        <v>0.290733729569633</v>
      </c>
      <c r="H22" s="6">
        <f t="shared" si="25"/>
        <v>0.31686967498645952</v>
      </c>
      <c r="I22" s="6">
        <f t="shared" si="25"/>
        <v>0.39112509826957992</v>
      </c>
      <c r="J22" s="6">
        <f t="shared" si="25"/>
        <v>0.62836160612630887</v>
      </c>
      <c r="K22" s="6">
        <f t="shared" si="25"/>
        <v>0.47224695984139547</v>
      </c>
      <c r="L22" s="7">
        <f t="shared" si="25"/>
        <v>0.6724727433418306</v>
      </c>
      <c r="M22" s="7"/>
      <c r="N22" s="7"/>
      <c r="Q22" s="6">
        <f>+Q21/Q23</f>
        <v>1.1275742834066336</v>
      </c>
      <c r="R22" s="6">
        <f>+R21/R23</f>
        <v>1.6270894747630782</v>
      </c>
      <c r="S22" s="6">
        <f t="shared" ref="S22:AP22" si="26">+S21/S23</f>
        <v>1.2758108237467118</v>
      </c>
      <c r="T22" s="6">
        <f t="shared" si="26"/>
        <v>1.2749160333835259</v>
      </c>
      <c r="U22" s="6">
        <f t="shared" si="26"/>
        <v>1.2834592097759849</v>
      </c>
      <c r="V22" s="6">
        <f t="shared" si="26"/>
        <v>1.2921036676491122</v>
      </c>
      <c r="W22" s="6">
        <f t="shared" si="26"/>
        <v>1.3008483941881048</v>
      </c>
      <c r="X22" s="6">
        <f t="shared" si="26"/>
        <v>1.3096923867063015</v>
      </c>
      <c r="Y22" s="6">
        <f t="shared" si="26"/>
        <v>1.3186346525439105</v>
      </c>
      <c r="Z22" s="6">
        <f t="shared" si="26"/>
        <v>1.3276742089677369</v>
      </c>
      <c r="AA22" s="6">
        <f t="shared" si="26"/>
        <v>1.3368100830719198</v>
      </c>
      <c r="AB22" s="6">
        <f t="shared" si="26"/>
        <v>1.3460413116796546</v>
      </c>
      <c r="AC22" s="6">
        <f t="shared" si="26"/>
        <v>1.3553669412459075</v>
      </c>
      <c r="AD22" s="6">
        <f t="shared" si="26"/>
        <v>1.364786027761093</v>
      </c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3"/>
      <c r="AR22" s="3"/>
      <c r="AS22" s="3"/>
      <c r="AT22" s="3"/>
      <c r="AU22" s="3"/>
      <c r="AV22" s="3"/>
      <c r="AW22" s="3"/>
      <c r="AX22" s="3"/>
      <c r="AY22" s="3"/>
    </row>
    <row r="23" spans="1:51">
      <c r="A23" t="s">
        <v>2</v>
      </c>
      <c r="C23" s="3">
        <v>50206.178999999996</v>
      </c>
      <c r="D23" s="3">
        <v>49931.688999999998</v>
      </c>
      <c r="E23" s="3">
        <v>49791.464999999997</v>
      </c>
      <c r="F23" s="3">
        <v>49926.235999999997</v>
      </c>
      <c r="G23" s="3">
        <v>49584.89</v>
      </c>
      <c r="H23" s="3">
        <v>49859.614999999998</v>
      </c>
      <c r="I23" s="3">
        <v>49917.533000000003</v>
      </c>
      <c r="J23" s="3">
        <v>49818.447999999997</v>
      </c>
      <c r="K23" s="3">
        <v>49963.264999999999</v>
      </c>
      <c r="L23" s="3">
        <v>49832.502999999997</v>
      </c>
      <c r="Q23" s="3">
        <f>AVERAGE(C23:F23)</f>
        <v>49963.892249999997</v>
      </c>
      <c r="R23" s="3">
        <f>AVERAGE(D23:G23)</f>
        <v>49808.569999999992</v>
      </c>
      <c r="S23" s="3">
        <v>49809</v>
      </c>
      <c r="T23" s="3">
        <v>49809</v>
      </c>
      <c r="U23" s="3">
        <v>49809</v>
      </c>
      <c r="V23" s="3">
        <v>49809</v>
      </c>
      <c r="W23" s="3">
        <v>49809</v>
      </c>
      <c r="X23" s="3">
        <v>49809</v>
      </c>
      <c r="Y23" s="3">
        <v>49809</v>
      </c>
      <c r="Z23" s="3">
        <v>49809</v>
      </c>
      <c r="AA23" s="3">
        <v>49809</v>
      </c>
      <c r="AB23" s="3">
        <v>49809</v>
      </c>
      <c r="AC23" s="3">
        <v>49809</v>
      </c>
      <c r="AD23" s="3">
        <v>49809</v>
      </c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</row>
    <row r="24" spans="1:51">
      <c r="C24" s="3"/>
      <c r="Q24" t="s">
        <v>8</v>
      </c>
      <c r="R24" t="s">
        <v>8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</row>
    <row r="25" spans="1:51">
      <c r="C25" s="3"/>
      <c r="S25" t="s">
        <v>8</v>
      </c>
    </row>
    <row r="26" spans="1:51">
      <c r="A26" t="s">
        <v>46</v>
      </c>
      <c r="C26" s="5" t="e">
        <f>+C5/#REF!-1</f>
        <v>#REF!</v>
      </c>
      <c r="D26" s="5" t="e">
        <f>+D5/#REF!-1</f>
        <v>#REF!</v>
      </c>
      <c r="E26" s="5" t="e">
        <f>+E5/A5-1</f>
        <v>#VALUE!</v>
      </c>
      <c r="F26" s="5" t="e">
        <f>+F5/B5-1</f>
        <v>#DIV/0!</v>
      </c>
      <c r="G26" s="5">
        <f t="shared" ref="G26:H26" si="27">+G5/C5-1</f>
        <v>2.0828769890526067E-2</v>
      </c>
      <c r="H26" s="5">
        <f t="shared" si="27"/>
        <v>5.182174822053609E-2</v>
      </c>
      <c r="I26" s="5">
        <f>+I5/E5-1</f>
        <v>2.64460668646882E-2</v>
      </c>
      <c r="J26" s="5">
        <f>+J5/F5-1</f>
        <v>8.6951508367004715E-2</v>
      </c>
      <c r="K26" s="5">
        <f>+K5/G5-1</f>
        <v>6.4692250472067059E-2</v>
      </c>
      <c r="L26" s="5">
        <f>+L5/H5-1</f>
        <v>4.4364042434394291E-2</v>
      </c>
      <c r="M26" s="5"/>
      <c r="N26" s="5"/>
      <c r="R26" s="5">
        <f>+R5/Q5-1</f>
        <v>4.643354352632878E-2</v>
      </c>
      <c r="S26" s="5">
        <f t="shared" ref="S26:AP26" si="28">+S5/R5-1</f>
        <v>2.0000000000000018E-2</v>
      </c>
      <c r="T26" s="5">
        <f t="shared" si="28"/>
        <v>-1.0000000000000009E-2</v>
      </c>
      <c r="U26" s="5">
        <f t="shared" si="28"/>
        <v>-1.0000000000000009E-2</v>
      </c>
      <c r="V26" s="5">
        <f t="shared" si="28"/>
        <v>-1.0000000000000009E-2</v>
      </c>
      <c r="W26" s="5">
        <f t="shared" si="28"/>
        <v>-1.0000000000000009E-2</v>
      </c>
      <c r="X26" s="5">
        <f t="shared" si="28"/>
        <v>-9.9999999999998979E-3</v>
      </c>
      <c r="Y26" s="5">
        <f t="shared" si="28"/>
        <v>-1.0000000000000009E-2</v>
      </c>
      <c r="Z26" s="5">
        <f t="shared" si="28"/>
        <v>-1.0000000000000009E-2</v>
      </c>
      <c r="AA26" s="5">
        <f t="shared" si="28"/>
        <v>-1.000000000000012E-2</v>
      </c>
      <c r="AB26" s="5">
        <f t="shared" si="28"/>
        <v>-1.0000000000000009E-2</v>
      </c>
      <c r="AC26" s="5">
        <f t="shared" si="28"/>
        <v>-1.0000000000000009E-2</v>
      </c>
      <c r="AD26" s="5">
        <f t="shared" si="28"/>
        <v>-1.0000000000000009E-2</v>
      </c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spans="1:51">
      <c r="A27" t="s">
        <v>47</v>
      </c>
      <c r="C27" s="5" t="e">
        <f>+C10/#REF!-1</f>
        <v>#REF!</v>
      </c>
      <c r="D27" s="5" t="e">
        <f>+D10/#REF!-1</f>
        <v>#REF!</v>
      </c>
      <c r="E27" s="5" t="e">
        <f>+E10/A10-1</f>
        <v>#VALUE!</v>
      </c>
      <c r="F27" s="5" t="e">
        <f>+F10/B10-1</f>
        <v>#DIV/0!</v>
      </c>
      <c r="G27" s="5">
        <f t="shared" ref="G27:H29" si="29">+G10/C10-1</f>
        <v>0.14888754743014831</v>
      </c>
      <c r="H27" s="5">
        <f t="shared" si="29"/>
        <v>3.6584834081890616E-2</v>
      </c>
      <c r="I27" s="5">
        <f>+I10/E10-1</f>
        <v>3.4870104523571976E-2</v>
      </c>
      <c r="J27" s="5">
        <f>+J10/F10-1</f>
        <v>0.10107782398370535</v>
      </c>
      <c r="K27" s="5">
        <f>+K10/G10-1</f>
        <v>-4.4698817789453948E-2</v>
      </c>
      <c r="L27" s="5">
        <f>+L10/H10-1</f>
        <v>0.17099949520444224</v>
      </c>
      <c r="M27" s="5"/>
      <c r="N27" s="5"/>
      <c r="R27" s="5">
        <f>+R10/Q10-1</f>
        <v>8.0627075516453095E-2</v>
      </c>
      <c r="S27" s="5">
        <f t="shared" ref="S27:AP27" si="30">+S10/R10-1</f>
        <v>-9.9999999999998979E-3</v>
      </c>
      <c r="T27" s="5">
        <f t="shared" si="30"/>
        <v>-1.0000000000000009E-2</v>
      </c>
      <c r="U27" s="5">
        <f t="shared" si="30"/>
        <v>-1.0000000000000009E-2</v>
      </c>
      <c r="V27" s="5">
        <f t="shared" si="30"/>
        <v>-1.0000000000000009E-2</v>
      </c>
      <c r="W27" s="5">
        <f t="shared" si="30"/>
        <v>-1.0000000000000009E-2</v>
      </c>
      <c r="X27" s="5">
        <f t="shared" si="30"/>
        <v>-1.0000000000000009E-2</v>
      </c>
      <c r="Y27" s="5">
        <f t="shared" si="30"/>
        <v>-1.000000000000012E-2</v>
      </c>
      <c r="Z27" s="5">
        <f t="shared" si="30"/>
        <v>-1.0000000000000009E-2</v>
      </c>
      <c r="AA27" s="5">
        <f t="shared" si="30"/>
        <v>-1.0000000000000009E-2</v>
      </c>
      <c r="AB27" s="5">
        <f t="shared" si="30"/>
        <v>-1.0000000000000009E-2</v>
      </c>
      <c r="AC27" s="5">
        <f t="shared" si="30"/>
        <v>-1.0000000000000009E-2</v>
      </c>
      <c r="AD27" s="5">
        <f t="shared" si="30"/>
        <v>-9.9999999999998979E-3</v>
      </c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1:51">
      <c r="A28" t="s">
        <v>48</v>
      </c>
      <c r="C28" s="5" t="e">
        <f t="shared" ref="C28" si="31">+C11/#REF!-1</f>
        <v>#REF!</v>
      </c>
      <c r="D28" s="5" t="e">
        <f t="shared" ref="D28" si="32">+D11/#REF!-1</f>
        <v>#REF!</v>
      </c>
      <c r="E28" s="5" t="e">
        <f t="shared" ref="E28:F29" si="33">+E11/A11-1</f>
        <v>#VALUE!</v>
      </c>
      <c r="F28" s="5" t="e">
        <f t="shared" si="33"/>
        <v>#DIV/0!</v>
      </c>
      <c r="G28" s="5">
        <f t="shared" si="29"/>
        <v>0.18775527215137111</v>
      </c>
      <c r="H28" s="5">
        <f t="shared" si="29"/>
        <v>-1.7400798389573202E-2</v>
      </c>
      <c r="I28" s="5">
        <f t="shared" ref="I28:J29" si="34">+I11/E11-1</f>
        <v>0.1229516975473921</v>
      </c>
      <c r="J28" s="5">
        <f t="shared" si="34"/>
        <v>-4.7174272877748891E-2</v>
      </c>
      <c r="K28" s="5">
        <f t="shared" ref="K28:L29" si="35">+K11/G11-1</f>
        <v>2.7965893540124132E-2</v>
      </c>
      <c r="L28" s="5">
        <f t="shared" si="35"/>
        <v>-9.3579638181881308E-2</v>
      </c>
      <c r="M28" s="5"/>
      <c r="N28" s="5"/>
      <c r="R28" s="5">
        <f>+R11/Q11-1</f>
        <v>5.8507048590281885E-2</v>
      </c>
      <c r="S28" s="5">
        <f t="shared" ref="S28:AP28" si="36">+S11/R11-1</f>
        <v>-1.0000000000000009E-2</v>
      </c>
      <c r="T28" s="5">
        <f t="shared" si="36"/>
        <v>-1.0000000000000009E-2</v>
      </c>
      <c r="U28" s="5">
        <f t="shared" si="36"/>
        <v>-1.0000000000000009E-2</v>
      </c>
      <c r="V28" s="5">
        <f t="shared" si="36"/>
        <v>-1.0000000000000009E-2</v>
      </c>
      <c r="W28" s="5">
        <f t="shared" si="36"/>
        <v>-1.0000000000000009E-2</v>
      </c>
      <c r="X28" s="5">
        <f t="shared" si="36"/>
        <v>-1.000000000000012E-2</v>
      </c>
      <c r="Y28" s="5">
        <f t="shared" si="36"/>
        <v>-1.0000000000000009E-2</v>
      </c>
      <c r="Z28" s="5">
        <f t="shared" si="36"/>
        <v>-1.0000000000000009E-2</v>
      </c>
      <c r="AA28" s="5">
        <f t="shared" si="36"/>
        <v>-9.9999999999998979E-3</v>
      </c>
      <c r="AB28" s="5">
        <f t="shared" si="36"/>
        <v>-1.0000000000000009E-2</v>
      </c>
      <c r="AC28" s="5">
        <f t="shared" si="36"/>
        <v>-1.0000000000000009E-2</v>
      </c>
      <c r="AD28" s="5">
        <f t="shared" si="36"/>
        <v>-9.9999999999998979E-3</v>
      </c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spans="1:51">
      <c r="A29" t="s">
        <v>49</v>
      </c>
      <c r="C29" s="5" t="e">
        <f t="shared" ref="C29" si="37">+C12/#REF!-1</f>
        <v>#REF!</v>
      </c>
      <c r="D29" s="5" t="e">
        <f t="shared" ref="D29" si="38">+D12/#REF!-1</f>
        <v>#REF!</v>
      </c>
      <c r="E29" s="5" t="e">
        <f t="shared" si="33"/>
        <v>#VALUE!</v>
      </c>
      <c r="F29" s="5" t="e">
        <f t="shared" si="33"/>
        <v>#DIV/0!</v>
      </c>
      <c r="G29" s="5">
        <f t="shared" si="29"/>
        <v>0.20233054962128572</v>
      </c>
      <c r="H29" s="5">
        <f t="shared" si="29"/>
        <v>0.12486151118989586</v>
      </c>
      <c r="I29" s="5">
        <f t="shared" si="34"/>
        <v>9.7749230852269609E-2</v>
      </c>
      <c r="J29" s="5">
        <f t="shared" si="34"/>
        <v>6.7342530657747979E-2</v>
      </c>
      <c r="K29" s="5">
        <f t="shared" si="35"/>
        <v>6.5387348969438541E-2</v>
      </c>
      <c r="L29" s="5">
        <f t="shared" si="35"/>
        <v>7.8991431104107113E-2</v>
      </c>
      <c r="M29" s="5"/>
      <c r="N29" s="5"/>
      <c r="R29" s="5">
        <f>+R12/Q12-1</f>
        <v>0.12111052667688149</v>
      </c>
      <c r="S29" s="5">
        <f t="shared" ref="S29:AP29" si="39">+S12/R12-1</f>
        <v>-1.0000000000000009E-2</v>
      </c>
      <c r="T29" s="5">
        <f t="shared" si="39"/>
        <v>-1.0000000000000009E-2</v>
      </c>
      <c r="U29" s="5">
        <f t="shared" si="39"/>
        <v>-1.0000000000000009E-2</v>
      </c>
      <c r="V29" s="5">
        <f t="shared" si="39"/>
        <v>-1.0000000000000009E-2</v>
      </c>
      <c r="W29" s="5">
        <f t="shared" si="39"/>
        <v>-1.0000000000000009E-2</v>
      </c>
      <c r="X29" s="5">
        <f t="shared" si="39"/>
        <v>-1.0000000000000009E-2</v>
      </c>
      <c r="Y29" s="5">
        <f t="shared" si="39"/>
        <v>-1.0000000000000009E-2</v>
      </c>
      <c r="Z29" s="5">
        <f t="shared" si="39"/>
        <v>-1.0000000000000009E-2</v>
      </c>
      <c r="AA29" s="5">
        <f t="shared" si="39"/>
        <v>-1.0000000000000009E-2</v>
      </c>
      <c r="AB29" s="5">
        <f t="shared" si="39"/>
        <v>-1.0000000000000009E-2</v>
      </c>
      <c r="AC29" s="5">
        <f t="shared" si="39"/>
        <v>-1.0000000000000009E-2</v>
      </c>
      <c r="AD29" s="5">
        <f t="shared" si="39"/>
        <v>-9.9999999999998979E-3</v>
      </c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spans="1:51">
      <c r="A30" t="s">
        <v>50</v>
      </c>
      <c r="C30" s="5" t="e">
        <f>+C21/#REF!-1</f>
        <v>#REF!</v>
      </c>
      <c r="D30" s="5" t="e">
        <f>+D21/#REF!-1</f>
        <v>#REF!</v>
      </c>
      <c r="E30" s="5" t="e">
        <f>+E21/A21-1</f>
        <v>#VALUE!</v>
      </c>
      <c r="F30" s="5" t="e">
        <f>+F21/B21-1</f>
        <v>#DIV/0!</v>
      </c>
      <c r="G30" s="5">
        <f t="shared" ref="G30:H30" si="40">+G21/C21-1</f>
        <v>0.58784007049234499</v>
      </c>
      <c r="H30" s="5">
        <f t="shared" si="40"/>
        <v>0.45720346799483491</v>
      </c>
      <c r="I30" s="5">
        <f>+I21/E21-1</f>
        <v>6.5022910757146057E-2</v>
      </c>
      <c r="J30" s="5">
        <f>+J21/F21-1</f>
        <v>0.73093724080729894</v>
      </c>
      <c r="K30" s="5">
        <f>+K21/G21-1</f>
        <v>0.63672308546059941</v>
      </c>
      <c r="L30" s="5">
        <f>+L21/H21-1</f>
        <v>1.1210836128868915</v>
      </c>
      <c r="M30" s="5"/>
      <c r="N30" s="5"/>
      <c r="R30" s="5">
        <f>+R21/Q21-1</f>
        <v>0.4385139692569846</v>
      </c>
      <c r="S30" s="5">
        <f t="shared" ref="S30:AP30" si="41">+S21/R21-1</f>
        <v>-0.21588710536381961</v>
      </c>
      <c r="T30" s="5">
        <f t="shared" si="41"/>
        <v>-7.0135034640805838E-4</v>
      </c>
      <c r="U30" s="5">
        <f t="shared" si="41"/>
        <v>6.7009718042263522E-3</v>
      </c>
      <c r="V30" s="5">
        <f t="shared" si="41"/>
        <v>6.7352805662099779E-3</v>
      </c>
      <c r="W30" s="5">
        <f t="shared" si="41"/>
        <v>6.7678211570307845E-3</v>
      </c>
      <c r="X30" s="5">
        <f t="shared" si="41"/>
        <v>6.798634304896467E-3</v>
      </c>
      <c r="Y30" s="5">
        <f t="shared" si="41"/>
        <v>6.8277604179234341E-3</v>
      </c>
      <c r="Z30" s="5">
        <f t="shared" si="41"/>
        <v>6.855239551294412E-3</v>
      </c>
      <c r="AA30" s="5">
        <f t="shared" si="41"/>
        <v>6.8811113769289278E-3</v>
      </c>
      <c r="AB30" s="5">
        <f t="shared" si="41"/>
        <v>6.9054151555483223E-3</v>
      </c>
      <c r="AC30" s="5">
        <f t="shared" si="41"/>
        <v>6.9281897110691215E-3</v>
      </c>
      <c r="AD30" s="5">
        <f t="shared" si="41"/>
        <v>6.9494734071993136E-3</v>
      </c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spans="1:51">
      <c r="A31" t="s">
        <v>51</v>
      </c>
      <c r="C31" s="5"/>
      <c r="D31" s="5"/>
      <c r="E31" s="5"/>
      <c r="F31" s="5"/>
      <c r="G31" s="5">
        <f>+G9/C9-1</f>
        <v>0.15772865192891206</v>
      </c>
      <c r="H31" s="5">
        <f t="shared" ref="H31:J31" si="42">+H9/D9-1</f>
        <v>9.560270578205543E-2</v>
      </c>
      <c r="I31" s="5">
        <f t="shared" si="42"/>
        <v>7.5808873092714002E-2</v>
      </c>
      <c r="J31" s="5">
        <f t="shared" si="42"/>
        <v>0.12798774179999528</v>
      </c>
      <c r="K31" s="5">
        <f>+K9/G9-1</f>
        <v>9.9023542802372244E-2</v>
      </c>
      <c r="L31" s="5">
        <f t="shared" ref="L31" si="43">+L9/H9-1</f>
        <v>0.10920819152340222</v>
      </c>
      <c r="M31" s="5"/>
      <c r="N31" s="5"/>
      <c r="R31" s="5">
        <f>+R9/Q9-1</f>
        <v>0.11309497617895192</v>
      </c>
      <c r="S31" s="5">
        <f t="shared" ref="S31:AP31" si="44">+S9/R9-1</f>
        <v>-3.0427522312644784E-2</v>
      </c>
      <c r="T31" s="5">
        <f t="shared" si="44"/>
        <v>-9.9999999999998979E-3</v>
      </c>
      <c r="U31" s="5">
        <f t="shared" si="44"/>
        <v>-1.0000000000000009E-2</v>
      </c>
      <c r="V31" s="5">
        <f t="shared" si="44"/>
        <v>-1.000000000000012E-2</v>
      </c>
      <c r="W31" s="5">
        <f t="shared" si="44"/>
        <v>-1.0000000000000009E-2</v>
      </c>
      <c r="X31" s="5">
        <f t="shared" si="44"/>
        <v>-1.0000000000000009E-2</v>
      </c>
      <c r="Y31" s="5">
        <f t="shared" si="44"/>
        <v>-1.0000000000000009E-2</v>
      </c>
      <c r="Z31" s="5">
        <f t="shared" si="44"/>
        <v>-1.0000000000000009E-2</v>
      </c>
      <c r="AA31" s="5">
        <f t="shared" si="44"/>
        <v>-1.000000000000012E-2</v>
      </c>
      <c r="AB31" s="5">
        <f t="shared" si="44"/>
        <v>-1.000000000000012E-2</v>
      </c>
      <c r="AC31" s="5">
        <f t="shared" si="44"/>
        <v>-1.0000000000000009E-2</v>
      </c>
      <c r="AD31" s="5">
        <f t="shared" si="44"/>
        <v>-9.9999999999998979E-3</v>
      </c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spans="1:51">
      <c r="A32" t="s">
        <v>8</v>
      </c>
      <c r="C32" s="3" t="s">
        <v>8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S32" t="s">
        <v>8</v>
      </c>
    </row>
    <row r="33" spans="1:42">
      <c r="A33" t="s">
        <v>52</v>
      </c>
      <c r="C33" s="5">
        <f t="shared" ref="C33:L33" si="45">+C9/C5</f>
        <v>0.56148600300822149</v>
      </c>
      <c r="D33" s="5">
        <f t="shared" si="45"/>
        <v>0.5896732363926801</v>
      </c>
      <c r="E33" s="5">
        <f t="shared" si="45"/>
        <v>0.6040215047793539</v>
      </c>
      <c r="F33" s="5">
        <f t="shared" si="45"/>
        <v>0.6176977884971101</v>
      </c>
      <c r="G33" s="5">
        <f t="shared" si="45"/>
        <v>0.63678498540883866</v>
      </c>
      <c r="H33" s="5">
        <f t="shared" si="45"/>
        <v>0.61421775544388613</v>
      </c>
      <c r="I33" s="5">
        <f t="shared" si="45"/>
        <v>0.63306949615512909</v>
      </c>
      <c r="J33" s="5">
        <f t="shared" si="45"/>
        <v>0.64101804744582014</v>
      </c>
      <c r="K33" s="5">
        <f t="shared" si="45"/>
        <v>0.65731829113725626</v>
      </c>
      <c r="L33" s="5">
        <f t="shared" si="45"/>
        <v>0.65235429221537422</v>
      </c>
      <c r="M33" s="5"/>
      <c r="N33" s="5"/>
      <c r="Q33" s="5">
        <f>+Q9/Q5</f>
        <v>0.59340414143104514</v>
      </c>
      <c r="R33" s="5">
        <f>+R9/R5</f>
        <v>0.63120603573624046</v>
      </c>
      <c r="S33" s="5">
        <f t="shared" ref="S33:AP33" si="46">+S9/S5</f>
        <v>0.6</v>
      </c>
      <c r="T33" s="5">
        <f t="shared" si="46"/>
        <v>0.6</v>
      </c>
      <c r="U33" s="5">
        <f t="shared" si="46"/>
        <v>0.6</v>
      </c>
      <c r="V33" s="5">
        <f t="shared" si="46"/>
        <v>0.6</v>
      </c>
      <c r="W33" s="5">
        <f t="shared" si="46"/>
        <v>0.6</v>
      </c>
      <c r="X33" s="5">
        <f t="shared" si="46"/>
        <v>0.6</v>
      </c>
      <c r="Y33" s="5">
        <f t="shared" si="46"/>
        <v>0.6</v>
      </c>
      <c r="Z33" s="5">
        <f t="shared" si="46"/>
        <v>0.6</v>
      </c>
      <c r="AA33" s="5">
        <f t="shared" si="46"/>
        <v>0.6</v>
      </c>
      <c r="AB33" s="5">
        <f t="shared" si="46"/>
        <v>0.6</v>
      </c>
      <c r="AC33" s="5">
        <f t="shared" si="46"/>
        <v>0.6</v>
      </c>
      <c r="AD33" s="5">
        <f t="shared" si="46"/>
        <v>0.6</v>
      </c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1:42">
      <c r="A34" t="s">
        <v>53</v>
      </c>
      <c r="C34" s="5">
        <f>+C15/C5</f>
        <v>4.3385563457410299E-2</v>
      </c>
      <c r="D34" s="5">
        <f t="shared" ref="D34:L34" si="47">+D15/D5</f>
        <v>5.3259414127651575E-2</v>
      </c>
      <c r="E34" s="5">
        <f t="shared" si="47"/>
        <v>7.5488808076321606E-2</v>
      </c>
      <c r="F34" s="5">
        <f t="shared" si="47"/>
        <v>6.9530458011232879E-2</v>
      </c>
      <c r="G34" s="5">
        <f t="shared" si="47"/>
        <v>4.2052108565870036E-2</v>
      </c>
      <c r="H34" s="5">
        <f t="shared" si="47"/>
        <v>7.2178671133445005E-2</v>
      </c>
      <c r="I34" s="5">
        <f t="shared" si="47"/>
        <v>7.289027919262217E-2</v>
      </c>
      <c r="J34" s="5">
        <f t="shared" si="47"/>
        <v>0.11350928451137524</v>
      </c>
      <c r="K34" s="5">
        <f t="shared" si="47"/>
        <v>8.3862183865318907E-2</v>
      </c>
      <c r="L34" s="5">
        <f t="shared" si="47"/>
        <v>0.11023622047244094</v>
      </c>
      <c r="M34" s="5"/>
      <c r="N34" s="5"/>
      <c r="Q34" s="5">
        <f t="shared" ref="Q34:R34" si="48">+Q15/Q5</f>
        <v>6.0573799579614007E-2</v>
      </c>
      <c r="R34" s="5">
        <f t="shared" si="48"/>
        <v>7.5797169501021916E-2</v>
      </c>
      <c r="S34" s="5">
        <f t="shared" ref="S34:AP34" si="49">+S15/S5</f>
        <v>6.0926688654052499E-2</v>
      </c>
      <c r="T34" s="5">
        <f t="shared" si="49"/>
        <v>6.092668865405259E-2</v>
      </c>
      <c r="U34" s="5">
        <f t="shared" si="49"/>
        <v>6.0926688654052576E-2</v>
      </c>
      <c r="V34" s="5">
        <f t="shared" si="49"/>
        <v>6.0926688654052479E-2</v>
      </c>
      <c r="W34" s="5">
        <f t="shared" si="49"/>
        <v>6.0926688654052513E-2</v>
      </c>
      <c r="X34" s="5">
        <f t="shared" si="49"/>
        <v>6.0926688654052534E-2</v>
      </c>
      <c r="Y34" s="5">
        <f t="shared" si="49"/>
        <v>6.0926688654052541E-2</v>
      </c>
      <c r="Z34" s="5">
        <f t="shared" si="49"/>
        <v>6.0926688654052492E-2</v>
      </c>
      <c r="AA34" s="5">
        <f t="shared" si="49"/>
        <v>6.0926688654052492E-2</v>
      </c>
      <c r="AB34" s="5">
        <f t="shared" si="49"/>
        <v>6.092668865405243E-2</v>
      </c>
      <c r="AC34" s="5">
        <f t="shared" si="49"/>
        <v>6.0926688654052451E-2</v>
      </c>
      <c r="AD34" s="5">
        <f t="shared" si="49"/>
        <v>6.0926688654052513E-2</v>
      </c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2">
      <c r="A35" t="s">
        <v>54</v>
      </c>
      <c r="C35" s="5">
        <f t="shared" ref="C35:L35" si="50">+C10/C5</f>
        <v>0.11289105662563219</v>
      </c>
      <c r="D35" s="5">
        <f t="shared" si="50"/>
        <v>0.10774507270548991</v>
      </c>
      <c r="E35" s="5">
        <f t="shared" si="50"/>
        <v>0.10667721548270087</v>
      </c>
      <c r="F35" s="5">
        <f t="shared" si="50"/>
        <v>0.11322241386765575</v>
      </c>
      <c r="G35" s="5">
        <f t="shared" si="50"/>
        <v>0.12705277613534494</v>
      </c>
      <c r="H35" s="5">
        <f t="shared" si="50"/>
        <v>0.10618425460636516</v>
      </c>
      <c r="I35" s="5">
        <f t="shared" si="50"/>
        <v>0.10755271484850397</v>
      </c>
      <c r="J35" s="5">
        <f t="shared" si="50"/>
        <v>0.11469388296344099</v>
      </c>
      <c r="K35" s="5">
        <f t="shared" si="50"/>
        <v>0.11399882660121909</v>
      </c>
      <c r="L35" s="5">
        <f t="shared" si="50"/>
        <v>0.11905973730470003</v>
      </c>
      <c r="M35" s="5"/>
      <c r="N35" s="5"/>
      <c r="Q35" s="5">
        <f>+Q10/Q5</f>
        <v>0.11007893809216922</v>
      </c>
      <c r="R35" s="5">
        <f>+R10/R5</f>
        <v>0.11367590582545635</v>
      </c>
      <c r="S35" s="5">
        <f t="shared" ref="S35:AP35" si="51">+S10/S5</f>
        <v>0.11033249683058999</v>
      </c>
      <c r="T35" s="5">
        <f t="shared" si="51"/>
        <v>0.11033249683058999</v>
      </c>
      <c r="U35" s="5">
        <f t="shared" si="51"/>
        <v>0.11033249683058999</v>
      </c>
      <c r="V35" s="5">
        <f t="shared" si="51"/>
        <v>0.11033249683058999</v>
      </c>
      <c r="W35" s="5">
        <f t="shared" si="51"/>
        <v>0.11033249683059</v>
      </c>
      <c r="X35" s="5">
        <f t="shared" si="51"/>
        <v>0.11033249683058999</v>
      </c>
      <c r="Y35" s="5">
        <f t="shared" si="51"/>
        <v>0.11033249683058997</v>
      </c>
      <c r="Z35" s="5">
        <f t="shared" si="51"/>
        <v>0.11033249683058999</v>
      </c>
      <c r="AA35" s="5">
        <f t="shared" si="51"/>
        <v>0.11033249683058999</v>
      </c>
      <c r="AB35" s="5">
        <f t="shared" si="51"/>
        <v>0.11033249683059</v>
      </c>
      <c r="AC35" s="5">
        <f t="shared" si="51"/>
        <v>0.11033249683059</v>
      </c>
      <c r="AD35" s="5">
        <f t="shared" si="51"/>
        <v>0.11033249683059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2">
      <c r="A36" t="s">
        <v>55</v>
      </c>
      <c r="C36" s="5">
        <f t="shared" ref="C36:L36" si="52">+C11/C5</f>
        <v>0.11679492983250339</v>
      </c>
      <c r="D36" s="5">
        <f t="shared" si="52"/>
        <v>0.13770114402499473</v>
      </c>
      <c r="E36" s="5">
        <f t="shared" si="52"/>
        <v>0.12959775698859063</v>
      </c>
      <c r="F36" s="5">
        <f t="shared" si="52"/>
        <v>0.1219089166374394</v>
      </c>
      <c r="G36" s="5">
        <f t="shared" si="52"/>
        <v>0.13589330332449598</v>
      </c>
      <c r="H36" s="5">
        <f t="shared" si="52"/>
        <v>0.1286387493020659</v>
      </c>
      <c r="I36" s="5">
        <f t="shared" si="52"/>
        <v>0.14178243349229674</v>
      </c>
      <c r="J36" s="5">
        <f t="shared" si="52"/>
        <v>0.10686580886415573</v>
      </c>
      <c r="K36" s="5">
        <f t="shared" si="52"/>
        <v>0.13120568964050106</v>
      </c>
      <c r="L36" s="5">
        <f t="shared" si="52"/>
        <v>0.11164764100304952</v>
      </c>
      <c r="M36" s="5"/>
      <c r="N36" s="5"/>
      <c r="Q36" s="5">
        <f>+Q11/Q5</f>
        <v>0.12662377352802592</v>
      </c>
      <c r="R36" s="5">
        <f>+R11/R5</f>
        <v>0.12808472896123546</v>
      </c>
      <c r="S36" s="5">
        <f t="shared" ref="S36:AP36" si="53">+S11/S5</f>
        <v>0.12431753105061089</v>
      </c>
      <c r="T36" s="5">
        <f t="shared" si="53"/>
        <v>0.12431753105061089</v>
      </c>
      <c r="U36" s="5">
        <f t="shared" si="53"/>
        <v>0.12431753105061089</v>
      </c>
      <c r="V36" s="5">
        <f t="shared" si="53"/>
        <v>0.12431753105061089</v>
      </c>
      <c r="W36" s="5">
        <f t="shared" si="53"/>
        <v>0.12431753105061089</v>
      </c>
      <c r="X36" s="5">
        <f t="shared" si="53"/>
        <v>0.12431753105061087</v>
      </c>
      <c r="Y36" s="5">
        <f t="shared" si="53"/>
        <v>0.12431753105061087</v>
      </c>
      <c r="Z36" s="5">
        <f t="shared" si="53"/>
        <v>0.12431753105061087</v>
      </c>
      <c r="AA36" s="5">
        <f t="shared" si="53"/>
        <v>0.1243175310506109</v>
      </c>
      <c r="AB36" s="5">
        <f t="shared" si="53"/>
        <v>0.1243175310506109</v>
      </c>
      <c r="AC36" s="5">
        <f t="shared" si="53"/>
        <v>0.1243175310506109</v>
      </c>
      <c r="AD36" s="5">
        <f t="shared" si="53"/>
        <v>0.1243175310506109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2">
      <c r="A37" t="s">
        <v>56</v>
      </c>
      <c r="C37" s="5">
        <f t="shared" ref="C37:L37" si="54">+C12/C5</f>
        <v>0.25063644815685587</v>
      </c>
      <c r="D37" s="5">
        <f t="shared" si="54"/>
        <v>0.25443867603185416</v>
      </c>
      <c r="E37" s="5">
        <f t="shared" si="54"/>
        <v>0.25715515087582935</v>
      </c>
      <c r="F37" s="5">
        <f t="shared" si="54"/>
        <v>0.27581568086711283</v>
      </c>
      <c r="G37" s="5">
        <f t="shared" si="54"/>
        <v>0.29519922180472641</v>
      </c>
      <c r="H37" s="5">
        <f t="shared" si="54"/>
        <v>0.272107202680067</v>
      </c>
      <c r="I37" s="5">
        <f t="shared" si="54"/>
        <v>0.27501870599583511</v>
      </c>
      <c r="J37" s="5">
        <f t="shared" si="54"/>
        <v>0.27083987146222765</v>
      </c>
      <c r="K37" s="5">
        <f t="shared" si="54"/>
        <v>0.29539194654317613</v>
      </c>
      <c r="L37" s="5">
        <f t="shared" si="54"/>
        <v>0.28112930750576332</v>
      </c>
      <c r="M37" s="5"/>
      <c r="N37" s="5"/>
      <c r="Q37" s="5">
        <f>+Q12/Q5</f>
        <v>0.25948924645039695</v>
      </c>
      <c r="R37" s="5">
        <f>+R12/R5</f>
        <v>0.27800726338974824</v>
      </c>
      <c r="S37" s="5">
        <f t="shared" ref="S37:AP37" si="55">+S12/S5</f>
        <v>0.26983057917240266</v>
      </c>
      <c r="T37" s="5">
        <f t="shared" si="55"/>
        <v>0.26983057917240266</v>
      </c>
      <c r="U37" s="5">
        <f t="shared" si="55"/>
        <v>0.26983057917240266</v>
      </c>
      <c r="V37" s="5">
        <f t="shared" si="55"/>
        <v>0.26983057917240272</v>
      </c>
      <c r="W37" s="5">
        <f t="shared" si="55"/>
        <v>0.26983057917240272</v>
      </c>
      <c r="X37" s="5">
        <f t="shared" si="55"/>
        <v>0.26983057917240272</v>
      </c>
      <c r="Y37" s="5">
        <f t="shared" si="55"/>
        <v>0.26983057917240272</v>
      </c>
      <c r="Z37" s="5">
        <f t="shared" si="55"/>
        <v>0.26983057917240272</v>
      </c>
      <c r="AA37" s="5">
        <f t="shared" si="55"/>
        <v>0.26983057917240272</v>
      </c>
      <c r="AB37" s="5">
        <f t="shared" si="55"/>
        <v>0.26983057917240272</v>
      </c>
      <c r="AC37" s="5">
        <f t="shared" si="55"/>
        <v>0.26983057917240272</v>
      </c>
      <c r="AD37" s="5">
        <f t="shared" si="55"/>
        <v>0.26983057917240272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2">
      <c r="A38" t="s">
        <v>57</v>
      </c>
      <c r="C38" s="5">
        <f>+C19/C18</f>
        <v>-7.4592637296318653E-2</v>
      </c>
      <c r="D38" s="5">
        <f t="shared" ref="D38:L38" si="56">+D19/D18</f>
        <v>7.2309801233721729E-2</v>
      </c>
      <c r="E38" s="5">
        <f t="shared" si="56"/>
        <v>1.3401612551754195E-2</v>
      </c>
      <c r="F38" s="5">
        <f t="shared" si="56"/>
        <v>2.6805251641137857E-2</v>
      </c>
      <c r="G38" s="5">
        <f t="shared" si="56"/>
        <v>-9.4108586830958796E-2</v>
      </c>
      <c r="H38" s="5">
        <f t="shared" si="56"/>
        <v>0.2941947734876571</v>
      </c>
      <c r="I38" s="5">
        <f t="shared" si="56"/>
        <v>0.17030399176778288</v>
      </c>
      <c r="J38" s="5">
        <f t="shared" si="56"/>
        <v>0.2088377877611107</v>
      </c>
      <c r="K38" s="5">
        <f t="shared" si="56"/>
        <v>0.10504378417651333</v>
      </c>
      <c r="L38" s="5">
        <f t="shared" si="56"/>
        <v>2.6463896539336607E-2</v>
      </c>
      <c r="M38" s="5"/>
      <c r="N38" s="5"/>
      <c r="Q38" s="5">
        <f t="shared" ref="Q38:R38" si="57">+Q19/Q18</f>
        <v>1.699856872758115E-2</v>
      </c>
      <c r="R38" s="5">
        <f t="shared" si="57"/>
        <v>0.1787375415282392</v>
      </c>
      <c r="S38" s="5">
        <f t="shared" ref="S38:AP38" si="58">+S19/S18</f>
        <v>7.0000000000000007E-2</v>
      </c>
      <c r="T38" s="5">
        <f t="shared" si="58"/>
        <v>7.0000000000000007E-2</v>
      </c>
      <c r="U38" s="5">
        <f t="shared" si="58"/>
        <v>7.0000000000000007E-2</v>
      </c>
      <c r="V38" s="5">
        <f t="shared" si="58"/>
        <v>7.0000000000000007E-2</v>
      </c>
      <c r="W38" s="5">
        <f t="shared" si="58"/>
        <v>7.0000000000000007E-2</v>
      </c>
      <c r="X38" s="5">
        <f t="shared" si="58"/>
        <v>7.0000000000000007E-2</v>
      </c>
      <c r="Y38" s="5">
        <f t="shared" si="58"/>
        <v>7.0000000000000007E-2</v>
      </c>
      <c r="Z38" s="5">
        <f t="shared" si="58"/>
        <v>7.0000000000000007E-2</v>
      </c>
      <c r="AA38" s="5">
        <f t="shared" si="58"/>
        <v>7.0000000000000007E-2</v>
      </c>
      <c r="AB38" s="5">
        <f t="shared" si="58"/>
        <v>7.0000000000000007E-2</v>
      </c>
      <c r="AC38" s="5">
        <f t="shared" si="58"/>
        <v>7.0000000000000007E-2</v>
      </c>
      <c r="AD38" s="5">
        <f t="shared" si="58"/>
        <v>7.0000000000000007E-2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spans="1:42">
      <c r="A39" t="s">
        <v>58</v>
      </c>
      <c r="C39" s="5">
        <f t="shared" ref="C39:L39" si="59">+C21/C5</f>
        <v>4.4193597063820055E-2</v>
      </c>
      <c r="D39" s="5">
        <f t="shared" si="59"/>
        <v>5.0938476356033734E-2</v>
      </c>
      <c r="E39" s="5">
        <f t="shared" si="59"/>
        <v>8.4816182253930353E-2</v>
      </c>
      <c r="F39" s="5">
        <f t="shared" si="59"/>
        <v>8.6889050105938823E-2</v>
      </c>
      <c r="G39" s="5">
        <f t="shared" si="59"/>
        <v>6.8740582502050396E-2</v>
      </c>
      <c r="H39" s="5">
        <f t="shared" si="59"/>
        <v>7.0570630932439982E-2</v>
      </c>
      <c r="I39" s="5">
        <f t="shared" si="59"/>
        <v>8.800382233360679E-2</v>
      </c>
      <c r="J39" s="5">
        <f t="shared" si="59"/>
        <v>0.13836817143084465</v>
      </c>
      <c r="K39" s="5">
        <f t="shared" si="59"/>
        <v>0.10567306960225364</v>
      </c>
      <c r="L39" s="5">
        <f t="shared" si="59"/>
        <v>0.14332761636734573</v>
      </c>
      <c r="M39" s="5"/>
      <c r="N39" s="5"/>
      <c r="Q39" s="5">
        <f>+Q21/Q5</f>
        <v>6.6865347115157514E-2</v>
      </c>
      <c r="R39" s="5">
        <f>+R21/R5</f>
        <v>9.1918628258260915E-2</v>
      </c>
      <c r="S39" s="5">
        <f t="shared" ref="S39:AP39" si="60">+S21/S5</f>
        <v>7.0661354582913699E-2</v>
      </c>
      <c r="T39" s="5">
        <f t="shared" si="60"/>
        <v>7.1325046684241722E-2</v>
      </c>
      <c r="U39" s="5">
        <f t="shared" si="60"/>
        <v>7.2528276576775713E-2</v>
      </c>
      <c r="V39" s="5">
        <f t="shared" si="60"/>
        <v>7.3754318048993905E-2</v>
      </c>
      <c r="W39" s="5">
        <f t="shared" si="60"/>
        <v>7.5003509174856833E-2</v>
      </c>
      <c r="X39" s="5">
        <f t="shared" si="60"/>
        <v>7.6276192530626896E-2</v>
      </c>
      <c r="Y39" s="5">
        <f t="shared" si="60"/>
        <v>7.7572715251330721E-2</v>
      </c>
      <c r="Z39" s="5">
        <f t="shared" si="60"/>
        <v>7.8893429087901965E-2</v>
      </c>
      <c r="AA39" s="5">
        <f t="shared" si="60"/>
        <v>8.0238690465013807E-2</v>
      </c>
      <c r="AB39" s="5">
        <f t="shared" si="60"/>
        <v>8.1608860539608349E-2</v>
      </c>
      <c r="AC39" s="5">
        <f t="shared" si="60"/>
        <v>8.3004305260132263E-2</v>
      </c>
      <c r="AD39" s="5">
        <f t="shared" si="60"/>
        <v>8.4425395426485458E-2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3" spans="1:42">
      <c r="A43" t="s">
        <v>4</v>
      </c>
      <c r="L43" s="3">
        <v>1104539</v>
      </c>
      <c r="Q43" t="s">
        <v>8</v>
      </c>
      <c r="R43" s="3" t="s">
        <v>8</v>
      </c>
    </row>
    <row r="44" spans="1:42">
      <c r="A44" t="s">
        <v>59</v>
      </c>
      <c r="L44" s="3">
        <v>123551</v>
      </c>
    </row>
    <row r="45" spans="1:42">
      <c r="A45" t="s">
        <v>60</v>
      </c>
      <c r="L45" s="3">
        <v>79582</v>
      </c>
    </row>
    <row r="46" spans="1:42">
      <c r="A46" t="s">
        <v>61</v>
      </c>
      <c r="L46" s="3">
        <v>35074</v>
      </c>
    </row>
    <row r="47" spans="1:42">
      <c r="A47" t="s">
        <v>62</v>
      </c>
      <c r="L47" s="3">
        <v>54784</v>
      </c>
    </row>
    <row r="48" spans="1:42">
      <c r="A48" t="s">
        <v>63</v>
      </c>
      <c r="L48" s="3">
        <f>69928+154356</f>
        <v>224284</v>
      </c>
    </row>
    <row r="49" spans="1:12">
      <c r="A49" t="s">
        <v>64</v>
      </c>
      <c r="L49" s="3">
        <v>172421</v>
      </c>
    </row>
    <row r="50" spans="1:12">
      <c r="A50" t="s">
        <v>65</v>
      </c>
      <c r="L50" s="3">
        <v>22025</v>
      </c>
    </row>
    <row r="52" spans="1:12">
      <c r="A52" t="s">
        <v>66</v>
      </c>
      <c r="L52" s="3">
        <v>38987</v>
      </c>
    </row>
    <row r="53" spans="1:12">
      <c r="A53" t="s">
        <v>67</v>
      </c>
      <c r="L53" s="3">
        <f>SUM(L43:L52)</f>
        <v>1855247</v>
      </c>
    </row>
    <row r="55" spans="1:12">
      <c r="A55" t="s">
        <v>5</v>
      </c>
      <c r="L55" s="3">
        <v>96075</v>
      </c>
    </row>
    <row r="56" spans="1:12">
      <c r="A56" t="s">
        <v>68</v>
      </c>
      <c r="L56" s="3">
        <v>24920</v>
      </c>
    </row>
    <row r="57" spans="1:12">
      <c r="A57" t="s">
        <v>69</v>
      </c>
      <c r="L57" s="3">
        <f>12181+13726</f>
        <v>25907</v>
      </c>
    </row>
    <row r="58" spans="1:12">
      <c r="A58" t="s">
        <v>65</v>
      </c>
      <c r="L58" s="3">
        <f>12039+18098</f>
        <v>30137</v>
      </c>
    </row>
    <row r="59" spans="1:12">
      <c r="A59" t="s">
        <v>70</v>
      </c>
      <c r="L59" s="3">
        <v>980492</v>
      </c>
    </row>
    <row r="60" spans="1:12">
      <c r="A60" t="s">
        <v>66</v>
      </c>
      <c r="L60" s="3">
        <v>14314</v>
      </c>
    </row>
    <row r="61" spans="1:12">
      <c r="A61" t="s">
        <v>71</v>
      </c>
      <c r="L61" s="3">
        <f>SUM(L55:L60)</f>
        <v>1171845</v>
      </c>
    </row>
    <row r="63" spans="1:12">
      <c r="A63" t="s">
        <v>72</v>
      </c>
      <c r="L63" s="3">
        <f>+L53-L61</f>
        <v>683402</v>
      </c>
    </row>
    <row r="64" spans="1:12">
      <c r="A64" t="s">
        <v>73</v>
      </c>
      <c r="L64" s="3">
        <f>+L61+L63</f>
        <v>1855247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Simão Clemente</dc:creator>
  <cp:keywords/>
  <dc:description/>
  <cp:lastModifiedBy>Simão Clemente</cp:lastModifiedBy>
  <cp:revision/>
  <dcterms:created xsi:type="dcterms:W3CDTF">2024-08-14T19:17:19Z</dcterms:created>
  <dcterms:modified xsi:type="dcterms:W3CDTF">2025-02-19T18:58:30Z</dcterms:modified>
  <cp:category/>
  <cp:contentStatus/>
</cp:coreProperties>
</file>