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8"/>
  <workbookPr/>
  <xr:revisionPtr revIDLastSave="894" documentId="11_FE4855BF84DCCE436F107A399131F45B7AFB1D1F" xr6:coauthVersionLast="47" xr6:coauthVersionMax="47" xr10:uidLastSave="{E714CEE9-B7DC-4070-A8A0-EE937E716F8A}"/>
  <bookViews>
    <workbookView xWindow="240" yWindow="105" windowWidth="14805" windowHeight="8010" firstSheet="1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W2" i="2"/>
  <c r="X2" i="2"/>
  <c r="Y2" i="2"/>
  <c r="Z2" i="2"/>
  <c r="AA2" i="2"/>
  <c r="AB2" i="2"/>
  <c r="AC2" i="2"/>
  <c r="AD2" i="2"/>
  <c r="AE2" i="2"/>
  <c r="T9" i="2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T8" i="2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T4" i="2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D31" i="2"/>
  <c r="AC31" i="2"/>
  <c r="AB31" i="2"/>
  <c r="AA31" i="2"/>
  <c r="Z31" i="2"/>
  <c r="Y31" i="2"/>
  <c r="X31" i="2"/>
  <c r="W31" i="2"/>
  <c r="V31" i="2"/>
  <c r="U31" i="2"/>
  <c r="T31" i="2"/>
  <c r="S31" i="2"/>
  <c r="L56" i="2"/>
  <c r="L37" i="2"/>
  <c r="L36" i="2" s="1"/>
  <c r="S36" i="2" s="1"/>
  <c r="L44" i="2"/>
  <c r="K33" i="2"/>
  <c r="J33" i="2"/>
  <c r="K32" i="2"/>
  <c r="J32" i="2"/>
  <c r="L33" i="2"/>
  <c r="L32" i="2"/>
  <c r="K30" i="2"/>
  <c r="J30" i="2"/>
  <c r="L30" i="2"/>
  <c r="L13" i="2"/>
  <c r="L6" i="2"/>
  <c r="L7" i="2" s="1"/>
  <c r="J13" i="2"/>
  <c r="J6" i="2"/>
  <c r="J7" i="2" s="1"/>
  <c r="H13" i="2"/>
  <c r="H15" i="2"/>
  <c r="H6" i="2"/>
  <c r="K15" i="2"/>
  <c r="K13" i="2"/>
  <c r="K6" i="2"/>
  <c r="K7" i="2" s="1"/>
  <c r="S3" i="2"/>
  <c r="C22" i="2"/>
  <c r="M5" i="1"/>
  <c r="M4" i="1"/>
  <c r="M7" i="1" s="1"/>
  <c r="T3" i="2" l="1"/>
  <c r="S33" i="2"/>
  <c r="S32" i="2"/>
  <c r="T13" i="2"/>
  <c r="L48" i="2"/>
  <c r="L58" i="2" s="1"/>
  <c r="L59" i="2" s="1"/>
  <c r="K12" i="2"/>
  <c r="K14" i="2" s="1"/>
  <c r="K16" i="2" s="1"/>
  <c r="K17" i="2" s="1"/>
  <c r="K31" i="2"/>
  <c r="J12" i="2"/>
  <c r="J14" i="2" s="1"/>
  <c r="J16" i="2" s="1"/>
  <c r="J17" i="2" s="1"/>
  <c r="J31" i="2"/>
  <c r="L12" i="2"/>
  <c r="L14" i="2" s="1"/>
  <c r="L16" i="2" s="1"/>
  <c r="L31" i="2"/>
  <c r="H7" i="2"/>
  <c r="H12" i="2" s="1"/>
  <c r="H14" i="2" s="1"/>
  <c r="H16" i="2" s="1"/>
  <c r="H17" i="2" s="1"/>
  <c r="D22" i="2"/>
  <c r="U3" i="2" l="1"/>
  <c r="T6" i="2"/>
  <c r="T33" i="2"/>
  <c r="T32" i="2"/>
  <c r="L17" i="2"/>
  <c r="L34" i="2"/>
  <c r="E22" i="2"/>
  <c r="F22" i="2" s="1"/>
  <c r="R22" i="2"/>
  <c r="R24" i="2" s="1"/>
  <c r="T12" i="2" l="1"/>
  <c r="U6" i="2"/>
  <c r="V6" i="2" s="1"/>
  <c r="W6" i="2" s="1"/>
  <c r="X6" i="2" s="1"/>
  <c r="Y6" i="2" s="1"/>
  <c r="Z6" i="2" s="1"/>
  <c r="AA6" i="2" s="1"/>
  <c r="AB6" i="2" s="1"/>
  <c r="AC6" i="2" s="1"/>
  <c r="AD6" i="2" s="1"/>
  <c r="AE6" i="2" s="1"/>
  <c r="V3" i="2"/>
  <c r="U33" i="2"/>
  <c r="U32" i="2"/>
  <c r="G22" i="2"/>
  <c r="H22" i="2" s="1"/>
  <c r="M22" i="2" s="1"/>
  <c r="N22" i="2" s="1"/>
  <c r="N23" i="2" s="1"/>
  <c r="S22" i="2"/>
  <c r="S34" i="2" s="1"/>
  <c r="W3" i="2" l="1"/>
  <c r="V33" i="2"/>
  <c r="V32" i="2"/>
  <c r="T22" i="2"/>
  <c r="S24" i="2"/>
  <c r="T34" i="2" l="1"/>
  <c r="T36" i="2"/>
  <c r="X3" i="2"/>
  <c r="W33" i="2"/>
  <c r="W32" i="2"/>
  <c r="T24" i="2"/>
  <c r="U22" i="2"/>
  <c r="U34" i="2" l="1"/>
  <c r="Y3" i="2"/>
  <c r="X33" i="2"/>
  <c r="X32" i="2"/>
  <c r="U36" i="2"/>
  <c r="U13" i="2"/>
  <c r="V22" i="2"/>
  <c r="V13" i="2"/>
  <c r="U24" i="2"/>
  <c r="V36" i="2" l="1"/>
  <c r="V34" i="2"/>
  <c r="Z3" i="2"/>
  <c r="Y33" i="2"/>
  <c r="Y32" i="2"/>
  <c r="W13" i="2"/>
  <c r="W22" i="2"/>
  <c r="V24" i="2"/>
  <c r="W36" i="2" l="1"/>
  <c r="W34" i="2"/>
  <c r="AA3" i="2"/>
  <c r="Z33" i="2"/>
  <c r="Z32" i="2"/>
  <c r="X22" i="2"/>
  <c r="W24" i="2"/>
  <c r="X36" i="2" l="1"/>
  <c r="X34" i="2"/>
  <c r="AB3" i="2"/>
  <c r="AA33" i="2"/>
  <c r="AA32" i="2"/>
  <c r="X13" i="2"/>
  <c r="Y22" i="2" s="1"/>
  <c r="X24" i="2"/>
  <c r="Y36" i="2" l="1"/>
  <c r="Y34" i="2"/>
  <c r="AC3" i="2"/>
  <c r="AB32" i="2"/>
  <c r="AB33" i="2"/>
  <c r="Y13" i="2"/>
  <c r="Z22" i="2" s="1"/>
  <c r="Y24" i="2"/>
  <c r="Z36" i="2" l="1"/>
  <c r="Z34" i="2"/>
  <c r="AD3" i="2"/>
  <c r="AC32" i="2"/>
  <c r="AC33" i="2"/>
  <c r="Z13" i="2"/>
  <c r="AA22" i="2" s="1"/>
  <c r="Z24" i="2"/>
  <c r="AA36" i="2" l="1"/>
  <c r="AA34" i="2"/>
  <c r="AE3" i="2"/>
  <c r="AD32" i="2"/>
  <c r="AD33" i="2"/>
  <c r="AA13" i="2"/>
  <c r="AB22" i="2" s="1"/>
  <c r="AA24" i="2"/>
  <c r="AB36" i="2" l="1"/>
  <c r="AB34" i="2"/>
  <c r="AB13" i="2"/>
  <c r="AC22" i="2" s="1"/>
  <c r="AB24" i="2"/>
  <c r="AC36" i="2" l="1"/>
  <c r="AC34" i="2"/>
  <c r="AC13" i="2"/>
  <c r="AD22" i="2" s="1"/>
  <c r="AC24" i="2"/>
  <c r="AD36" i="2" l="1"/>
  <c r="AD34" i="2"/>
  <c r="AD13" i="2"/>
  <c r="AE22" i="2" s="1"/>
  <c r="AD24" i="2"/>
  <c r="AE36" i="2" l="1"/>
  <c r="AE34" i="2"/>
  <c r="M26" i="2"/>
  <c r="AE13" i="2"/>
  <c r="AE24" i="2"/>
  <c r="M27" i="2"/>
  <c r="M28" i="2" s="1"/>
</calcChain>
</file>

<file path=xl/sharedStrings.xml><?xml version="1.0" encoding="utf-8"?>
<sst xmlns="http://schemas.openxmlformats.org/spreadsheetml/2006/main" count="83" uniqueCount="69">
  <si>
    <t>AMD</t>
  </si>
  <si>
    <t>Price</t>
  </si>
  <si>
    <t>Shares</t>
  </si>
  <si>
    <t>MC</t>
  </si>
  <si>
    <t xml:space="preserve">Cash </t>
  </si>
  <si>
    <t>Debt</t>
  </si>
  <si>
    <t>EV</t>
  </si>
  <si>
    <t>Expected</t>
  </si>
  <si>
    <t>Reported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</si>
  <si>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</si>
  <si>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</si>
  <si>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</si>
  <si>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</si>
  <si>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</si>
  <si>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</si>
  <si>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</si>
  <si>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</si>
  <si>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</si>
  <si>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</si>
  <si>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</si>
  <si>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</si>
  <si>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 xml:space="preserve"> </t>
  </si>
  <si>
    <t>FY22</t>
  </si>
  <si>
    <t>FY23</t>
  </si>
  <si>
    <t>revenue</t>
  </si>
  <si>
    <t>Sales</t>
  </si>
  <si>
    <t>Intangibles</t>
  </si>
  <si>
    <t>COGS</t>
  </si>
  <si>
    <t>Gross Profit</t>
  </si>
  <si>
    <t>RD</t>
  </si>
  <si>
    <t>GMA</t>
  </si>
  <si>
    <t>Amortization</t>
  </si>
  <si>
    <t>Licensing</t>
  </si>
  <si>
    <t>Operating income</t>
  </si>
  <si>
    <t>Interest expense</t>
  </si>
  <si>
    <t>EBIT</t>
  </si>
  <si>
    <t>Taxes</t>
  </si>
  <si>
    <t>NI</t>
  </si>
  <si>
    <t>EPS</t>
  </si>
  <si>
    <t>Forecasted not real</t>
  </si>
  <si>
    <t>Net income</t>
  </si>
  <si>
    <t>Discount</t>
  </si>
  <si>
    <t>NPV</t>
  </si>
  <si>
    <t>Current</t>
  </si>
  <si>
    <t>Ratio</t>
  </si>
  <si>
    <t>REV Q/Q</t>
  </si>
  <si>
    <t>Gross %</t>
  </si>
  <si>
    <t>RD %</t>
  </si>
  <si>
    <t>GMA %</t>
  </si>
  <si>
    <t>NI y/y</t>
  </si>
  <si>
    <t>Net cash</t>
  </si>
  <si>
    <t>Cash</t>
  </si>
  <si>
    <t>AR</t>
  </si>
  <si>
    <t>Inventories</t>
  </si>
  <si>
    <t>Receivebles</t>
  </si>
  <si>
    <t>Prepaid</t>
  </si>
  <si>
    <t>PPE</t>
  </si>
  <si>
    <t>OLA</t>
  </si>
  <si>
    <t>Equity</t>
  </si>
  <si>
    <t>DT</t>
  </si>
  <si>
    <t>ONA</t>
  </si>
  <si>
    <t>Assets</t>
  </si>
  <si>
    <t>AP</t>
  </si>
  <si>
    <t>AL</t>
  </si>
  <si>
    <t>OLL</t>
  </si>
  <si>
    <t>Other</t>
  </si>
  <si>
    <t>Liabilities</t>
  </si>
  <si>
    <t>S/E</t>
  </si>
  <si>
    <t>L+S/E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</si>
</sst>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"/>
  <sheetViews>
    <sheetView workbookViewId="0">
      <selection activeCell="C7" sqref="C7"/>
    </sheetView>
  </sheetViews>
  <sheetFormatPr defaultRowHeight="15"/>
  <cols>
    <col min="13" max="13" width="10.85546875" bestFit="1" customWidth="1"/>
  </cols>
  <sheetData>
    <row r="2" spans="2:13">
      <c r="B2" t="s">
        <v>0</v>
      </c>
      <c r="L2" t="s">
        <v>1</v>
      </c>
      <c r="M2" s="1">
        <v>120</v>
      </c>
    </row>
    <row r="3" spans="2:13">
      <c r="L3" t="s">
        <v>2</v>
      </c>
      <c r="M3" s="1">
        <v>1622</v>
      </c>
    </row>
    <row r="4" spans="2:13">
      <c r="L4" t="s">
        <v>3</v>
      </c>
      <c r="M4" s="1">
        <f>+M3*M2</f>
        <v>194640</v>
      </c>
    </row>
    <row r="5" spans="2:13">
      <c r="L5" t="s">
        <v>4</v>
      </c>
      <c r="M5" s="1">
        <f>3897+647</f>
        <v>4544</v>
      </c>
    </row>
    <row r="6" spans="2:13">
      <c r="L6" t="s">
        <v>5</v>
      </c>
      <c r="M6" s="1">
        <v>1720</v>
      </c>
    </row>
    <row r="7" spans="2:13">
      <c r="L7" t="s">
        <v>6</v>
      </c>
      <c r="M7" s="1">
        <f>+M4-M5+M6</f>
        <v>191816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07AA-4472-4CA5-8392-36060359EB99}">
  <dimension ref="A1:AE59"/>
  <sheetViews>
    <sheetView tabSelected="1" workbookViewId="0">
      <pane xSplit="1" ySplit="2" topLeftCell="C3" activePane="bottomRight" state="frozen"/>
      <selection pane="bottomRight" activeCell="M7" sqref="M7"/>
      <selection pane="bottomLeft"/>
      <selection pane="topRight"/>
    </sheetView>
  </sheetViews>
  <sheetFormatPr defaultRowHeight="15"/>
  <cols>
    <col min="1" max="1" width="16.5703125" bestFit="1" customWidth="1"/>
    <col min="13" max="13" width="12.28515625" bestFit="1" customWidth="1"/>
  </cols>
  <sheetData>
    <row r="1" spans="1:31">
      <c r="M1" t="s">
        <v>7</v>
      </c>
      <c r="N1" t="s">
        <v>8</v>
      </c>
    </row>
    <row r="2" spans="1:31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20</v>
      </c>
      <c r="O2" t="s">
        <v>21</v>
      </c>
      <c r="R2" t="s">
        <v>22</v>
      </c>
      <c r="S2" t="s">
        <v>23</v>
      </c>
      <c r="T2">
        <v>2024</v>
      </c>
      <c r="U2">
        <v>2025</v>
      </c>
      <c r="V2">
        <f>+U2+1</f>
        <v>2026</v>
      </c>
      <c r="W2">
        <f t="shared" ref="W2:AE2" si="0">+V2+1</f>
        <v>2027</v>
      </c>
      <c r="X2">
        <f t="shared" si="0"/>
        <v>2028</v>
      </c>
      <c r="Y2">
        <f t="shared" si="0"/>
        <v>2029</v>
      </c>
      <c r="Z2">
        <f t="shared" si="0"/>
        <v>2030</v>
      </c>
      <c r="AA2">
        <f t="shared" si="0"/>
        <v>2031</v>
      </c>
      <c r="AB2">
        <f t="shared" si="0"/>
        <v>2032</v>
      </c>
      <c r="AC2">
        <f t="shared" si="0"/>
        <v>2033</v>
      </c>
      <c r="AD2">
        <f t="shared" si="0"/>
        <v>2034</v>
      </c>
      <c r="AE2">
        <f t="shared" si="0"/>
        <v>2035</v>
      </c>
    </row>
    <row r="3" spans="1:31">
      <c r="A3" t="s">
        <v>24</v>
      </c>
      <c r="H3">
        <v>5800</v>
      </c>
      <c r="J3">
        <v>5359</v>
      </c>
      <c r="K3">
        <v>6819</v>
      </c>
      <c r="L3">
        <v>5835</v>
      </c>
      <c r="N3" t="s">
        <v>21</v>
      </c>
      <c r="R3">
        <v>10000</v>
      </c>
      <c r="S3">
        <f>+R3*1.4</f>
        <v>14000</v>
      </c>
      <c r="T3">
        <f>+S3*1.3</f>
        <v>18200</v>
      </c>
      <c r="U3">
        <f t="shared" ref="U3:Y3" si="1">+T3*1.3</f>
        <v>23660</v>
      </c>
      <c r="V3">
        <f t="shared" si="1"/>
        <v>30758</v>
      </c>
      <c r="W3">
        <f t="shared" si="1"/>
        <v>39985.4</v>
      </c>
      <c r="X3">
        <f t="shared" si="1"/>
        <v>51981.020000000004</v>
      </c>
      <c r="Y3">
        <f t="shared" si="1"/>
        <v>67575.326000000001</v>
      </c>
      <c r="Z3">
        <f>+Y3*1.25</f>
        <v>84469.157500000001</v>
      </c>
      <c r="AA3">
        <f t="shared" ref="AA3:AE3" si="2">+Z3*1.25</f>
        <v>105586.44687499999</v>
      </c>
      <c r="AB3">
        <f t="shared" si="2"/>
        <v>131983.05859375</v>
      </c>
      <c r="AC3">
        <f t="shared" si="2"/>
        <v>164978.8232421875</v>
      </c>
      <c r="AD3">
        <f t="shared" si="2"/>
        <v>206223.52905273438</v>
      </c>
      <c r="AE3">
        <f t="shared" si="2"/>
        <v>257779.41131591797</v>
      </c>
    </row>
    <row r="4" spans="1:31">
      <c r="A4" t="s">
        <v>25</v>
      </c>
      <c r="H4">
        <v>2843</v>
      </c>
      <c r="J4">
        <v>2704</v>
      </c>
      <c r="K4">
        <v>3167</v>
      </c>
      <c r="L4">
        <v>2740</v>
      </c>
      <c r="T4">
        <f>+SUM(H4:L4)</f>
        <v>11454</v>
      </c>
      <c r="U4">
        <f>+T4*1.05</f>
        <v>12026.7</v>
      </c>
      <c r="V4">
        <f t="shared" ref="V4:AE4" si="3">+U4*1.05</f>
        <v>12628.035000000002</v>
      </c>
      <c r="W4">
        <f t="shared" si="3"/>
        <v>13259.436750000003</v>
      </c>
      <c r="X4">
        <f t="shared" si="3"/>
        <v>13922.408587500004</v>
      </c>
      <c r="Y4">
        <f t="shared" si="3"/>
        <v>14618.529016875005</v>
      </c>
      <c r="Z4">
        <f t="shared" si="3"/>
        <v>15349.455467718757</v>
      </c>
      <c r="AA4">
        <f t="shared" si="3"/>
        <v>16116.928241104695</v>
      </c>
      <c r="AB4">
        <f t="shared" si="3"/>
        <v>16922.77465315993</v>
      </c>
      <c r="AC4">
        <f t="shared" si="3"/>
        <v>17768.913385817927</v>
      </c>
      <c r="AD4">
        <f t="shared" si="3"/>
        <v>18657.359055108824</v>
      </c>
      <c r="AE4">
        <f t="shared" si="3"/>
        <v>19590.227007864265</v>
      </c>
    </row>
    <row r="5" spans="1:31">
      <c r="A5" t="s">
        <v>26</v>
      </c>
      <c r="H5">
        <v>210</v>
      </c>
      <c r="J5">
        <v>212</v>
      </c>
      <c r="K5">
        <v>233</v>
      </c>
      <c r="L5">
        <v>231</v>
      </c>
      <c r="N5" t="s">
        <v>21</v>
      </c>
    </row>
    <row r="6" spans="1:31">
      <c r="A6" t="s">
        <v>27</v>
      </c>
      <c r="H6">
        <f>+H4+H5</f>
        <v>3053</v>
      </c>
      <c r="J6">
        <f>+J4+J5</f>
        <v>2916</v>
      </c>
      <c r="K6">
        <f>+K4+K5</f>
        <v>3400</v>
      </c>
      <c r="L6">
        <f>+L4+L5</f>
        <v>2971</v>
      </c>
      <c r="T6">
        <f>+T3-T4</f>
        <v>6746</v>
      </c>
      <c r="U6">
        <f>+T6*1.03</f>
        <v>6948.38</v>
      </c>
      <c r="V6">
        <f t="shared" ref="V6:AE6" si="4">+U6*1.03</f>
        <v>7156.8314</v>
      </c>
      <c r="W6">
        <f t="shared" si="4"/>
        <v>7371.5363420000003</v>
      </c>
      <c r="X6">
        <f t="shared" si="4"/>
        <v>7592.6824322600005</v>
      </c>
      <c r="Y6">
        <f t="shared" si="4"/>
        <v>7820.4629052278005</v>
      </c>
      <c r="Z6">
        <f t="shared" si="4"/>
        <v>8055.0767923846352</v>
      </c>
      <c r="AA6">
        <f t="shared" si="4"/>
        <v>8296.7290961561739</v>
      </c>
      <c r="AB6">
        <f t="shared" si="4"/>
        <v>8545.6309690408598</v>
      </c>
      <c r="AC6">
        <f t="shared" si="4"/>
        <v>8801.9998981120862</v>
      </c>
      <c r="AD6">
        <f t="shared" si="4"/>
        <v>9066.0598950554486</v>
      </c>
      <c r="AE6">
        <f t="shared" si="4"/>
        <v>9338.0416919071122</v>
      </c>
    </row>
    <row r="7" spans="1:31">
      <c r="A7" t="s">
        <v>28</v>
      </c>
      <c r="H7">
        <f>+H3-H6</f>
        <v>2747</v>
      </c>
      <c r="J7">
        <f>+J3-J6</f>
        <v>2443</v>
      </c>
      <c r="K7">
        <f>+K3-K6</f>
        <v>3419</v>
      </c>
      <c r="L7">
        <f>+L3-L6</f>
        <v>2864</v>
      </c>
    </row>
    <row r="8" spans="1:31">
      <c r="A8" t="s">
        <v>29</v>
      </c>
      <c r="H8">
        <v>1507</v>
      </c>
      <c r="J8">
        <v>1443</v>
      </c>
      <c r="K8">
        <v>1636</v>
      </c>
      <c r="L8">
        <v>1583</v>
      </c>
      <c r="T8">
        <f>+SUM(H8:L8)</f>
        <v>6169</v>
      </c>
      <c r="U8">
        <f>+T8*1.01</f>
        <v>6230.6900000000005</v>
      </c>
      <c r="V8">
        <f t="shared" ref="V8:AE8" si="5">+U8*1.01</f>
        <v>6292.996900000001</v>
      </c>
      <c r="W8">
        <f t="shared" si="5"/>
        <v>6355.9268690000008</v>
      </c>
      <c r="X8">
        <f t="shared" si="5"/>
        <v>6419.4861376900008</v>
      </c>
      <c r="Y8">
        <f t="shared" si="5"/>
        <v>6483.6809990669008</v>
      </c>
      <c r="Z8">
        <f t="shared" si="5"/>
        <v>6548.51780905757</v>
      </c>
      <c r="AA8">
        <f t="shared" si="5"/>
        <v>6614.0029871481456</v>
      </c>
      <c r="AB8">
        <f t="shared" si="5"/>
        <v>6680.1430170196272</v>
      </c>
      <c r="AC8">
        <f t="shared" si="5"/>
        <v>6746.9444471898232</v>
      </c>
      <c r="AD8">
        <f t="shared" si="5"/>
        <v>6814.4138916617212</v>
      </c>
      <c r="AE8">
        <f t="shared" si="5"/>
        <v>6882.5580305783387</v>
      </c>
    </row>
    <row r="9" spans="1:31">
      <c r="A9" t="s">
        <v>30</v>
      </c>
      <c r="H9">
        <v>576</v>
      </c>
      <c r="J9">
        <v>547</v>
      </c>
      <c r="K9">
        <v>721</v>
      </c>
      <c r="L9">
        <v>650</v>
      </c>
      <c r="T9">
        <f>+SUM(H9:L9)</f>
        <v>2494</v>
      </c>
      <c r="U9">
        <f t="shared" ref="U9:AE9" si="6">+T9*1.01</f>
        <v>2518.94</v>
      </c>
      <c r="V9">
        <f t="shared" si="6"/>
        <v>2544.1294000000003</v>
      </c>
      <c r="W9">
        <f t="shared" si="6"/>
        <v>2569.5706940000005</v>
      </c>
      <c r="X9">
        <f t="shared" si="6"/>
        <v>2595.2664009400005</v>
      </c>
      <c r="Y9">
        <f t="shared" si="6"/>
        <v>2621.2190649494005</v>
      </c>
      <c r="Z9">
        <f t="shared" si="6"/>
        <v>2647.4312555988945</v>
      </c>
      <c r="AA9">
        <f t="shared" si="6"/>
        <v>2673.9055681548834</v>
      </c>
      <c r="AB9">
        <f t="shared" si="6"/>
        <v>2700.6446238364324</v>
      </c>
      <c r="AC9">
        <f t="shared" si="6"/>
        <v>2727.6510700747967</v>
      </c>
      <c r="AD9">
        <f t="shared" si="6"/>
        <v>2754.9275807755448</v>
      </c>
      <c r="AE9">
        <f t="shared" si="6"/>
        <v>2782.4768565833001</v>
      </c>
    </row>
    <row r="10" spans="1:31">
      <c r="A10" t="s">
        <v>31</v>
      </c>
      <c r="H10">
        <v>450</v>
      </c>
      <c r="J10">
        <v>481</v>
      </c>
      <c r="K10">
        <v>352</v>
      </c>
      <c r="L10">
        <v>372</v>
      </c>
    </row>
    <row r="11" spans="1:31">
      <c r="A11" t="s">
        <v>32</v>
      </c>
      <c r="H11">
        <v>-10</v>
      </c>
      <c r="J11">
        <v>-8</v>
      </c>
      <c r="K11">
        <v>-14</v>
      </c>
      <c r="L11">
        <v>-10</v>
      </c>
    </row>
    <row r="12" spans="1:31">
      <c r="A12" t="s">
        <v>33</v>
      </c>
      <c r="H12">
        <f>+H7-H8-H9-H10-H11</f>
        <v>224</v>
      </c>
      <c r="J12">
        <f>+J7-J8-J9-J10-J11</f>
        <v>-20</v>
      </c>
      <c r="K12">
        <f>+K7-K8-K9-K10-K11</f>
        <v>724</v>
      </c>
      <c r="L12">
        <f>+L7-L8-L9-L10-L11</f>
        <v>269</v>
      </c>
      <c r="T12">
        <f>+T6-T8-T9</f>
        <v>-1917</v>
      </c>
    </row>
    <row r="13" spans="1:31">
      <c r="A13" t="s">
        <v>34</v>
      </c>
      <c r="H13">
        <f>-36+59</f>
        <v>23</v>
      </c>
      <c r="J13">
        <f>-28+46</f>
        <v>18</v>
      </c>
      <c r="K13">
        <f>+-23+36</f>
        <v>13</v>
      </c>
      <c r="L13">
        <f>-25+55</f>
        <v>30</v>
      </c>
      <c r="T13">
        <f>+S36*0.01</f>
        <v>28.240000000000002</v>
      </c>
      <c r="U13">
        <f>+T36*0.01</f>
        <v>119.97098935000004</v>
      </c>
      <c r="V13">
        <f>+U36*0.1</f>
        <v>2438.0782497250011</v>
      </c>
      <c r="W13">
        <f>+V36*0.1</f>
        <v>3688.4437048850014</v>
      </c>
      <c r="X13">
        <f>+W36*0.1</f>
        <v>5182.6169850175029</v>
      </c>
      <c r="Y13">
        <f>+X36*0.1</f>
        <v>7045.6346356385038</v>
      </c>
      <c r="Z13">
        <f>+Y36*0.1</f>
        <v>9426.9139847612551</v>
      </c>
      <c r="AA13">
        <f>+Z36*0.1</f>
        <v>12512.756797447857</v>
      </c>
      <c r="AB13">
        <f>+AA36*0.1</f>
        <v>16541.291008610584</v>
      </c>
      <c r="AC13">
        <f>+AB36*0.1</f>
        <v>21821.1008995181</v>
      </c>
      <c r="AD13">
        <f>+AC36*0.1</f>
        <v>28755.039891286673</v>
      </c>
      <c r="AE13">
        <f>+AD36*0.1</f>
        <v>37871.088973007056</v>
      </c>
    </row>
    <row r="14" spans="1:31">
      <c r="A14" t="s">
        <v>35</v>
      </c>
      <c r="E14" t="s">
        <v>21</v>
      </c>
      <c r="H14">
        <f>+H12+H13</f>
        <v>247</v>
      </c>
      <c r="J14">
        <f>+J12+J13</f>
        <v>-2</v>
      </c>
      <c r="K14">
        <f>+K12+K13</f>
        <v>737</v>
      </c>
      <c r="L14">
        <f>+L12+L13</f>
        <v>299</v>
      </c>
    </row>
    <row r="15" spans="1:31">
      <c r="A15" t="s">
        <v>36</v>
      </c>
      <c r="H15">
        <f>+-27</f>
        <v>-27</v>
      </c>
      <c r="J15">
        <v>-23</v>
      </c>
      <c r="K15">
        <f>+-27</f>
        <v>-27</v>
      </c>
      <c r="L15">
        <v>41</v>
      </c>
    </row>
    <row r="16" spans="1:31">
      <c r="A16" t="s">
        <v>37</v>
      </c>
      <c r="H16">
        <f>+H14-H15</f>
        <v>274</v>
      </c>
      <c r="J16">
        <f>+J14-J15</f>
        <v>21</v>
      </c>
      <c r="K16">
        <f>+K14-K15</f>
        <v>764</v>
      </c>
      <c r="L16">
        <f>+L14-L15</f>
        <v>258</v>
      </c>
      <c r="N16">
        <v>482</v>
      </c>
    </row>
    <row r="17" spans="1:31">
      <c r="A17" t="s">
        <v>38</v>
      </c>
      <c r="H17">
        <f>+H18/H16</f>
        <v>5.9124087591240873</v>
      </c>
      <c r="J17">
        <f>+J16/J18</f>
        <v>1.3027295285359801E-2</v>
      </c>
      <c r="K17">
        <f>+K16/K18</f>
        <v>0.47160493827160493</v>
      </c>
      <c r="L17">
        <f>+L16/L18</f>
        <v>0.15945611866501855</v>
      </c>
    </row>
    <row r="18" spans="1:31">
      <c r="A18" t="s">
        <v>2</v>
      </c>
      <c r="H18">
        <v>1620</v>
      </c>
      <c r="J18">
        <v>1612</v>
      </c>
      <c r="K18">
        <v>1620</v>
      </c>
      <c r="L18">
        <v>1618</v>
      </c>
    </row>
    <row r="21" spans="1:31">
      <c r="A21" t="s">
        <v>39</v>
      </c>
    </row>
    <row r="22" spans="1:31">
      <c r="A22" t="s">
        <v>40</v>
      </c>
      <c r="B22">
        <v>1000</v>
      </c>
      <c r="C22">
        <f>+B22*1.1</f>
        <v>1100</v>
      </c>
      <c r="D22">
        <f t="shared" ref="D22:G22" si="7">+C22*1.1</f>
        <v>1210</v>
      </c>
      <c r="E22">
        <f t="shared" si="7"/>
        <v>1331</v>
      </c>
      <c r="F22">
        <f t="shared" si="7"/>
        <v>1464.1000000000001</v>
      </c>
      <c r="G22">
        <f t="shared" si="7"/>
        <v>1610.5100000000002</v>
      </c>
      <c r="H22">
        <f>+G22*1.1</f>
        <v>1771.5610000000004</v>
      </c>
      <c r="M22">
        <f>+H22*1.1</f>
        <v>1948.7171000000005</v>
      </c>
      <c r="N22">
        <f>+M22*1.1</f>
        <v>2143.5888100000006</v>
      </c>
      <c r="R22">
        <f>+SUM(B22:E22)</f>
        <v>4641</v>
      </c>
      <c r="S22">
        <f>+SUM(F22:M22)</f>
        <v>6794.8881000000019</v>
      </c>
      <c r="T22">
        <f>+S22*1.35</f>
        <v>9173.0989350000036</v>
      </c>
      <c r="U22">
        <f t="shared" ref="U22:AE22" si="8">+T22*1.35</f>
        <v>12383.683562250006</v>
      </c>
      <c r="V22">
        <f>+U22+U13</f>
        <v>12503.654551600006</v>
      </c>
      <c r="W22">
        <f>+V22+V13</f>
        <v>14941.732801325008</v>
      </c>
      <c r="X22">
        <f>+W22+W13</f>
        <v>18630.176506210009</v>
      </c>
      <c r="Y22">
        <f>+X22+X13</f>
        <v>23812.793491227512</v>
      </c>
      <c r="Z22">
        <f>+Y22+Y13</f>
        <v>30858.428126866016</v>
      </c>
      <c r="AA22">
        <f>+Z22+Z13</f>
        <v>40285.342111627273</v>
      </c>
      <c r="AB22">
        <f>+AA22+AA13</f>
        <v>52798.098909075132</v>
      </c>
      <c r="AC22">
        <f>+AB22+AB13</f>
        <v>69339.389917685708</v>
      </c>
      <c r="AD22">
        <f>+AC22+AC13</f>
        <v>91160.490817203812</v>
      </c>
      <c r="AE22">
        <f>+AD22+AD13</f>
        <v>119915.53070849049</v>
      </c>
    </row>
    <row r="23" spans="1:31">
      <c r="A23" t="s">
        <v>38</v>
      </c>
      <c r="N23">
        <f>+N24/N22</f>
        <v>0.75480894117934838</v>
      </c>
    </row>
    <row r="24" spans="1:31">
      <c r="A24" t="s">
        <v>2</v>
      </c>
      <c r="N24">
        <v>1618</v>
      </c>
      <c r="R24" s="2">
        <f>+R22/R3</f>
        <v>0.46410000000000001</v>
      </c>
      <c r="S24" s="2">
        <f>+S22/S3</f>
        <v>0.48534915000000012</v>
      </c>
      <c r="T24" s="2">
        <f>+T22/T3</f>
        <v>0.50401642500000021</v>
      </c>
      <c r="U24" s="2">
        <f>+U22/U3</f>
        <v>0.52340167211538491</v>
      </c>
      <c r="V24" s="2">
        <f>+V22/V3</f>
        <v>0.40651715168736607</v>
      </c>
      <c r="W24" s="2">
        <f>+W22/W3</f>
        <v>0.37367971312841708</v>
      </c>
      <c r="X24" s="2">
        <f>+X22/X3</f>
        <v>0.35840344237589045</v>
      </c>
      <c r="Y24" s="2">
        <f>+Y22/Y3</f>
        <v>0.35238888068742003</v>
      </c>
      <c r="Z24" s="2">
        <f>+Z22/Z3</f>
        <v>0.36532184101476345</v>
      </c>
      <c r="AA24" s="2">
        <f>+AA22/AA3</f>
        <v>0.38153895034766766</v>
      </c>
      <c r="AB24" s="2">
        <f>+AB22/AB3</f>
        <v>0.4000369401317645</v>
      </c>
      <c r="AC24" s="2">
        <f>+AC22/AC3</f>
        <v>0.42029266881056654</v>
      </c>
      <c r="AD24" s="2">
        <f>+AD22/AD3</f>
        <v>0.44204699258101021</v>
      </c>
      <c r="AE24" s="2">
        <f>+AE22/AE3</f>
        <v>0.46518661089473001</v>
      </c>
    </row>
    <row r="25" spans="1:31">
      <c r="H25" t="s">
        <v>41</v>
      </c>
      <c r="M25" s="2">
        <v>0.1</v>
      </c>
    </row>
    <row r="26" spans="1:31">
      <c r="H26" t="s">
        <v>42</v>
      </c>
      <c r="M26" s="3">
        <f>+NPV(M25,T22:AE22)-S36</f>
        <v>214272.31663466609</v>
      </c>
    </row>
    <row r="27" spans="1:31">
      <c r="H27" t="s">
        <v>43</v>
      </c>
      <c r="M27" s="1">
        <f>+M26/main!M3</f>
        <v>132.10377104480031</v>
      </c>
    </row>
    <row r="28" spans="1:31">
      <c r="H28" t="s">
        <v>44</v>
      </c>
      <c r="M28" s="2">
        <f>+M27/main!M2-1</f>
        <v>0.10086475870666933</v>
      </c>
    </row>
    <row r="29" spans="1:31">
      <c r="M29" s="2"/>
    </row>
    <row r="30" spans="1:31">
      <c r="A30" t="s">
        <v>45</v>
      </c>
      <c r="J30" s="2">
        <f>+J3/H3-1</f>
        <v>-7.6034482758620681E-2</v>
      </c>
      <c r="K30" s="2">
        <f t="shared" ref="K30" si="9">+K3/J3-1</f>
        <v>0.27243888785221126</v>
      </c>
      <c r="L30" s="2">
        <f>+L3/K3-1</f>
        <v>-0.14430268367795862</v>
      </c>
      <c r="M30" s="2"/>
    </row>
    <row r="31" spans="1:31">
      <c r="A31" t="s">
        <v>46</v>
      </c>
      <c r="J31" s="2">
        <f t="shared" ref="J31:L31" si="10">+J$7/$L$3</f>
        <v>0.41868037703513283</v>
      </c>
      <c r="K31" s="2">
        <f t="shared" si="10"/>
        <v>0.58594687232219367</v>
      </c>
      <c r="L31" s="2">
        <f>+L$7/$L$3</f>
        <v>0.49083119108826051</v>
      </c>
      <c r="M31" s="2"/>
      <c r="S31" s="2">
        <f>+S$7/$L$3</f>
        <v>0</v>
      </c>
      <c r="T31" s="2">
        <f t="shared" ref="T31:AD31" si="11">+T$7/$L$3</f>
        <v>0</v>
      </c>
      <c r="U31" s="2">
        <f t="shared" si="11"/>
        <v>0</v>
      </c>
      <c r="V31" s="2">
        <f t="shared" si="11"/>
        <v>0</v>
      </c>
      <c r="W31" s="2">
        <f t="shared" si="11"/>
        <v>0</v>
      </c>
      <c r="X31" s="2">
        <f t="shared" si="11"/>
        <v>0</v>
      </c>
      <c r="Y31" s="2">
        <f t="shared" si="11"/>
        <v>0</v>
      </c>
      <c r="Z31" s="2">
        <f t="shared" si="11"/>
        <v>0</v>
      </c>
      <c r="AA31" s="2">
        <f t="shared" si="11"/>
        <v>0</v>
      </c>
      <c r="AB31" s="2">
        <f t="shared" si="11"/>
        <v>0</v>
      </c>
      <c r="AC31" s="2">
        <f t="shared" si="11"/>
        <v>0</v>
      </c>
      <c r="AD31" s="2">
        <f t="shared" si="11"/>
        <v>0</v>
      </c>
    </row>
    <row r="32" spans="1:31">
      <c r="A32" t="s">
        <v>47</v>
      </c>
      <c r="J32" s="2">
        <f t="shared" ref="J32:L32" si="12">+J8/J3</f>
        <v>0.26926665422653479</v>
      </c>
      <c r="K32" s="2">
        <f t="shared" si="12"/>
        <v>0.23991787652148408</v>
      </c>
      <c r="L32" s="2">
        <f>+L8/L3</f>
        <v>0.27129391602399316</v>
      </c>
      <c r="S32" s="2">
        <f>+S8/S3</f>
        <v>0</v>
      </c>
      <c r="T32" s="2">
        <f t="shared" ref="T32:AD32" si="13">+T8/T3</f>
        <v>0.33895604395604395</v>
      </c>
      <c r="U32" s="2">
        <f t="shared" si="13"/>
        <v>0.2633427726120034</v>
      </c>
      <c r="V32" s="2">
        <f t="shared" si="13"/>
        <v>0.20459707718317188</v>
      </c>
      <c r="W32" s="2">
        <f t="shared" si="13"/>
        <v>0.15895619073461814</v>
      </c>
      <c r="X32" s="2">
        <f t="shared" si="13"/>
        <v>0.12349673280151102</v>
      </c>
      <c r="Y32" s="2">
        <f t="shared" si="13"/>
        <v>9.5947461638097031E-2</v>
      </c>
      <c r="Z32" s="2">
        <f t="shared" si="13"/>
        <v>7.7525549003582397E-2</v>
      </c>
      <c r="AA32" s="2">
        <f t="shared" si="13"/>
        <v>6.2640643594894588E-2</v>
      </c>
      <c r="AB32" s="2">
        <f t="shared" si="13"/>
        <v>5.0613640024674819E-2</v>
      </c>
      <c r="AC32" s="2">
        <f t="shared" si="13"/>
        <v>4.0895821139937255E-2</v>
      </c>
      <c r="AD32" s="2">
        <f t="shared" si="13"/>
        <v>3.3043823481069302E-2</v>
      </c>
    </row>
    <row r="33" spans="1:31">
      <c r="A33" t="s">
        <v>48</v>
      </c>
      <c r="J33" s="2">
        <f t="shared" ref="J33:L33" si="14">+J9/J3</f>
        <v>0.10207128195558873</v>
      </c>
      <c r="K33" s="2">
        <f t="shared" si="14"/>
        <v>0.10573397858923596</v>
      </c>
      <c r="L33" s="2">
        <f>+L9/L3</f>
        <v>0.11139674378748929</v>
      </c>
      <c r="S33" s="2">
        <f>+S9/S3</f>
        <v>0</v>
      </c>
      <c r="T33" s="2">
        <f t="shared" ref="T33:AD33" si="15">+T9/T3</f>
        <v>0.13703296703296702</v>
      </c>
      <c r="U33" s="2">
        <f t="shared" si="15"/>
        <v>0.10646407438715132</v>
      </c>
      <c r="V33" s="2">
        <f t="shared" si="15"/>
        <v>8.2714396254632949E-2</v>
      </c>
      <c r="W33" s="2">
        <f t="shared" si="15"/>
        <v>6.4262723243984063E-2</v>
      </c>
      <c r="X33" s="2">
        <f t="shared" si="15"/>
        <v>4.9927192674172234E-2</v>
      </c>
      <c r="Y33" s="2">
        <f t="shared" si="15"/>
        <v>3.87895881545492E-2</v>
      </c>
      <c r="Z33" s="2">
        <f t="shared" si="15"/>
        <v>3.1341987228875753E-2</v>
      </c>
      <c r="AA33" s="2">
        <f t="shared" si="15"/>
        <v>2.5324325680931608E-2</v>
      </c>
      <c r="AB33" s="2">
        <f t="shared" si="15"/>
        <v>2.046205515019274E-2</v>
      </c>
      <c r="AC33" s="2">
        <f t="shared" si="15"/>
        <v>1.6533340561355733E-2</v>
      </c>
      <c r="AD33" s="2">
        <f t="shared" si="15"/>
        <v>1.3358939173575434E-2</v>
      </c>
    </row>
    <row r="34" spans="1:31">
      <c r="A34" t="s">
        <v>49</v>
      </c>
      <c r="J34" s="2" t="s">
        <v>21</v>
      </c>
      <c r="K34" s="2" t="s">
        <v>21</v>
      </c>
      <c r="L34" s="2">
        <f>+L16/H16-1</f>
        <v>-5.8394160583941646E-2</v>
      </c>
      <c r="S34" s="2">
        <f>+S22/R22-1</f>
        <v>0.4641000000000004</v>
      </c>
      <c r="T34" s="2">
        <f t="shared" ref="T34:AD34" si="16">+T22/S22-1</f>
        <v>0.35000000000000009</v>
      </c>
      <c r="U34" s="2">
        <f t="shared" si="16"/>
        <v>0.35000000000000009</v>
      </c>
      <c r="V34" s="2">
        <f t="shared" si="16"/>
        <v>9.6878274341340997E-3</v>
      </c>
      <c r="W34" s="2">
        <f t="shared" si="16"/>
        <v>0.19498925211533602</v>
      </c>
      <c r="X34" s="2">
        <f t="shared" si="16"/>
        <v>0.24685515086696741</v>
      </c>
      <c r="Y34" s="2">
        <f t="shared" si="16"/>
        <v>0.27818399805766614</v>
      </c>
      <c r="Z34" s="2">
        <f t="shared" si="16"/>
        <v>0.29587602303921523</v>
      </c>
      <c r="AA34" s="2">
        <f t="shared" si="16"/>
        <v>0.30548911778672161</v>
      </c>
      <c r="AB34" s="2">
        <f t="shared" si="16"/>
        <v>0.3106032155014613</v>
      </c>
      <c r="AC34" s="2">
        <f t="shared" si="16"/>
        <v>0.31329330696350888</v>
      </c>
      <c r="AD34" s="2">
        <f t="shared" si="16"/>
        <v>0.3146999263394501</v>
      </c>
      <c r="AE34" s="2">
        <f t="shared" ref="T34:AE34" si="17">+AE22/AD22-1</f>
        <v>0.31543314031674807</v>
      </c>
    </row>
    <row r="35" spans="1:31">
      <c r="T35" t="s">
        <v>21</v>
      </c>
    </row>
    <row r="36" spans="1:31">
      <c r="A36" t="s">
        <v>50</v>
      </c>
      <c r="L36">
        <f>+L37-L50</f>
        <v>2824</v>
      </c>
      <c r="S36">
        <f>+L36</f>
        <v>2824</v>
      </c>
      <c r="T36">
        <f>+S36+T22</f>
        <v>11997.098935000004</v>
      </c>
      <c r="U36">
        <f t="shared" ref="U36:AE36" si="18">+T36+U22</f>
        <v>24380.782497250009</v>
      </c>
      <c r="V36">
        <f t="shared" si="18"/>
        <v>36884.437048850014</v>
      </c>
      <c r="W36">
        <f t="shared" si="18"/>
        <v>51826.169850175022</v>
      </c>
      <c r="X36">
        <f t="shared" si="18"/>
        <v>70456.346356385038</v>
      </c>
      <c r="Y36">
        <f t="shared" si="18"/>
        <v>94269.139847612547</v>
      </c>
      <c r="Z36">
        <f t="shared" si="18"/>
        <v>125127.56797447856</v>
      </c>
      <c r="AA36">
        <f t="shared" si="18"/>
        <v>165412.91008610584</v>
      </c>
      <c r="AB36">
        <f t="shared" si="18"/>
        <v>218211.00899518098</v>
      </c>
      <c r="AC36">
        <f t="shared" si="18"/>
        <v>287550.39891286672</v>
      </c>
      <c r="AD36">
        <f t="shared" si="18"/>
        <v>378710.88973007054</v>
      </c>
      <c r="AE36">
        <f t="shared" si="18"/>
        <v>498626.42043856101</v>
      </c>
    </row>
    <row r="37" spans="1:31">
      <c r="A37" t="s">
        <v>51</v>
      </c>
      <c r="L37">
        <f>3897+647</f>
        <v>4544</v>
      </c>
      <c r="T37" t="s">
        <v>21</v>
      </c>
    </row>
    <row r="38" spans="1:31">
      <c r="A38" t="s">
        <v>52</v>
      </c>
      <c r="L38">
        <v>7241</v>
      </c>
    </row>
    <row r="39" spans="1:31">
      <c r="A39" t="s">
        <v>53</v>
      </c>
      <c r="L39">
        <v>5374</v>
      </c>
    </row>
    <row r="40" spans="1:31">
      <c r="A40" t="s">
        <v>54</v>
      </c>
      <c r="L40">
        <v>29</v>
      </c>
    </row>
    <row r="41" spans="1:31">
      <c r="A41" t="s">
        <v>55</v>
      </c>
      <c r="L41">
        <v>1547</v>
      </c>
    </row>
    <row r="42" spans="1:31">
      <c r="A42" t="s">
        <v>56</v>
      </c>
      <c r="L42">
        <v>1669</v>
      </c>
    </row>
    <row r="43" spans="1:31">
      <c r="A43" t="s">
        <v>57</v>
      </c>
      <c r="L43">
        <v>647</v>
      </c>
    </row>
    <row r="44" spans="1:31">
      <c r="A44" t="s">
        <v>26</v>
      </c>
      <c r="L44">
        <f>24839+19572</f>
        <v>44411</v>
      </c>
    </row>
    <row r="45" spans="1:31">
      <c r="A45" t="s">
        <v>58</v>
      </c>
      <c r="L45">
        <v>137</v>
      </c>
    </row>
    <row r="46" spans="1:31">
      <c r="A46" t="s">
        <v>59</v>
      </c>
      <c r="L46">
        <v>1183</v>
      </c>
    </row>
    <row r="47" spans="1:31">
      <c r="A47" t="s">
        <v>60</v>
      </c>
      <c r="L47">
        <v>2854</v>
      </c>
    </row>
    <row r="48" spans="1:31">
      <c r="A48" t="s">
        <v>61</v>
      </c>
      <c r="L48">
        <f>+SUM(L37:L47)</f>
        <v>69636</v>
      </c>
    </row>
    <row r="50" spans="1:12">
      <c r="A50" t="s">
        <v>5</v>
      </c>
      <c r="L50">
        <v>1720</v>
      </c>
    </row>
    <row r="51" spans="1:12">
      <c r="A51" t="s">
        <v>62</v>
      </c>
      <c r="L51">
        <v>2530</v>
      </c>
    </row>
    <row r="52" spans="1:12">
      <c r="A52" t="s">
        <v>63</v>
      </c>
      <c r="L52">
        <v>4120</v>
      </c>
    </row>
    <row r="53" spans="1:12">
      <c r="A53" t="s">
        <v>64</v>
      </c>
      <c r="L53">
        <v>518</v>
      </c>
    </row>
    <row r="54" spans="1:12">
      <c r="A54" t="s">
        <v>59</v>
      </c>
      <c r="L54">
        <v>1162</v>
      </c>
    </row>
    <row r="55" spans="1:12">
      <c r="A55" t="s">
        <v>65</v>
      </c>
      <c r="L55">
        <v>1721</v>
      </c>
    </row>
    <row r="56" spans="1:12">
      <c r="A56" t="s">
        <v>66</v>
      </c>
      <c r="L56">
        <f>+SUM(L50:L55)</f>
        <v>11771</v>
      </c>
    </row>
    <row r="58" spans="1:12">
      <c r="A58" t="s">
        <v>67</v>
      </c>
      <c r="L58">
        <f>+L48-L56</f>
        <v>57865</v>
      </c>
    </row>
    <row r="59" spans="1:12">
      <c r="A59" t="s">
        <v>68</v>
      </c>
      <c r="L59">
        <f>+L56+L58</f>
        <v>69636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2024-12-21T13:24:58Z</dcterms:created>
  <dcterms:modified xsi:type="dcterms:W3CDTF">2025-02-04T21:59:12Z</dcterms:modified>
  <cp:category/>
  <cp:contentStatus/>
</cp:coreProperties>
</file>