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589" documentId="8_{7FCC86E8-CD71-4808-AD0A-1EA75AD51067}" xr6:coauthVersionLast="47" xr6:coauthVersionMax="47" xr10:uidLastSave="{C1267D27-D106-4292-A620-73CD3AC2F97D}"/>
  <bookViews>
    <workbookView xWindow="-108" yWindow="-108" windowWidth="23256" windowHeight="12456" xr2:uid="{A7BCC889-6E43-4187-9D22-F4FA89CF8BD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" i="2" l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Y10" i="2"/>
  <c r="X23" i="2"/>
  <c r="W23" i="2"/>
  <c r="N23" i="2"/>
  <c r="M23" i="2"/>
  <c r="L23" i="2"/>
  <c r="K23" i="2"/>
  <c r="J23" i="2"/>
  <c r="I23" i="2"/>
  <c r="H23" i="2"/>
  <c r="G23" i="2"/>
  <c r="F23" i="2"/>
  <c r="O23" i="2"/>
  <c r="V44" i="2"/>
  <c r="V49" i="2" s="1"/>
  <c r="V35" i="2"/>
  <c r="W44" i="2"/>
  <c r="W49" i="2" s="1"/>
  <c r="W35" i="2"/>
  <c r="W42" i="2" s="1"/>
  <c r="X36" i="2"/>
  <c r="X44" i="2"/>
  <c r="X49" i="2" s="1"/>
  <c r="X35" i="2"/>
  <c r="X42" i="2" s="1"/>
  <c r="X51" i="2" s="1"/>
  <c r="X20" i="2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X12" i="2"/>
  <c r="X11" i="2"/>
  <c r="X10" i="2"/>
  <c r="X9" i="2"/>
  <c r="X8" i="2"/>
  <c r="X6" i="2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X4" i="2"/>
  <c r="X3" i="2"/>
  <c r="W20" i="2"/>
  <c r="W12" i="2"/>
  <c r="W11" i="2"/>
  <c r="W10" i="2"/>
  <c r="W9" i="2"/>
  <c r="W8" i="2"/>
  <c r="W6" i="2"/>
  <c r="W4" i="2"/>
  <c r="W3" i="2"/>
  <c r="W5" i="2" s="1"/>
  <c r="V20" i="2"/>
  <c r="V12" i="2"/>
  <c r="V11" i="2"/>
  <c r="V10" i="2"/>
  <c r="V9" i="2"/>
  <c r="V8" i="2"/>
  <c r="V6" i="2"/>
  <c r="V4" i="2"/>
  <c r="V3" i="2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E15" i="2"/>
  <c r="E17" i="2"/>
  <c r="E13" i="2"/>
  <c r="E5" i="2"/>
  <c r="E7" i="2" s="1"/>
  <c r="E25" i="2" s="1"/>
  <c r="D17" i="2"/>
  <c r="D15" i="2"/>
  <c r="D13" i="2"/>
  <c r="D5" i="2"/>
  <c r="D7" i="2" s="1"/>
  <c r="D25" i="2" s="1"/>
  <c r="B17" i="2"/>
  <c r="B15" i="2"/>
  <c r="B13" i="2"/>
  <c r="B5" i="2"/>
  <c r="B7" i="2" s="1"/>
  <c r="B25" i="2" s="1"/>
  <c r="F17" i="2"/>
  <c r="W17" i="2" s="1"/>
  <c r="F15" i="2"/>
  <c r="F13" i="2"/>
  <c r="F5" i="2"/>
  <c r="F7" i="2" s="1"/>
  <c r="F25" i="2" s="1"/>
  <c r="C17" i="2"/>
  <c r="C15" i="2"/>
  <c r="C13" i="2"/>
  <c r="C5" i="2"/>
  <c r="C7" i="2" s="1"/>
  <c r="C25" i="2" s="1"/>
  <c r="G17" i="2"/>
  <c r="G15" i="2"/>
  <c r="G13" i="2"/>
  <c r="G5" i="2"/>
  <c r="G7" i="2" s="1"/>
  <c r="G25" i="2" s="1"/>
  <c r="H17" i="2"/>
  <c r="H15" i="2"/>
  <c r="H13" i="2"/>
  <c r="H5" i="2"/>
  <c r="H7" i="2" s="1"/>
  <c r="H25" i="2" s="1"/>
  <c r="L17" i="2"/>
  <c r="L15" i="2"/>
  <c r="X15" i="2" s="1"/>
  <c r="L13" i="2"/>
  <c r="L5" i="2"/>
  <c r="L7" i="2" s="1"/>
  <c r="L25" i="2" s="1"/>
  <c r="I17" i="2"/>
  <c r="I15" i="2"/>
  <c r="I13" i="2"/>
  <c r="I5" i="2"/>
  <c r="I7" i="2" s="1"/>
  <c r="I25" i="2" s="1"/>
  <c r="M15" i="2"/>
  <c r="M13" i="2"/>
  <c r="M5" i="2"/>
  <c r="M7" i="2" s="1"/>
  <c r="M25" i="2" s="1"/>
  <c r="J17" i="2"/>
  <c r="J15" i="2"/>
  <c r="J13" i="2"/>
  <c r="J5" i="2"/>
  <c r="J7" i="2" s="1"/>
  <c r="J25" i="2" s="1"/>
  <c r="N17" i="2"/>
  <c r="N15" i="2"/>
  <c r="N13" i="2"/>
  <c r="N5" i="2"/>
  <c r="N7" i="2" s="1"/>
  <c r="N25" i="2" s="1"/>
  <c r="O17" i="2"/>
  <c r="K17" i="2"/>
  <c r="O15" i="2"/>
  <c r="O13" i="2"/>
  <c r="O5" i="2"/>
  <c r="O7" i="2" s="1"/>
  <c r="O25" i="2" s="1"/>
  <c r="K15" i="2"/>
  <c r="K13" i="2"/>
  <c r="K5" i="2"/>
  <c r="K7" i="2" s="1"/>
  <c r="K25" i="2" s="1"/>
  <c r="M6" i="1"/>
  <c r="M5" i="1"/>
  <c r="M4" i="1"/>
  <c r="V5" i="2" l="1"/>
  <c r="W33" i="2"/>
  <c r="V33" i="2"/>
  <c r="W13" i="2"/>
  <c r="G27" i="2"/>
  <c r="V42" i="2"/>
  <c r="V51" i="2" s="1"/>
  <c r="V52" i="2" s="1"/>
  <c r="X52" i="2"/>
  <c r="F28" i="2"/>
  <c r="W15" i="2"/>
  <c r="X5" i="2"/>
  <c r="X29" i="2" s="1"/>
  <c r="N28" i="2"/>
  <c r="V27" i="2"/>
  <c r="J22" i="2"/>
  <c r="G29" i="2"/>
  <c r="V15" i="2"/>
  <c r="V28" i="2"/>
  <c r="W27" i="2"/>
  <c r="M29" i="2"/>
  <c r="X33" i="2"/>
  <c r="Y15" i="2" s="1"/>
  <c r="V29" i="2"/>
  <c r="W28" i="2"/>
  <c r="X13" i="2"/>
  <c r="Y11" i="2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W29" i="2"/>
  <c r="J26" i="2"/>
  <c r="K26" i="2"/>
  <c r="W51" i="2"/>
  <c r="W52" i="2" s="1"/>
  <c r="V7" i="2"/>
  <c r="V26" i="2"/>
  <c r="W7" i="2"/>
  <c r="W25" i="2" s="1"/>
  <c r="W22" i="2"/>
  <c r="X22" i="2"/>
  <c r="X7" i="2"/>
  <c r="O28" i="2"/>
  <c r="H26" i="2"/>
  <c r="E28" i="2"/>
  <c r="E26" i="2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X17" i="2"/>
  <c r="O29" i="2"/>
  <c r="K22" i="2"/>
  <c r="I26" i="2"/>
  <c r="H27" i="2"/>
  <c r="G28" i="2"/>
  <c r="F29" i="2"/>
  <c r="N29" i="2"/>
  <c r="D28" i="2"/>
  <c r="D26" i="2"/>
  <c r="W26" i="2"/>
  <c r="X26" i="2"/>
  <c r="I27" i="2"/>
  <c r="C28" i="2"/>
  <c r="H29" i="2"/>
  <c r="O22" i="2"/>
  <c r="F22" i="2"/>
  <c r="N22" i="2"/>
  <c r="L26" i="2"/>
  <c r="K27" i="2"/>
  <c r="J28" i="2"/>
  <c r="I29" i="2"/>
  <c r="E29" i="2"/>
  <c r="E27" i="2"/>
  <c r="G22" i="2"/>
  <c r="M26" i="2"/>
  <c r="L27" i="2"/>
  <c r="K28" i="2"/>
  <c r="J29" i="2"/>
  <c r="D29" i="2"/>
  <c r="D27" i="2"/>
  <c r="Y8" i="2"/>
  <c r="C26" i="2"/>
  <c r="V13" i="2"/>
  <c r="J27" i="2"/>
  <c r="O26" i="2"/>
  <c r="H22" i="2"/>
  <c r="F26" i="2"/>
  <c r="N26" i="2"/>
  <c r="M27" i="2"/>
  <c r="L28" i="2"/>
  <c r="K29" i="2"/>
  <c r="C29" i="2"/>
  <c r="C27" i="2"/>
  <c r="L22" i="2"/>
  <c r="H28" i="2"/>
  <c r="M22" i="2"/>
  <c r="I28" i="2"/>
  <c r="B28" i="2"/>
  <c r="B26" i="2"/>
  <c r="K14" i="2"/>
  <c r="V17" i="2"/>
  <c r="O27" i="2"/>
  <c r="I22" i="2"/>
  <c r="G26" i="2"/>
  <c r="F27" i="2"/>
  <c r="N27" i="2"/>
  <c r="M28" i="2"/>
  <c r="L29" i="2"/>
  <c r="B29" i="2"/>
  <c r="B27" i="2"/>
  <c r="E14" i="2"/>
  <c r="D14" i="2"/>
  <c r="B14" i="2"/>
  <c r="F14" i="2"/>
  <c r="C14" i="2"/>
  <c r="G14" i="2"/>
  <c r="H14" i="2"/>
  <c r="H30" i="2" s="1"/>
  <c r="L14" i="2"/>
  <c r="I14" i="2"/>
  <c r="M14" i="2"/>
  <c r="J14" i="2"/>
  <c r="N14" i="2"/>
  <c r="O14" i="2"/>
  <c r="M7" i="1"/>
  <c r="X28" i="2" l="1"/>
  <c r="Y5" i="2"/>
  <c r="Z5" i="2" s="1"/>
  <c r="AA5" i="2" s="1"/>
  <c r="AB5" i="2" s="1"/>
  <c r="AC5" i="2" s="1"/>
  <c r="AD5" i="2" s="1"/>
  <c r="AD29" i="2" s="1"/>
  <c r="X27" i="2"/>
  <c r="V25" i="2"/>
  <c r="V14" i="2"/>
  <c r="I16" i="2"/>
  <c r="I30" i="2"/>
  <c r="L16" i="2"/>
  <c r="L30" i="2"/>
  <c r="O16" i="2"/>
  <c r="O31" i="2" s="1"/>
  <c r="O30" i="2"/>
  <c r="K16" i="2"/>
  <c r="K30" i="2"/>
  <c r="X25" i="2"/>
  <c r="X14" i="2"/>
  <c r="N16" i="2"/>
  <c r="N30" i="2"/>
  <c r="C16" i="2"/>
  <c r="C30" i="2"/>
  <c r="G16" i="2"/>
  <c r="G30" i="2"/>
  <c r="J16" i="2"/>
  <c r="J30" i="2"/>
  <c r="F16" i="2"/>
  <c r="F30" i="2"/>
  <c r="D16" i="2"/>
  <c r="D30" i="2"/>
  <c r="E16" i="2"/>
  <c r="E30" i="2"/>
  <c r="M16" i="2"/>
  <c r="M30" i="2"/>
  <c r="B16" i="2"/>
  <c r="B30" i="2"/>
  <c r="Z8" i="2"/>
  <c r="Y13" i="2"/>
  <c r="W14" i="2"/>
  <c r="H16" i="2"/>
  <c r="Y26" i="2" l="1"/>
  <c r="AB7" i="2"/>
  <c r="AB25" i="2" s="1"/>
  <c r="Y22" i="2"/>
  <c r="AB28" i="2"/>
  <c r="AA7" i="2"/>
  <c r="AA25" i="2" s="1"/>
  <c r="Z29" i="2"/>
  <c r="Y27" i="2"/>
  <c r="AA22" i="2"/>
  <c r="AD28" i="2"/>
  <c r="AC27" i="2"/>
  <c r="AD22" i="2"/>
  <c r="Z28" i="2"/>
  <c r="AB22" i="2"/>
  <c r="Z7" i="2"/>
  <c r="Z25" i="2" s="1"/>
  <c r="AC22" i="2"/>
  <c r="AA27" i="2"/>
  <c r="Z22" i="2"/>
  <c r="AC7" i="2"/>
  <c r="AC25" i="2" s="1"/>
  <c r="AD7" i="2"/>
  <c r="AD25" i="2" s="1"/>
  <c r="AB29" i="2"/>
  <c r="Y29" i="2"/>
  <c r="AC28" i="2"/>
  <c r="AC29" i="2"/>
  <c r="Y7" i="2"/>
  <c r="Y25" i="2" s="1"/>
  <c r="AB27" i="2"/>
  <c r="Y28" i="2"/>
  <c r="AA29" i="2"/>
  <c r="AA28" i="2"/>
  <c r="Z27" i="2"/>
  <c r="AE5" i="2"/>
  <c r="AD27" i="2"/>
  <c r="N18" i="2"/>
  <c r="N19" i="2" s="1"/>
  <c r="N31" i="2"/>
  <c r="L18" i="2"/>
  <c r="L19" i="2" s="1"/>
  <c r="L31" i="2"/>
  <c r="W16" i="2"/>
  <c r="W30" i="2"/>
  <c r="F18" i="2"/>
  <c r="F19" i="2" s="1"/>
  <c r="F31" i="2"/>
  <c r="X16" i="2"/>
  <c r="X30" i="2"/>
  <c r="H18" i="2"/>
  <c r="H19" i="2" s="1"/>
  <c r="H31" i="2"/>
  <c r="O18" i="2"/>
  <c r="O19" i="2" s="1"/>
  <c r="V16" i="2"/>
  <c r="V30" i="2"/>
  <c r="M18" i="2"/>
  <c r="M19" i="2" s="1"/>
  <c r="M31" i="2"/>
  <c r="J18" i="2"/>
  <c r="J19" i="2" s="1"/>
  <c r="J31" i="2"/>
  <c r="E18" i="2"/>
  <c r="E19" i="2" s="1"/>
  <c r="E31" i="2"/>
  <c r="G18" i="2"/>
  <c r="G19" i="2" s="1"/>
  <c r="G31" i="2"/>
  <c r="AA8" i="2"/>
  <c r="Z13" i="2"/>
  <c r="Z14" i="2" s="1"/>
  <c r="Z26" i="2"/>
  <c r="D18" i="2"/>
  <c r="D19" i="2" s="1"/>
  <c r="D31" i="2"/>
  <c r="B18" i="2"/>
  <c r="B19" i="2" s="1"/>
  <c r="B31" i="2"/>
  <c r="I18" i="2"/>
  <c r="I19" i="2" s="1"/>
  <c r="I31" i="2"/>
  <c r="K31" i="2"/>
  <c r="K18" i="2"/>
  <c r="K19" i="2" s="1"/>
  <c r="C18" i="2"/>
  <c r="C19" i="2" s="1"/>
  <c r="C31" i="2"/>
  <c r="Y14" i="2" l="1"/>
  <c r="AF5" i="2"/>
  <c r="AE27" i="2"/>
  <c r="AE7" i="2"/>
  <c r="AE25" i="2" s="1"/>
  <c r="AE28" i="2"/>
  <c r="AE29" i="2"/>
  <c r="AE22" i="2"/>
  <c r="V18" i="2"/>
  <c r="V31" i="2"/>
  <c r="W18" i="2"/>
  <c r="W31" i="2"/>
  <c r="AB8" i="2"/>
  <c r="AA13" i="2"/>
  <c r="AA14" i="2" s="1"/>
  <c r="AA26" i="2"/>
  <c r="Z30" i="2"/>
  <c r="X18" i="2"/>
  <c r="X31" i="2"/>
  <c r="Y30" i="2" l="1"/>
  <c r="Y16" i="2"/>
  <c r="AG5" i="2"/>
  <c r="AF27" i="2"/>
  <c r="AF28" i="2"/>
  <c r="AF7" i="2"/>
  <c r="AF25" i="2" s="1"/>
  <c r="AF22" i="2"/>
  <c r="AF29" i="2"/>
  <c r="W19" i="2"/>
  <c r="W55" i="2"/>
  <c r="W54" i="2"/>
  <c r="X19" i="2"/>
  <c r="X55" i="2"/>
  <c r="X54" i="2"/>
  <c r="V19" i="2"/>
  <c r="V55" i="2"/>
  <c r="V54" i="2"/>
  <c r="AC8" i="2"/>
  <c r="AB13" i="2"/>
  <c r="AB14" i="2" s="1"/>
  <c r="AB26" i="2"/>
  <c r="AA30" i="2"/>
  <c r="Y17" i="2" l="1"/>
  <c r="Y31" i="2" s="1"/>
  <c r="AH5" i="2"/>
  <c r="AG29" i="2"/>
  <c r="AG7" i="2"/>
  <c r="AG25" i="2" s="1"/>
  <c r="AG27" i="2"/>
  <c r="AG22" i="2"/>
  <c r="AG28" i="2"/>
  <c r="AB30" i="2"/>
  <c r="AD8" i="2"/>
  <c r="AC13" i="2"/>
  <c r="AC14" i="2" s="1"/>
  <c r="AC26" i="2"/>
  <c r="Y18" i="2" l="1"/>
  <c r="Y23" i="2" s="1"/>
  <c r="Y33" i="2"/>
  <c r="Z15" i="2" s="1"/>
  <c r="Z16" i="2" s="1"/>
  <c r="Z17" i="2" s="1"/>
  <c r="Z31" i="2" s="1"/>
  <c r="Y19" i="2"/>
  <c r="AI5" i="2"/>
  <c r="AH7" i="2"/>
  <c r="AH25" i="2" s="1"/>
  <c r="AH27" i="2"/>
  <c r="AH28" i="2"/>
  <c r="AH29" i="2"/>
  <c r="AH22" i="2"/>
  <c r="AC30" i="2"/>
  <c r="AE8" i="2"/>
  <c r="AD13" i="2"/>
  <c r="AD14" i="2" s="1"/>
  <c r="AD26" i="2"/>
  <c r="Z18" i="2" l="1"/>
  <c r="Z23" i="2" s="1"/>
  <c r="AJ5" i="2"/>
  <c r="AI22" i="2"/>
  <c r="AI29" i="2"/>
  <c r="AI7" i="2"/>
  <c r="AI25" i="2" s="1"/>
  <c r="AI27" i="2"/>
  <c r="AI28" i="2"/>
  <c r="Z19" i="2"/>
  <c r="Z33" i="2"/>
  <c r="AD30" i="2"/>
  <c r="AF8" i="2"/>
  <c r="AE13" i="2"/>
  <c r="AE14" i="2" s="1"/>
  <c r="AE26" i="2"/>
  <c r="AK5" i="2" l="1"/>
  <c r="AJ27" i="2"/>
  <c r="AJ22" i="2"/>
  <c r="AJ29" i="2"/>
  <c r="AJ7" i="2"/>
  <c r="AJ25" i="2" s="1"/>
  <c r="AJ28" i="2"/>
  <c r="AA15" i="2"/>
  <c r="AA16" i="2" s="1"/>
  <c r="AG8" i="2"/>
  <c r="AF13" i="2"/>
  <c r="AF14" i="2" s="1"/>
  <c r="AF26" i="2"/>
  <c r="AE30" i="2"/>
  <c r="AL5" i="2" l="1"/>
  <c r="AK22" i="2"/>
  <c r="AK29" i="2"/>
  <c r="AK28" i="2"/>
  <c r="AK7" i="2"/>
  <c r="AK25" i="2" s="1"/>
  <c r="AK27" i="2"/>
  <c r="AA17" i="2"/>
  <c r="AA31" i="2" s="1"/>
  <c r="AF30" i="2"/>
  <c r="AH8" i="2"/>
  <c r="AG13" i="2"/>
  <c r="AG14" i="2" s="1"/>
  <c r="AG26" i="2"/>
  <c r="AM5" i="2" l="1"/>
  <c r="AL22" i="2"/>
  <c r="AL27" i="2"/>
  <c r="AL7" i="2"/>
  <c r="AL25" i="2" s="1"/>
  <c r="AL28" i="2"/>
  <c r="AL29" i="2"/>
  <c r="AA18" i="2"/>
  <c r="AA23" i="2" s="1"/>
  <c r="AI8" i="2"/>
  <c r="AH13" i="2"/>
  <c r="AH14" i="2" s="1"/>
  <c r="AH26" i="2"/>
  <c r="AG30" i="2"/>
  <c r="AN5" i="2" l="1"/>
  <c r="AM28" i="2"/>
  <c r="AM22" i="2"/>
  <c r="AM27" i="2"/>
  <c r="AM29" i="2"/>
  <c r="AM7" i="2"/>
  <c r="AM25" i="2" s="1"/>
  <c r="AA19" i="2"/>
  <c r="AA33" i="2"/>
  <c r="AH30" i="2"/>
  <c r="AJ8" i="2"/>
  <c r="AI13" i="2"/>
  <c r="AI14" i="2" s="1"/>
  <c r="AI26" i="2"/>
  <c r="AO5" i="2" l="1"/>
  <c r="AN28" i="2"/>
  <c r="AN27" i="2"/>
  <c r="AN22" i="2"/>
  <c r="AN29" i="2"/>
  <c r="AN7" i="2"/>
  <c r="AN25" i="2" s="1"/>
  <c r="AB15" i="2"/>
  <c r="AB16" i="2" s="1"/>
  <c r="AI30" i="2"/>
  <c r="AK8" i="2"/>
  <c r="AJ13" i="2"/>
  <c r="AJ14" i="2" s="1"/>
  <c r="AJ26" i="2"/>
  <c r="AO7" i="2" l="1"/>
  <c r="AO25" i="2" s="1"/>
  <c r="AO29" i="2"/>
  <c r="AO27" i="2"/>
  <c r="AO28" i="2"/>
  <c r="AO22" i="2"/>
  <c r="AB17" i="2"/>
  <c r="AB31" i="2" s="1"/>
  <c r="AJ30" i="2"/>
  <c r="AL8" i="2"/>
  <c r="AK13" i="2"/>
  <c r="AK14" i="2" s="1"/>
  <c r="AK26" i="2"/>
  <c r="AB18" i="2" l="1"/>
  <c r="AB23" i="2" s="1"/>
  <c r="AK30" i="2"/>
  <c r="AM8" i="2"/>
  <c r="AL13" i="2"/>
  <c r="AL14" i="2" s="1"/>
  <c r="AL26" i="2"/>
  <c r="AB19" i="2" l="1"/>
  <c r="AB33" i="2"/>
  <c r="AL30" i="2"/>
  <c r="AN8" i="2"/>
  <c r="AM13" i="2"/>
  <c r="AM14" i="2" s="1"/>
  <c r="AM26" i="2"/>
  <c r="AC15" i="2" l="1"/>
  <c r="AC16" i="2" s="1"/>
  <c r="AM30" i="2"/>
  <c r="AO8" i="2"/>
  <c r="AN13" i="2"/>
  <c r="AN14" i="2" s="1"/>
  <c r="AN26" i="2"/>
  <c r="AC17" i="2" l="1"/>
  <c r="AC31" i="2" s="1"/>
  <c r="AN30" i="2"/>
  <c r="AO13" i="2"/>
  <c r="AO14" i="2" s="1"/>
  <c r="AO26" i="2"/>
  <c r="AC18" i="2" l="1"/>
  <c r="AO30" i="2"/>
  <c r="AC19" i="2" l="1"/>
  <c r="AC23" i="2"/>
  <c r="AC33" i="2"/>
  <c r="AD15" i="2" s="1"/>
  <c r="AD16" i="2" s="1"/>
  <c r="AD17" i="2" l="1"/>
  <c r="AD31" i="2" s="1"/>
  <c r="AD18" i="2" l="1"/>
  <c r="AD33" i="2" s="1"/>
  <c r="AD19" i="2" l="1"/>
  <c r="AD23" i="2"/>
  <c r="AE15" i="2"/>
  <c r="AE16" i="2" s="1"/>
  <c r="AE17" i="2" l="1"/>
  <c r="AE31" i="2" s="1"/>
  <c r="AE18" i="2" l="1"/>
  <c r="AE23" i="2" s="1"/>
  <c r="AE33" i="2" l="1"/>
  <c r="AE19" i="2"/>
  <c r="AF15" i="2"/>
  <c r="AF16" i="2" s="1"/>
  <c r="AF17" i="2" l="1"/>
  <c r="AF31" i="2" s="1"/>
  <c r="AF18" i="2" l="1"/>
  <c r="AF23" i="2" s="1"/>
  <c r="AF19" i="2" l="1"/>
  <c r="AF33" i="2"/>
  <c r="AG15" i="2" l="1"/>
  <c r="AG16" i="2" s="1"/>
  <c r="AG17" i="2" l="1"/>
  <c r="AG31" i="2" s="1"/>
  <c r="AG18" i="2" l="1"/>
  <c r="AG23" i="2" s="1"/>
  <c r="AG33" i="2" l="1"/>
  <c r="AH15" i="2" s="1"/>
  <c r="AH16" i="2" s="1"/>
  <c r="AG19" i="2"/>
  <c r="AH17" i="2" l="1"/>
  <c r="AH31" i="2" s="1"/>
  <c r="AH18" i="2" l="1"/>
  <c r="AH23" i="2" s="1"/>
  <c r="AH19" i="2" l="1"/>
  <c r="AH33" i="2"/>
  <c r="AI15" i="2" l="1"/>
  <c r="AI16" i="2" s="1"/>
  <c r="AI17" i="2" l="1"/>
  <c r="AI31" i="2" s="1"/>
  <c r="AI18" i="2" l="1"/>
  <c r="AI23" i="2" s="1"/>
  <c r="AI19" i="2" l="1"/>
  <c r="AI33" i="2"/>
  <c r="AJ15" i="2" l="1"/>
  <c r="AJ16" i="2" s="1"/>
  <c r="AJ17" i="2" l="1"/>
  <c r="AJ31" i="2" s="1"/>
  <c r="AJ18" i="2" l="1"/>
  <c r="AJ23" i="2" s="1"/>
  <c r="AJ19" i="2" l="1"/>
  <c r="AJ33" i="2"/>
  <c r="AK15" i="2" l="1"/>
  <c r="AK16" i="2" s="1"/>
  <c r="AK17" i="2" l="1"/>
  <c r="AK31" i="2" s="1"/>
  <c r="AK18" i="2" l="1"/>
  <c r="AK23" i="2" s="1"/>
  <c r="AK19" i="2" l="1"/>
  <c r="AK33" i="2"/>
  <c r="AL15" i="2" l="1"/>
  <c r="AL16" i="2" s="1"/>
  <c r="AL17" i="2" l="1"/>
  <c r="AL31" i="2" s="1"/>
  <c r="AL18" i="2" l="1"/>
  <c r="AL23" i="2" s="1"/>
  <c r="AL19" i="2" l="1"/>
  <c r="AL33" i="2"/>
  <c r="AM15" i="2" l="1"/>
  <c r="AM16" i="2" s="1"/>
  <c r="AM17" i="2" l="1"/>
  <c r="AM31" i="2" s="1"/>
  <c r="AM18" i="2" l="1"/>
  <c r="AM23" i="2" s="1"/>
  <c r="AM19" i="2" l="1"/>
  <c r="AM33" i="2"/>
  <c r="AN15" i="2" l="1"/>
  <c r="AN16" i="2" s="1"/>
  <c r="AN17" i="2" l="1"/>
  <c r="AN31" i="2" s="1"/>
  <c r="AN18" i="2"/>
  <c r="AN23" i="2" s="1"/>
  <c r="AN19" i="2" l="1"/>
  <c r="AN33" i="2"/>
  <c r="AO15" i="2" l="1"/>
  <c r="AO16" i="2" s="1"/>
  <c r="AO17" i="2" l="1"/>
  <c r="AO31" i="2" s="1"/>
  <c r="AO18" i="2" l="1"/>
  <c r="AO23" i="2" s="1"/>
  <c r="AO19" i="2" l="1"/>
  <c r="AP18" i="2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R29" i="2" s="1"/>
  <c r="R30" i="2" s="1"/>
  <c r="R31" i="2" s="1"/>
  <c r="R32" i="2" s="1"/>
  <c r="AO33" i="2"/>
</calcChain>
</file>

<file path=xl/sharedStrings.xml><?xml version="1.0" encoding="utf-8"?>
<sst xmlns="http://schemas.openxmlformats.org/spreadsheetml/2006/main" count="88" uniqueCount="71">
  <si>
    <t>AMZN</t>
  </si>
  <si>
    <t>Price</t>
  </si>
  <si>
    <t>Shares</t>
  </si>
  <si>
    <t>MC</t>
  </si>
  <si>
    <t>Cash</t>
  </si>
  <si>
    <t>Debt</t>
  </si>
  <si>
    <t>EV</t>
  </si>
  <si>
    <t>Q224</t>
  </si>
  <si>
    <t xml:space="preserve"> 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</si>
  <si>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</si>
  <si>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</si>
  <si>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</si>
  <si>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</si>
  <si>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</si>
  <si>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</si>
  <si>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</si>
  <si>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</si>
  <si>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</si>
  <si>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Products</t>
  </si>
  <si>
    <t>Services</t>
  </si>
  <si>
    <t>Revenue</t>
  </si>
  <si>
    <t>CoS</t>
  </si>
  <si>
    <t>Fulfilment</t>
  </si>
  <si>
    <t>TI</t>
  </si>
  <si>
    <t>SM</t>
  </si>
  <si>
    <t>GA</t>
  </si>
  <si>
    <t>Other</t>
  </si>
  <si>
    <t>Operating Profit</t>
  </si>
  <si>
    <t>Gross Margin</t>
  </si>
  <si>
    <t>Interest Income</t>
  </si>
  <si>
    <t>Net Income</t>
  </si>
  <si>
    <t>EPS</t>
  </si>
  <si>
    <t>OPEX</t>
  </si>
  <si>
    <t>Taxes</t>
  </si>
  <si>
    <t>Pretax</t>
  </si>
  <si>
    <t>Q121</t>
  </si>
  <si>
    <t>Q221</t>
  </si>
  <si>
    <t>Q321</t>
  </si>
  <si>
    <t>Q421</t>
  </si>
  <si>
    <t>Terminal</t>
  </si>
  <si>
    <t>ROIC</t>
  </si>
  <si>
    <t>MR</t>
  </si>
  <si>
    <t>DR</t>
  </si>
  <si>
    <t>NPV</t>
  </si>
  <si>
    <t>TV</t>
  </si>
  <si>
    <t>Per share</t>
  </si>
  <si>
    <t>Ratio</t>
  </si>
  <si>
    <t>Revenue y/y</t>
  </si>
  <si>
    <t>Gross %</t>
  </si>
  <si>
    <t>TI %</t>
  </si>
  <si>
    <t>SM %</t>
  </si>
  <si>
    <t>GA %</t>
  </si>
  <si>
    <t>Taxe rate</t>
  </si>
  <si>
    <t>Operating %</t>
  </si>
  <si>
    <t>Fulfillment %</t>
  </si>
  <si>
    <t>NC</t>
  </si>
  <si>
    <t>AP</t>
  </si>
  <si>
    <t>Inventories</t>
  </si>
  <si>
    <t>AR</t>
  </si>
  <si>
    <t>PPE</t>
  </si>
  <si>
    <t>OL</t>
  </si>
  <si>
    <t>Intangibles</t>
  </si>
  <si>
    <t>Assets</t>
  </si>
  <si>
    <t>AE</t>
  </si>
  <si>
    <t>Leases</t>
  </si>
  <si>
    <t>L+SE</t>
  </si>
  <si>
    <t>SE</t>
  </si>
  <si>
    <t>Liabilities</t>
  </si>
  <si>
    <t>ROA</t>
  </si>
  <si>
    <t>ROE</t>
  </si>
  <si>
    <t>NI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</si>
</sst>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#,##0.00000000"/>
  </numFmts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43" fontId="0" fillId="0" borderId="0" xfId="1" applyFont="1"/>
    <xf numFmtId="9" fontId="0" fillId="0" borderId="0" xfId="0" applyNumberFormat="1"/>
    <xf numFmtId="0" fontId="0" fillId="2" borderId="0" xfId="0" applyFill="1"/>
    <xf numFmtId="8" fontId="0" fillId="0" borderId="0" xfId="0" applyNumberFormat="1"/>
    <xf numFmtId="16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0</xdr:row>
      <xdr:rowOff>99060</xdr:rowOff>
    </xdr:from>
    <xdr:to>
      <xdr:col>15</xdr:col>
      <xdr:colOff>15240</xdr:colOff>
      <xdr:row>35</xdr:row>
      <xdr:rowOff>38100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BEB402CE-8E9E-49E8-050F-373893414E54}"/>
            </a:ext>
          </a:extLst>
        </xdr:cNvPr>
        <xdr:cNvCxnSpPr/>
      </xdr:nvCxnSpPr>
      <xdr:spPr>
        <a:xfrm>
          <a:off x="11902440" y="99060"/>
          <a:ext cx="0" cy="58978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83820</xdr:rowOff>
    </xdr:from>
    <xdr:to>
      <xdr:col>21</xdr:col>
      <xdr:colOff>0</xdr:colOff>
      <xdr:row>35</xdr:row>
      <xdr:rowOff>22860</xdr:rowOff>
    </xdr:to>
    <xdr:cxnSp macro="">
      <xdr:nvCxnSpPr>
        <xdr:cNvPr id="4" name="Conexão reta 3">
          <a:extLst>
            <a:ext uri="{FF2B5EF4-FFF2-40B4-BE49-F238E27FC236}">
              <a16:creationId xmlns:a16="http://schemas.microsoft.com/office/drawing/2014/main" id="{209EEF8E-F020-4300-BB0D-2F1440F2A73F}"/>
            </a:ext>
          </a:extLst>
        </xdr:cNvPr>
        <xdr:cNvCxnSpPr/>
      </xdr:nvCxnSpPr>
      <xdr:spPr>
        <a:xfrm>
          <a:off x="15910560" y="83820"/>
          <a:ext cx="0" cy="58978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D2DF-745B-4DCC-AD01-8BC96BD98B79}">
  <dimension ref="B2:N8"/>
  <sheetViews>
    <sheetView tabSelected="1" topLeftCell="F1" workbookViewId="0">
      <selection activeCell="J8" sqref="J8"/>
    </sheetView>
  </sheetViews>
  <sheetFormatPr defaultRowHeight="13.8" x14ac:dyDescent="0.25"/>
  <cols>
    <col min="13" max="13" width="12.3984375" bestFit="1" customWidth="1"/>
  </cols>
  <sheetData>
    <row r="2" spans="2:14" x14ac:dyDescent="0.25">
      <c r="B2" s="2" t="s">
        <v>0</v>
      </c>
      <c r="L2" t="s">
        <v>1</v>
      </c>
      <c r="M2" s="3">
        <v>188</v>
      </c>
    </row>
    <row r="3" spans="2:14" x14ac:dyDescent="0.25">
      <c r="L3" t="s">
        <v>2</v>
      </c>
      <c r="M3" s="3">
        <v>10495.566881000001</v>
      </c>
      <c r="N3" t="s">
        <v>7</v>
      </c>
    </row>
    <row r="4" spans="2:14" x14ac:dyDescent="0.25">
      <c r="L4" t="s">
        <v>3</v>
      </c>
      <c r="M4" s="3">
        <f>+M2*M3</f>
        <v>1973166.5736280002</v>
      </c>
    </row>
    <row r="5" spans="2:14" x14ac:dyDescent="0.25">
      <c r="L5" t="s">
        <v>4</v>
      </c>
      <c r="M5" s="3">
        <f>73387+13393</f>
        <v>86780</v>
      </c>
      <c r="N5" t="s">
        <v>7</v>
      </c>
    </row>
    <row r="6" spans="2:14" x14ac:dyDescent="0.25">
      <c r="L6" t="s">
        <v>5</v>
      </c>
      <c r="M6" s="3">
        <f>58314+15227</f>
        <v>73541</v>
      </c>
      <c r="N6" t="s">
        <v>7</v>
      </c>
    </row>
    <row r="7" spans="2:14" x14ac:dyDescent="0.25">
      <c r="L7" t="s">
        <v>6</v>
      </c>
      <c r="M7" s="3">
        <f>+M4-M5+M6</f>
        <v>1959927.5736280002</v>
      </c>
    </row>
    <row r="8" spans="2:14" x14ac:dyDescent="0.25">
      <c r="N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DF2E-234A-4FDC-A292-87B826934D72}">
  <dimension ref="A2:BH55"/>
  <sheetViews>
    <sheetView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Q5" sqref="Q5"/>
    </sheetView>
  </sheetViews>
  <sheetFormatPr defaultRowHeight="13.8" x14ac:dyDescent="0.25"/>
  <cols>
    <col min="1" max="1" width="13.59765625" bestFit="1" customWidth="1"/>
    <col min="2" max="5" width="13.59765625" customWidth="1"/>
    <col min="18" max="18" width="17.59765625" bestFit="1" customWidth="1"/>
  </cols>
  <sheetData>
    <row r="2" spans="1:41" x14ac:dyDescent="0.25">
      <c r="B2" t="s">
        <v>35</v>
      </c>
      <c r="C2" t="s">
        <v>36</v>
      </c>
      <c r="D2" t="s">
        <v>37</v>
      </c>
      <c r="E2" t="s">
        <v>38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7</v>
      </c>
      <c r="V2">
        <v>2021</v>
      </c>
      <c r="W2">
        <f>+V2+1</f>
        <v>2022</v>
      </c>
      <c r="X2">
        <f t="shared" ref="X2:AO2" si="0">+W2+1</f>
        <v>2023</v>
      </c>
      <c r="Y2">
        <f t="shared" si="0"/>
        <v>2024</v>
      </c>
      <c r="Z2">
        <f t="shared" si="0"/>
        <v>2025</v>
      </c>
      <c r="AA2">
        <f t="shared" si="0"/>
        <v>2026</v>
      </c>
      <c r="AB2">
        <f t="shared" si="0"/>
        <v>2027</v>
      </c>
      <c r="AC2">
        <f t="shared" si="0"/>
        <v>2028</v>
      </c>
      <c r="AD2">
        <f t="shared" si="0"/>
        <v>2029</v>
      </c>
      <c r="AE2">
        <f t="shared" si="0"/>
        <v>2030</v>
      </c>
      <c r="AF2">
        <f t="shared" si="0"/>
        <v>2031</v>
      </c>
      <c r="AG2">
        <f t="shared" si="0"/>
        <v>2032</v>
      </c>
      <c r="AH2">
        <f t="shared" si="0"/>
        <v>2033</v>
      </c>
      <c r="AI2">
        <f t="shared" si="0"/>
        <v>2034</v>
      </c>
      <c r="AJ2">
        <f t="shared" si="0"/>
        <v>2035</v>
      </c>
      <c r="AK2">
        <f t="shared" si="0"/>
        <v>2036</v>
      </c>
      <c r="AL2">
        <f t="shared" si="0"/>
        <v>2037</v>
      </c>
      <c r="AM2">
        <f t="shared" si="0"/>
        <v>2038</v>
      </c>
      <c r="AN2">
        <f t="shared" si="0"/>
        <v>2039</v>
      </c>
      <c r="AO2">
        <f t="shared" si="0"/>
        <v>2040</v>
      </c>
    </row>
    <row r="3" spans="1:41" x14ac:dyDescent="0.25">
      <c r="A3" t="s">
        <v>18</v>
      </c>
      <c r="B3">
        <v>57491</v>
      </c>
      <c r="C3">
        <v>58004</v>
      </c>
      <c r="D3">
        <v>54876</v>
      </c>
      <c r="E3">
        <v>71416</v>
      </c>
      <c r="F3">
        <v>56455</v>
      </c>
      <c r="G3">
        <v>56575</v>
      </c>
      <c r="H3">
        <v>59340</v>
      </c>
      <c r="I3">
        <v>70531</v>
      </c>
      <c r="J3">
        <v>56981</v>
      </c>
      <c r="K3">
        <v>59032</v>
      </c>
      <c r="L3">
        <v>63171</v>
      </c>
      <c r="M3">
        <v>76703</v>
      </c>
      <c r="N3">
        <v>60915</v>
      </c>
      <c r="O3">
        <v>61569</v>
      </c>
      <c r="V3">
        <f>SUM(B3:E3)</f>
        <v>241787</v>
      </c>
      <c r="W3">
        <f>SUM(F3:I3)</f>
        <v>242901</v>
      </c>
      <c r="X3">
        <f>SUM(J3:M3)</f>
        <v>255887</v>
      </c>
    </row>
    <row r="4" spans="1:41" x14ac:dyDescent="0.25">
      <c r="A4" t="s">
        <v>19</v>
      </c>
      <c r="B4">
        <v>51027</v>
      </c>
      <c r="C4">
        <v>55076</v>
      </c>
      <c r="D4">
        <v>55936</v>
      </c>
      <c r="E4">
        <v>65996</v>
      </c>
      <c r="F4">
        <v>59989</v>
      </c>
      <c r="G4">
        <v>64659</v>
      </c>
      <c r="H4">
        <v>67761</v>
      </c>
      <c r="I4">
        <v>78673</v>
      </c>
      <c r="J4">
        <v>70377</v>
      </c>
      <c r="K4">
        <v>75351</v>
      </c>
      <c r="L4">
        <v>79912</v>
      </c>
      <c r="M4">
        <v>93258</v>
      </c>
      <c r="N4">
        <v>82398</v>
      </c>
      <c r="O4">
        <v>86408</v>
      </c>
      <c r="V4">
        <f>SUM(B4:E4)</f>
        <v>228035</v>
      </c>
      <c r="W4">
        <f>SUM(F4:I4)</f>
        <v>271082</v>
      </c>
      <c r="X4">
        <f>SUM(J4:M4)</f>
        <v>318898</v>
      </c>
    </row>
    <row r="5" spans="1:41" s="1" customFormat="1" x14ac:dyDescent="0.25">
      <c r="A5" s="1" t="s">
        <v>20</v>
      </c>
      <c r="B5" s="1">
        <f t="shared" ref="B5:O5" si="1">+B3+B4</f>
        <v>108518</v>
      </c>
      <c r="C5" s="1">
        <f t="shared" si="1"/>
        <v>113080</v>
      </c>
      <c r="D5" s="1">
        <f t="shared" si="1"/>
        <v>110812</v>
      </c>
      <c r="E5" s="1">
        <f t="shared" si="1"/>
        <v>137412</v>
      </c>
      <c r="F5" s="1">
        <f t="shared" si="1"/>
        <v>116444</v>
      </c>
      <c r="G5" s="1">
        <f t="shared" si="1"/>
        <v>121234</v>
      </c>
      <c r="H5" s="1">
        <f t="shared" si="1"/>
        <v>127101</v>
      </c>
      <c r="I5" s="1">
        <f t="shared" si="1"/>
        <v>149204</v>
      </c>
      <c r="J5" s="1">
        <f t="shared" si="1"/>
        <v>127358</v>
      </c>
      <c r="K5" s="1">
        <f t="shared" si="1"/>
        <v>134383</v>
      </c>
      <c r="L5" s="1">
        <f t="shared" si="1"/>
        <v>143083</v>
      </c>
      <c r="M5" s="1">
        <f t="shared" si="1"/>
        <v>169961</v>
      </c>
      <c r="N5" s="1">
        <f t="shared" si="1"/>
        <v>143313</v>
      </c>
      <c r="O5" s="1">
        <f t="shared" si="1"/>
        <v>147977</v>
      </c>
      <c r="V5" s="1">
        <f>+V3+V4</f>
        <v>469822</v>
      </c>
      <c r="W5" s="1">
        <f>+W3+W4</f>
        <v>513983</v>
      </c>
      <c r="X5" s="1">
        <f>+X3+X4</f>
        <v>574785</v>
      </c>
      <c r="Y5" s="1">
        <f>+X5*(1-$R$27)</f>
        <v>609272.1</v>
      </c>
      <c r="Z5" s="1">
        <f t="shared" ref="Z5:AO5" si="2">+Y5*(1-$R$27)</f>
        <v>645828.42599999998</v>
      </c>
      <c r="AA5" s="1">
        <f t="shared" si="2"/>
        <v>684578.13156000001</v>
      </c>
      <c r="AB5" s="1">
        <f t="shared" si="2"/>
        <v>725652.8194536001</v>
      </c>
      <c r="AC5" s="1">
        <f t="shared" si="2"/>
        <v>769191.98862081615</v>
      </c>
      <c r="AD5" s="1">
        <f t="shared" si="2"/>
        <v>815343.5079380651</v>
      </c>
      <c r="AE5" s="1">
        <f t="shared" si="2"/>
        <v>864264.11841434904</v>
      </c>
      <c r="AF5" s="1">
        <f t="shared" si="2"/>
        <v>916119.96551920997</v>
      </c>
      <c r="AG5" s="1">
        <f t="shared" si="2"/>
        <v>971087.16345036263</v>
      </c>
      <c r="AH5" s="1">
        <f t="shared" si="2"/>
        <v>1029352.3932573844</v>
      </c>
      <c r="AI5" s="1">
        <f t="shared" si="2"/>
        <v>1091113.5368528275</v>
      </c>
      <c r="AJ5" s="1">
        <f t="shared" si="2"/>
        <v>1156580.3490639972</v>
      </c>
      <c r="AK5" s="1">
        <f t="shared" si="2"/>
        <v>1225975.170007837</v>
      </c>
      <c r="AL5" s="1">
        <f t="shared" si="2"/>
        <v>1299533.6802083072</v>
      </c>
      <c r="AM5" s="1">
        <f t="shared" si="2"/>
        <v>1377505.7010208056</v>
      </c>
      <c r="AN5" s="1">
        <f t="shared" si="2"/>
        <v>1460156.043082054</v>
      </c>
      <c r="AO5" s="1">
        <f t="shared" si="2"/>
        <v>1547765.4056669774</v>
      </c>
    </row>
    <row r="6" spans="1:41" x14ac:dyDescent="0.25">
      <c r="A6" t="s">
        <v>21</v>
      </c>
      <c r="B6">
        <v>62403</v>
      </c>
      <c r="C6">
        <v>64176</v>
      </c>
      <c r="D6">
        <v>62930</v>
      </c>
      <c r="E6">
        <v>82835</v>
      </c>
      <c r="F6">
        <v>66499</v>
      </c>
      <c r="G6">
        <v>66424</v>
      </c>
      <c r="H6">
        <v>70268</v>
      </c>
      <c r="I6">
        <v>85640</v>
      </c>
      <c r="J6">
        <v>67791</v>
      </c>
      <c r="K6">
        <v>69373</v>
      </c>
      <c r="L6">
        <v>75022</v>
      </c>
      <c r="M6">
        <v>92553</v>
      </c>
      <c r="N6">
        <v>72633</v>
      </c>
      <c r="O6">
        <v>73785</v>
      </c>
      <c r="V6">
        <f>SUM(B6:E6)</f>
        <v>272344</v>
      </c>
      <c r="W6">
        <f>SUM(F6:I6)</f>
        <v>288831</v>
      </c>
      <c r="X6">
        <f>SUM(J6:M6)</f>
        <v>304739</v>
      </c>
      <c r="Y6">
        <f>+X6*1.05</f>
        <v>319975.95</v>
      </c>
      <c r="Z6">
        <f t="shared" ref="Z6:AO6" si="3">+Y6*1.05</f>
        <v>335974.7475</v>
      </c>
      <c r="AA6">
        <f t="shared" si="3"/>
        <v>352773.48487500002</v>
      </c>
      <c r="AB6">
        <f t="shared" si="3"/>
        <v>370412.15911875002</v>
      </c>
      <c r="AC6">
        <f t="shared" si="3"/>
        <v>388932.76707468752</v>
      </c>
      <c r="AD6">
        <f t="shared" si="3"/>
        <v>408379.40542842192</v>
      </c>
      <c r="AE6">
        <f t="shared" si="3"/>
        <v>428798.37569984305</v>
      </c>
      <c r="AF6">
        <f t="shared" si="3"/>
        <v>450238.29448483523</v>
      </c>
      <c r="AG6">
        <f t="shared" si="3"/>
        <v>472750.209209077</v>
      </c>
      <c r="AH6">
        <f t="shared" si="3"/>
        <v>496387.71966953087</v>
      </c>
      <c r="AI6">
        <f t="shared" si="3"/>
        <v>521207.10565300746</v>
      </c>
      <c r="AJ6">
        <f t="shared" si="3"/>
        <v>547267.46093565784</v>
      </c>
      <c r="AK6">
        <f t="shared" si="3"/>
        <v>574630.83398244076</v>
      </c>
      <c r="AL6">
        <f t="shared" si="3"/>
        <v>603362.37568156281</v>
      </c>
      <c r="AM6">
        <f t="shared" si="3"/>
        <v>633530.49446564098</v>
      </c>
      <c r="AN6">
        <f t="shared" si="3"/>
        <v>665207.01918892306</v>
      </c>
      <c r="AO6">
        <f t="shared" si="3"/>
        <v>698467.37014836923</v>
      </c>
    </row>
    <row r="7" spans="1:41" s="1" customFormat="1" x14ac:dyDescent="0.25">
      <c r="A7" s="1" t="s">
        <v>28</v>
      </c>
      <c r="B7" s="1">
        <f t="shared" ref="B7:O7" si="4">+B5-B6</f>
        <v>46115</v>
      </c>
      <c r="C7" s="1">
        <f t="shared" si="4"/>
        <v>48904</v>
      </c>
      <c r="D7" s="1">
        <f t="shared" si="4"/>
        <v>47882</v>
      </c>
      <c r="E7" s="1">
        <f t="shared" si="4"/>
        <v>54577</v>
      </c>
      <c r="F7" s="1">
        <f t="shared" si="4"/>
        <v>49945</v>
      </c>
      <c r="G7" s="1">
        <f t="shared" si="4"/>
        <v>54810</v>
      </c>
      <c r="H7" s="1">
        <f t="shared" si="4"/>
        <v>56833</v>
      </c>
      <c r="I7" s="1">
        <f t="shared" si="4"/>
        <v>63564</v>
      </c>
      <c r="J7" s="1">
        <f t="shared" si="4"/>
        <v>59567</v>
      </c>
      <c r="K7" s="1">
        <f t="shared" si="4"/>
        <v>65010</v>
      </c>
      <c r="L7" s="1">
        <f t="shared" si="4"/>
        <v>68061</v>
      </c>
      <c r="M7" s="1">
        <f t="shared" si="4"/>
        <v>77408</v>
      </c>
      <c r="N7" s="1">
        <f t="shared" si="4"/>
        <v>70680</v>
      </c>
      <c r="O7" s="1">
        <f t="shared" si="4"/>
        <v>74192</v>
      </c>
      <c r="V7" s="1">
        <f>+V5-V6</f>
        <v>197478</v>
      </c>
      <c r="W7" s="1">
        <f>+W5-W6</f>
        <v>225152</v>
      </c>
      <c r="X7" s="1">
        <f>+X5-X6</f>
        <v>270046</v>
      </c>
      <c r="Y7" s="1">
        <f t="shared" ref="Y7:AO7" si="5">+Y5-Y6</f>
        <v>289296.14999999997</v>
      </c>
      <c r="Z7" s="1">
        <f t="shared" si="5"/>
        <v>309853.67849999998</v>
      </c>
      <c r="AA7" s="1">
        <f t="shared" si="5"/>
        <v>331804.64668499999</v>
      </c>
      <c r="AB7" s="1">
        <f t="shared" si="5"/>
        <v>355240.66033485008</v>
      </c>
      <c r="AC7" s="1">
        <f t="shared" si="5"/>
        <v>380259.22154612863</v>
      </c>
      <c r="AD7" s="1">
        <f t="shared" si="5"/>
        <v>406964.10250964318</v>
      </c>
      <c r="AE7" s="1">
        <f t="shared" si="5"/>
        <v>435465.74271450599</v>
      </c>
      <c r="AF7" s="1">
        <f t="shared" si="5"/>
        <v>465881.67103437474</v>
      </c>
      <c r="AG7" s="1">
        <f t="shared" si="5"/>
        <v>498336.95424128562</v>
      </c>
      <c r="AH7" s="1">
        <f t="shared" si="5"/>
        <v>532964.67358785355</v>
      </c>
      <c r="AI7" s="1">
        <f t="shared" si="5"/>
        <v>569906.43119982001</v>
      </c>
      <c r="AJ7" s="1">
        <f t="shared" si="5"/>
        <v>609312.88812833931</v>
      </c>
      <c r="AK7" s="1">
        <f t="shared" si="5"/>
        <v>651344.33602539625</v>
      </c>
      <c r="AL7" s="1">
        <f t="shared" si="5"/>
        <v>696171.30452674441</v>
      </c>
      <c r="AM7" s="1">
        <f t="shared" si="5"/>
        <v>743975.20655516465</v>
      </c>
      <c r="AN7" s="1">
        <f t="shared" si="5"/>
        <v>794949.02389313094</v>
      </c>
      <c r="AO7" s="1">
        <f t="shared" si="5"/>
        <v>849298.03551860817</v>
      </c>
    </row>
    <row r="8" spans="1:41" x14ac:dyDescent="0.25">
      <c r="A8" t="s">
        <v>22</v>
      </c>
      <c r="B8">
        <v>16530</v>
      </c>
      <c r="C8">
        <v>17638</v>
      </c>
      <c r="D8">
        <v>18498</v>
      </c>
      <c r="E8">
        <v>22445</v>
      </c>
      <c r="F8">
        <v>20271</v>
      </c>
      <c r="G8">
        <v>20342</v>
      </c>
      <c r="H8">
        <v>20583</v>
      </c>
      <c r="I8">
        <v>23103</v>
      </c>
      <c r="J8">
        <v>20905</v>
      </c>
      <c r="K8">
        <v>21305</v>
      </c>
      <c r="L8">
        <v>22314</v>
      </c>
      <c r="M8">
        <v>26095</v>
      </c>
      <c r="N8">
        <v>22317</v>
      </c>
      <c r="O8">
        <v>23566</v>
      </c>
      <c r="V8">
        <f t="shared" ref="V8:V12" si="6">SUM(B8:E8)</f>
        <v>75111</v>
      </c>
      <c r="W8">
        <f t="shared" ref="W8:W12" si="7">SUM(F8:I8)</f>
        <v>84299</v>
      </c>
      <c r="X8">
        <f t="shared" ref="X8:X12" si="8">SUM(J8:M8)</f>
        <v>90619</v>
      </c>
      <c r="Y8">
        <f>+X8*1.03</f>
        <v>93337.57</v>
      </c>
      <c r="Z8">
        <f t="shared" ref="Z8:AO10" si="9">+Y8*1.03</f>
        <v>96137.697100000005</v>
      </c>
      <c r="AA8">
        <f t="shared" si="9"/>
        <v>99021.828013000006</v>
      </c>
      <c r="AB8">
        <f t="shared" si="9"/>
        <v>101992.48285339001</v>
      </c>
      <c r="AC8">
        <f t="shared" si="9"/>
        <v>105052.25733899172</v>
      </c>
      <c r="AD8">
        <f t="shared" si="9"/>
        <v>108203.82505916148</v>
      </c>
      <c r="AE8">
        <f t="shared" si="9"/>
        <v>111449.93981093632</v>
      </c>
      <c r="AF8">
        <f t="shared" si="9"/>
        <v>114793.43800526441</v>
      </c>
      <c r="AG8">
        <f t="shared" si="9"/>
        <v>118237.24114542235</v>
      </c>
      <c r="AH8">
        <f t="shared" si="9"/>
        <v>121784.35837978502</v>
      </c>
      <c r="AI8">
        <f t="shared" si="9"/>
        <v>125437.88913117857</v>
      </c>
      <c r="AJ8">
        <f t="shared" si="9"/>
        <v>129201.02580511392</v>
      </c>
      <c r="AK8">
        <f t="shared" si="9"/>
        <v>133077.05657926734</v>
      </c>
      <c r="AL8">
        <f t="shared" si="9"/>
        <v>137069.36827664537</v>
      </c>
      <c r="AM8">
        <f t="shared" si="9"/>
        <v>141181.44932494473</v>
      </c>
      <c r="AN8">
        <f t="shared" si="9"/>
        <v>145416.89280469308</v>
      </c>
      <c r="AO8">
        <f t="shared" si="9"/>
        <v>149779.39958883388</v>
      </c>
    </row>
    <row r="9" spans="1:41" x14ac:dyDescent="0.25">
      <c r="A9" t="s">
        <v>23</v>
      </c>
      <c r="B9">
        <v>12488</v>
      </c>
      <c r="C9">
        <v>13871</v>
      </c>
      <c r="D9">
        <v>14380</v>
      </c>
      <c r="E9">
        <v>15313</v>
      </c>
      <c r="F9">
        <v>14842</v>
      </c>
      <c r="G9">
        <v>18072</v>
      </c>
      <c r="H9">
        <v>19485</v>
      </c>
      <c r="I9">
        <v>20814</v>
      </c>
      <c r="J9">
        <v>20450</v>
      </c>
      <c r="K9">
        <v>21931</v>
      </c>
      <c r="L9">
        <v>21203</v>
      </c>
      <c r="M9">
        <v>22038</v>
      </c>
      <c r="N9">
        <v>20424</v>
      </c>
      <c r="O9">
        <v>22304</v>
      </c>
      <c r="V9">
        <f t="shared" si="6"/>
        <v>56052</v>
      </c>
      <c r="W9">
        <f t="shared" si="7"/>
        <v>73213</v>
      </c>
      <c r="X9">
        <f t="shared" si="8"/>
        <v>85622</v>
      </c>
      <c r="Y9">
        <f t="shared" ref="Y9:AN10" si="10">+X9*1.03</f>
        <v>88190.66</v>
      </c>
      <c r="Z9">
        <f t="shared" si="10"/>
        <v>90836.37980000001</v>
      </c>
      <c r="AA9">
        <f t="shared" si="10"/>
        <v>93561.471194000012</v>
      </c>
      <c r="AB9">
        <f t="shared" si="10"/>
        <v>96368.31532982002</v>
      </c>
      <c r="AC9">
        <f t="shared" si="10"/>
        <v>99259.364789714629</v>
      </c>
      <c r="AD9">
        <f t="shared" si="10"/>
        <v>102237.14573340607</v>
      </c>
      <c r="AE9">
        <f t="shared" si="10"/>
        <v>105304.26010540825</v>
      </c>
      <c r="AF9">
        <f t="shared" si="10"/>
        <v>108463.3879085705</v>
      </c>
      <c r="AG9">
        <f t="shared" si="10"/>
        <v>111717.28954582762</v>
      </c>
      <c r="AH9">
        <f t="shared" si="10"/>
        <v>115068.80823220246</v>
      </c>
      <c r="AI9">
        <f t="shared" si="10"/>
        <v>118520.87247916854</v>
      </c>
      <c r="AJ9">
        <f t="shared" si="10"/>
        <v>122076.4986535436</v>
      </c>
      <c r="AK9">
        <f t="shared" si="10"/>
        <v>125738.79361314992</v>
      </c>
      <c r="AL9">
        <f t="shared" si="10"/>
        <v>129510.95742154442</v>
      </c>
      <c r="AM9">
        <f t="shared" si="10"/>
        <v>133396.28614419076</v>
      </c>
      <c r="AN9">
        <f t="shared" si="10"/>
        <v>137398.17472851649</v>
      </c>
      <c r="AO9">
        <f t="shared" si="9"/>
        <v>141520.11997037198</v>
      </c>
    </row>
    <row r="10" spans="1:41" x14ac:dyDescent="0.25">
      <c r="A10" t="s">
        <v>24</v>
      </c>
      <c r="B10">
        <v>6207</v>
      </c>
      <c r="C10">
        <v>7524</v>
      </c>
      <c r="D10">
        <v>8010</v>
      </c>
      <c r="E10">
        <v>10810</v>
      </c>
      <c r="F10">
        <v>8320</v>
      </c>
      <c r="G10">
        <v>10086</v>
      </c>
      <c r="H10">
        <v>11014</v>
      </c>
      <c r="I10">
        <v>12818</v>
      </c>
      <c r="J10">
        <v>10172</v>
      </c>
      <c r="K10">
        <v>10745</v>
      </c>
      <c r="L10">
        <v>10551</v>
      </c>
      <c r="M10">
        <v>12902</v>
      </c>
      <c r="N10">
        <v>9662</v>
      </c>
      <c r="O10">
        <v>10512</v>
      </c>
      <c r="Q10" t="s">
        <v>8</v>
      </c>
      <c r="U10" t="s">
        <v>8</v>
      </c>
      <c r="V10">
        <f t="shared" si="6"/>
        <v>32551</v>
      </c>
      <c r="W10">
        <f t="shared" si="7"/>
        <v>42238</v>
      </c>
      <c r="X10">
        <f t="shared" si="8"/>
        <v>44370</v>
      </c>
      <c r="Y10">
        <f>+X10*1.04</f>
        <v>46144.800000000003</v>
      </c>
      <c r="Z10">
        <f t="shared" ref="Z10:AO10" si="11">+Y10*1.04</f>
        <v>47990.592000000004</v>
      </c>
      <c r="AA10">
        <f t="shared" si="11"/>
        <v>49910.215680000008</v>
      </c>
      <c r="AB10">
        <f t="shared" si="11"/>
        <v>51906.624307200007</v>
      </c>
      <c r="AC10">
        <f t="shared" si="11"/>
        <v>53982.889279488008</v>
      </c>
      <c r="AD10">
        <f t="shared" si="11"/>
        <v>56142.204850667527</v>
      </c>
      <c r="AE10">
        <f t="shared" si="11"/>
        <v>58387.893044694232</v>
      </c>
      <c r="AF10">
        <f t="shared" si="11"/>
        <v>60723.408766482004</v>
      </c>
      <c r="AG10">
        <f t="shared" si="11"/>
        <v>63152.345117141289</v>
      </c>
      <c r="AH10">
        <f t="shared" si="11"/>
        <v>65678.43892182695</v>
      </c>
      <c r="AI10">
        <f t="shared" si="11"/>
        <v>68305.576478700037</v>
      </c>
      <c r="AJ10">
        <f t="shared" si="11"/>
        <v>71037.799537848041</v>
      </c>
      <c r="AK10">
        <f t="shared" si="11"/>
        <v>73879.31151936196</v>
      </c>
      <c r="AL10">
        <f t="shared" si="11"/>
        <v>76834.483980136443</v>
      </c>
      <c r="AM10">
        <f t="shared" si="11"/>
        <v>79907.8633393419</v>
      </c>
      <c r="AN10">
        <f t="shared" si="11"/>
        <v>83104.177872915578</v>
      </c>
      <c r="AO10">
        <f t="shared" si="11"/>
        <v>86428.344987832199</v>
      </c>
    </row>
    <row r="11" spans="1:41" x14ac:dyDescent="0.25">
      <c r="A11" t="s">
        <v>25</v>
      </c>
      <c r="B11">
        <v>1987</v>
      </c>
      <c r="C11">
        <v>2156</v>
      </c>
      <c r="D11">
        <v>2153</v>
      </c>
      <c r="E11">
        <v>2525</v>
      </c>
      <c r="F11">
        <v>2594</v>
      </c>
      <c r="G11">
        <v>2903</v>
      </c>
      <c r="H11">
        <v>3061</v>
      </c>
      <c r="I11">
        <v>3333</v>
      </c>
      <c r="J11">
        <v>3043</v>
      </c>
      <c r="K11">
        <v>3202</v>
      </c>
      <c r="L11">
        <v>2561</v>
      </c>
      <c r="M11">
        <v>3010</v>
      </c>
      <c r="N11">
        <v>2742</v>
      </c>
      <c r="O11">
        <v>3041</v>
      </c>
      <c r="V11">
        <f t="shared" si="6"/>
        <v>8821</v>
      </c>
      <c r="W11">
        <f t="shared" si="7"/>
        <v>11891</v>
      </c>
      <c r="X11">
        <f t="shared" si="8"/>
        <v>11816</v>
      </c>
      <c r="Y11">
        <f>+X11*1.02</f>
        <v>12052.32</v>
      </c>
      <c r="Z11">
        <f t="shared" ref="Z11:AO11" si="12">+Y11*1.02</f>
        <v>12293.366400000001</v>
      </c>
      <c r="AA11">
        <f t="shared" si="12"/>
        <v>12539.233728000001</v>
      </c>
      <c r="AB11">
        <f t="shared" si="12"/>
        <v>12790.018402560001</v>
      </c>
      <c r="AC11">
        <f t="shared" si="12"/>
        <v>13045.818770611202</v>
      </c>
      <c r="AD11">
        <f t="shared" si="12"/>
        <v>13306.735146023426</v>
      </c>
      <c r="AE11">
        <f t="shared" si="12"/>
        <v>13572.869848943894</v>
      </c>
      <c r="AF11">
        <f t="shared" si="12"/>
        <v>13844.327245922772</v>
      </c>
      <c r="AG11">
        <f t="shared" si="12"/>
        <v>14121.213790841228</v>
      </c>
      <c r="AH11">
        <f t="shared" si="12"/>
        <v>14403.638066658054</v>
      </c>
      <c r="AI11">
        <f t="shared" si="12"/>
        <v>14691.710827991215</v>
      </c>
      <c r="AJ11">
        <f t="shared" si="12"/>
        <v>14985.54504455104</v>
      </c>
      <c r="AK11">
        <f t="shared" si="12"/>
        <v>15285.255945442061</v>
      </c>
      <c r="AL11">
        <f t="shared" si="12"/>
        <v>15590.961064350902</v>
      </c>
      <c r="AM11">
        <f t="shared" si="12"/>
        <v>15902.78028563792</v>
      </c>
      <c r="AN11">
        <f t="shared" si="12"/>
        <v>16220.835891350678</v>
      </c>
      <c r="AO11">
        <f t="shared" si="12"/>
        <v>16545.252609177693</v>
      </c>
    </row>
    <row r="12" spans="1:41" x14ac:dyDescent="0.25">
      <c r="A12" t="s">
        <v>26</v>
      </c>
      <c r="B12">
        <v>38</v>
      </c>
      <c r="C12">
        <v>11</v>
      </c>
      <c r="D12">
        <v>-11</v>
      </c>
      <c r="E12">
        <v>24</v>
      </c>
      <c r="F12">
        <v>249</v>
      </c>
      <c r="G12">
        <v>90</v>
      </c>
      <c r="H12">
        <v>165</v>
      </c>
      <c r="I12">
        <v>759</v>
      </c>
      <c r="J12">
        <v>223</v>
      </c>
      <c r="K12">
        <v>146</v>
      </c>
      <c r="L12">
        <v>244</v>
      </c>
      <c r="M12">
        <v>154</v>
      </c>
      <c r="N12">
        <v>228</v>
      </c>
      <c r="O12">
        <v>97</v>
      </c>
      <c r="V12">
        <f t="shared" si="6"/>
        <v>62</v>
      </c>
      <c r="W12">
        <f t="shared" si="7"/>
        <v>1263</v>
      </c>
      <c r="X12">
        <f t="shared" si="8"/>
        <v>767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 t="s">
        <v>32</v>
      </c>
      <c r="B13">
        <f t="shared" ref="B13:O13" si="13">SUM(B8:B12)</f>
        <v>37250</v>
      </c>
      <c r="C13">
        <f t="shared" si="13"/>
        <v>41200</v>
      </c>
      <c r="D13">
        <f t="shared" si="13"/>
        <v>43030</v>
      </c>
      <c r="E13">
        <f t="shared" si="13"/>
        <v>51117</v>
      </c>
      <c r="F13">
        <f t="shared" si="13"/>
        <v>46276</v>
      </c>
      <c r="G13">
        <f t="shared" si="13"/>
        <v>51493</v>
      </c>
      <c r="H13">
        <f t="shared" si="13"/>
        <v>54308</v>
      </c>
      <c r="I13">
        <f t="shared" si="13"/>
        <v>60827</v>
      </c>
      <c r="J13">
        <f t="shared" si="13"/>
        <v>54793</v>
      </c>
      <c r="K13">
        <f t="shared" si="13"/>
        <v>57329</v>
      </c>
      <c r="L13">
        <f t="shared" si="13"/>
        <v>56873</v>
      </c>
      <c r="M13">
        <f t="shared" si="13"/>
        <v>64199</v>
      </c>
      <c r="N13">
        <f t="shared" si="13"/>
        <v>55373</v>
      </c>
      <c r="O13">
        <f t="shared" si="13"/>
        <v>59520</v>
      </c>
      <c r="V13">
        <f>SUM(V8:V12)</f>
        <v>172597</v>
      </c>
      <c r="W13">
        <f>SUM(W8:W12)</f>
        <v>212904</v>
      </c>
      <c r="X13">
        <f>SUM(X8:X12)</f>
        <v>233194</v>
      </c>
      <c r="Y13">
        <f t="shared" ref="Y13:AO13" si="14">SUM(Y8:Y12)</f>
        <v>239725.35000000003</v>
      </c>
      <c r="Z13">
        <f t="shared" si="14"/>
        <v>247258.03530000002</v>
      </c>
      <c r="AA13">
        <f t="shared" si="14"/>
        <v>255032.74861500002</v>
      </c>
      <c r="AB13">
        <f t="shared" si="14"/>
        <v>263057.44089297001</v>
      </c>
      <c r="AC13">
        <f t="shared" si="14"/>
        <v>271340.33017880557</v>
      </c>
      <c r="AD13">
        <f t="shared" si="14"/>
        <v>279889.91078925849</v>
      </c>
      <c r="AE13">
        <f t="shared" si="14"/>
        <v>288714.96280998271</v>
      </c>
      <c r="AF13">
        <f t="shared" si="14"/>
        <v>297824.56192623969</v>
      </c>
      <c r="AG13">
        <f t="shared" si="14"/>
        <v>307228.08959923248</v>
      </c>
      <c r="AH13">
        <f t="shared" si="14"/>
        <v>316935.24360047246</v>
      </c>
      <c r="AI13">
        <f t="shared" si="14"/>
        <v>326956.04891703831</v>
      </c>
      <c r="AJ13">
        <f t="shared" si="14"/>
        <v>337300.86904105661</v>
      </c>
      <c r="AK13">
        <f t="shared" si="14"/>
        <v>347980.41765722132</v>
      </c>
      <c r="AL13">
        <f t="shared" si="14"/>
        <v>359005.77074267715</v>
      </c>
      <c r="AM13">
        <f t="shared" si="14"/>
        <v>370388.37909411528</v>
      </c>
      <c r="AN13">
        <f t="shared" si="14"/>
        <v>382140.08129747584</v>
      </c>
      <c r="AO13">
        <f t="shared" si="14"/>
        <v>394273.11715621571</v>
      </c>
    </row>
    <row r="14" spans="1:41" s="1" customFormat="1" x14ac:dyDescent="0.25">
      <c r="A14" s="1" t="s">
        <v>27</v>
      </c>
      <c r="B14" s="1">
        <f t="shared" ref="B14:O14" si="15">+B7-B13</f>
        <v>8865</v>
      </c>
      <c r="C14" s="1">
        <f t="shared" si="15"/>
        <v>7704</v>
      </c>
      <c r="D14" s="1">
        <f t="shared" si="15"/>
        <v>4852</v>
      </c>
      <c r="E14" s="1">
        <f t="shared" si="15"/>
        <v>3460</v>
      </c>
      <c r="F14" s="1">
        <f t="shared" si="15"/>
        <v>3669</v>
      </c>
      <c r="G14" s="1">
        <f t="shared" si="15"/>
        <v>3317</v>
      </c>
      <c r="H14" s="1">
        <f t="shared" si="15"/>
        <v>2525</v>
      </c>
      <c r="I14" s="1">
        <f t="shared" si="15"/>
        <v>2737</v>
      </c>
      <c r="J14" s="1">
        <f t="shared" si="15"/>
        <v>4774</v>
      </c>
      <c r="K14" s="1">
        <f t="shared" si="15"/>
        <v>7681</v>
      </c>
      <c r="L14" s="1">
        <f t="shared" si="15"/>
        <v>11188</v>
      </c>
      <c r="M14" s="1">
        <f t="shared" si="15"/>
        <v>13209</v>
      </c>
      <c r="N14" s="1">
        <f t="shared" si="15"/>
        <v>15307</v>
      </c>
      <c r="O14" s="1">
        <f t="shared" si="15"/>
        <v>14672</v>
      </c>
      <c r="V14" s="1">
        <f>+V7-V13</f>
        <v>24881</v>
      </c>
      <c r="W14" s="1">
        <f>+W7-W13</f>
        <v>12248</v>
      </c>
      <c r="X14" s="1">
        <f>+X7-X13</f>
        <v>36852</v>
      </c>
      <c r="Y14" s="1">
        <f>+Y7-Y13</f>
        <v>49570.79999999993</v>
      </c>
      <c r="Z14" s="1">
        <f t="shared" ref="Z14:AO14" si="16">+Z7-Z13</f>
        <v>62595.643199999962</v>
      </c>
      <c r="AA14" s="1">
        <f t="shared" si="16"/>
        <v>76771.898069999967</v>
      </c>
      <c r="AB14" s="1">
        <f t="shared" si="16"/>
        <v>92183.219441880065</v>
      </c>
      <c r="AC14" s="1">
        <f t="shared" si="16"/>
        <v>108918.89136732306</v>
      </c>
      <c r="AD14" s="1">
        <f t="shared" si="16"/>
        <v>127074.1917203847</v>
      </c>
      <c r="AE14" s="1">
        <f t="shared" si="16"/>
        <v>146750.77990452328</v>
      </c>
      <c r="AF14" s="1">
        <f t="shared" si="16"/>
        <v>168057.10910813505</v>
      </c>
      <c r="AG14" s="1">
        <f t="shared" si="16"/>
        <v>191108.86464205314</v>
      </c>
      <c r="AH14" s="1">
        <f t="shared" si="16"/>
        <v>216029.4299873811</v>
      </c>
      <c r="AI14" s="1">
        <f t="shared" si="16"/>
        <v>242950.38228278171</v>
      </c>
      <c r="AJ14" s="1">
        <f t="shared" si="16"/>
        <v>272012.01908728271</v>
      </c>
      <c r="AK14" s="1">
        <f t="shared" si="16"/>
        <v>303363.91836817493</v>
      </c>
      <c r="AL14" s="1">
        <f t="shared" si="16"/>
        <v>337165.53378406726</v>
      </c>
      <c r="AM14" s="1">
        <f t="shared" si="16"/>
        <v>373586.82746104937</v>
      </c>
      <c r="AN14" s="1">
        <f t="shared" si="16"/>
        <v>412808.9425956551</v>
      </c>
      <c r="AO14" s="1">
        <f t="shared" si="16"/>
        <v>455024.91836239246</v>
      </c>
    </row>
    <row r="15" spans="1:41" x14ac:dyDescent="0.25">
      <c r="A15" t="s">
        <v>29</v>
      </c>
      <c r="B15">
        <f>105-399+1697</f>
        <v>1403</v>
      </c>
      <c r="C15">
        <f>106-435+1261</f>
        <v>932</v>
      </c>
      <c r="D15">
        <f>119-493-163</f>
        <v>-537</v>
      </c>
      <c r="E15">
        <f>118-482+11838</f>
        <v>11474</v>
      </c>
      <c r="F15">
        <f>108-472-8570</f>
        <v>-8934</v>
      </c>
      <c r="G15">
        <f>159-584-5545</f>
        <v>-5970</v>
      </c>
      <c r="H15">
        <f>277-617+759</f>
        <v>419</v>
      </c>
      <c r="I15">
        <f>445-694-3450</f>
        <v>-3699</v>
      </c>
      <c r="J15">
        <f>611-823-443</f>
        <v>-655</v>
      </c>
      <c r="K15">
        <f>661-840+61</f>
        <v>-118</v>
      </c>
      <c r="L15">
        <f>776-806+1031</f>
        <v>1001</v>
      </c>
      <c r="M15">
        <f>901-713+289</f>
        <v>477</v>
      </c>
      <c r="N15">
        <f>993-644-2673</f>
        <v>-2324</v>
      </c>
      <c r="O15">
        <f>1180-589-18</f>
        <v>573</v>
      </c>
      <c r="V15">
        <f t="shared" ref="V15" si="17">SUM(B15:E15)</f>
        <v>13272</v>
      </c>
      <c r="W15">
        <f t="shared" ref="W15:W17" si="18">SUM(F15:I15)</f>
        <v>-18184</v>
      </c>
      <c r="X15">
        <f t="shared" ref="X15:X17" si="19">SUM(J15:M15)</f>
        <v>705</v>
      </c>
      <c r="Y15" s="6">
        <f>+X33*$R$26</f>
        <v>132.39000000000001</v>
      </c>
      <c r="Z15" s="6">
        <f t="shared" ref="Z15:AO15" si="20">+Y33*$R$26</f>
        <v>728.82827999999927</v>
      </c>
      <c r="AA15" s="6">
        <f t="shared" si="20"/>
        <v>1488.7219377599988</v>
      </c>
      <c r="AB15" s="6">
        <f t="shared" si="20"/>
        <v>2427.8493778531183</v>
      </c>
      <c r="AC15" s="6">
        <f t="shared" si="20"/>
        <v>3563.1822036899166</v>
      </c>
      <c r="AD15" s="6">
        <f t="shared" si="20"/>
        <v>4912.9670865420721</v>
      </c>
      <c r="AE15" s="6">
        <f t="shared" si="20"/>
        <v>6496.8129922251937</v>
      </c>
      <c r="AF15" s="6">
        <f t="shared" si="20"/>
        <v>8335.7841069861752</v>
      </c>
      <c r="AG15" s="6">
        <f t="shared" si="20"/>
        <v>10452.498825567631</v>
      </c>
      <c r="AH15" s="6">
        <f t="shared" si="20"/>
        <v>12871.235187179078</v>
      </c>
      <c r="AI15" s="6">
        <f t="shared" si="20"/>
        <v>15618.0431692738</v>
      </c>
      <c r="AJ15" s="6">
        <f t="shared" si="20"/>
        <v>18720.864274698466</v>
      </c>
      <c r="AK15" s="6">
        <f t="shared" si="20"/>
        <v>22209.658875042238</v>
      </c>
      <c r="AL15" s="6">
        <f t="shared" si="20"/>
        <v>26116.541801960841</v>
      </c>
      <c r="AM15" s="6">
        <f t="shared" si="20"/>
        <v>30475.926708993178</v>
      </c>
      <c r="AN15" s="6">
        <f t="shared" si="20"/>
        <v>35324.679759033686</v>
      </c>
      <c r="AO15" s="6">
        <f t="shared" si="20"/>
        <v>40702.283227289954</v>
      </c>
    </row>
    <row r="16" spans="1:41" x14ac:dyDescent="0.25">
      <c r="A16" t="s">
        <v>34</v>
      </c>
      <c r="B16">
        <f t="shared" ref="B16:O16" si="21">+B14+B15</f>
        <v>10268</v>
      </c>
      <c r="C16">
        <f t="shared" si="21"/>
        <v>8636</v>
      </c>
      <c r="D16">
        <f t="shared" si="21"/>
        <v>4315</v>
      </c>
      <c r="E16">
        <f t="shared" si="21"/>
        <v>14934</v>
      </c>
      <c r="F16">
        <f t="shared" si="21"/>
        <v>-5265</v>
      </c>
      <c r="G16">
        <f t="shared" si="21"/>
        <v>-2653</v>
      </c>
      <c r="H16">
        <f t="shared" si="21"/>
        <v>2944</v>
      </c>
      <c r="I16">
        <f t="shared" si="21"/>
        <v>-962</v>
      </c>
      <c r="J16">
        <f t="shared" si="21"/>
        <v>4119</v>
      </c>
      <c r="K16">
        <f t="shared" si="21"/>
        <v>7563</v>
      </c>
      <c r="L16">
        <f t="shared" si="21"/>
        <v>12189</v>
      </c>
      <c r="M16">
        <f t="shared" si="21"/>
        <v>13686</v>
      </c>
      <c r="N16">
        <f t="shared" si="21"/>
        <v>12983</v>
      </c>
      <c r="O16">
        <f t="shared" si="21"/>
        <v>15245</v>
      </c>
      <c r="V16">
        <f>+V14+V15</f>
        <v>38153</v>
      </c>
      <c r="W16">
        <f>+W14+W15</f>
        <v>-5936</v>
      </c>
      <c r="X16">
        <f>+X14+X15</f>
        <v>37557</v>
      </c>
      <c r="Y16">
        <f>+Y14+Y15</f>
        <v>49703.18999999993</v>
      </c>
      <c r="Z16">
        <f t="shared" ref="Z16:AO16" si="22">+Z14+Z15</f>
        <v>63324.471479999964</v>
      </c>
      <c r="AA16">
        <f t="shared" si="22"/>
        <v>78260.620007759964</v>
      </c>
      <c r="AB16">
        <f t="shared" si="22"/>
        <v>94611.068819733176</v>
      </c>
      <c r="AC16">
        <f t="shared" si="22"/>
        <v>112482.07357101297</v>
      </c>
      <c r="AD16">
        <f t="shared" si="22"/>
        <v>131987.15880692677</v>
      </c>
      <c r="AE16">
        <f t="shared" si="22"/>
        <v>153247.59289674848</v>
      </c>
      <c r="AF16">
        <f t="shared" si="22"/>
        <v>176392.89321512124</v>
      </c>
      <c r="AG16">
        <f t="shared" si="22"/>
        <v>201561.36346762077</v>
      </c>
      <c r="AH16">
        <f t="shared" si="22"/>
        <v>228900.66517456018</v>
      </c>
      <c r="AI16">
        <f t="shared" si="22"/>
        <v>258568.4254520555</v>
      </c>
      <c r="AJ16">
        <f t="shared" si="22"/>
        <v>290732.88336198119</v>
      </c>
      <c r="AK16">
        <f t="shared" si="22"/>
        <v>325573.57724321715</v>
      </c>
      <c r="AL16">
        <f t="shared" si="22"/>
        <v>363282.07558602811</v>
      </c>
      <c r="AM16">
        <f t="shared" si="22"/>
        <v>404062.75417004252</v>
      </c>
      <c r="AN16">
        <f t="shared" si="22"/>
        <v>448133.62235468876</v>
      </c>
      <c r="AO16">
        <f t="shared" si="22"/>
        <v>495727.20158968243</v>
      </c>
    </row>
    <row r="17" spans="1:60" x14ac:dyDescent="0.25">
      <c r="A17" t="s">
        <v>33</v>
      </c>
      <c r="B17">
        <f>-2156-5</f>
        <v>-2161</v>
      </c>
      <c r="C17">
        <f>-868+12</f>
        <v>-856</v>
      </c>
      <c r="D17">
        <f>-1155-4</f>
        <v>-1159</v>
      </c>
      <c r="E17">
        <f>-612+1</f>
        <v>-611</v>
      </c>
      <c r="F17">
        <f>1422-1</f>
        <v>1421</v>
      </c>
      <c r="G17">
        <f>637-12</f>
        <v>625</v>
      </c>
      <c r="H17">
        <f>-69-3</f>
        <v>-72</v>
      </c>
      <c r="I17">
        <f>1227+13</f>
        <v>1240</v>
      </c>
      <c r="J17">
        <f>-948+1</f>
        <v>-947</v>
      </c>
      <c r="K17">
        <f>-804-9</f>
        <v>-813</v>
      </c>
      <c r="L17">
        <f>-2306-4</f>
        <v>-2310</v>
      </c>
      <c r="M17">
        <v>-3062</v>
      </c>
      <c r="N17">
        <f>-2467-85</f>
        <v>-2552</v>
      </c>
      <c r="O17">
        <f>-1767+7</f>
        <v>-1760</v>
      </c>
      <c r="V17">
        <f t="shared" ref="V17" si="23">SUM(B17:E17)</f>
        <v>-4787</v>
      </c>
      <c r="W17">
        <f t="shared" si="18"/>
        <v>3214</v>
      </c>
      <c r="X17">
        <f t="shared" si="19"/>
        <v>-7132</v>
      </c>
      <c r="Y17">
        <f>+Y16*0.2</f>
        <v>9940.6379999999863</v>
      </c>
      <c r="Z17">
        <f t="shared" ref="Z17:AO17" si="24">+Z16*0.2</f>
        <v>12664.894295999993</v>
      </c>
      <c r="AA17">
        <f t="shared" si="24"/>
        <v>15652.124001551994</v>
      </c>
      <c r="AB17">
        <f t="shared" si="24"/>
        <v>18922.213763946635</v>
      </c>
      <c r="AC17">
        <f t="shared" si="24"/>
        <v>22496.414714202594</v>
      </c>
      <c r="AD17">
        <f t="shared" si="24"/>
        <v>26397.431761385356</v>
      </c>
      <c r="AE17">
        <f t="shared" si="24"/>
        <v>30649.518579349697</v>
      </c>
      <c r="AF17">
        <f t="shared" si="24"/>
        <v>35278.578643024252</v>
      </c>
      <c r="AG17">
        <f t="shared" si="24"/>
        <v>40312.272693524159</v>
      </c>
      <c r="AH17">
        <f t="shared" si="24"/>
        <v>45780.13303491204</v>
      </c>
      <c r="AI17">
        <f t="shared" si="24"/>
        <v>51713.685090411105</v>
      </c>
      <c r="AJ17">
        <f t="shared" si="24"/>
        <v>58146.576672396244</v>
      </c>
      <c r="AK17">
        <f t="shared" si="24"/>
        <v>65114.71544864343</v>
      </c>
      <c r="AL17">
        <f t="shared" si="24"/>
        <v>72656.41511720563</v>
      </c>
      <c r="AM17">
        <f t="shared" si="24"/>
        <v>80812.550834008507</v>
      </c>
      <c r="AN17">
        <f t="shared" si="24"/>
        <v>89626.724470937756</v>
      </c>
      <c r="AO17">
        <f t="shared" si="24"/>
        <v>99145.440317936489</v>
      </c>
    </row>
    <row r="18" spans="1:60" s="1" customFormat="1" x14ac:dyDescent="0.25">
      <c r="A18" s="1" t="s">
        <v>30</v>
      </c>
      <c r="B18" s="1">
        <f t="shared" ref="B18:O18" si="25">+B16+B17</f>
        <v>8107</v>
      </c>
      <c r="C18" s="1">
        <f t="shared" si="25"/>
        <v>7780</v>
      </c>
      <c r="D18" s="1">
        <f t="shared" si="25"/>
        <v>3156</v>
      </c>
      <c r="E18" s="1">
        <f t="shared" si="25"/>
        <v>14323</v>
      </c>
      <c r="F18" s="1">
        <f t="shared" si="25"/>
        <v>-3844</v>
      </c>
      <c r="G18" s="1">
        <f t="shared" si="25"/>
        <v>-2028</v>
      </c>
      <c r="H18" s="1">
        <f t="shared" si="25"/>
        <v>2872</v>
      </c>
      <c r="I18" s="1">
        <f t="shared" si="25"/>
        <v>278</v>
      </c>
      <c r="J18" s="1">
        <f t="shared" si="25"/>
        <v>3172</v>
      </c>
      <c r="K18" s="1">
        <f t="shared" si="25"/>
        <v>6750</v>
      </c>
      <c r="L18" s="1">
        <f t="shared" si="25"/>
        <v>9879</v>
      </c>
      <c r="M18" s="1">
        <f t="shared" si="25"/>
        <v>10624</v>
      </c>
      <c r="N18" s="1">
        <f t="shared" si="25"/>
        <v>10431</v>
      </c>
      <c r="O18" s="1">
        <f t="shared" si="25"/>
        <v>13485</v>
      </c>
      <c r="V18" s="1">
        <f>+V16+V17</f>
        <v>33366</v>
      </c>
      <c r="W18" s="1">
        <f>+W16+W17</f>
        <v>-2722</v>
      </c>
      <c r="X18" s="1">
        <f>+X16+X17</f>
        <v>30425</v>
      </c>
      <c r="Y18" s="1">
        <f>+Y16+Y17</f>
        <v>59643.827999999914</v>
      </c>
      <c r="Z18" s="1">
        <f t="shared" ref="Z18:AO18" si="26">+Z16+Z17</f>
        <v>75989.365775999962</v>
      </c>
      <c r="AA18" s="1">
        <f t="shared" si="26"/>
        <v>93912.744009311951</v>
      </c>
      <c r="AB18" s="1">
        <f t="shared" si="26"/>
        <v>113533.28258367981</v>
      </c>
      <c r="AC18" s="1">
        <f t="shared" si="26"/>
        <v>134978.48828521557</v>
      </c>
      <c r="AD18" s="1">
        <f t="shared" si="26"/>
        <v>158384.59056831212</v>
      </c>
      <c r="AE18" s="1">
        <f t="shared" si="26"/>
        <v>183897.11147609819</v>
      </c>
      <c r="AF18" s="1">
        <f t="shared" si="26"/>
        <v>211671.47185814549</v>
      </c>
      <c r="AG18" s="1">
        <f t="shared" si="26"/>
        <v>241873.63616114494</v>
      </c>
      <c r="AH18" s="1">
        <f t="shared" si="26"/>
        <v>274680.79820947221</v>
      </c>
      <c r="AI18" s="1">
        <f t="shared" si="26"/>
        <v>310282.11054246663</v>
      </c>
      <c r="AJ18" s="1">
        <f t="shared" si="26"/>
        <v>348879.46003437741</v>
      </c>
      <c r="AK18" s="1">
        <f t="shared" si="26"/>
        <v>390688.29269186058</v>
      </c>
      <c r="AL18" s="1">
        <f t="shared" si="26"/>
        <v>435938.49070323375</v>
      </c>
      <c r="AM18" s="1">
        <f t="shared" si="26"/>
        <v>484875.30500405101</v>
      </c>
      <c r="AN18" s="1">
        <f t="shared" si="26"/>
        <v>537760.34682562656</v>
      </c>
      <c r="AO18" s="1">
        <f t="shared" si="26"/>
        <v>594872.64190761896</v>
      </c>
      <c r="AP18" s="1">
        <f>+AO18*(1-$R$25)</f>
        <v>588923.91548854276</v>
      </c>
      <c r="AQ18" s="1">
        <f t="shared" ref="AQ18:BH18" si="27">+AP18*(1-$R$25)</f>
        <v>583034.67633365735</v>
      </c>
      <c r="AR18" s="1">
        <f t="shared" si="27"/>
        <v>577204.32957032078</v>
      </c>
      <c r="AS18" s="1">
        <f t="shared" si="27"/>
        <v>571432.28627461754</v>
      </c>
      <c r="AT18" s="1">
        <f t="shared" si="27"/>
        <v>565717.96341187134</v>
      </c>
      <c r="AU18" s="1">
        <f t="shared" si="27"/>
        <v>560060.78377775266</v>
      </c>
      <c r="AV18" s="1">
        <f t="shared" si="27"/>
        <v>554460.17593997507</v>
      </c>
      <c r="AW18" s="1">
        <f t="shared" si="27"/>
        <v>548915.57418057532</v>
      </c>
      <c r="AX18" s="1">
        <f t="shared" si="27"/>
        <v>543426.41843876953</v>
      </c>
      <c r="AY18" s="1">
        <f t="shared" si="27"/>
        <v>537992.15425438178</v>
      </c>
      <c r="AZ18" s="1">
        <f t="shared" si="27"/>
        <v>532612.23271183798</v>
      </c>
      <c r="BA18" s="1">
        <f t="shared" si="27"/>
        <v>527286.11038471956</v>
      </c>
      <c r="BB18" s="1">
        <f t="shared" si="27"/>
        <v>522013.24928087235</v>
      </c>
      <c r="BC18" s="1">
        <f t="shared" si="27"/>
        <v>516793.11678806361</v>
      </c>
      <c r="BD18" s="1">
        <f t="shared" si="27"/>
        <v>511625.18562018295</v>
      </c>
      <c r="BE18" s="1">
        <f t="shared" si="27"/>
        <v>506508.9337639811</v>
      </c>
      <c r="BF18" s="1">
        <f t="shared" si="27"/>
        <v>501443.8444263413</v>
      </c>
      <c r="BG18" s="1">
        <f t="shared" si="27"/>
        <v>496429.40598207788</v>
      </c>
      <c r="BH18" s="1">
        <f t="shared" si="27"/>
        <v>491465.11192225711</v>
      </c>
    </row>
    <row r="19" spans="1:60" x14ac:dyDescent="0.25">
      <c r="A19" t="s">
        <v>31</v>
      </c>
      <c r="B19" s="4">
        <f t="shared" ref="B19:O19" si="28">+B18/B20</f>
        <v>16.085317460317459</v>
      </c>
      <c r="C19" s="4">
        <f t="shared" si="28"/>
        <v>0.77006829654558051</v>
      </c>
      <c r="D19" s="4">
        <f t="shared" si="28"/>
        <v>0.31148835373075406</v>
      </c>
      <c r="E19" s="4">
        <f t="shared" si="28"/>
        <v>1.4101604804568277</v>
      </c>
      <c r="F19" s="4">
        <f t="shared" si="28"/>
        <v>-7.5520628683693518</v>
      </c>
      <c r="G19" s="4">
        <f t="shared" si="28"/>
        <v>-0.19931203931203931</v>
      </c>
      <c r="H19" s="4">
        <f t="shared" si="28"/>
        <v>0.28181728976547932</v>
      </c>
      <c r="I19" s="4">
        <f t="shared" si="28"/>
        <v>2.6844341444573195E-2</v>
      </c>
      <c r="J19" s="4">
        <f t="shared" si="28"/>
        <v>0.30946341463414634</v>
      </c>
      <c r="K19" s="4">
        <f t="shared" si="28"/>
        <v>0.65629557608167233</v>
      </c>
      <c r="L19" s="4">
        <f t="shared" si="28"/>
        <v>0.9570819608602984</v>
      </c>
      <c r="M19" s="4">
        <f t="shared" si="28"/>
        <v>1.0258787176516029</v>
      </c>
      <c r="N19" s="4">
        <f t="shared" si="28"/>
        <v>1.0036563071297988</v>
      </c>
      <c r="O19" s="4">
        <f t="shared" si="28"/>
        <v>1.3111327175498297</v>
      </c>
      <c r="V19" s="4">
        <f>+V18/V20</f>
        <v>4.3197824961160025</v>
      </c>
      <c r="W19" s="4">
        <f>+W18/W20</f>
        <v>-0.34862796580320837</v>
      </c>
      <c r="X19" s="4">
        <f>+X18/X20</f>
        <v>2.9529517385291051</v>
      </c>
      <c r="Y19" s="4">
        <f>+Y18/Y20</f>
        <v>5.7888363380486654</v>
      </c>
      <c r="Z19" s="4">
        <f t="shared" ref="Z19:AO19" si="29">+Z18/Z20</f>
        <v>7.3752811759396266</v>
      </c>
      <c r="AA19" s="4">
        <f t="shared" si="29"/>
        <v>9.1148660868475435</v>
      </c>
      <c r="AB19" s="4">
        <f t="shared" si="29"/>
        <v>11.019171871368725</v>
      </c>
      <c r="AC19" s="4">
        <f t="shared" si="29"/>
        <v>13.100573924268126</v>
      </c>
      <c r="AD19" s="4">
        <f t="shared" si="29"/>
        <v>15.372294234179712</v>
      </c>
      <c r="AE19" s="4">
        <f t="shared" si="29"/>
        <v>17.848456698235818</v>
      </c>
      <c r="AF19" s="4">
        <f t="shared" si="29"/>
        <v>20.544145959589983</v>
      </c>
      <c r="AG19" s="4">
        <f t="shared" si="29"/>
        <v>23.475469988706955</v>
      </c>
      <c r="AH19" s="4">
        <f t="shared" si="29"/>
        <v>26.659626642998298</v>
      </c>
      <c r="AI19" s="4">
        <f t="shared" si="29"/>
        <v>30.1149744539312</v>
      </c>
      <c r="AJ19" s="4">
        <f t="shared" si="29"/>
        <v>33.861107906182745</v>
      </c>
      <c r="AK19" s="4">
        <f t="shared" si="29"/>
        <v>37.918937489807639</v>
      </c>
      <c r="AL19" s="4">
        <f t="shared" si="29"/>
        <v>42.310774823791888</v>
      </c>
      <c r="AM19" s="4">
        <f t="shared" si="29"/>
        <v>47.060423167840341</v>
      </c>
      <c r="AN19" s="4">
        <f t="shared" si="29"/>
        <v>52.193273658857791</v>
      </c>
      <c r="AO19" s="4">
        <f t="shared" si="29"/>
        <v>57.736407629400333</v>
      </c>
    </row>
    <row r="20" spans="1:60" x14ac:dyDescent="0.25">
      <c r="A20" t="s">
        <v>2</v>
      </c>
      <c r="B20">
        <v>504</v>
      </c>
      <c r="C20">
        <v>10103</v>
      </c>
      <c r="D20">
        <v>10132</v>
      </c>
      <c r="E20">
        <v>10157</v>
      </c>
      <c r="F20">
        <v>509</v>
      </c>
      <c r="G20">
        <v>10175</v>
      </c>
      <c r="H20">
        <v>10191</v>
      </c>
      <c r="I20">
        <v>10356</v>
      </c>
      <c r="J20">
        <v>10250</v>
      </c>
      <c r="K20">
        <v>10285</v>
      </c>
      <c r="L20">
        <v>10322</v>
      </c>
      <c r="M20">
        <v>10356</v>
      </c>
      <c r="N20">
        <v>10393</v>
      </c>
      <c r="O20">
        <v>10285</v>
      </c>
      <c r="V20">
        <f>AVERAGE(B20:E20)</f>
        <v>7724</v>
      </c>
      <c r="W20">
        <f>AVERAGE(F20:I20)</f>
        <v>7807.75</v>
      </c>
      <c r="X20">
        <f>AVERAGE(J20:M20)</f>
        <v>10303.25</v>
      </c>
      <c r="Y20">
        <f>+X20</f>
        <v>10303.25</v>
      </c>
      <c r="Z20">
        <f t="shared" ref="Z20:AO20" si="30">+Y20</f>
        <v>10303.25</v>
      </c>
      <c r="AA20">
        <f t="shared" si="30"/>
        <v>10303.25</v>
      </c>
      <c r="AB20">
        <f t="shared" si="30"/>
        <v>10303.25</v>
      </c>
      <c r="AC20">
        <f t="shared" si="30"/>
        <v>10303.25</v>
      </c>
      <c r="AD20">
        <f t="shared" si="30"/>
        <v>10303.25</v>
      </c>
      <c r="AE20">
        <f t="shared" si="30"/>
        <v>10303.25</v>
      </c>
      <c r="AF20">
        <f t="shared" si="30"/>
        <v>10303.25</v>
      </c>
      <c r="AG20">
        <f t="shared" si="30"/>
        <v>10303.25</v>
      </c>
      <c r="AH20">
        <f t="shared" si="30"/>
        <v>10303.25</v>
      </c>
      <c r="AI20">
        <f t="shared" si="30"/>
        <v>10303.25</v>
      </c>
      <c r="AJ20">
        <f t="shared" si="30"/>
        <v>10303.25</v>
      </c>
      <c r="AK20">
        <f t="shared" si="30"/>
        <v>10303.25</v>
      </c>
      <c r="AL20">
        <f t="shared" si="30"/>
        <v>10303.25</v>
      </c>
      <c r="AM20">
        <f t="shared" si="30"/>
        <v>10303.25</v>
      </c>
      <c r="AN20">
        <f t="shared" si="30"/>
        <v>10303.25</v>
      </c>
      <c r="AO20">
        <f t="shared" si="30"/>
        <v>10303.25</v>
      </c>
    </row>
    <row r="22" spans="1:60" x14ac:dyDescent="0.25">
      <c r="A22" t="s">
        <v>47</v>
      </c>
      <c r="B22" s="5"/>
      <c r="C22" s="5"/>
      <c r="D22" s="5"/>
      <c r="E22" s="5"/>
      <c r="F22" s="5">
        <f t="shared" ref="F22:N22" si="31">+F5/B5-1</f>
        <v>7.3038574245747334E-2</v>
      </c>
      <c r="G22" s="5">
        <f t="shared" si="31"/>
        <v>7.2108241952600016E-2</v>
      </c>
      <c r="H22" s="5">
        <f t="shared" si="31"/>
        <v>0.14699671515720314</v>
      </c>
      <c r="I22" s="5">
        <f t="shared" si="31"/>
        <v>8.5814921549791867E-2</v>
      </c>
      <c r="J22" s="5">
        <f t="shared" si="31"/>
        <v>9.3727456975026602E-2</v>
      </c>
      <c r="K22" s="5">
        <f t="shared" si="31"/>
        <v>0.10845967302901816</v>
      </c>
      <c r="L22" s="5">
        <f t="shared" si="31"/>
        <v>0.125742519728405</v>
      </c>
      <c r="M22" s="5">
        <f t="shared" si="31"/>
        <v>0.13911825420230017</v>
      </c>
      <c r="N22" s="5">
        <f t="shared" si="31"/>
        <v>0.12527677884388888</v>
      </c>
      <c r="O22" s="5">
        <f>+O5/K5-1</f>
        <v>0.10115862869559389</v>
      </c>
      <c r="W22" s="5">
        <f>+W5/V5-1</f>
        <v>9.399517263985091E-2</v>
      </c>
      <c r="X22" s="5">
        <f t="shared" ref="X22:AO22" si="32">+X5/W5-1</f>
        <v>0.1182957412988368</v>
      </c>
      <c r="Y22" s="5">
        <f t="shared" si="32"/>
        <v>6.0000000000000053E-2</v>
      </c>
      <c r="Z22" s="5">
        <f t="shared" si="32"/>
        <v>6.0000000000000053E-2</v>
      </c>
      <c r="AA22" s="5">
        <f t="shared" si="32"/>
        <v>6.0000000000000053E-2</v>
      </c>
      <c r="AB22" s="5">
        <f t="shared" si="32"/>
        <v>6.0000000000000053E-2</v>
      </c>
      <c r="AC22" s="5">
        <f t="shared" si="32"/>
        <v>6.0000000000000053E-2</v>
      </c>
      <c r="AD22" s="5">
        <f t="shared" si="32"/>
        <v>6.0000000000000053E-2</v>
      </c>
      <c r="AE22" s="5">
        <f t="shared" si="32"/>
        <v>6.0000000000000053E-2</v>
      </c>
      <c r="AF22" s="5">
        <f t="shared" si="32"/>
        <v>6.0000000000000053E-2</v>
      </c>
      <c r="AG22" s="5">
        <f t="shared" si="32"/>
        <v>6.0000000000000053E-2</v>
      </c>
      <c r="AH22" s="5">
        <f t="shared" si="32"/>
        <v>6.0000000000000053E-2</v>
      </c>
      <c r="AI22" s="5">
        <f t="shared" si="32"/>
        <v>6.0000000000000053E-2</v>
      </c>
      <c r="AJ22" s="5">
        <f t="shared" si="32"/>
        <v>6.0000000000000053E-2</v>
      </c>
      <c r="AK22" s="5">
        <f t="shared" si="32"/>
        <v>6.0000000000000053E-2</v>
      </c>
      <c r="AL22" s="5">
        <f t="shared" si="32"/>
        <v>6.0000000000000053E-2</v>
      </c>
      <c r="AM22" s="5">
        <f t="shared" si="32"/>
        <v>6.0000000000000053E-2</v>
      </c>
      <c r="AN22" s="5">
        <f t="shared" si="32"/>
        <v>6.0000000000000053E-2</v>
      </c>
      <c r="AO22" s="5">
        <f t="shared" si="32"/>
        <v>6.0000000000000053E-2</v>
      </c>
    </row>
    <row r="23" spans="1:60" x14ac:dyDescent="0.25">
      <c r="A23" t="s">
        <v>70</v>
      </c>
      <c r="B23" s="5"/>
      <c r="C23" s="5"/>
      <c r="D23" s="5" t="s">
        <v>8</v>
      </c>
      <c r="E23" s="5"/>
      <c r="F23" s="5">
        <f t="shared" ref="F23:N23" si="33">+F18/B18-1</f>
        <v>-1.4741581349451092</v>
      </c>
      <c r="G23" s="5">
        <f t="shared" si="33"/>
        <v>-1.260668380462725</v>
      </c>
      <c r="H23" s="5">
        <f t="shared" si="33"/>
        <v>-8.9987325728770551E-2</v>
      </c>
      <c r="I23" s="5">
        <f t="shared" si="33"/>
        <v>-0.98059065838162396</v>
      </c>
      <c r="J23" s="5">
        <f t="shared" si="33"/>
        <v>-1.8251821019771071</v>
      </c>
      <c r="K23" s="5">
        <f t="shared" si="33"/>
        <v>-4.3284023668639051</v>
      </c>
      <c r="L23" s="5">
        <f t="shared" si="33"/>
        <v>2.4397632311977717</v>
      </c>
      <c r="M23" s="5">
        <f t="shared" si="33"/>
        <v>37.215827338129493</v>
      </c>
      <c r="N23" s="5">
        <f t="shared" si="33"/>
        <v>2.2884615384615383</v>
      </c>
      <c r="O23" s="5">
        <f>+O18/K18-1</f>
        <v>0.99777777777777787</v>
      </c>
      <c r="T23" t="s">
        <v>8</v>
      </c>
      <c r="V23" t="s">
        <v>8</v>
      </c>
      <c r="W23" s="5">
        <f>+W18/V18-1</f>
        <v>-1.0815800515494816</v>
      </c>
      <c r="X23" s="5">
        <f t="shared" ref="X23:AO23" si="34">+X18/W18-1</f>
        <v>-12.177443056576047</v>
      </c>
      <c r="Y23" s="5">
        <f t="shared" si="34"/>
        <v>0.96035589153656242</v>
      </c>
      <c r="Z23" s="5">
        <f t="shared" si="34"/>
        <v>0.27405245981193671</v>
      </c>
      <c r="AA23" s="5">
        <f t="shared" si="34"/>
        <v>0.23586692756649907</v>
      </c>
      <c r="AB23" s="5">
        <f t="shared" si="34"/>
        <v>0.20892306769805802</v>
      </c>
      <c r="AC23" s="5">
        <f t="shared" si="34"/>
        <v>0.18888915403048934</v>
      </c>
      <c r="AD23" s="5">
        <f t="shared" si="34"/>
        <v>0.17340616701557954</v>
      </c>
      <c r="AE23" s="5">
        <f t="shared" si="34"/>
        <v>0.16107956472433704</v>
      </c>
      <c r="AF23" s="5">
        <f t="shared" si="34"/>
        <v>0.15103206439247008</v>
      </c>
      <c r="AG23" s="5">
        <f t="shared" si="34"/>
        <v>0.14268415123621314</v>
      </c>
      <c r="AH23" s="5">
        <f t="shared" si="34"/>
        <v>0.13563761048546019</v>
      </c>
      <c r="AI23" s="5">
        <f t="shared" si="34"/>
        <v>0.12960976000166124</v>
      </c>
      <c r="AJ23" s="5">
        <f t="shared" si="34"/>
        <v>0.12439437589370206</v>
      </c>
      <c r="AK23" s="5">
        <f t="shared" si="34"/>
        <v>0.11983747238476994</v>
      </c>
      <c r="AL23" s="5">
        <f t="shared" si="34"/>
        <v>0.11582174039461779</v>
      </c>
      <c r="AM23" s="5">
        <f t="shared" si="34"/>
        <v>0.11225623647472571</v>
      </c>
      <c r="AN23" s="5">
        <f t="shared" si="34"/>
        <v>0.10906936541371959</v>
      </c>
      <c r="AO23" s="5">
        <f t="shared" si="34"/>
        <v>0.10620399108845335</v>
      </c>
    </row>
    <row r="24" spans="1:60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60" x14ac:dyDescent="0.25">
      <c r="A25" t="s">
        <v>48</v>
      </c>
      <c r="B25" s="5">
        <f>+B7/B$5</f>
        <v>0.42495254243535635</v>
      </c>
      <c r="C25" s="5">
        <f>+C7/C$5</f>
        <v>0.43247258577997877</v>
      </c>
      <c r="D25" s="5">
        <f>+D7/D$5</f>
        <v>0.43210121647475003</v>
      </c>
      <c r="E25" s="5">
        <f>+E7/E$5</f>
        <v>0.39717783017494834</v>
      </c>
      <c r="F25" s="5">
        <f>+F7/F$5</f>
        <v>0.42891862182680085</v>
      </c>
      <c r="G25" s="5">
        <f>+G7/G$5</f>
        <v>0.4521008957883102</v>
      </c>
      <c r="H25" s="5">
        <f>+H7/H$5</f>
        <v>0.44714833085498934</v>
      </c>
      <c r="I25" s="5">
        <f>+I7/I$5</f>
        <v>0.42602075011393797</v>
      </c>
      <c r="J25" s="5">
        <f>+J7/J$5</f>
        <v>0.46771306082067871</v>
      </c>
      <c r="K25" s="5">
        <f>+K7/K$5</f>
        <v>0.48376654785203488</v>
      </c>
      <c r="L25" s="5">
        <f>+L7/L$5</f>
        <v>0.47567495789157344</v>
      </c>
      <c r="M25" s="5">
        <f>+M7/M$5</f>
        <v>0.45544566106342044</v>
      </c>
      <c r="N25" s="5">
        <f>+N7/N$5</f>
        <v>0.49318624269954575</v>
      </c>
      <c r="O25" s="5">
        <f>+O7/O$5</f>
        <v>0.50137521371564497</v>
      </c>
      <c r="Q25" t="s">
        <v>39</v>
      </c>
      <c r="R25" s="5">
        <v>0.01</v>
      </c>
      <c r="V25" s="5">
        <f>+V7/V$5</f>
        <v>0.42032514441639601</v>
      </c>
      <c r="W25" s="5">
        <f>+W7/W$5</f>
        <v>0.43805339865326287</v>
      </c>
      <c r="X25" s="5">
        <f>+X7/X$5</f>
        <v>0.46982088955000567</v>
      </c>
      <c r="Y25" s="5">
        <f>+Y7/Y$5</f>
        <v>0.474822579271232</v>
      </c>
      <c r="Z25" s="5">
        <f>+Z7/Z$5</f>
        <v>0.47977708324037133</v>
      </c>
      <c r="AA25" s="5">
        <f>+AA7/AA$5</f>
        <v>0.48468484660602817</v>
      </c>
      <c r="AB25" s="5">
        <f>+AB7/AB$5</f>
        <v>0.48954631031729212</v>
      </c>
      <c r="AC25" s="5">
        <f>+AC7/AC$5</f>
        <v>0.49436191116335543</v>
      </c>
      <c r="AD25" s="5">
        <f>+AD7/AD$5</f>
        <v>0.4991320818127577</v>
      </c>
      <c r="AE25" s="5">
        <f>+AE7/AE$5</f>
        <v>0.50385725085225996</v>
      </c>
      <c r="AF25" s="5">
        <f>+AF7/AF$5</f>
        <v>0.50853784282535186</v>
      </c>
      <c r="AG25" s="5">
        <f>+AG7/AG$5</f>
        <v>0.51317427827039575</v>
      </c>
      <c r="AH25" s="5">
        <f>+AH7/AH$5</f>
        <v>0.51776697375841085</v>
      </c>
      <c r="AI25" s="5">
        <f>+AI7/AI$5</f>
        <v>0.52231634193050125</v>
      </c>
      <c r="AJ25" s="5">
        <f>+AJ7/AJ$5</f>
        <v>0.5268227915349305</v>
      </c>
      <c r="AK25" s="5">
        <f>+AK7/AK$5</f>
        <v>0.5312867274638462</v>
      </c>
      <c r="AL25" s="5">
        <f>+AL7/AL$5</f>
        <v>0.53570855078965895</v>
      </c>
      <c r="AM25" s="5">
        <f>+AM7/AM$5</f>
        <v>0.54008865880107726</v>
      </c>
      <c r="AN25" s="5">
        <f>+AN7/AN$5</f>
        <v>0.54442744503880292</v>
      </c>
      <c r="AO25" s="5">
        <f>+AO7/AO$5</f>
        <v>0.54872529933088976</v>
      </c>
    </row>
    <row r="26" spans="1:60" x14ac:dyDescent="0.25">
      <c r="A26" t="s">
        <v>54</v>
      </c>
      <c r="B26" s="5">
        <f>+B8/B$5</f>
        <v>0.15232495991448422</v>
      </c>
      <c r="C26" s="5">
        <f>+C8/C$5</f>
        <v>0.15597806862398303</v>
      </c>
      <c r="D26" s="5">
        <f>+D8/D$5</f>
        <v>0.16693137927300292</v>
      </c>
      <c r="E26" s="5">
        <f>+E8/E$5</f>
        <v>0.16334090181352429</v>
      </c>
      <c r="F26" s="5">
        <f>+F8/F$5</f>
        <v>0.17408367970870117</v>
      </c>
      <c r="G26" s="5">
        <f>+G8/G$5</f>
        <v>0.1677912136859297</v>
      </c>
      <c r="H26" s="5">
        <f>+H8/H$5</f>
        <v>0.16194207756036538</v>
      </c>
      <c r="I26" s="5">
        <f>+I8/I$5</f>
        <v>0.15484169325219163</v>
      </c>
      <c r="J26" s="5">
        <f>+J8/J$5</f>
        <v>0.16414359521977417</v>
      </c>
      <c r="K26" s="5">
        <f>+K8/K$5</f>
        <v>0.15853939858464242</v>
      </c>
      <c r="L26" s="5">
        <f>+L8/L$5</f>
        <v>0.15595144077213924</v>
      </c>
      <c r="M26" s="5">
        <f>+M8/M$5</f>
        <v>0.15353522278640394</v>
      </c>
      <c r="N26" s="5">
        <f>+N8/N$5</f>
        <v>0.15572209080823093</v>
      </c>
      <c r="O26" s="5">
        <f>+O8/O$5</f>
        <v>0.1592544787365604</v>
      </c>
      <c r="Q26" t="s">
        <v>40</v>
      </c>
      <c r="R26" s="5">
        <v>0.01</v>
      </c>
      <c r="V26" s="5">
        <f>+V8/V$5</f>
        <v>0.15987118525739535</v>
      </c>
      <c r="W26" s="5">
        <f>+W8/W$5</f>
        <v>0.16401126107283703</v>
      </c>
      <c r="X26" s="5">
        <f>+X8/X$5</f>
        <v>0.1576572109571405</v>
      </c>
      <c r="Y26" s="5">
        <f>+Y8/Y$5</f>
        <v>0.15319521442061768</v>
      </c>
      <c r="Z26" s="5">
        <f>+Z8/Z$5</f>
        <v>0.14885950080493981</v>
      </c>
      <c r="AA26" s="5">
        <f>+AA8/AA$5</f>
        <v>0.14464649606517735</v>
      </c>
      <c r="AB26" s="5">
        <f>+AB8/AB$5</f>
        <v>0.14055272730861573</v>
      </c>
      <c r="AC26" s="5">
        <f>+AC8/AC$5</f>
        <v>0.1365748199319568</v>
      </c>
      <c r="AD26" s="5">
        <f>+AD8/AD$5</f>
        <v>0.13270949483954292</v>
      </c>
      <c r="AE26" s="5">
        <f>+AE8/AE$5</f>
        <v>0.12895356574031058</v>
      </c>
      <c r="AF26" s="5">
        <f>+AF8/AF$5</f>
        <v>0.12530393652124519</v>
      </c>
      <c r="AG26" s="5">
        <f>+AG8/AG$5</f>
        <v>0.12175759869517221</v>
      </c>
      <c r="AH26" s="5">
        <f>+AH8/AH$5</f>
        <v>0.11831162892078052</v>
      </c>
      <c r="AI26" s="5">
        <f>+AI8/AI$5</f>
        <v>0.11496318659283392</v>
      </c>
      <c r="AJ26" s="5">
        <f>+AJ8/AJ$5</f>
        <v>0.11170951150058389</v>
      </c>
      <c r="AK26" s="5">
        <f>+AK8/AK$5</f>
        <v>0.10854792155245416</v>
      </c>
      <c r="AL26" s="5">
        <f>+AL8/AL$5</f>
        <v>0.10547581056512055</v>
      </c>
      <c r="AM26" s="5">
        <f>+AM8/AM$5</f>
        <v>0.10249064611516431</v>
      </c>
      <c r="AN26" s="5">
        <f>+AN8/AN$5</f>
        <v>9.9589967451527595E-2</v>
      </c>
      <c r="AO26" s="5">
        <f>+AO8/AO$5</f>
        <v>9.6771383467050401E-2</v>
      </c>
    </row>
    <row r="27" spans="1:60" x14ac:dyDescent="0.25">
      <c r="A27" t="s">
        <v>49</v>
      </c>
      <c r="B27" s="5">
        <f>+B9/B$5</f>
        <v>0.11507768296503806</v>
      </c>
      <c r="C27" s="5">
        <f>+C9/C$5</f>
        <v>0.12266536964980544</v>
      </c>
      <c r="D27" s="5">
        <f>+D9/D$5</f>
        <v>0.12976933906075155</v>
      </c>
      <c r="E27" s="5">
        <f>+E9/E$5</f>
        <v>0.11143859342706605</v>
      </c>
      <c r="F27" s="5">
        <f>+F9/F$5</f>
        <v>0.12746041015423723</v>
      </c>
      <c r="G27" s="5">
        <f>+G9/G$5</f>
        <v>0.14906709338964316</v>
      </c>
      <c r="H27" s="5">
        <f>+H9/H$5</f>
        <v>0.15330327849505512</v>
      </c>
      <c r="I27" s="5">
        <f>+I9/I$5</f>
        <v>0.13950028149379373</v>
      </c>
      <c r="J27" s="5">
        <f>+J9/J$5</f>
        <v>0.16057098886603119</v>
      </c>
      <c r="K27" s="5">
        <f>+K9/K$5</f>
        <v>0.16319772590282997</v>
      </c>
      <c r="L27" s="5">
        <f>+L9/L$5</f>
        <v>0.14818671680073803</v>
      </c>
      <c r="M27" s="5">
        <f>+M9/M$5</f>
        <v>0.12966504080347843</v>
      </c>
      <c r="N27" s="5">
        <f>+N9/N$5</f>
        <v>0.14251324025036111</v>
      </c>
      <c r="O27" s="5">
        <f>+O9/O$5</f>
        <v>0.15072612635747448</v>
      </c>
      <c r="Q27" t="s">
        <v>41</v>
      </c>
      <c r="R27" s="5">
        <v>-0.06</v>
      </c>
      <c r="V27" s="5">
        <f>+V9/V$5</f>
        <v>0.11930475797216818</v>
      </c>
      <c r="W27" s="5">
        <f>+W9/W$5</f>
        <v>0.14244245432241923</v>
      </c>
      <c r="X27" s="5">
        <f>+X9/X$5</f>
        <v>0.14896352549214054</v>
      </c>
      <c r="Y27" s="5">
        <f>+Y9/Y$5</f>
        <v>0.14474757665745733</v>
      </c>
      <c r="Z27" s="5">
        <f>+Z9/Z$5</f>
        <v>0.14065094712941609</v>
      </c>
      <c r="AA27" s="5">
        <f>+AA9/AA$5</f>
        <v>0.13667025994650808</v>
      </c>
      <c r="AB27" s="5">
        <f>+AB9/AB$5</f>
        <v>0.1328022337216069</v>
      </c>
      <c r="AC27" s="5">
        <f>+AC9/AC$5</f>
        <v>0.12904367993703314</v>
      </c>
      <c r="AD27" s="5">
        <f>+AD9/AD$5</f>
        <v>0.12539150031617372</v>
      </c>
      <c r="AE27" s="5">
        <f>+AE9/AE$5</f>
        <v>0.12184268426948953</v>
      </c>
      <c r="AF27" s="5">
        <f>+AF9/AF$5</f>
        <v>0.11839430641280588</v>
      </c>
      <c r="AG27" s="5">
        <f>+AG9/AG$5</f>
        <v>0.11504352415583967</v>
      </c>
      <c r="AH27" s="5">
        <f>+AH9/AH$5</f>
        <v>0.11178757535897629</v>
      </c>
      <c r="AI27" s="5">
        <f>+AI9/AI$5</f>
        <v>0.10862377605636375</v>
      </c>
      <c r="AJ27" s="5">
        <f>+AJ9/AJ$5</f>
        <v>0.10554951824344781</v>
      </c>
      <c r="AK27" s="5">
        <f>+AK9/AK$5</f>
        <v>0.10256226772712382</v>
      </c>
      <c r="AL27" s="5">
        <f>+AL9/AL$5</f>
        <v>9.9659562036733526E-2</v>
      </c>
      <c r="AM27" s="5">
        <f>+AM9/AM$5</f>
        <v>9.6839008394184467E-2</v>
      </c>
      <c r="AN27" s="5">
        <f>+AN9/AN$5</f>
        <v>9.409828174151888E-2</v>
      </c>
      <c r="AO27" s="5">
        <f>+AO9/AO$5</f>
        <v>9.1435122824306062E-2</v>
      </c>
    </row>
    <row r="28" spans="1:60" x14ac:dyDescent="0.25">
      <c r="A28" t="s">
        <v>50</v>
      </c>
      <c r="B28" s="5">
        <f>+B10/B$5</f>
        <v>5.7197884221972389E-2</v>
      </c>
      <c r="C28" s="5">
        <f>+C10/C$5</f>
        <v>6.6536964980544747E-2</v>
      </c>
      <c r="D28" s="5">
        <f>+D10/D$5</f>
        <v>7.2284590116593869E-2</v>
      </c>
      <c r="E28" s="5">
        <f>+E10/E$5</f>
        <v>7.8668529677175206E-2</v>
      </c>
      <c r="F28" s="5">
        <f>+F10/F$5</f>
        <v>7.1450654391810656E-2</v>
      </c>
      <c r="G28" s="5">
        <f>+G10/G$5</f>
        <v>8.3194483395747074E-2</v>
      </c>
      <c r="H28" s="5">
        <f>+H10/H$5</f>
        <v>8.6655494449296225E-2</v>
      </c>
      <c r="I28" s="5">
        <f>+I10/I$5</f>
        <v>8.5909224953754595E-2</v>
      </c>
      <c r="J28" s="5">
        <f>+J10/J$5</f>
        <v>7.9869344681920251E-2</v>
      </c>
      <c r="K28" s="5">
        <f>+K10/K$5</f>
        <v>7.9958030405631667E-2</v>
      </c>
      <c r="L28" s="5">
        <f>+L10/L$5</f>
        <v>7.3740416401668965E-2</v>
      </c>
      <c r="M28" s="5">
        <f>+M10/M$5</f>
        <v>7.5911532645724603E-2</v>
      </c>
      <c r="N28" s="5">
        <f>+N10/N$5</f>
        <v>6.7418866397326138E-2</v>
      </c>
      <c r="O28" s="5">
        <f>+O10/O$5</f>
        <v>7.1038066726585886E-2</v>
      </c>
      <c r="Q28" t="s">
        <v>42</v>
      </c>
      <c r="R28" s="5">
        <v>0.08</v>
      </c>
      <c r="V28" s="5">
        <f>+V10/V$5</f>
        <v>6.9283686161993263E-2</v>
      </c>
      <c r="W28" s="5">
        <f>+W10/W$5</f>
        <v>8.2177815219569517E-2</v>
      </c>
      <c r="X28" s="5">
        <f>+X10/X$5</f>
        <v>7.7194081265168718E-2</v>
      </c>
      <c r="Y28" s="5">
        <f>+Y10/Y$5</f>
        <v>7.5737589165825916E-2</v>
      </c>
      <c r="Z28" s="5">
        <f>+Z10/Z$5</f>
        <v>7.4308578049489579E-2</v>
      </c>
      <c r="AA28" s="5">
        <f>+AA10/AA$5</f>
        <v>7.290652940704638E-2</v>
      </c>
      <c r="AB28" s="5">
        <f>+AB10/AB$5</f>
        <v>7.1530934512573793E-2</v>
      </c>
      <c r="AC28" s="5">
        <f>+AC10/AC$5</f>
        <v>7.0181294238751649E-2</v>
      </c>
      <c r="AD28" s="5">
        <f>+AD10/AD$5</f>
        <v>6.8857118875756337E-2</v>
      </c>
      <c r="AE28" s="5">
        <f>+AE10/AE$5</f>
        <v>6.7557927953572253E-2</v>
      </c>
      <c r="AF28" s="5">
        <f>+AF10/AF$5</f>
        <v>6.62832500676558E-2</v>
      </c>
      <c r="AG28" s="5">
        <f>+AG10/AG$5</f>
        <v>6.5032622707888704E-2</v>
      </c>
      <c r="AH28" s="5">
        <f>+AH10/AH$5</f>
        <v>6.3805592090758742E-2</v>
      </c>
      <c r="AI28" s="5">
        <f>+AI10/AI$5</f>
        <v>6.2601712994706696E-2</v>
      </c>
      <c r="AJ28" s="5">
        <f>+AJ10/AJ$5</f>
        <v>6.1420548598580156E-2</v>
      </c>
      <c r="AK28" s="5">
        <f>+AK10/AK$5</f>
        <v>6.0261670323135244E-2</v>
      </c>
      <c r="AL28" s="5">
        <f>+AL10/AL$5</f>
        <v>5.9124657675528922E-2</v>
      </c>
      <c r="AM28" s="5">
        <f>+AM10/AM$5</f>
        <v>5.8009098096745364E-2</v>
      </c>
      <c r="AN28" s="5">
        <f>+AN10/AN$5</f>
        <v>5.6914586811901105E-2</v>
      </c>
      <c r="AO28" s="5">
        <f>+AO10/AO$5</f>
        <v>5.5840726683374663E-2</v>
      </c>
    </row>
    <row r="29" spans="1:60" x14ac:dyDescent="0.25">
      <c r="A29" t="s">
        <v>51</v>
      </c>
      <c r="B29" s="5">
        <f>+B11/B$5</f>
        <v>1.8310326397464015E-2</v>
      </c>
      <c r="C29" s="5">
        <f>+C11/C$5</f>
        <v>1.9066147859922181E-2</v>
      </c>
      <c r="D29" s="5">
        <f>+D11/D$5</f>
        <v>1.9429303685521423E-2</v>
      </c>
      <c r="E29" s="5">
        <f>+E11/E$5</f>
        <v>1.8375396617471545E-2</v>
      </c>
      <c r="F29" s="5">
        <f>+F11/F$5</f>
        <v>2.2276802583215967E-2</v>
      </c>
      <c r="G29" s="5">
        <f>+G11/G$5</f>
        <v>2.3945427850273027E-2</v>
      </c>
      <c r="H29" s="5">
        <f>+H11/H$5</f>
        <v>2.4083209416133625E-2</v>
      </c>
      <c r="I29" s="5">
        <f>+I11/I$5</f>
        <v>2.2338543202595106E-2</v>
      </c>
      <c r="J29" s="5">
        <f>+J11/J$5</f>
        <v>2.3893277218549287E-2</v>
      </c>
      <c r="K29" s="5">
        <f>+K11/K$5</f>
        <v>2.3827418646703825E-2</v>
      </c>
      <c r="L29" s="5">
        <f>+L11/L$5</f>
        <v>1.7898702151897851E-2</v>
      </c>
      <c r="M29" s="5">
        <f>+M11/M$5</f>
        <v>1.7709945222727567E-2</v>
      </c>
      <c r="N29" s="5">
        <f>+N11/N$5</f>
        <v>1.9132946766866929E-2</v>
      </c>
      <c r="O29" s="5">
        <f>+O11/O$5</f>
        <v>2.0550490954675388E-2</v>
      </c>
      <c r="Q29" t="s">
        <v>43</v>
      </c>
      <c r="R29" s="7">
        <f>NPV(R28,Y18:BH18)</f>
        <v>3404204.4857593467</v>
      </c>
      <c r="V29" s="5">
        <f>+V11/V$5</f>
        <v>1.8775195712418747E-2</v>
      </c>
      <c r="W29" s="5">
        <f>+W11/W$5</f>
        <v>2.3135006410717866E-2</v>
      </c>
      <c r="X29" s="5">
        <f>+X11/X$5</f>
        <v>2.0557251841993092E-2</v>
      </c>
      <c r="Y29" s="5">
        <f>+Y11/Y$5</f>
        <v>1.9781506489465053E-2</v>
      </c>
      <c r="Z29" s="5">
        <f>+Z11/Z$5</f>
        <v>1.9035034546466371E-2</v>
      </c>
      <c r="AA29" s="5">
        <f>+AA11/AA$5</f>
        <v>1.8316731356033678E-2</v>
      </c>
      <c r="AB29" s="5">
        <f>+AB11/AB$5</f>
        <v>1.7625533946372028E-2</v>
      </c>
      <c r="AC29" s="5">
        <f>+AC11/AC$5</f>
        <v>1.6960419457829688E-2</v>
      </c>
      <c r="AD29" s="5">
        <f>+AD11/AD$5</f>
        <v>1.6320403629232341E-2</v>
      </c>
      <c r="AE29" s="5">
        <f>+AE11/AE$5</f>
        <v>1.5704539341336778E-2</v>
      </c>
      <c r="AF29" s="5">
        <f>+AF11/AF$5</f>
        <v>1.51119152152486E-2</v>
      </c>
      <c r="AG29" s="5">
        <f>+AG11/AG$5</f>
        <v>1.4541654263729784E-2</v>
      </c>
      <c r="AH29" s="5">
        <f>+AH11/AH$5</f>
        <v>1.399291259340036E-2</v>
      </c>
      <c r="AI29" s="5">
        <f>+AI11/AI$5</f>
        <v>1.3464878155913554E-2</v>
      </c>
      <c r="AJ29" s="5">
        <f>+AJ11/AJ$5</f>
        <v>1.2956769546256438E-2</v>
      </c>
      <c r="AK29" s="5">
        <f>+AK11/AK$5</f>
        <v>1.2467834846397704E-2</v>
      </c>
      <c r="AL29" s="5">
        <f>+AL11/AL$5</f>
        <v>1.1997350512571376E-2</v>
      </c>
      <c r="AM29" s="5">
        <f>+AM11/AM$5</f>
        <v>1.1544620304549816E-2</v>
      </c>
      <c r="AN29" s="5">
        <f>+AN11/AN$5</f>
        <v>1.110897425532152E-2</v>
      </c>
      <c r="AO29" s="5">
        <f>+AO11/AO$5</f>
        <v>1.068976767964901E-2</v>
      </c>
    </row>
    <row r="30" spans="1:60" x14ac:dyDescent="0.25">
      <c r="A30" t="s">
        <v>53</v>
      </c>
      <c r="B30" s="5">
        <f t="shared" ref="B30:N30" si="35">+B14/B5</f>
        <v>8.1691516614755155E-2</v>
      </c>
      <c r="C30" s="5">
        <f t="shared" si="35"/>
        <v>6.8128758401131945E-2</v>
      </c>
      <c r="D30" s="5">
        <f t="shared" si="35"/>
        <v>4.3785871566256365E-2</v>
      </c>
      <c r="E30" s="5">
        <f t="shared" si="35"/>
        <v>2.5179751404535267E-2</v>
      </c>
      <c r="F30" s="5">
        <f t="shared" si="35"/>
        <v>3.1508708048504003E-2</v>
      </c>
      <c r="G30" s="5">
        <f t="shared" si="35"/>
        <v>2.7360311463780786E-2</v>
      </c>
      <c r="H30" s="5">
        <f t="shared" si="35"/>
        <v>1.986609074672898E-2</v>
      </c>
      <c r="I30" s="5">
        <f t="shared" si="35"/>
        <v>1.8344012224873328E-2</v>
      </c>
      <c r="J30" s="5">
        <f t="shared" si="35"/>
        <v>3.7484885126964934E-2</v>
      </c>
      <c r="K30" s="5">
        <f t="shared" si="35"/>
        <v>5.7157527365812637E-2</v>
      </c>
      <c r="L30" s="5">
        <f t="shared" si="35"/>
        <v>7.8192377850618167E-2</v>
      </c>
      <c r="M30" s="5">
        <f t="shared" si="35"/>
        <v>7.771782938438819E-2</v>
      </c>
      <c r="N30" s="5">
        <f t="shared" si="35"/>
        <v>0.10680817511321374</v>
      </c>
      <c r="O30" s="5">
        <f>+O14/O5</f>
        <v>9.9150543665569649E-2</v>
      </c>
      <c r="Q30" t="s">
        <v>44</v>
      </c>
      <c r="R30" s="8">
        <f>+R29-main!M5+main!M6</f>
        <v>3390965.4857593467</v>
      </c>
      <c r="V30" s="5">
        <f t="shared" ref="V30:AO30" si="36">+V14/V5</f>
        <v>5.2958354440617937E-2</v>
      </c>
      <c r="W30" s="5">
        <f t="shared" si="36"/>
        <v>2.3829581912242232E-2</v>
      </c>
      <c r="X30" s="5">
        <f t="shared" si="36"/>
        <v>6.4114407996033296E-2</v>
      </c>
      <c r="Y30" s="5">
        <f t="shared" si="36"/>
        <v>8.1360692537865972E-2</v>
      </c>
      <c r="Z30" s="5">
        <f t="shared" si="36"/>
        <v>9.6923022710059467E-2</v>
      </c>
      <c r="AA30" s="5">
        <f t="shared" si="36"/>
        <v>0.1121448298312627</v>
      </c>
      <c r="AB30" s="5">
        <f t="shared" si="36"/>
        <v>0.12703488082812373</v>
      </c>
      <c r="AC30" s="5">
        <f t="shared" si="36"/>
        <v>0.14160169759778418</v>
      </c>
      <c r="AD30" s="5">
        <f t="shared" si="36"/>
        <v>0.15585356415205243</v>
      </c>
      <c r="AE30" s="5">
        <f t="shared" si="36"/>
        <v>0.16979853354755081</v>
      </c>
      <c r="AF30" s="5">
        <f t="shared" si="36"/>
        <v>0.18344443460839635</v>
      </c>
      <c r="AG30" s="5">
        <f t="shared" si="36"/>
        <v>0.19679887844776534</v>
      </c>
      <c r="AH30" s="5">
        <f t="shared" si="36"/>
        <v>0.20986926479449494</v>
      </c>
      <c r="AI30" s="5">
        <f t="shared" si="36"/>
        <v>0.22266278813068335</v>
      </c>
      <c r="AJ30" s="5">
        <f t="shared" si="36"/>
        <v>0.2351864436460622</v>
      </c>
      <c r="AK30" s="5">
        <f t="shared" si="36"/>
        <v>0.24744703301473528</v>
      </c>
      <c r="AL30" s="5">
        <f t="shared" si="36"/>
        <v>0.25945116999970458</v>
      </c>
      <c r="AM30" s="5">
        <f t="shared" si="36"/>
        <v>0.2712052858904333</v>
      </c>
      <c r="AN30" s="5">
        <f t="shared" si="36"/>
        <v>0.28271563477853384</v>
      </c>
      <c r="AO30" s="5">
        <f t="shared" si="36"/>
        <v>0.29398829867650966</v>
      </c>
    </row>
    <row r="31" spans="1:60" x14ac:dyDescent="0.25">
      <c r="A31" t="s">
        <v>52</v>
      </c>
      <c r="B31" s="5">
        <f t="shared" ref="B31:N31" si="37">+B17/B16</f>
        <v>-0.21045968056096612</v>
      </c>
      <c r="C31" s="5">
        <f t="shared" si="37"/>
        <v>-9.9119962945808243E-2</v>
      </c>
      <c r="D31" s="5">
        <f t="shared" si="37"/>
        <v>-0.26859791425260721</v>
      </c>
      <c r="E31" s="5">
        <f t="shared" si="37"/>
        <v>-4.0913352082496315E-2</v>
      </c>
      <c r="F31" s="5">
        <f t="shared" si="37"/>
        <v>-0.26989553656220322</v>
      </c>
      <c r="G31" s="5">
        <f t="shared" si="37"/>
        <v>-0.23558235959291368</v>
      </c>
      <c r="H31" s="5">
        <f t="shared" si="37"/>
        <v>-2.4456521739130436E-2</v>
      </c>
      <c r="I31" s="5">
        <f t="shared" si="37"/>
        <v>-1.2889812889812891</v>
      </c>
      <c r="J31" s="5">
        <f t="shared" si="37"/>
        <v>-0.22991017237193492</v>
      </c>
      <c r="K31" s="5">
        <f t="shared" si="37"/>
        <v>-0.1074970249900833</v>
      </c>
      <c r="L31" s="5">
        <f t="shared" si="37"/>
        <v>-0.18951513659857247</v>
      </c>
      <c r="M31" s="5">
        <f t="shared" si="37"/>
        <v>-0.22373228116323249</v>
      </c>
      <c r="N31" s="5">
        <f t="shared" si="37"/>
        <v>-0.19656473850419778</v>
      </c>
      <c r="O31" s="5">
        <f>+O17/O16</f>
        <v>-0.11544768776648082</v>
      </c>
      <c r="Q31" t="s">
        <v>45</v>
      </c>
      <c r="R31">
        <f>+R30/main!M3</f>
        <v>323.08550116506535</v>
      </c>
      <c r="V31" s="5">
        <f t="shared" ref="V31:AO31" si="38">+V17/V16</f>
        <v>-0.12546850837417764</v>
      </c>
      <c r="W31" s="5">
        <f t="shared" si="38"/>
        <v>-0.5414420485175202</v>
      </c>
      <c r="X31" s="5">
        <f t="shared" si="38"/>
        <v>-0.18989802167372261</v>
      </c>
      <c r="Y31" s="5">
        <f t="shared" si="38"/>
        <v>0.2</v>
      </c>
      <c r="Z31" s="5">
        <f t="shared" si="38"/>
        <v>0.2</v>
      </c>
      <c r="AA31" s="5">
        <f t="shared" si="38"/>
        <v>0.2</v>
      </c>
      <c r="AB31" s="5">
        <f t="shared" si="38"/>
        <v>0.19999999999999998</v>
      </c>
      <c r="AC31" s="5">
        <f t="shared" si="38"/>
        <v>0.2</v>
      </c>
      <c r="AD31" s="5">
        <f t="shared" si="38"/>
        <v>0.2</v>
      </c>
      <c r="AE31" s="5">
        <f t="shared" si="38"/>
        <v>0.2</v>
      </c>
      <c r="AF31" s="5">
        <f t="shared" si="38"/>
        <v>0.2</v>
      </c>
      <c r="AG31" s="5">
        <f t="shared" si="38"/>
        <v>0.2</v>
      </c>
      <c r="AH31" s="5">
        <f t="shared" si="38"/>
        <v>0.2</v>
      </c>
      <c r="AI31" s="5">
        <f t="shared" si="38"/>
        <v>0.2</v>
      </c>
      <c r="AJ31" s="5">
        <f t="shared" si="38"/>
        <v>0.2</v>
      </c>
      <c r="AK31" s="5">
        <f t="shared" si="38"/>
        <v>0.2</v>
      </c>
      <c r="AL31" s="5">
        <f t="shared" si="38"/>
        <v>0.2</v>
      </c>
      <c r="AM31" s="5">
        <f t="shared" si="38"/>
        <v>0.2</v>
      </c>
      <c r="AN31" s="5">
        <f t="shared" si="38"/>
        <v>0.2</v>
      </c>
      <c r="AO31" s="5">
        <f t="shared" si="38"/>
        <v>0.2</v>
      </c>
    </row>
    <row r="32" spans="1:60" x14ac:dyDescent="0.25">
      <c r="Q32" t="s">
        <v>46</v>
      </c>
      <c r="R32" s="5">
        <f>+R31/main!M2-1</f>
        <v>0.71853989981417743</v>
      </c>
    </row>
    <row r="33" spans="1:41" x14ac:dyDescent="0.25">
      <c r="A33" t="s">
        <v>55</v>
      </c>
      <c r="V33" s="3">
        <f t="shared" ref="V33:W33" si="39">+V35-V44</f>
        <v>35478</v>
      </c>
      <c r="W33" s="3">
        <f t="shared" si="39"/>
        <v>-10351</v>
      </c>
      <c r="X33" s="3">
        <f>+X35-X44</f>
        <v>13239</v>
      </c>
      <c r="Y33" s="3">
        <f>+X33+Y18</f>
        <v>72882.827999999921</v>
      </c>
      <c r="Z33" s="3">
        <f t="shared" ref="Z33:AO33" si="40">+Y33+Z18</f>
        <v>148872.19377599988</v>
      </c>
      <c r="AA33" s="3">
        <f t="shared" si="40"/>
        <v>242784.93778531183</v>
      </c>
      <c r="AB33" s="3">
        <f t="shared" si="40"/>
        <v>356318.22036899166</v>
      </c>
      <c r="AC33" s="3">
        <f t="shared" si="40"/>
        <v>491296.70865420724</v>
      </c>
      <c r="AD33" s="3">
        <f t="shared" si="40"/>
        <v>649681.29922251939</v>
      </c>
      <c r="AE33" s="3">
        <f t="shared" si="40"/>
        <v>833578.41069861758</v>
      </c>
      <c r="AF33" s="3">
        <f t="shared" si="40"/>
        <v>1045249.882556763</v>
      </c>
      <c r="AG33" s="3">
        <f t="shared" si="40"/>
        <v>1287123.5187179078</v>
      </c>
      <c r="AH33" s="3">
        <f t="shared" si="40"/>
        <v>1561804.3169273799</v>
      </c>
      <c r="AI33" s="3">
        <f t="shared" si="40"/>
        <v>1872086.4274698466</v>
      </c>
      <c r="AJ33" s="3">
        <f t="shared" si="40"/>
        <v>2220965.8875042237</v>
      </c>
      <c r="AK33" s="3">
        <f t="shared" si="40"/>
        <v>2611654.1801960841</v>
      </c>
      <c r="AL33" s="3">
        <f t="shared" si="40"/>
        <v>3047592.6708993176</v>
      </c>
      <c r="AM33" s="3">
        <f t="shared" si="40"/>
        <v>3532467.9759033686</v>
      </c>
      <c r="AN33" s="3">
        <f t="shared" si="40"/>
        <v>4070228.3227289952</v>
      </c>
      <c r="AO33" s="3">
        <f t="shared" si="40"/>
        <v>4665100.9646366145</v>
      </c>
    </row>
    <row r="34" spans="1:41" x14ac:dyDescent="0.25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25">
      <c r="A35" t="s">
        <v>4</v>
      </c>
      <c r="V35" s="3">
        <f>36220+59829</f>
        <v>96049</v>
      </c>
      <c r="W35" s="3">
        <f>53888+16138</f>
        <v>70026</v>
      </c>
      <c r="X35" s="3">
        <f>73387+13393</f>
        <v>86780</v>
      </c>
      <c r="Y35" s="3" t="s">
        <v>8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25">
      <c r="A36" t="s">
        <v>57</v>
      </c>
      <c r="V36" s="3">
        <v>32640</v>
      </c>
      <c r="W36" s="3">
        <v>34405</v>
      </c>
      <c r="X36" s="3">
        <f>33318</f>
        <v>33318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25">
      <c r="A37" t="s">
        <v>58</v>
      </c>
      <c r="V37" s="3">
        <v>32891</v>
      </c>
      <c r="W37" s="3">
        <v>42360</v>
      </c>
      <c r="X37" s="3">
        <v>52253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x14ac:dyDescent="0.25">
      <c r="A38" t="s">
        <v>59</v>
      </c>
      <c r="V38" s="3">
        <v>160281</v>
      </c>
      <c r="W38" s="3">
        <v>186715</v>
      </c>
      <c r="X38" s="3">
        <v>204177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25">
      <c r="A39" t="s">
        <v>60</v>
      </c>
      <c r="V39" s="3">
        <v>56082</v>
      </c>
      <c r="W39" s="3">
        <v>66123</v>
      </c>
      <c r="X39" s="3">
        <v>72513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25">
      <c r="A40" t="s">
        <v>61</v>
      </c>
      <c r="V40" s="3">
        <v>15371</v>
      </c>
      <c r="W40" s="3">
        <v>20288</v>
      </c>
      <c r="X40" s="3">
        <v>22789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5">
      <c r="A41" t="s">
        <v>26</v>
      </c>
      <c r="V41" s="3">
        <v>27235</v>
      </c>
      <c r="W41" s="3">
        <v>42758</v>
      </c>
      <c r="X41" s="3">
        <v>56024</v>
      </c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5">
      <c r="A42" t="s">
        <v>62</v>
      </c>
      <c r="V42" s="3">
        <f>SUM(V35:V41)</f>
        <v>420549</v>
      </c>
      <c r="W42" s="3">
        <f>SUM(W35:W41)</f>
        <v>462675</v>
      </c>
      <c r="X42" s="3">
        <f>SUM(X35:X41)</f>
        <v>527854</v>
      </c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25"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25">
      <c r="A44" t="s">
        <v>5</v>
      </c>
      <c r="V44" s="3">
        <f>11827+48744</f>
        <v>60571</v>
      </c>
      <c r="W44" s="3">
        <f>13227+67150</f>
        <v>80377</v>
      </c>
      <c r="X44" s="3">
        <f>15227+58314</f>
        <v>73541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25">
      <c r="A45" t="s">
        <v>56</v>
      </c>
      <c r="V45" s="3">
        <v>78664</v>
      </c>
      <c r="W45" s="3">
        <v>79600</v>
      </c>
      <c r="X45" s="3">
        <v>84981</v>
      </c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25">
      <c r="A46" t="s">
        <v>63</v>
      </c>
      <c r="V46" s="3">
        <v>51775</v>
      </c>
      <c r="W46" s="3">
        <v>62566</v>
      </c>
      <c r="X46" s="3">
        <v>64709</v>
      </c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25">
      <c r="A47" t="s">
        <v>64</v>
      </c>
      <c r="V47" s="3">
        <v>67651</v>
      </c>
      <c r="W47" s="3">
        <v>72968</v>
      </c>
      <c r="X47" s="3">
        <v>77297</v>
      </c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25">
      <c r="A48" t="s">
        <v>26</v>
      </c>
      <c r="V48" s="3">
        <v>23643</v>
      </c>
      <c r="W48" s="3">
        <v>21121</v>
      </c>
      <c r="X48" s="3">
        <v>25451</v>
      </c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25">
      <c r="A49" t="s">
        <v>67</v>
      </c>
      <c r="V49" s="3">
        <f>SUM(V44:V48)</f>
        <v>282304</v>
      </c>
      <c r="W49" s="3">
        <f>SUM(W44:W48)</f>
        <v>316632</v>
      </c>
      <c r="X49" s="3">
        <f>SUM(X44:X48)</f>
        <v>325979</v>
      </c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25">
      <c r="U50" t="s">
        <v>8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25">
      <c r="A51" t="s">
        <v>66</v>
      </c>
      <c r="V51" s="3">
        <f>+V42-V49</f>
        <v>138245</v>
      </c>
      <c r="W51" s="3">
        <f>+W42-W49</f>
        <v>146043</v>
      </c>
      <c r="X51" s="3">
        <f>+X42-X49</f>
        <v>201875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25">
      <c r="A52" t="s">
        <v>65</v>
      </c>
      <c r="V52" s="3">
        <f>+V49+V51</f>
        <v>420549</v>
      </c>
      <c r="W52" s="3">
        <f>+W49+W51</f>
        <v>462675</v>
      </c>
      <c r="X52" s="3">
        <f>+X49+X51</f>
        <v>527854</v>
      </c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4" spans="1:41" x14ac:dyDescent="0.25">
      <c r="A54" t="s">
        <v>68</v>
      </c>
      <c r="U54" t="s">
        <v>8</v>
      </c>
      <c r="V54" s="5">
        <f>+V18/V42</f>
        <v>7.933914954024382E-2</v>
      </c>
      <c r="W54" s="5">
        <f>+W18/W42</f>
        <v>-5.8831793375479545E-3</v>
      </c>
      <c r="X54" s="5">
        <f>+X18/X42</f>
        <v>5.7639044129626754E-2</v>
      </c>
      <c r="Y54" t="s">
        <v>8</v>
      </c>
    </row>
    <row r="55" spans="1:41" x14ac:dyDescent="0.25">
      <c r="A55" t="s">
        <v>69</v>
      </c>
      <c r="V55" s="5">
        <f>+V18/V51</f>
        <v>0.24135411768960902</v>
      </c>
      <c r="W55" s="5">
        <f>+W18/W51</f>
        <v>-1.8638346240490815E-2</v>
      </c>
      <c r="X55" s="5">
        <f>+X18/X51</f>
        <v>0.15071207430340558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2024-09-29T18:59:12Z</dcterms:created>
  <dcterms:modified xsi:type="dcterms:W3CDTF">2024-09-29T21:35:37Z</dcterms:modified>
</cp:coreProperties>
</file>