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396" documentId="8_{B41CE979-2E78-4104-9C84-1778D17C8B48}" xr6:coauthVersionLast="47" xr6:coauthVersionMax="47" xr10:uidLastSave="{C631BC01-8158-4A22-AA4F-0823D5C8292D}"/>
  <bookViews>
    <workbookView xWindow="-108" yWindow="-108" windowWidth="23256" windowHeight="12456" activeTab="1" xr2:uid="{84B9521A-B3AB-4BFB-82C2-2545D5D8F074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Q14" i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T8" i="2"/>
  <c r="S19" i="2"/>
  <c r="K29" i="2" l="1"/>
  <c r="K31" i="2"/>
  <c r="K32" i="2"/>
  <c r="K33" i="2"/>
  <c r="T12" i="2"/>
  <c r="T27" i="2"/>
  <c r="U12" i="2" s="1"/>
  <c r="N26" i="2"/>
  <c r="U17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T17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K23" i="2"/>
  <c r="K22" i="2"/>
  <c r="J19" i="2"/>
  <c r="I19" i="2"/>
  <c r="H19" i="2"/>
  <c r="G19" i="2"/>
  <c r="F19" i="2"/>
  <c r="J25" i="2"/>
  <c r="I25" i="2"/>
  <c r="H25" i="2"/>
  <c r="G25" i="2"/>
  <c r="E25" i="2"/>
  <c r="D25" i="2"/>
  <c r="C25" i="2"/>
  <c r="B25" i="2"/>
  <c r="K25" i="2"/>
  <c r="J24" i="2"/>
  <c r="I24" i="2"/>
  <c r="H24" i="2"/>
  <c r="G24" i="2"/>
  <c r="E24" i="2"/>
  <c r="D24" i="2"/>
  <c r="C24" i="2"/>
  <c r="B24" i="2"/>
  <c r="K24" i="2"/>
  <c r="K21" i="2"/>
  <c r="K19" i="2"/>
  <c r="T5" i="2"/>
  <c r="S17" i="2"/>
  <c r="S14" i="2"/>
  <c r="S12" i="2"/>
  <c r="S9" i="2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S8" i="2"/>
  <c r="S7" i="2"/>
  <c r="S6" i="2"/>
  <c r="S5" i="2"/>
  <c r="S4" i="2"/>
  <c r="S3" i="2"/>
  <c r="R16" i="2"/>
  <c r="R17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S2" i="2"/>
  <c r="C14" i="2"/>
  <c r="C12" i="2"/>
  <c r="C10" i="2"/>
  <c r="C5" i="2"/>
  <c r="C7" i="2" s="1"/>
  <c r="B14" i="2"/>
  <c r="B12" i="2"/>
  <c r="B10" i="2"/>
  <c r="B5" i="2"/>
  <c r="B7" i="2" s="1"/>
  <c r="E14" i="2"/>
  <c r="E12" i="2"/>
  <c r="G14" i="2"/>
  <c r="G12" i="2"/>
  <c r="F14" i="2"/>
  <c r="F12" i="2"/>
  <c r="F10" i="2"/>
  <c r="F7" i="2"/>
  <c r="F5" i="2"/>
  <c r="D14" i="2"/>
  <c r="D12" i="2"/>
  <c r="D10" i="2"/>
  <c r="D5" i="2"/>
  <c r="D7" i="2" s="1"/>
  <c r="H14" i="2"/>
  <c r="H12" i="2"/>
  <c r="H10" i="2"/>
  <c r="H5" i="2"/>
  <c r="H7" i="2" s="1"/>
  <c r="E10" i="2"/>
  <c r="E5" i="2"/>
  <c r="E7" i="2" s="1"/>
  <c r="I12" i="2"/>
  <c r="I14" i="2"/>
  <c r="I10" i="2"/>
  <c r="I5" i="2"/>
  <c r="I7" i="2" s="1"/>
  <c r="J14" i="2"/>
  <c r="J12" i="2"/>
  <c r="J10" i="2"/>
  <c r="J5" i="2"/>
  <c r="J7" i="2" s="1"/>
  <c r="K14" i="2"/>
  <c r="G10" i="2"/>
  <c r="G5" i="2"/>
  <c r="G7" i="2" s="1"/>
  <c r="K12" i="2"/>
  <c r="K10" i="2"/>
  <c r="K7" i="2"/>
  <c r="K11" i="2" s="1"/>
  <c r="K5" i="2"/>
  <c r="M7" i="1"/>
  <c r="M6" i="1"/>
  <c r="M5" i="1"/>
  <c r="M8" i="1" s="1"/>
  <c r="F11" i="2" l="1"/>
  <c r="S10" i="2"/>
  <c r="S11" i="2" s="1"/>
  <c r="S13" i="2" s="1"/>
  <c r="S15" i="2" s="1"/>
  <c r="S16" i="2" s="1"/>
  <c r="U10" i="2"/>
  <c r="T10" i="2"/>
  <c r="U5" i="2"/>
  <c r="T19" i="2"/>
  <c r="T7" i="2"/>
  <c r="U7" i="2"/>
  <c r="U11" i="2" s="1"/>
  <c r="C11" i="2"/>
  <c r="C13" i="2" s="1"/>
  <c r="C15" i="2" s="1"/>
  <c r="C16" i="2" s="1"/>
  <c r="B11" i="2"/>
  <c r="B13" i="2" s="1"/>
  <c r="B15" i="2" s="1"/>
  <c r="B16" i="2" s="1"/>
  <c r="D11" i="2"/>
  <c r="D13" i="2" s="1"/>
  <c r="D15" i="2" s="1"/>
  <c r="D16" i="2" s="1"/>
  <c r="H11" i="2"/>
  <c r="H13" i="2" s="1"/>
  <c r="H15" i="2" s="1"/>
  <c r="H16" i="2" s="1"/>
  <c r="E11" i="2"/>
  <c r="E13" i="2" s="1"/>
  <c r="E15" i="2" s="1"/>
  <c r="E16" i="2" s="1"/>
  <c r="I11" i="2"/>
  <c r="I13" i="2" s="1"/>
  <c r="I15" i="2" s="1"/>
  <c r="I16" i="2" s="1"/>
  <c r="J11" i="2"/>
  <c r="J13" i="2" s="1"/>
  <c r="J15" i="2" s="1"/>
  <c r="J16" i="2" s="1"/>
  <c r="G11" i="2"/>
  <c r="G13" i="2" s="1"/>
  <c r="G15" i="2" s="1"/>
  <c r="G16" i="2" s="1"/>
  <c r="K13" i="2"/>
  <c r="K15" i="2"/>
  <c r="K16" i="2" s="1"/>
  <c r="T11" i="2" l="1"/>
  <c r="T13" i="2" s="1"/>
  <c r="F13" i="2"/>
  <c r="F24" i="2"/>
  <c r="V10" i="2"/>
  <c r="V5" i="2"/>
  <c r="U19" i="2"/>
  <c r="T14" i="2"/>
  <c r="T15" i="2" s="1"/>
  <c r="T16" i="2" s="1"/>
  <c r="U13" i="2"/>
  <c r="U14" i="2" s="1"/>
  <c r="F15" i="2" l="1"/>
  <c r="F16" i="2" s="1"/>
  <c r="F25" i="2"/>
  <c r="W10" i="2"/>
  <c r="W5" i="2"/>
  <c r="V19" i="2"/>
  <c r="V7" i="2"/>
  <c r="V11" i="2" s="1"/>
  <c r="U15" i="2"/>
  <c r="U27" i="2" s="1"/>
  <c r="V12" i="2" s="1"/>
  <c r="V13" i="2" l="1"/>
  <c r="V14" i="2" s="1"/>
  <c r="V15" i="2" s="1"/>
  <c r="V27" i="2" s="1"/>
  <c r="X10" i="2"/>
  <c r="X5" i="2"/>
  <c r="W19" i="2"/>
  <c r="W7" i="2"/>
  <c r="W11" i="2" s="1"/>
  <c r="U16" i="2"/>
  <c r="V16" i="2"/>
  <c r="Y10" i="2" l="1"/>
  <c r="Y5" i="2"/>
  <c r="X19" i="2"/>
  <c r="X7" i="2"/>
  <c r="X11" i="2" s="1"/>
  <c r="W12" i="2"/>
  <c r="W13" i="2" s="1"/>
  <c r="Z10" i="2" l="1"/>
  <c r="Z5" i="2"/>
  <c r="Y19" i="2"/>
  <c r="Y7" i="2"/>
  <c r="Y11" i="2" s="1"/>
  <c r="W14" i="2"/>
  <c r="W15" i="2" s="1"/>
  <c r="AA10" i="2" l="1"/>
  <c r="AA5" i="2"/>
  <c r="Z19" i="2"/>
  <c r="Z7" i="2"/>
  <c r="Z11" i="2" s="1"/>
  <c r="W16" i="2"/>
  <c r="W27" i="2"/>
  <c r="AB10" i="2" l="1"/>
  <c r="AB5" i="2"/>
  <c r="AA19" i="2"/>
  <c r="AA7" i="2"/>
  <c r="AA11" i="2" s="1"/>
  <c r="X12" i="2"/>
  <c r="X13" i="2" s="1"/>
  <c r="AC10" i="2" l="1"/>
  <c r="AC5" i="2"/>
  <c r="AB19" i="2"/>
  <c r="AB7" i="2"/>
  <c r="AB11" i="2" s="1"/>
  <c r="X14" i="2"/>
  <c r="X15" i="2" s="1"/>
  <c r="AD10" i="2" l="1"/>
  <c r="AD5" i="2"/>
  <c r="AC19" i="2"/>
  <c r="AC7" i="2"/>
  <c r="AC11" i="2" s="1"/>
  <c r="X16" i="2"/>
  <c r="X27" i="2"/>
  <c r="AE10" i="2" l="1"/>
  <c r="AE5" i="2"/>
  <c r="AD19" i="2"/>
  <c r="AD7" i="2"/>
  <c r="AD11" i="2" s="1"/>
  <c r="Y12" i="2"/>
  <c r="Y13" i="2" s="1"/>
  <c r="Y14" i="2" s="1"/>
  <c r="Y15" i="2" s="1"/>
  <c r="AF10" i="2" l="1"/>
  <c r="AF5" i="2"/>
  <c r="AE19" i="2"/>
  <c r="AE7" i="2"/>
  <c r="AE11" i="2" s="1"/>
  <c r="Y16" i="2"/>
  <c r="Y27" i="2"/>
  <c r="AG10" i="2" l="1"/>
  <c r="AG5" i="2"/>
  <c r="AF19" i="2"/>
  <c r="AF7" i="2"/>
  <c r="AF11" i="2" s="1"/>
  <c r="Z12" i="2"/>
  <c r="Z13" i="2" s="1"/>
  <c r="Z14" i="2" s="1"/>
  <c r="Z15" i="2" s="1"/>
  <c r="AH10" i="2" l="1"/>
  <c r="AH5" i="2"/>
  <c r="AG19" i="2"/>
  <c r="AG7" i="2"/>
  <c r="AG11" i="2" s="1"/>
  <c r="Z16" i="2"/>
  <c r="Z27" i="2"/>
  <c r="AI10" i="2" l="1"/>
  <c r="AI5" i="2"/>
  <c r="AH19" i="2"/>
  <c r="AH7" i="2"/>
  <c r="AH11" i="2" s="1"/>
  <c r="AA12" i="2"/>
  <c r="AA13" i="2" s="1"/>
  <c r="AK10" i="2" l="1"/>
  <c r="AJ10" i="2"/>
  <c r="AJ5" i="2"/>
  <c r="AI19" i="2"/>
  <c r="AI7" i="2"/>
  <c r="AI11" i="2" s="1"/>
  <c r="AA14" i="2"/>
  <c r="AA15" i="2" s="1"/>
  <c r="AK5" i="2" l="1"/>
  <c r="AJ19" i="2"/>
  <c r="AJ7" i="2"/>
  <c r="AJ11" i="2" s="1"/>
  <c r="AA16" i="2"/>
  <c r="AA27" i="2"/>
  <c r="AK7" i="2" l="1"/>
  <c r="AK11" i="2" s="1"/>
  <c r="AK19" i="2"/>
  <c r="AB12" i="2"/>
  <c r="AB13" i="2" s="1"/>
  <c r="AB14" i="2" l="1"/>
  <c r="AB15" i="2" s="1"/>
  <c r="AB16" i="2" l="1"/>
  <c r="AB27" i="2"/>
  <c r="AC12" i="2" l="1"/>
  <c r="AC13" i="2" s="1"/>
  <c r="AC14" i="2" l="1"/>
  <c r="AC15" i="2" s="1"/>
  <c r="AC16" i="2" l="1"/>
  <c r="AC27" i="2"/>
  <c r="AD12" i="2" l="1"/>
  <c r="AD13" i="2" s="1"/>
  <c r="AD14" i="2" l="1"/>
  <c r="AD15" i="2" s="1"/>
  <c r="AD16" i="2" l="1"/>
  <c r="AD27" i="2"/>
  <c r="AE12" i="2" l="1"/>
  <c r="AE13" i="2" s="1"/>
  <c r="AE14" i="2" l="1"/>
  <c r="AE15" i="2" s="1"/>
  <c r="AE16" i="2" l="1"/>
  <c r="AE27" i="2"/>
  <c r="AF12" i="2" l="1"/>
  <c r="AF13" i="2" s="1"/>
  <c r="AF14" i="2" l="1"/>
  <c r="AF15" i="2" s="1"/>
  <c r="AF16" i="2" l="1"/>
  <c r="AF27" i="2"/>
  <c r="AG12" i="2" l="1"/>
  <c r="AG13" i="2" s="1"/>
  <c r="AG14" i="2" s="1"/>
  <c r="AG15" i="2" s="1"/>
  <c r="AG16" i="2" s="1"/>
  <c r="AG27" i="2" l="1"/>
  <c r="AH12" i="2" l="1"/>
  <c r="AH13" i="2" s="1"/>
  <c r="AH14" i="2" s="1"/>
  <c r="AH15" i="2" s="1"/>
  <c r="AH16" i="2" s="1"/>
  <c r="AH27" i="2" l="1"/>
  <c r="AI12" i="2" l="1"/>
  <c r="AI13" i="2" s="1"/>
  <c r="AI14" i="2" s="1"/>
  <c r="AI15" i="2" s="1"/>
  <c r="AI16" i="2" s="1"/>
  <c r="AI27" i="2" l="1"/>
  <c r="AJ12" i="2" l="1"/>
  <c r="AJ13" i="2" s="1"/>
  <c r="AJ14" i="2" l="1"/>
  <c r="AJ15" i="2"/>
  <c r="AJ16" i="2" l="1"/>
  <c r="AJ27" i="2"/>
  <c r="AK12" i="2" l="1"/>
  <c r="AK13" i="2" s="1"/>
  <c r="AK14" i="2" l="1"/>
  <c r="AK15" i="2" s="1"/>
  <c r="AK16" i="2" l="1"/>
  <c r="N23" i="2"/>
  <c r="N24" i="2" s="1"/>
  <c r="N25" i="2" s="1"/>
  <c r="AK27" i="2"/>
  <c r="N27" i="2" l="1"/>
</calcChain>
</file>

<file path=xl/sharedStrings.xml><?xml version="1.0" encoding="utf-8"?>
<sst xmlns="http://schemas.openxmlformats.org/spreadsheetml/2006/main" count="83" uniqueCount="55">
  <si>
    <t xml:space="preserve"> </t>
  </si>
  <si>
    <t>9888 HK</t>
  </si>
  <si>
    <t>BIDU</t>
  </si>
  <si>
    <t>RMB</t>
  </si>
  <si>
    <t>USD</t>
  </si>
  <si>
    <t xml:space="preserve">Price </t>
  </si>
  <si>
    <t>Diluted 1ADS = 8 S/O</t>
  </si>
  <si>
    <t>Shares</t>
  </si>
  <si>
    <t>Q224</t>
  </si>
  <si>
    <t>MC</t>
  </si>
  <si>
    <t>Cash</t>
  </si>
  <si>
    <t>Debt</t>
  </si>
  <si>
    <t>EV</t>
  </si>
  <si>
    <t>E</t>
  </si>
  <si>
    <t>EV/E24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</si>
  <si>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</si>
  <si>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</si>
  <si>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</si>
  <si>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</si>
  <si>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</si>
  <si>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</si>
  <si>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</si>
  <si>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</si>
  <si>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</si>
  <si>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Marketing</t>
  </si>
  <si>
    <t>Others</t>
  </si>
  <si>
    <t>Revenue</t>
  </si>
  <si>
    <t>COGS</t>
  </si>
  <si>
    <t>Gross Margin</t>
  </si>
  <si>
    <t>SGA</t>
  </si>
  <si>
    <t>RD</t>
  </si>
  <si>
    <t>OPEX</t>
  </si>
  <si>
    <t>Operating Income</t>
  </si>
  <si>
    <t>Interest Income</t>
  </si>
  <si>
    <t>Pretax</t>
  </si>
  <si>
    <t>Taxes</t>
  </si>
  <si>
    <t>Net Income</t>
  </si>
  <si>
    <t>EPS</t>
  </si>
  <si>
    <t>Revenue y/y</t>
  </si>
  <si>
    <t>ROIC</t>
  </si>
  <si>
    <t>Gross %</t>
  </si>
  <si>
    <t>MR</t>
  </si>
  <si>
    <t>DR</t>
  </si>
  <si>
    <t>NPV</t>
  </si>
  <si>
    <t>Operating %</t>
  </si>
  <si>
    <t>TV</t>
  </si>
  <si>
    <t>Taxe Rate</t>
  </si>
  <si>
    <t>Per Share</t>
  </si>
  <si>
    <t>Current</t>
  </si>
  <si>
    <t>NC</t>
  </si>
  <si>
    <t>Ratio</t>
  </si>
  <si>
    <t>AP</t>
  </si>
  <si>
    <t>Related</t>
  </si>
  <si>
    <t>Leases</t>
  </si>
  <si>
    <t>ONCL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</si>
</sst>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0" fillId="2" borderId="0" xfId="0" applyFill="1"/>
    <xf numFmtId="3" fontId="1" fillId="0" borderId="0" xfId="0" applyNumberFormat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91440</xdr:rowOff>
    </xdr:from>
    <xdr:to>
      <xdr:col>11</xdr:col>
      <xdr:colOff>7620</xdr:colOff>
      <xdr:row>27</xdr:row>
      <xdr:rowOff>129540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FBEFDE09-6794-6E2A-06B1-3FC495769834}"/>
            </a:ext>
          </a:extLst>
        </xdr:cNvPr>
        <xdr:cNvCxnSpPr/>
      </xdr:nvCxnSpPr>
      <xdr:spPr>
        <a:xfrm>
          <a:off x="8572500" y="91440"/>
          <a:ext cx="0" cy="47701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662940</xdr:colOff>
      <xdr:row>0</xdr:row>
      <xdr:rowOff>167640</xdr:rowOff>
    </xdr:from>
    <xdr:to>
      <xdr:col>16</xdr:col>
      <xdr:colOff>662940</xdr:colOff>
      <xdr:row>28</xdr:row>
      <xdr:rowOff>30480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E03164DC-A2D3-40D5-B3AC-928039427E3E}"/>
            </a:ext>
          </a:extLst>
        </xdr:cNvPr>
        <xdr:cNvCxnSpPr/>
      </xdr:nvCxnSpPr>
      <xdr:spPr>
        <a:xfrm>
          <a:off x="12580620" y="167640"/>
          <a:ext cx="0" cy="47701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6E62-1F7B-4471-BDD6-4A8CF0254743}">
  <dimension ref="A2:Q14"/>
  <sheetViews>
    <sheetView topLeftCell="D1" workbookViewId="0">
      <selection activeCell="M5" sqref="M5"/>
    </sheetView>
  </sheetViews>
  <sheetFormatPr defaultRowHeight="13.8" x14ac:dyDescent="0.25"/>
  <cols>
    <col min="11" max="11" width="18.5" bestFit="1" customWidth="1"/>
  </cols>
  <sheetData>
    <row r="2" spans="1:17" x14ac:dyDescent="0.25">
      <c r="A2" t="s">
        <v>0</v>
      </c>
      <c r="B2" s="2" t="s">
        <v>1</v>
      </c>
      <c r="C2" t="s">
        <v>2</v>
      </c>
      <c r="L2" t="s">
        <v>3</v>
      </c>
      <c r="O2" t="s">
        <v>4</v>
      </c>
    </row>
    <row r="3" spans="1:17" x14ac:dyDescent="0.25">
      <c r="L3" t="s">
        <v>5</v>
      </c>
      <c r="M3" s="3">
        <v>100</v>
      </c>
      <c r="O3" t="s">
        <v>5</v>
      </c>
    </row>
    <row r="4" spans="1:17" x14ac:dyDescent="0.25">
      <c r="K4" t="s">
        <v>6</v>
      </c>
      <c r="L4" t="s">
        <v>7</v>
      </c>
      <c r="M4" s="3">
        <f>2834</f>
        <v>2834</v>
      </c>
      <c r="N4" t="s">
        <v>8</v>
      </c>
      <c r="O4" t="s">
        <v>7</v>
      </c>
    </row>
    <row r="5" spans="1:17" x14ac:dyDescent="0.25">
      <c r="L5" t="s">
        <v>9</v>
      </c>
      <c r="M5" s="3">
        <f>+M3*M4</f>
        <v>283400</v>
      </c>
      <c r="O5" t="s">
        <v>9</v>
      </c>
    </row>
    <row r="6" spans="1:17" x14ac:dyDescent="0.25">
      <c r="L6" t="s">
        <v>10</v>
      </c>
      <c r="M6" s="3">
        <f>43534+11646+106821+46193</f>
        <v>208194</v>
      </c>
      <c r="N6" t="s">
        <v>8</v>
      </c>
      <c r="O6" t="s">
        <v>10</v>
      </c>
    </row>
    <row r="7" spans="1:17" x14ac:dyDescent="0.25">
      <c r="L7" t="s">
        <v>11</v>
      </c>
      <c r="M7" s="3">
        <f>12514+2892+7986+14859+27860+8408+29</f>
        <v>74548</v>
      </c>
      <c r="N7" t="s">
        <v>8</v>
      </c>
      <c r="O7" t="s">
        <v>11</v>
      </c>
    </row>
    <row r="8" spans="1:17" x14ac:dyDescent="0.25">
      <c r="L8" t="s">
        <v>12</v>
      </c>
      <c r="M8" s="3">
        <f>+M5-M6+M7</f>
        <v>149754</v>
      </c>
      <c r="O8" t="s">
        <v>12</v>
      </c>
    </row>
    <row r="9" spans="1:17" x14ac:dyDescent="0.25">
      <c r="L9" t="s">
        <v>0</v>
      </c>
    </row>
    <row r="10" spans="1:17" x14ac:dyDescent="0.25">
      <c r="K10" t="s">
        <v>0</v>
      </c>
    </row>
    <row r="12" spans="1:17" x14ac:dyDescent="0.25">
      <c r="P12" t="s">
        <v>13</v>
      </c>
      <c r="Q12">
        <v>20287</v>
      </c>
    </row>
    <row r="13" spans="1:17" x14ac:dyDescent="0.25">
      <c r="P13" t="s">
        <v>12</v>
      </c>
      <c r="Q13">
        <v>149754</v>
      </c>
    </row>
    <row r="14" spans="1:17" x14ac:dyDescent="0.25">
      <c r="P14" t="s">
        <v>14</v>
      </c>
      <c r="Q14">
        <f>+Q13/Q12</f>
        <v>7.3817715778577417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AD59-6864-443F-BF56-1AE9B03CB3C8}">
  <dimension ref="A2:AK35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22" sqref="N22"/>
    </sheetView>
  </sheetViews>
  <sheetFormatPr defaultRowHeight="13.8" x14ac:dyDescent="0.25"/>
  <cols>
    <col min="1" max="1" width="16.59765625" bestFit="1" customWidth="1"/>
    <col min="2" max="2" width="12.5" bestFit="1" customWidth="1"/>
    <col min="14" max="14" width="17.09765625" bestFit="1" customWidth="1"/>
    <col min="20" max="20" width="9" bestFit="1" customWidth="1"/>
  </cols>
  <sheetData>
    <row r="2" spans="1:37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8</v>
      </c>
      <c r="R2">
        <v>2022</v>
      </c>
      <c r="S2">
        <f>+R2+1</f>
        <v>2023</v>
      </c>
      <c r="T2">
        <f t="shared" ref="T2:AK2" si="0">+S2+1</f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  <c r="AF2">
        <f t="shared" si="0"/>
        <v>2036</v>
      </c>
      <c r="AG2">
        <f t="shared" si="0"/>
        <v>2037</v>
      </c>
      <c r="AH2">
        <f t="shared" si="0"/>
        <v>2038</v>
      </c>
      <c r="AI2">
        <f t="shared" si="0"/>
        <v>2039</v>
      </c>
      <c r="AJ2">
        <f t="shared" si="0"/>
        <v>2040</v>
      </c>
      <c r="AK2">
        <f t="shared" si="0"/>
        <v>2041</v>
      </c>
    </row>
    <row r="3" spans="1:37" x14ac:dyDescent="0.25">
      <c r="A3" t="s">
        <v>24</v>
      </c>
      <c r="B3">
        <v>16929</v>
      </c>
      <c r="C3">
        <v>18268</v>
      </c>
      <c r="D3">
        <v>19943</v>
      </c>
      <c r="E3">
        <v>19571</v>
      </c>
      <c r="F3">
        <v>21081</v>
      </c>
      <c r="G3">
        <v>17972</v>
      </c>
      <c r="H3">
        <v>21346</v>
      </c>
      <c r="I3">
        <v>20804</v>
      </c>
      <c r="J3">
        <v>18490</v>
      </c>
      <c r="K3">
        <v>20625</v>
      </c>
      <c r="R3">
        <f>SUM(B3:E3)</f>
        <v>74711</v>
      </c>
      <c r="S3">
        <f>SUM(F3:I3)</f>
        <v>81203</v>
      </c>
    </row>
    <row r="4" spans="1:37" x14ac:dyDescent="0.25">
      <c r="A4" t="s">
        <v>25</v>
      </c>
      <c r="B4">
        <v>11482</v>
      </c>
      <c r="C4">
        <v>11379</v>
      </c>
      <c r="D4">
        <v>12597</v>
      </c>
      <c r="E4">
        <v>13506</v>
      </c>
      <c r="F4">
        <v>12975</v>
      </c>
      <c r="G4">
        <v>13172</v>
      </c>
      <c r="H4">
        <v>13101</v>
      </c>
      <c r="I4">
        <v>14147</v>
      </c>
      <c r="J4">
        <v>13023</v>
      </c>
      <c r="K4">
        <v>13306</v>
      </c>
      <c r="R4">
        <f>SUM(B4:E4)</f>
        <v>48964</v>
      </c>
      <c r="S4">
        <f>SUM(F4:I4)</f>
        <v>53395</v>
      </c>
    </row>
    <row r="5" spans="1:37" s="1" customFormat="1" x14ac:dyDescent="0.25">
      <c r="A5" s="1" t="s">
        <v>26</v>
      </c>
      <c r="B5" s="1">
        <f t="shared" ref="B5:K5" si="1">+B3+B4</f>
        <v>28411</v>
      </c>
      <c r="C5" s="1">
        <f t="shared" si="1"/>
        <v>29647</v>
      </c>
      <c r="D5" s="1">
        <f t="shared" si="1"/>
        <v>32540</v>
      </c>
      <c r="E5" s="1">
        <f t="shared" si="1"/>
        <v>33077</v>
      </c>
      <c r="F5" s="1">
        <f t="shared" si="1"/>
        <v>34056</v>
      </c>
      <c r="G5" s="1">
        <f t="shared" si="1"/>
        <v>31144</v>
      </c>
      <c r="H5" s="1">
        <f t="shared" si="1"/>
        <v>34447</v>
      </c>
      <c r="I5" s="1">
        <f t="shared" si="1"/>
        <v>34951</v>
      </c>
      <c r="J5" s="1">
        <f t="shared" si="1"/>
        <v>31513</v>
      </c>
      <c r="K5" s="1">
        <f t="shared" si="1"/>
        <v>33931</v>
      </c>
      <c r="R5" s="1">
        <f>+R3+R4</f>
        <v>123675</v>
      </c>
      <c r="S5" s="1">
        <f>+S3+S4</f>
        <v>134598</v>
      </c>
      <c r="T5" s="1">
        <f>+S5*(1-$N$21)</f>
        <v>144019.86000000002</v>
      </c>
      <c r="U5" s="1">
        <f t="shared" ref="U5:AK5" si="2">+T5*(1-$N$21)</f>
        <v>154101.25020000004</v>
      </c>
      <c r="V5" s="1">
        <f t="shared" si="2"/>
        <v>164888.33771400005</v>
      </c>
      <c r="W5" s="1">
        <f t="shared" si="2"/>
        <v>176430.52135398006</v>
      </c>
      <c r="X5" s="1">
        <f t="shared" si="2"/>
        <v>188780.65784875868</v>
      </c>
      <c r="Y5" s="1">
        <f t="shared" si="2"/>
        <v>201995.30389817181</v>
      </c>
      <c r="Z5" s="1">
        <f t="shared" si="2"/>
        <v>216134.97517104386</v>
      </c>
      <c r="AA5" s="1">
        <f t="shared" si="2"/>
        <v>231264.42343301693</v>
      </c>
      <c r="AB5" s="1">
        <f t="shared" si="2"/>
        <v>247452.93307332814</v>
      </c>
      <c r="AC5" s="1">
        <f t="shared" si="2"/>
        <v>264774.63838846114</v>
      </c>
      <c r="AD5" s="1">
        <f t="shared" si="2"/>
        <v>283308.86307565344</v>
      </c>
      <c r="AE5" s="1">
        <f t="shared" si="2"/>
        <v>303140.48349094921</v>
      </c>
      <c r="AF5" s="1">
        <f t="shared" si="2"/>
        <v>324360.31733531569</v>
      </c>
      <c r="AG5" s="1">
        <f t="shared" si="2"/>
        <v>347065.53954878781</v>
      </c>
      <c r="AH5" s="1">
        <f t="shared" si="2"/>
        <v>371360.12731720298</v>
      </c>
      <c r="AI5" s="1">
        <f t="shared" si="2"/>
        <v>397355.33622940723</v>
      </c>
      <c r="AJ5" s="1">
        <f t="shared" si="2"/>
        <v>425170.20976546576</v>
      </c>
      <c r="AK5" s="1">
        <f t="shared" si="2"/>
        <v>454932.12444904837</v>
      </c>
    </row>
    <row r="6" spans="1:37" x14ac:dyDescent="0.25">
      <c r="A6" t="s">
        <v>27</v>
      </c>
      <c r="B6">
        <v>15546</v>
      </c>
      <c r="C6">
        <v>15171</v>
      </c>
      <c r="D6">
        <v>16273</v>
      </c>
      <c r="E6">
        <v>16945</v>
      </c>
      <c r="F6">
        <v>16167</v>
      </c>
      <c r="G6">
        <v>15152</v>
      </c>
      <c r="H6">
        <v>16294</v>
      </c>
      <c r="I6">
        <v>17418</v>
      </c>
      <c r="J6">
        <v>15291</v>
      </c>
      <c r="K6">
        <v>16398</v>
      </c>
      <c r="R6">
        <f>SUM(B6:E6)</f>
        <v>63935</v>
      </c>
      <c r="S6">
        <f>SUM(F6:I6)</f>
        <v>65031</v>
      </c>
    </row>
    <row r="7" spans="1:37" x14ac:dyDescent="0.25">
      <c r="A7" t="s">
        <v>28</v>
      </c>
      <c r="B7">
        <f t="shared" ref="B7:K7" si="3">+B5-B6</f>
        <v>12865</v>
      </c>
      <c r="C7">
        <f t="shared" si="3"/>
        <v>14476</v>
      </c>
      <c r="D7">
        <f t="shared" si="3"/>
        <v>16267</v>
      </c>
      <c r="E7">
        <f t="shared" si="3"/>
        <v>16132</v>
      </c>
      <c r="F7">
        <f t="shared" si="3"/>
        <v>17889</v>
      </c>
      <c r="G7">
        <f t="shared" si="3"/>
        <v>15992</v>
      </c>
      <c r="H7">
        <f t="shared" si="3"/>
        <v>18153</v>
      </c>
      <c r="I7">
        <f t="shared" si="3"/>
        <v>17533</v>
      </c>
      <c r="J7">
        <f t="shared" si="3"/>
        <v>16222</v>
      </c>
      <c r="K7">
        <f t="shared" si="3"/>
        <v>17533</v>
      </c>
      <c r="R7">
        <f>+R5-R6</f>
        <v>59740</v>
      </c>
      <c r="S7">
        <f>+S5-S6</f>
        <v>69567</v>
      </c>
      <c r="T7">
        <f>+T5*0.5</f>
        <v>72009.930000000008</v>
      </c>
      <c r="U7">
        <f t="shared" ref="U7:AK7" si="4">+U5*0.5</f>
        <v>77050.625100000019</v>
      </c>
      <c r="V7">
        <f t="shared" si="4"/>
        <v>82444.168857000026</v>
      </c>
      <c r="W7">
        <f t="shared" si="4"/>
        <v>88215.26067699003</v>
      </c>
      <c r="X7">
        <f t="shared" si="4"/>
        <v>94390.328924379341</v>
      </c>
      <c r="Y7">
        <f t="shared" si="4"/>
        <v>100997.65194908591</v>
      </c>
      <c r="Z7">
        <f t="shared" si="4"/>
        <v>108067.48758552193</v>
      </c>
      <c r="AA7">
        <f t="shared" si="4"/>
        <v>115632.21171650846</v>
      </c>
      <c r="AB7">
        <f t="shared" si="4"/>
        <v>123726.46653666407</v>
      </c>
      <c r="AC7">
        <f t="shared" si="4"/>
        <v>132387.31919423057</v>
      </c>
      <c r="AD7">
        <f t="shared" si="4"/>
        <v>141654.43153782672</v>
      </c>
      <c r="AE7">
        <f t="shared" si="4"/>
        <v>151570.2417454746</v>
      </c>
      <c r="AF7">
        <f t="shared" si="4"/>
        <v>162180.15866765784</v>
      </c>
      <c r="AG7">
        <f t="shared" si="4"/>
        <v>173532.76977439391</v>
      </c>
      <c r="AH7">
        <f t="shared" si="4"/>
        <v>185680.06365860149</v>
      </c>
      <c r="AI7">
        <f t="shared" si="4"/>
        <v>198677.66811470361</v>
      </c>
      <c r="AJ7">
        <f t="shared" si="4"/>
        <v>212585.10488273288</v>
      </c>
      <c r="AK7">
        <f t="shared" si="4"/>
        <v>227466.06222452418</v>
      </c>
    </row>
    <row r="8" spans="1:37" x14ac:dyDescent="0.25">
      <c r="A8" t="s">
        <v>29</v>
      </c>
      <c r="B8">
        <v>4656</v>
      </c>
      <c r="C8">
        <v>4784</v>
      </c>
      <c r="D8">
        <v>5193</v>
      </c>
      <c r="E8">
        <v>5881</v>
      </c>
      <c r="F8">
        <v>6298</v>
      </c>
      <c r="G8">
        <v>5589</v>
      </c>
      <c r="H8">
        <v>5778</v>
      </c>
      <c r="I8">
        <v>5854</v>
      </c>
      <c r="J8">
        <v>5375</v>
      </c>
      <c r="K8">
        <v>5700</v>
      </c>
      <c r="R8">
        <f t="shared" ref="R8:R9" si="5">SUM(B8:E8)</f>
        <v>20514</v>
      </c>
      <c r="S8">
        <f t="shared" ref="S8:S9" si="6">SUM(F8:I8)</f>
        <v>23519</v>
      </c>
      <c r="T8">
        <f>+S8*1.03</f>
        <v>24224.57</v>
      </c>
      <c r="U8">
        <f t="shared" ref="U8:AK8" si="7">+T8*1.03</f>
        <v>24951.307100000002</v>
      </c>
      <c r="V8">
        <f t="shared" si="7"/>
        <v>25699.846313000002</v>
      </c>
      <c r="W8">
        <f t="shared" si="7"/>
        <v>26470.841702390004</v>
      </c>
      <c r="X8">
        <f t="shared" si="7"/>
        <v>27264.966953461706</v>
      </c>
      <c r="Y8">
        <f t="shared" si="7"/>
        <v>28082.915962065559</v>
      </c>
      <c r="Z8">
        <f t="shared" si="7"/>
        <v>28925.403440927526</v>
      </c>
      <c r="AA8">
        <f t="shared" si="7"/>
        <v>29793.165544155352</v>
      </c>
      <c r="AB8">
        <f t="shared" si="7"/>
        <v>30686.960510480014</v>
      </c>
      <c r="AC8">
        <f t="shared" si="7"/>
        <v>31607.569325794415</v>
      </c>
      <c r="AD8">
        <f t="shared" si="7"/>
        <v>32555.79640556825</v>
      </c>
      <c r="AE8">
        <f t="shared" si="7"/>
        <v>33532.470297735301</v>
      </c>
      <c r="AF8">
        <f t="shared" si="7"/>
        <v>34538.44440666736</v>
      </c>
      <c r="AG8">
        <f t="shared" si="7"/>
        <v>35574.597738867385</v>
      </c>
      <c r="AH8">
        <f t="shared" si="7"/>
        <v>36641.835671033405</v>
      </c>
      <c r="AI8">
        <f t="shared" si="7"/>
        <v>37741.090741164408</v>
      </c>
      <c r="AJ8">
        <f t="shared" si="7"/>
        <v>38873.323463399342</v>
      </c>
      <c r="AK8">
        <f t="shared" si="7"/>
        <v>40039.523167301326</v>
      </c>
    </row>
    <row r="9" spans="1:37" x14ac:dyDescent="0.25">
      <c r="A9" t="s">
        <v>30</v>
      </c>
      <c r="B9">
        <v>5608</v>
      </c>
      <c r="C9">
        <v>6292</v>
      </c>
      <c r="D9">
        <v>5757</v>
      </c>
      <c r="E9">
        <v>5658</v>
      </c>
      <c r="F9">
        <v>6381</v>
      </c>
      <c r="G9">
        <v>5423</v>
      </c>
      <c r="H9">
        <v>6101</v>
      </c>
      <c r="I9">
        <v>6287</v>
      </c>
      <c r="J9">
        <v>5363</v>
      </c>
      <c r="K9">
        <v>5889</v>
      </c>
      <c r="R9">
        <f t="shared" si="5"/>
        <v>23315</v>
      </c>
      <c r="S9">
        <f t="shared" si="6"/>
        <v>24192</v>
      </c>
      <c r="T9">
        <f>+S9*1.03</f>
        <v>24917.760000000002</v>
      </c>
      <c r="U9">
        <f t="shared" ref="U9:AK9" si="8">+T9*1.03</f>
        <v>25665.292800000003</v>
      </c>
      <c r="V9">
        <f t="shared" si="8"/>
        <v>26435.251584000005</v>
      </c>
      <c r="W9">
        <f t="shared" si="8"/>
        <v>27228.309131520007</v>
      </c>
      <c r="X9">
        <f t="shared" si="8"/>
        <v>28045.158405465609</v>
      </c>
      <c r="Y9">
        <f t="shared" si="8"/>
        <v>28886.513157629579</v>
      </c>
      <c r="Z9">
        <f t="shared" si="8"/>
        <v>29753.108552358466</v>
      </c>
      <c r="AA9">
        <f t="shared" si="8"/>
        <v>30645.701808929221</v>
      </c>
      <c r="AB9">
        <f t="shared" si="8"/>
        <v>31565.0728631971</v>
      </c>
      <c r="AC9">
        <f t="shared" si="8"/>
        <v>32512.025049093012</v>
      </c>
      <c r="AD9">
        <f t="shared" si="8"/>
        <v>33487.385800565804</v>
      </c>
      <c r="AE9">
        <f t="shared" si="8"/>
        <v>34492.007374582776</v>
      </c>
      <c r="AF9">
        <f t="shared" si="8"/>
        <v>35526.76759582026</v>
      </c>
      <c r="AG9">
        <f t="shared" si="8"/>
        <v>36592.570623694868</v>
      </c>
      <c r="AH9">
        <f t="shared" si="8"/>
        <v>37690.347742405713</v>
      </c>
      <c r="AI9">
        <f t="shared" si="8"/>
        <v>38821.058174677884</v>
      </c>
      <c r="AJ9">
        <f t="shared" si="8"/>
        <v>39985.689919918223</v>
      </c>
      <c r="AK9">
        <f t="shared" si="8"/>
        <v>41185.260617515771</v>
      </c>
    </row>
    <row r="10" spans="1:37" x14ac:dyDescent="0.25">
      <c r="A10" t="s">
        <v>31</v>
      </c>
      <c r="B10">
        <f t="shared" ref="B10:K10" si="9">+B8+B9</f>
        <v>10264</v>
      </c>
      <c r="C10">
        <f t="shared" si="9"/>
        <v>11076</v>
      </c>
      <c r="D10">
        <f t="shared" si="9"/>
        <v>10950</v>
      </c>
      <c r="E10">
        <f t="shared" si="9"/>
        <v>11539</v>
      </c>
      <c r="F10">
        <f t="shared" si="9"/>
        <v>12679</v>
      </c>
      <c r="G10">
        <f t="shared" si="9"/>
        <v>11012</v>
      </c>
      <c r="H10">
        <f t="shared" si="9"/>
        <v>11879</v>
      </c>
      <c r="I10">
        <f t="shared" si="9"/>
        <v>12141</v>
      </c>
      <c r="J10">
        <f t="shared" si="9"/>
        <v>10738</v>
      </c>
      <c r="K10">
        <f t="shared" si="9"/>
        <v>11589</v>
      </c>
      <c r="R10">
        <f>+R8+R9</f>
        <v>43829</v>
      </c>
      <c r="S10">
        <f>+S8+S9</f>
        <v>47711</v>
      </c>
      <c r="T10">
        <f t="shared" ref="T10:AK10" si="10">+T8+T9</f>
        <v>49142.33</v>
      </c>
      <c r="U10">
        <f t="shared" si="10"/>
        <v>50616.599900000001</v>
      </c>
      <c r="V10">
        <f t="shared" si="10"/>
        <v>52135.097897000007</v>
      </c>
      <c r="W10">
        <f t="shared" si="10"/>
        <v>53699.150833910011</v>
      </c>
      <c r="X10">
        <f t="shared" si="10"/>
        <v>55310.125358927311</v>
      </c>
      <c r="Y10">
        <f t="shared" si="10"/>
        <v>56969.429119695138</v>
      </c>
      <c r="Z10">
        <f t="shared" si="10"/>
        <v>58678.511993285996</v>
      </c>
      <c r="AA10">
        <f t="shared" si="10"/>
        <v>60438.86735308457</v>
      </c>
      <c r="AB10">
        <f t="shared" si="10"/>
        <v>62252.033373677114</v>
      </c>
      <c r="AC10">
        <f t="shared" si="10"/>
        <v>64119.594374887427</v>
      </c>
      <c r="AD10">
        <f t="shared" si="10"/>
        <v>66043.18220613405</v>
      </c>
      <c r="AE10">
        <f t="shared" si="10"/>
        <v>68024.477672318084</v>
      </c>
      <c r="AF10">
        <f t="shared" si="10"/>
        <v>70065.21200248762</v>
      </c>
      <c r="AG10">
        <f t="shared" si="10"/>
        <v>72167.168362562254</v>
      </c>
      <c r="AH10">
        <f t="shared" si="10"/>
        <v>74332.18341343911</v>
      </c>
      <c r="AI10">
        <f t="shared" si="10"/>
        <v>76562.148915842292</v>
      </c>
      <c r="AJ10">
        <f t="shared" si="10"/>
        <v>78859.013383317564</v>
      </c>
      <c r="AK10">
        <f t="shared" si="10"/>
        <v>81224.783784817089</v>
      </c>
    </row>
    <row r="11" spans="1:37" s="1" customFormat="1" x14ac:dyDescent="0.25">
      <c r="A11" s="1" t="s">
        <v>32</v>
      </c>
      <c r="B11" s="1">
        <f t="shared" ref="B11:K11" si="11">+B7-B10</f>
        <v>2601</v>
      </c>
      <c r="C11" s="1">
        <f t="shared" si="11"/>
        <v>3400</v>
      </c>
      <c r="D11" s="1">
        <f t="shared" si="11"/>
        <v>5317</v>
      </c>
      <c r="E11" s="1">
        <f t="shared" si="11"/>
        <v>4593</v>
      </c>
      <c r="F11" s="1">
        <f t="shared" si="11"/>
        <v>5210</v>
      </c>
      <c r="G11" s="1">
        <f t="shared" si="11"/>
        <v>4980</v>
      </c>
      <c r="H11" s="1">
        <f t="shared" si="11"/>
        <v>6274</v>
      </c>
      <c r="I11" s="1">
        <f t="shared" si="11"/>
        <v>5392</v>
      </c>
      <c r="J11" s="1">
        <f t="shared" si="11"/>
        <v>5484</v>
      </c>
      <c r="K11" s="1">
        <f t="shared" si="11"/>
        <v>5944</v>
      </c>
      <c r="R11" s="1">
        <f>+R7-R10</f>
        <v>15911</v>
      </c>
      <c r="S11" s="1">
        <f>+S7-S10</f>
        <v>21856</v>
      </c>
      <c r="T11" s="1">
        <f t="shared" ref="T11:AK11" si="12">+T7-T10</f>
        <v>22867.600000000006</v>
      </c>
      <c r="U11" s="1">
        <f t="shared" si="12"/>
        <v>26434.025200000018</v>
      </c>
      <c r="V11" s="1">
        <f t="shared" si="12"/>
        <v>30309.070960000019</v>
      </c>
      <c r="W11" s="1">
        <f t="shared" si="12"/>
        <v>34516.109843080019</v>
      </c>
      <c r="X11" s="1">
        <f t="shared" si="12"/>
        <v>39080.20356545203</v>
      </c>
      <c r="Y11" s="1">
        <f t="shared" si="12"/>
        <v>44028.222829390768</v>
      </c>
      <c r="Z11" s="1">
        <f t="shared" si="12"/>
        <v>49388.975592235933</v>
      </c>
      <c r="AA11" s="1">
        <f t="shared" si="12"/>
        <v>55193.344363423894</v>
      </c>
      <c r="AB11" s="1">
        <f t="shared" si="12"/>
        <v>61474.433162986956</v>
      </c>
      <c r="AC11" s="1">
        <f t="shared" si="12"/>
        <v>68267.724819343144</v>
      </c>
      <c r="AD11" s="1">
        <f t="shared" si="12"/>
        <v>75611.24933169267</v>
      </c>
      <c r="AE11" s="1">
        <f t="shared" si="12"/>
        <v>83545.764073156519</v>
      </c>
      <c r="AF11" s="1">
        <f t="shared" si="12"/>
        <v>92114.946665170224</v>
      </c>
      <c r="AG11" s="1">
        <f t="shared" si="12"/>
        <v>101365.60141183165</v>
      </c>
      <c r="AH11" s="1">
        <f t="shared" si="12"/>
        <v>111347.88024516238</v>
      </c>
      <c r="AI11" s="1">
        <f t="shared" si="12"/>
        <v>122115.51919886132</v>
      </c>
      <c r="AJ11" s="1">
        <f t="shared" si="12"/>
        <v>133726.09149941531</v>
      </c>
      <c r="AK11" s="1">
        <f t="shared" si="12"/>
        <v>146241.27843970709</v>
      </c>
    </row>
    <row r="12" spans="1:37" x14ac:dyDescent="0.25">
      <c r="A12" t="s">
        <v>33</v>
      </c>
      <c r="B12">
        <f>1454-710-11-408-3286</f>
        <v>-2961</v>
      </c>
      <c r="C12">
        <f>1525-741-329-603+299</f>
        <v>151</v>
      </c>
      <c r="D12">
        <f>1619-724-806-376-4483</f>
        <v>-4770</v>
      </c>
      <c r="E12">
        <f>1647-738-338-523+1733</f>
        <v>1781</v>
      </c>
      <c r="F12">
        <f>1948-817+1176-383-555</f>
        <v>1369</v>
      </c>
      <c r="G12">
        <f>1915-804-106-48+1638</f>
        <v>2595</v>
      </c>
      <c r="H12">
        <f>2082-853-26-398+1100</f>
        <v>1905</v>
      </c>
      <c r="I12">
        <f>2064-774-449-2970-398</f>
        <v>-2527</v>
      </c>
      <c r="J12">
        <f>2091-766+401-205-275</f>
        <v>1246</v>
      </c>
      <c r="K12">
        <f>1993-742-119-454+93</f>
        <v>771</v>
      </c>
      <c r="O12" t="s">
        <v>0</v>
      </c>
      <c r="R12" s="5">
        <f t="shared" ref="R12" si="13">SUM(B12:E12)</f>
        <v>-5799</v>
      </c>
      <c r="S12" s="5">
        <f t="shared" ref="S12" si="14">SUM(F12:I12)</f>
        <v>3342</v>
      </c>
      <c r="T12" s="5">
        <f>+S27*$N$20</f>
        <v>2000</v>
      </c>
      <c r="U12" s="5">
        <f t="shared" ref="U12:AK12" si="15">+T27*$N$20</f>
        <v>2672.92</v>
      </c>
      <c r="V12" s="5">
        <f t="shared" si="15"/>
        <v>3167.7380684000004</v>
      </c>
      <c r="W12" s="5">
        <f t="shared" si="15"/>
        <v>3736.8438218828005</v>
      </c>
      <c r="X12" s="5">
        <f t="shared" si="15"/>
        <v>4387.1440341871685</v>
      </c>
      <c r="Y12" s="5">
        <f t="shared" si="15"/>
        <v>5126.0889433810353</v>
      </c>
      <c r="Z12" s="5">
        <f t="shared" si="15"/>
        <v>5961.7122435181554</v>
      </c>
      <c r="AA12" s="5">
        <f t="shared" si="15"/>
        <v>6902.6739367259752</v>
      </c>
      <c r="AB12" s="5">
        <f t="shared" si="15"/>
        <v>7958.3062478285228</v>
      </c>
      <c r="AC12" s="5">
        <f t="shared" si="15"/>
        <v>9138.6628178123847</v>
      </c>
      <c r="AD12" s="5">
        <f t="shared" si="15"/>
        <v>10454.571407644029</v>
      </c>
      <c r="AE12" s="5">
        <f t="shared" si="15"/>
        <v>11917.690360212755</v>
      </c>
      <c r="AF12" s="5">
        <f t="shared" si="15"/>
        <v>13540.569085580031</v>
      </c>
      <c r="AG12" s="5">
        <f t="shared" si="15"/>
        <v>15336.712853342786</v>
      </c>
      <c r="AH12" s="5">
        <f t="shared" si="15"/>
        <v>17320.652195850751</v>
      </c>
      <c r="AI12" s="5">
        <f t="shared" si="15"/>
        <v>19508.017247347972</v>
      </c>
      <c r="AJ12" s="5">
        <f t="shared" si="15"/>
        <v>21915.617366933533</v>
      </c>
      <c r="AK12" s="5">
        <f t="shared" si="15"/>
        <v>24561.526417661462</v>
      </c>
    </row>
    <row r="13" spans="1:37" x14ac:dyDescent="0.25">
      <c r="A13" t="s">
        <v>34</v>
      </c>
      <c r="B13">
        <f t="shared" ref="B13:K13" si="16">+B11+B12</f>
        <v>-360</v>
      </c>
      <c r="C13">
        <f t="shared" si="16"/>
        <v>3551</v>
      </c>
      <c r="D13">
        <f t="shared" si="16"/>
        <v>547</v>
      </c>
      <c r="E13">
        <f t="shared" si="16"/>
        <v>6374</v>
      </c>
      <c r="F13">
        <f t="shared" si="16"/>
        <v>6579</v>
      </c>
      <c r="G13">
        <f t="shared" si="16"/>
        <v>7575</v>
      </c>
      <c r="H13">
        <f t="shared" si="16"/>
        <v>8179</v>
      </c>
      <c r="I13">
        <f t="shared" si="16"/>
        <v>2865</v>
      </c>
      <c r="J13">
        <f t="shared" si="16"/>
        <v>6730</v>
      </c>
      <c r="K13">
        <f t="shared" si="16"/>
        <v>6715</v>
      </c>
      <c r="N13" t="s">
        <v>0</v>
      </c>
      <c r="R13">
        <f>+R11+R12</f>
        <v>10112</v>
      </c>
      <c r="S13">
        <f>+S11+S12</f>
        <v>25198</v>
      </c>
      <c r="T13">
        <f t="shared" ref="T13:AK13" si="17">+T11+T12</f>
        <v>24867.600000000006</v>
      </c>
      <c r="U13">
        <f t="shared" si="17"/>
        <v>29106.945200000016</v>
      </c>
      <c r="V13">
        <f t="shared" si="17"/>
        <v>33476.809028400021</v>
      </c>
      <c r="W13">
        <f t="shared" si="17"/>
        <v>38252.953664962821</v>
      </c>
      <c r="X13">
        <f t="shared" si="17"/>
        <v>43467.347599639201</v>
      </c>
      <c r="Y13">
        <f t="shared" si="17"/>
        <v>49154.311772771805</v>
      </c>
      <c r="Z13">
        <f t="shared" si="17"/>
        <v>55350.687835754085</v>
      </c>
      <c r="AA13">
        <f t="shared" si="17"/>
        <v>62096.018300149866</v>
      </c>
      <c r="AB13">
        <f t="shared" si="17"/>
        <v>69432.739410815484</v>
      </c>
      <c r="AC13">
        <f t="shared" si="17"/>
        <v>77406.387637155523</v>
      </c>
      <c r="AD13">
        <f t="shared" si="17"/>
        <v>86065.820739336705</v>
      </c>
      <c r="AE13">
        <f t="shared" si="17"/>
        <v>95463.454433369276</v>
      </c>
      <c r="AF13">
        <f t="shared" si="17"/>
        <v>105655.51575075026</v>
      </c>
      <c r="AG13">
        <f t="shared" si="17"/>
        <v>116702.31426517444</v>
      </c>
      <c r="AH13">
        <f t="shared" si="17"/>
        <v>128668.53244101313</v>
      </c>
      <c r="AI13">
        <f t="shared" si="17"/>
        <v>141623.5364462093</v>
      </c>
      <c r="AJ13">
        <f t="shared" si="17"/>
        <v>155641.70886634884</v>
      </c>
      <c r="AK13">
        <f t="shared" si="17"/>
        <v>170802.80485736855</v>
      </c>
    </row>
    <row r="14" spans="1:37" x14ac:dyDescent="0.25">
      <c r="A14" t="s">
        <v>35</v>
      </c>
      <c r="B14">
        <f>391+134</f>
        <v>525</v>
      </c>
      <c r="C14">
        <f>25-111</f>
        <v>-86</v>
      </c>
      <c r="D14">
        <f>908-215</f>
        <v>693</v>
      </c>
      <c r="E14">
        <f>1254+167</f>
        <v>1421</v>
      </c>
      <c r="F14">
        <f>1270+99</f>
        <v>1369</v>
      </c>
      <c r="G14">
        <f>1193+557</f>
        <v>1750</v>
      </c>
      <c r="H14">
        <f>1282+216</f>
        <v>1498</v>
      </c>
      <c r="I14">
        <f>-96+362</f>
        <v>266</v>
      </c>
      <c r="J14">
        <f>883+399</f>
        <v>1282</v>
      </c>
      <c r="K14">
        <f>1131+96</f>
        <v>1227</v>
      </c>
      <c r="R14">
        <f t="shared" ref="R14" si="18">SUM(B14:E14)</f>
        <v>2553</v>
      </c>
      <c r="S14">
        <f t="shared" ref="S14" si="19">SUM(F14:I14)</f>
        <v>4883</v>
      </c>
      <c r="T14">
        <f>+T13*0.15</f>
        <v>3730.1400000000008</v>
      </c>
      <c r="U14">
        <f t="shared" ref="U14:AK14" si="20">+U13*0.15</f>
        <v>4366.0417800000023</v>
      </c>
      <c r="V14">
        <f t="shared" si="20"/>
        <v>5021.5213542600031</v>
      </c>
      <c r="W14">
        <f t="shared" si="20"/>
        <v>5737.9430497444228</v>
      </c>
      <c r="X14">
        <f t="shared" si="20"/>
        <v>6520.1021399458796</v>
      </c>
      <c r="Y14">
        <f t="shared" si="20"/>
        <v>7373.1467659157706</v>
      </c>
      <c r="Z14">
        <f t="shared" si="20"/>
        <v>8302.6031753631123</v>
      </c>
      <c r="AA14">
        <f t="shared" si="20"/>
        <v>9314.4027450224803</v>
      </c>
      <c r="AB14">
        <f t="shared" si="20"/>
        <v>10414.910911622323</v>
      </c>
      <c r="AC14">
        <f t="shared" si="20"/>
        <v>11610.958145573328</v>
      </c>
      <c r="AD14">
        <f t="shared" si="20"/>
        <v>12909.873110900506</v>
      </c>
      <c r="AE14">
        <f t="shared" si="20"/>
        <v>14319.518165005391</v>
      </c>
      <c r="AF14">
        <f t="shared" si="20"/>
        <v>15848.327362612537</v>
      </c>
      <c r="AG14">
        <f t="shared" si="20"/>
        <v>17505.347139776164</v>
      </c>
      <c r="AH14">
        <f t="shared" si="20"/>
        <v>19300.27986615197</v>
      </c>
      <c r="AI14">
        <f t="shared" si="20"/>
        <v>21243.530466931395</v>
      </c>
      <c r="AJ14">
        <f t="shared" si="20"/>
        <v>23346.256329952324</v>
      </c>
      <c r="AK14">
        <f t="shared" si="20"/>
        <v>25620.420728605281</v>
      </c>
    </row>
    <row r="15" spans="1:37" s="1" customFormat="1" x14ac:dyDescent="0.25">
      <c r="A15" s="1" t="s">
        <v>36</v>
      </c>
      <c r="B15" s="1">
        <f t="shared" ref="B15:K15" si="21">+B13-B14</f>
        <v>-885</v>
      </c>
      <c r="C15" s="1">
        <f t="shared" si="21"/>
        <v>3637</v>
      </c>
      <c r="D15" s="1">
        <f t="shared" si="21"/>
        <v>-146</v>
      </c>
      <c r="E15" s="1">
        <f t="shared" si="21"/>
        <v>4953</v>
      </c>
      <c r="F15" s="1">
        <f t="shared" si="21"/>
        <v>5210</v>
      </c>
      <c r="G15" s="1">
        <f t="shared" si="21"/>
        <v>5825</v>
      </c>
      <c r="H15" s="1">
        <f t="shared" si="21"/>
        <v>6681</v>
      </c>
      <c r="I15" s="1">
        <f t="shared" si="21"/>
        <v>2599</v>
      </c>
      <c r="J15" s="1">
        <f t="shared" si="21"/>
        <v>5448</v>
      </c>
      <c r="K15" s="1">
        <f t="shared" si="21"/>
        <v>5488</v>
      </c>
      <c r="R15" s="1">
        <f>+R13-R14</f>
        <v>7559</v>
      </c>
      <c r="S15" s="1">
        <f>+S13-S14</f>
        <v>20315</v>
      </c>
      <c r="T15" s="1">
        <f t="shared" ref="T15:AK15" si="22">+T13-T14</f>
        <v>21137.460000000006</v>
      </c>
      <c r="U15" s="1">
        <f t="shared" si="22"/>
        <v>24740.903420000013</v>
      </c>
      <c r="V15" s="1">
        <f t="shared" si="22"/>
        <v>28455.287674140018</v>
      </c>
      <c r="W15" s="1">
        <f t="shared" si="22"/>
        <v>32515.010615218398</v>
      </c>
      <c r="X15" s="1">
        <f t="shared" si="22"/>
        <v>36947.245459693324</v>
      </c>
      <c r="Y15" s="1">
        <f t="shared" si="22"/>
        <v>41781.165006856034</v>
      </c>
      <c r="Z15" s="1">
        <f t="shared" si="22"/>
        <v>47048.084660390974</v>
      </c>
      <c r="AA15" s="1">
        <f t="shared" si="22"/>
        <v>52781.615555127384</v>
      </c>
      <c r="AB15" s="1">
        <f t="shared" si="22"/>
        <v>59017.828499193158</v>
      </c>
      <c r="AC15" s="1">
        <f t="shared" si="22"/>
        <v>65795.429491582196</v>
      </c>
      <c r="AD15" s="1">
        <f t="shared" si="22"/>
        <v>73155.947628436203</v>
      </c>
      <c r="AE15" s="1">
        <f t="shared" si="22"/>
        <v>81143.93626836389</v>
      </c>
      <c r="AF15" s="1">
        <f t="shared" si="22"/>
        <v>89807.188388137729</v>
      </c>
      <c r="AG15" s="1">
        <f t="shared" si="22"/>
        <v>99196.967125398281</v>
      </c>
      <c r="AH15" s="1">
        <f t="shared" si="22"/>
        <v>109368.25257486117</v>
      </c>
      <c r="AI15" s="1">
        <f t="shared" si="22"/>
        <v>120380.00597927791</v>
      </c>
      <c r="AJ15" s="1">
        <f t="shared" si="22"/>
        <v>132295.45253639651</v>
      </c>
      <c r="AK15" s="1">
        <f t="shared" si="22"/>
        <v>145182.38412876328</v>
      </c>
    </row>
    <row r="16" spans="1:37" x14ac:dyDescent="0.25">
      <c r="A16" t="s">
        <v>37</v>
      </c>
      <c r="B16">
        <f t="shared" ref="B16:K16" si="23">+B15/B17</f>
        <v>-0.31984098301409469</v>
      </c>
      <c r="C16">
        <f t="shared" si="23"/>
        <v>1.2938456065457133</v>
      </c>
      <c r="D16">
        <f t="shared" si="23"/>
        <v>-5.2329749103942655E-2</v>
      </c>
      <c r="E16">
        <f t="shared" si="23"/>
        <v>1.7682970367725812</v>
      </c>
      <c r="F16">
        <f t="shared" si="23"/>
        <v>1.8383909668313339</v>
      </c>
      <c r="G16">
        <f t="shared" si="23"/>
        <v>2.0532252379273879</v>
      </c>
      <c r="H16">
        <f t="shared" si="23"/>
        <v>2.3742004264392325</v>
      </c>
      <c r="I16">
        <f t="shared" si="23"/>
        <v>0.91837455830388692</v>
      </c>
      <c r="J16">
        <f t="shared" si="23"/>
        <v>1.9346590909090908</v>
      </c>
      <c r="K16">
        <f t="shared" si="23"/>
        <v>1.9572039942938659</v>
      </c>
      <c r="R16">
        <f>+R15/R17</f>
        <v>2.7071358223654758</v>
      </c>
      <c r="S16">
        <f>+S15/S17</f>
        <v>7.181617322138754</v>
      </c>
      <c r="T16">
        <f t="shared" ref="T16:AK16" si="24">+T15/T17</f>
        <v>7.4723676535572272</v>
      </c>
      <c r="U16">
        <f t="shared" si="24"/>
        <v>8.7462318762704427</v>
      </c>
      <c r="V16">
        <f t="shared" si="24"/>
        <v>10.059315130053918</v>
      </c>
      <c r="W16">
        <f t="shared" si="24"/>
        <v>11.494480111433813</v>
      </c>
      <c r="X16">
        <f t="shared" si="24"/>
        <v>13.061332906652522</v>
      </c>
      <c r="Y16">
        <f t="shared" si="24"/>
        <v>14.770186480550079</v>
      </c>
      <c r="Z16">
        <f t="shared" si="24"/>
        <v>16.632111236550056</v>
      </c>
      <c r="AA16">
        <f t="shared" si="24"/>
        <v>18.658989148962398</v>
      </c>
      <c r="AB16">
        <f t="shared" si="24"/>
        <v>20.863571718671906</v>
      </c>
      <c r="AC16">
        <f t="shared" si="24"/>
        <v>23.259542020886325</v>
      </c>
      <c r="AD16">
        <f t="shared" si="24"/>
        <v>25.861581132456458</v>
      </c>
      <c r="AE16">
        <f t="shared" si="24"/>
        <v>28.685439246438847</v>
      </c>
      <c r="AF16">
        <f t="shared" si="24"/>
        <v>31.748011803141928</v>
      </c>
      <c r="AG16">
        <f t="shared" si="24"/>
        <v>35.0674209899773</v>
      </c>
      <c r="AH16">
        <f t="shared" si="24"/>
        <v>38.663102987136071</v>
      </c>
      <c r="AI16">
        <f t="shared" si="24"/>
        <v>42.555901362537483</v>
      </c>
      <c r="AJ16">
        <f t="shared" si="24"/>
        <v>46.768167047776053</v>
      </c>
      <c r="AK16">
        <f t="shared" si="24"/>
        <v>51.32386535705286</v>
      </c>
    </row>
    <row r="17" spans="1:37" x14ac:dyDescent="0.25">
      <c r="A17" t="s">
        <v>7</v>
      </c>
      <c r="B17">
        <v>2767</v>
      </c>
      <c r="C17">
        <v>2811</v>
      </c>
      <c r="D17">
        <v>2790</v>
      </c>
      <c r="E17">
        <v>2801</v>
      </c>
      <c r="F17">
        <v>2834</v>
      </c>
      <c r="G17">
        <v>2837</v>
      </c>
      <c r="H17">
        <v>2814</v>
      </c>
      <c r="I17">
        <v>2830</v>
      </c>
      <c r="J17">
        <v>2816</v>
      </c>
      <c r="K17">
        <v>2804</v>
      </c>
      <c r="R17">
        <f>AVERAGE(B17:E17)</f>
        <v>2792.25</v>
      </c>
      <c r="S17">
        <f>AVERAGE(F17:I17)</f>
        <v>2828.75</v>
      </c>
      <c r="T17">
        <f>+S17</f>
        <v>2828.75</v>
      </c>
      <c r="U17">
        <f t="shared" ref="U17:AK17" si="25">+T17</f>
        <v>2828.75</v>
      </c>
      <c r="V17">
        <f t="shared" si="25"/>
        <v>2828.75</v>
      </c>
      <c r="W17">
        <f t="shared" si="25"/>
        <v>2828.75</v>
      </c>
      <c r="X17">
        <f t="shared" si="25"/>
        <v>2828.75</v>
      </c>
      <c r="Y17">
        <f t="shared" si="25"/>
        <v>2828.75</v>
      </c>
      <c r="Z17">
        <f t="shared" si="25"/>
        <v>2828.75</v>
      </c>
      <c r="AA17">
        <f t="shared" si="25"/>
        <v>2828.75</v>
      </c>
      <c r="AB17">
        <f t="shared" si="25"/>
        <v>2828.75</v>
      </c>
      <c r="AC17">
        <f t="shared" si="25"/>
        <v>2828.75</v>
      </c>
      <c r="AD17">
        <f t="shared" si="25"/>
        <v>2828.75</v>
      </c>
      <c r="AE17">
        <f t="shared" si="25"/>
        <v>2828.75</v>
      </c>
      <c r="AF17">
        <f t="shared" si="25"/>
        <v>2828.75</v>
      </c>
      <c r="AG17">
        <f t="shared" si="25"/>
        <v>2828.75</v>
      </c>
      <c r="AH17">
        <f t="shared" si="25"/>
        <v>2828.75</v>
      </c>
      <c r="AI17">
        <f t="shared" si="25"/>
        <v>2828.75</v>
      </c>
      <c r="AJ17">
        <f t="shared" si="25"/>
        <v>2828.75</v>
      </c>
      <c r="AK17">
        <f t="shared" si="25"/>
        <v>2828.75</v>
      </c>
    </row>
    <row r="18" spans="1:37" x14ac:dyDescent="0.25">
      <c r="L18" t="s">
        <v>0</v>
      </c>
      <c r="S18" t="s">
        <v>0</v>
      </c>
      <c r="T18" t="s">
        <v>0</v>
      </c>
    </row>
    <row r="19" spans="1:37" x14ac:dyDescent="0.25">
      <c r="A19" t="s">
        <v>38</v>
      </c>
      <c r="B19" s="4"/>
      <c r="C19" s="4"/>
      <c r="D19" s="4"/>
      <c r="E19" s="4"/>
      <c r="F19" s="4">
        <f t="shared" ref="F19:J19" si="26">+F5/B5-1</f>
        <v>0.19869064798845515</v>
      </c>
      <c r="G19" s="4">
        <f t="shared" si="26"/>
        <v>5.049414780584871E-2</v>
      </c>
      <c r="H19" s="4">
        <f t="shared" si="26"/>
        <v>5.8604794099569757E-2</v>
      </c>
      <c r="I19" s="4">
        <f t="shared" si="26"/>
        <v>5.6655682196087964E-2</v>
      </c>
      <c r="J19" s="4">
        <f t="shared" si="26"/>
        <v>-7.4671129903688072E-2</v>
      </c>
      <c r="K19" s="4">
        <f>+K5/G5-1</f>
        <v>8.9487541741587462E-2</v>
      </c>
      <c r="S19" s="4">
        <f>+S5/R5-1</f>
        <v>8.8320194057004198E-2</v>
      </c>
      <c r="T19" s="4">
        <f t="shared" ref="T19:AK19" si="27">+T5/S5-1</f>
        <v>7.0000000000000062E-2</v>
      </c>
      <c r="U19" s="4">
        <f t="shared" si="27"/>
        <v>7.0000000000000062E-2</v>
      </c>
      <c r="V19" s="4">
        <f t="shared" si="27"/>
        <v>7.0000000000000062E-2</v>
      </c>
      <c r="W19" s="4">
        <f t="shared" si="27"/>
        <v>7.0000000000000062E-2</v>
      </c>
      <c r="X19" s="4">
        <f t="shared" si="27"/>
        <v>7.0000000000000062E-2</v>
      </c>
      <c r="Y19" s="4">
        <f t="shared" si="27"/>
        <v>7.0000000000000062E-2</v>
      </c>
      <c r="Z19" s="4">
        <f t="shared" si="27"/>
        <v>7.0000000000000062E-2</v>
      </c>
      <c r="AA19" s="4">
        <f t="shared" si="27"/>
        <v>7.0000000000000062E-2</v>
      </c>
      <c r="AB19" s="4">
        <f t="shared" si="27"/>
        <v>7.0000000000000062E-2</v>
      </c>
      <c r="AC19" s="4">
        <f t="shared" si="27"/>
        <v>7.0000000000000062E-2</v>
      </c>
      <c r="AD19" s="4">
        <f t="shared" si="27"/>
        <v>7.0000000000000062E-2</v>
      </c>
      <c r="AE19" s="4">
        <f t="shared" si="27"/>
        <v>7.0000000000000062E-2</v>
      </c>
      <c r="AF19" s="4">
        <f t="shared" si="27"/>
        <v>7.0000000000000062E-2</v>
      </c>
      <c r="AG19" s="4">
        <f t="shared" si="27"/>
        <v>7.0000000000000062E-2</v>
      </c>
      <c r="AH19" s="4">
        <f t="shared" si="27"/>
        <v>7.0000000000000062E-2</v>
      </c>
      <c r="AI19" s="4">
        <f t="shared" si="27"/>
        <v>7.0000000000000062E-2</v>
      </c>
      <c r="AJ19" s="4">
        <f t="shared" si="27"/>
        <v>7.0000000000000062E-2</v>
      </c>
      <c r="AK19" s="4">
        <f t="shared" si="27"/>
        <v>7.0000000000000062E-2</v>
      </c>
    </row>
    <row r="20" spans="1:3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M20" t="s">
        <v>39</v>
      </c>
      <c r="N20" s="4">
        <v>0.02</v>
      </c>
    </row>
    <row r="21" spans="1:37" x14ac:dyDescent="0.25">
      <c r="A21" t="s">
        <v>40</v>
      </c>
      <c r="B21" s="4">
        <f t="shared" ref="B21:J21" si="28">+B6/B5</f>
        <v>0.54718242934074834</v>
      </c>
      <c r="C21" s="4">
        <f t="shared" si="28"/>
        <v>0.51172125341518537</v>
      </c>
      <c r="D21" s="4">
        <f t="shared" si="28"/>
        <v>0.5000921942224954</v>
      </c>
      <c r="E21" s="4">
        <f t="shared" si="28"/>
        <v>0.5122895063034737</v>
      </c>
      <c r="F21" s="4">
        <f t="shared" si="28"/>
        <v>0.47471811134601832</v>
      </c>
      <c r="G21" s="4">
        <f t="shared" si="28"/>
        <v>0.48651425635756484</v>
      </c>
      <c r="H21" s="4">
        <f t="shared" si="28"/>
        <v>0.47301651812930007</v>
      </c>
      <c r="I21" s="4">
        <f t="shared" si="28"/>
        <v>0.49835483963262855</v>
      </c>
      <c r="J21" s="4">
        <f t="shared" si="28"/>
        <v>0.4852283184717418</v>
      </c>
      <c r="K21" s="4">
        <f>+K6/K5</f>
        <v>0.48327488137691199</v>
      </c>
      <c r="M21" t="s">
        <v>41</v>
      </c>
      <c r="N21" s="4">
        <v>-7.0000000000000007E-2</v>
      </c>
    </row>
    <row r="22" spans="1:37" x14ac:dyDescent="0.25">
      <c r="A22" t="s">
        <v>29</v>
      </c>
      <c r="B22" s="4">
        <f t="shared" ref="B22:J22" si="29">+B7/B5</f>
        <v>0.45281757065925171</v>
      </c>
      <c r="C22" s="4">
        <f t="shared" si="29"/>
        <v>0.48827874658481463</v>
      </c>
      <c r="D22" s="4">
        <f t="shared" si="29"/>
        <v>0.4999078057775046</v>
      </c>
      <c r="E22" s="4">
        <f t="shared" si="29"/>
        <v>0.4877104936965263</v>
      </c>
      <c r="F22" s="4">
        <f t="shared" si="29"/>
        <v>0.52528188865398173</v>
      </c>
      <c r="G22" s="4">
        <f t="shared" si="29"/>
        <v>0.51348574364243516</v>
      </c>
      <c r="H22" s="4">
        <f t="shared" si="29"/>
        <v>0.52698348187069988</v>
      </c>
      <c r="I22" s="4">
        <f t="shared" si="29"/>
        <v>0.5016451603673715</v>
      </c>
      <c r="J22" s="4">
        <f t="shared" si="29"/>
        <v>0.51477168152825814</v>
      </c>
      <c r="K22" s="4">
        <f>+K7/K5</f>
        <v>0.51672511862308801</v>
      </c>
      <c r="M22" t="s">
        <v>42</v>
      </c>
      <c r="N22" s="4">
        <v>0.09</v>
      </c>
    </row>
    <row r="23" spans="1:37" x14ac:dyDescent="0.25">
      <c r="A23" t="s">
        <v>30</v>
      </c>
      <c r="B23" s="4">
        <f t="shared" ref="B23:J23" si="30">+B8/B5</f>
        <v>0.1638801872514167</v>
      </c>
      <c r="C23" s="4">
        <f t="shared" si="30"/>
        <v>0.16136539953452289</v>
      </c>
      <c r="D23" s="4">
        <f t="shared" si="30"/>
        <v>0.1595881991395206</v>
      </c>
      <c r="E23" s="4">
        <f t="shared" si="30"/>
        <v>0.17779726093660247</v>
      </c>
      <c r="F23" s="4">
        <f t="shared" si="30"/>
        <v>0.18493070237256284</v>
      </c>
      <c r="G23" s="4">
        <f t="shared" si="30"/>
        <v>0.17945671718469047</v>
      </c>
      <c r="H23" s="4">
        <f t="shared" si="30"/>
        <v>0.16773594217203239</v>
      </c>
      <c r="I23" s="4">
        <f t="shared" si="30"/>
        <v>0.16749163114073989</v>
      </c>
      <c r="J23" s="4">
        <f t="shared" si="30"/>
        <v>0.1705645289245708</v>
      </c>
      <c r="K23" s="4">
        <f>+K8/K5</f>
        <v>0.16798797559753617</v>
      </c>
      <c r="M23" t="s">
        <v>43</v>
      </c>
      <c r="N23" s="3">
        <f>NPV(N22,R15:AK15)</f>
        <v>427377.08358776412</v>
      </c>
      <c r="O23" s="3"/>
    </row>
    <row r="24" spans="1:37" x14ac:dyDescent="0.25">
      <c r="A24" t="s">
        <v>44</v>
      </c>
      <c r="B24" s="4">
        <f t="shared" ref="B24:J24" si="31">+B11/B5</f>
        <v>9.1549047903980857E-2</v>
      </c>
      <c r="C24" s="4">
        <f t="shared" si="31"/>
        <v>0.11468276722771276</v>
      </c>
      <c r="D24" s="4">
        <f t="shared" si="31"/>
        <v>0.16339889366933005</v>
      </c>
      <c r="E24" s="4">
        <f t="shared" si="31"/>
        <v>0.13885781660972882</v>
      </c>
      <c r="F24" s="4">
        <f t="shared" si="31"/>
        <v>0.15298332158797276</v>
      </c>
      <c r="G24" s="4">
        <f t="shared" si="31"/>
        <v>0.15990238890315953</v>
      </c>
      <c r="H24" s="4">
        <f t="shared" si="31"/>
        <v>0.18213487386419716</v>
      </c>
      <c r="I24" s="4">
        <f t="shared" si="31"/>
        <v>0.15427312523246831</v>
      </c>
      <c r="J24" s="4">
        <f t="shared" si="31"/>
        <v>0.17402341890648304</v>
      </c>
      <c r="K24" s="4">
        <f>+K11/K5</f>
        <v>0.17517903981609736</v>
      </c>
      <c r="M24" t="s">
        <v>45</v>
      </c>
      <c r="N24" s="3">
        <f>+N23-main!M6+main!M7</f>
        <v>293731.08358776412</v>
      </c>
      <c r="O24" s="3"/>
    </row>
    <row r="25" spans="1:37" x14ac:dyDescent="0.25">
      <c r="A25" t="s">
        <v>46</v>
      </c>
      <c r="B25" s="4">
        <f t="shared" ref="B25:J25" si="32">+B14/B13</f>
        <v>-1.4583333333333333</v>
      </c>
      <c r="C25" s="4">
        <f t="shared" si="32"/>
        <v>-2.4218529991551677E-2</v>
      </c>
      <c r="D25" s="4">
        <f t="shared" si="32"/>
        <v>1.2669104204753199</v>
      </c>
      <c r="E25" s="4">
        <f t="shared" si="32"/>
        <v>0.22293693128333855</v>
      </c>
      <c r="F25" s="4">
        <f t="shared" si="32"/>
        <v>0.20808633530931753</v>
      </c>
      <c r="G25" s="4">
        <f t="shared" si="32"/>
        <v>0.23102310231023102</v>
      </c>
      <c r="H25" s="4">
        <f t="shared" si="32"/>
        <v>0.18315197456901822</v>
      </c>
      <c r="I25" s="4">
        <f t="shared" si="32"/>
        <v>9.2844677137870854E-2</v>
      </c>
      <c r="J25" s="4">
        <f t="shared" si="32"/>
        <v>0.19049034175334323</v>
      </c>
      <c r="K25" s="4">
        <f>+K14/K13</f>
        <v>0.18272524199553239</v>
      </c>
      <c r="M25" t="s">
        <v>47</v>
      </c>
      <c r="N25" s="7">
        <f>+N24/main!M4</f>
        <v>103.64540705284548</v>
      </c>
      <c r="O25" s="7" t="s">
        <v>0</v>
      </c>
    </row>
    <row r="26" spans="1:37" x14ac:dyDescent="0.25">
      <c r="B26" t="s">
        <v>0</v>
      </c>
      <c r="K26" t="s">
        <v>0</v>
      </c>
      <c r="M26" t="s">
        <v>48</v>
      </c>
      <c r="N26" s="3">
        <f>+main!M3</f>
        <v>100</v>
      </c>
    </row>
    <row r="27" spans="1:37" s="1" customFormat="1" x14ac:dyDescent="0.25">
      <c r="A27" s="1" t="s">
        <v>49</v>
      </c>
      <c r="F27" s="1" t="s">
        <v>0</v>
      </c>
      <c r="L27"/>
      <c r="M27" t="s">
        <v>50</v>
      </c>
      <c r="N27" s="4">
        <f>+N25/N26-1</f>
        <v>3.6454070528454841E-2</v>
      </c>
      <c r="O27" t="s">
        <v>0</v>
      </c>
      <c r="P27"/>
      <c r="Q27"/>
      <c r="S27" s="6">
        <v>100000</v>
      </c>
      <c r="T27" s="6">
        <f>+main!M6-main!M7</f>
        <v>133646</v>
      </c>
      <c r="U27" s="6">
        <f>+T27+U15</f>
        <v>158386.90342000002</v>
      </c>
      <c r="V27" s="6">
        <f t="shared" ref="V27:AK27" si="33">+U27+V15</f>
        <v>186842.19109414003</v>
      </c>
      <c r="W27" s="6">
        <f t="shared" si="33"/>
        <v>219357.20170935843</v>
      </c>
      <c r="X27" s="6">
        <f t="shared" si="33"/>
        <v>256304.44716905174</v>
      </c>
      <c r="Y27" s="6">
        <f t="shared" si="33"/>
        <v>298085.61217590777</v>
      </c>
      <c r="Z27" s="6">
        <f t="shared" si="33"/>
        <v>345133.69683629874</v>
      </c>
      <c r="AA27" s="6">
        <f t="shared" si="33"/>
        <v>397915.31239142612</v>
      </c>
      <c r="AB27" s="6">
        <f t="shared" si="33"/>
        <v>456933.14089061925</v>
      </c>
      <c r="AC27" s="6">
        <f t="shared" si="33"/>
        <v>522728.57038220146</v>
      </c>
      <c r="AD27" s="6">
        <f t="shared" si="33"/>
        <v>595884.51801063772</v>
      </c>
      <c r="AE27" s="6">
        <f t="shared" si="33"/>
        <v>677028.45427900157</v>
      </c>
      <c r="AF27" s="6">
        <f t="shared" si="33"/>
        <v>766835.6426671393</v>
      </c>
      <c r="AG27" s="6">
        <f t="shared" si="33"/>
        <v>866032.60979253752</v>
      </c>
      <c r="AH27" s="6">
        <f t="shared" si="33"/>
        <v>975400.86236739869</v>
      </c>
      <c r="AI27" s="6">
        <f t="shared" si="33"/>
        <v>1095780.8683466767</v>
      </c>
      <c r="AJ27" s="6">
        <f t="shared" si="33"/>
        <v>1228076.3208830731</v>
      </c>
      <c r="AK27" s="6">
        <f t="shared" si="33"/>
        <v>1373258.7050118365</v>
      </c>
    </row>
    <row r="29" spans="1:37" x14ac:dyDescent="0.25">
      <c r="A29" t="s">
        <v>11</v>
      </c>
      <c r="K29" s="3">
        <f>+main!M7</f>
        <v>74548</v>
      </c>
    </row>
    <row r="30" spans="1:37" x14ac:dyDescent="0.25">
      <c r="A30" t="s">
        <v>51</v>
      </c>
      <c r="K30">
        <v>37988</v>
      </c>
    </row>
    <row r="31" spans="1:37" x14ac:dyDescent="0.25">
      <c r="A31" t="s">
        <v>42</v>
      </c>
      <c r="K31">
        <f>14038+520+287+291</f>
        <v>15136</v>
      </c>
    </row>
    <row r="32" spans="1:37" x14ac:dyDescent="0.25">
      <c r="A32" t="s">
        <v>52</v>
      </c>
      <c r="K32">
        <f>1831+67</f>
        <v>1898</v>
      </c>
    </row>
    <row r="33" spans="1:11" x14ac:dyDescent="0.25">
      <c r="A33" t="s">
        <v>53</v>
      </c>
      <c r="K33">
        <f>3196+5056</f>
        <v>8252</v>
      </c>
    </row>
    <row r="34" spans="1:11" x14ac:dyDescent="0.25">
      <c r="A34" t="s">
        <v>35</v>
      </c>
      <c r="K34">
        <v>2940</v>
      </c>
    </row>
    <row r="35" spans="1:11" x14ac:dyDescent="0.25">
      <c r="A35" t="s">
        <v>54</v>
      </c>
      <c r="K35">
        <v>1827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2024-09-29T10:39:19Z</dcterms:created>
  <dcterms:modified xsi:type="dcterms:W3CDTF">2024-10-24T11:38:08Z</dcterms:modified>
  <cp:category/>
  <cp:contentStatus/>
</cp:coreProperties>
</file>