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Financials/Ações/"/>
    </mc:Choice>
  </mc:AlternateContent>
  <xr:revisionPtr revIDLastSave="112" documentId="13_ncr:1_{916210FD-5C49-46A3-930C-5CC601074DA2}" xr6:coauthVersionLast="47" xr6:coauthVersionMax="47" xr10:uidLastSave="{5F66EF9F-4C7B-4B6F-87EE-169E16536CF2}"/>
  <bookViews>
    <workbookView xWindow="-108" yWindow="-108" windowWidth="23256" windowHeight="12456" activeTab="2" xr2:uid="{8D547D39-8FA8-415B-870B-CE51755B7B12}"/>
  </bookViews>
  <sheets>
    <sheet name="main" sheetId="1" r:id="rId1"/>
    <sheet name="business" sheetId="3" r:id="rId2"/>
    <sheet name="mode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2" l="1"/>
  <c r="S3" i="2"/>
  <c r="S7" i="2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U6" i="2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T6" i="2"/>
  <c r="S6" i="2"/>
  <c r="S5" i="2"/>
  <c r="T4" i="2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S4" i="2"/>
  <c r="K28" i="2" l="1"/>
  <c r="J28" i="2"/>
  <c r="H28" i="2"/>
  <c r="G28" i="2"/>
  <c r="F28" i="2"/>
  <c r="D28" i="2"/>
  <c r="C28" i="2"/>
  <c r="K27" i="2"/>
  <c r="J27" i="2"/>
  <c r="H27" i="2"/>
  <c r="G27" i="2"/>
  <c r="F27" i="2"/>
  <c r="D27" i="2"/>
  <c r="C27" i="2"/>
  <c r="B28" i="2"/>
  <c r="B27" i="2"/>
  <c r="K97" i="2"/>
  <c r="K101" i="2" s="1"/>
  <c r="K90" i="2"/>
  <c r="K96" i="2" s="1"/>
  <c r="K83" i="2"/>
  <c r="K87" i="2" s="1"/>
  <c r="K103" i="2" l="1"/>
  <c r="R67" i="2"/>
  <c r="R52" i="2"/>
  <c r="I3" i="2"/>
  <c r="I4" i="2"/>
  <c r="I6" i="2"/>
  <c r="I27" i="2" s="1"/>
  <c r="I7" i="2"/>
  <c r="I28" i="2" s="1"/>
  <c r="I11" i="2"/>
  <c r="I12" i="2"/>
  <c r="I44" i="2"/>
  <c r="R48" i="2"/>
  <c r="R50" i="2"/>
  <c r="R51" i="2"/>
  <c r="R53" i="2"/>
  <c r="R59" i="2"/>
  <c r="R63" i="2"/>
  <c r="R68" i="2"/>
  <c r="R72" i="2" l="1"/>
  <c r="I5" i="2"/>
  <c r="I25" i="2" s="1"/>
  <c r="R61" i="2"/>
  <c r="I8" i="2"/>
  <c r="R47" i="2"/>
  <c r="S10" i="2" s="1"/>
  <c r="I13" i="2"/>
  <c r="I29" i="2" s="1"/>
  <c r="I30" i="2"/>
  <c r="I14" i="2"/>
  <c r="I9" i="2" l="1"/>
  <c r="I26" i="2" s="1"/>
  <c r="R74" i="2"/>
  <c r="R75" i="2" s="1"/>
  <c r="K20" i="2"/>
  <c r="J20" i="2"/>
  <c r="K19" i="2"/>
  <c r="J19" i="2"/>
  <c r="J44" i="2"/>
  <c r="H44" i="2"/>
  <c r="G44" i="2"/>
  <c r="F44" i="2"/>
  <c r="Q44" i="2"/>
  <c r="P44" i="2"/>
  <c r="N44" i="2"/>
  <c r="M44" i="2"/>
  <c r="L44" i="2"/>
  <c r="K44" i="2"/>
  <c r="T35" i="2"/>
  <c r="D7" i="3"/>
  <c r="D6" i="3"/>
  <c r="D5" i="3"/>
  <c r="D4" i="3"/>
  <c r="E13" i="3"/>
  <c r="E12" i="3"/>
  <c r="E11" i="3"/>
  <c r="L6" i="1"/>
  <c r="L7" i="1"/>
  <c r="Q15" i="2"/>
  <c r="N10" i="2"/>
  <c r="K17" i="2"/>
  <c r="J17" i="2"/>
  <c r="H17" i="2"/>
  <c r="G17" i="2"/>
  <c r="F17" i="2"/>
  <c r="R15" i="2"/>
  <c r="S2" i="2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K30" i="2"/>
  <c r="J30" i="2"/>
  <c r="H30" i="2"/>
  <c r="G30" i="2"/>
  <c r="F30" i="2"/>
  <c r="D30" i="2"/>
  <c r="C30" i="2"/>
  <c r="B30" i="2"/>
  <c r="E12" i="2"/>
  <c r="Q12" i="2" s="1"/>
  <c r="E11" i="2"/>
  <c r="E7" i="2"/>
  <c r="E28" i="2" s="1"/>
  <c r="E6" i="2"/>
  <c r="E4" i="2"/>
  <c r="Q4" i="2" s="1"/>
  <c r="E3" i="2"/>
  <c r="I17" i="2" s="1"/>
  <c r="B13" i="2"/>
  <c r="B29" i="2" s="1"/>
  <c r="B10" i="2"/>
  <c r="B8" i="2"/>
  <c r="B5" i="2"/>
  <c r="B25" i="2" s="1"/>
  <c r="C10" i="2"/>
  <c r="C13" i="2"/>
  <c r="C14" i="2" s="1"/>
  <c r="C8" i="2"/>
  <c r="C5" i="2"/>
  <c r="C25" i="2" s="1"/>
  <c r="R12" i="2"/>
  <c r="R11" i="2"/>
  <c r="R7" i="2"/>
  <c r="R4" i="2"/>
  <c r="D10" i="2"/>
  <c r="D13" i="2"/>
  <c r="D14" i="2" s="1"/>
  <c r="D8" i="2"/>
  <c r="D5" i="2"/>
  <c r="D25" i="2" s="1"/>
  <c r="H10" i="2"/>
  <c r="H13" i="2"/>
  <c r="H14" i="2" s="1"/>
  <c r="H8" i="2"/>
  <c r="H5" i="2"/>
  <c r="H25" i="2" s="1"/>
  <c r="F10" i="2"/>
  <c r="F13" i="2"/>
  <c r="F14" i="2" s="1"/>
  <c r="F8" i="2"/>
  <c r="F5" i="2"/>
  <c r="J10" i="2"/>
  <c r="J13" i="2"/>
  <c r="J14" i="2" s="1"/>
  <c r="J8" i="2"/>
  <c r="J5" i="2"/>
  <c r="G13" i="2"/>
  <c r="G14" i="2" s="1"/>
  <c r="G10" i="2"/>
  <c r="G8" i="2"/>
  <c r="G5" i="2"/>
  <c r="G25" i="2" s="1"/>
  <c r="K13" i="2"/>
  <c r="K10" i="2"/>
  <c r="K8" i="2"/>
  <c r="K5" i="2"/>
  <c r="K25" i="2" s="1"/>
  <c r="L5" i="1"/>
  <c r="L8" i="1" s="1"/>
  <c r="E27" i="2" l="1"/>
  <c r="K14" i="2"/>
  <c r="K81" i="2"/>
  <c r="Q6" i="2"/>
  <c r="I19" i="2"/>
  <c r="Q7" i="2"/>
  <c r="R20" i="2" s="1"/>
  <c r="I20" i="2"/>
  <c r="I10" i="2"/>
  <c r="R10" i="2" s="1"/>
  <c r="E5" i="2"/>
  <c r="E25" i="2" s="1"/>
  <c r="C29" i="2"/>
  <c r="R13" i="2"/>
  <c r="E13" i="2"/>
  <c r="E29" i="2" s="1"/>
  <c r="B9" i="2"/>
  <c r="B26" i="2" s="1"/>
  <c r="E8" i="2"/>
  <c r="E10" i="2"/>
  <c r="Q10" i="2" s="1"/>
  <c r="J9" i="2"/>
  <c r="J26" i="2" s="1"/>
  <c r="H29" i="2"/>
  <c r="R30" i="2"/>
  <c r="Q11" i="2"/>
  <c r="Q13" i="2" s="1"/>
  <c r="Q14" i="2" s="1"/>
  <c r="E30" i="2"/>
  <c r="F9" i="2"/>
  <c r="F26" i="2" s="1"/>
  <c r="Q3" i="2"/>
  <c r="Q5" i="2" s="1"/>
  <c r="R3" i="2"/>
  <c r="D29" i="2"/>
  <c r="K29" i="2"/>
  <c r="R6" i="2"/>
  <c r="J25" i="2"/>
  <c r="F29" i="2"/>
  <c r="B14" i="2"/>
  <c r="G29" i="2"/>
  <c r="H9" i="2"/>
  <c r="H26" i="2" s="1"/>
  <c r="F25" i="2"/>
  <c r="J29" i="2"/>
  <c r="K9" i="2"/>
  <c r="K26" i="2" s="1"/>
  <c r="C9" i="2"/>
  <c r="C26" i="2" s="1"/>
  <c r="D9" i="2"/>
  <c r="D26" i="2" s="1"/>
  <c r="G9" i="2"/>
  <c r="G26" i="2" s="1"/>
  <c r="U3" i="2" l="1"/>
  <c r="T5" i="2"/>
  <c r="R14" i="2"/>
  <c r="R78" i="2"/>
  <c r="R77" i="2"/>
  <c r="S27" i="2"/>
  <c r="R27" i="2"/>
  <c r="R28" i="2"/>
  <c r="Q8" i="2"/>
  <c r="Q9" i="2" s="1"/>
  <c r="R46" i="2"/>
  <c r="E14" i="2"/>
  <c r="E9" i="2"/>
  <c r="E26" i="2" s="1"/>
  <c r="R8" i="2"/>
  <c r="R19" i="2"/>
  <c r="R5" i="2"/>
  <c r="R17" i="2"/>
  <c r="R29" i="2"/>
  <c r="V3" i="2" l="1"/>
  <c r="U5" i="2"/>
  <c r="T27" i="2"/>
  <c r="S28" i="2"/>
  <c r="S20" i="2"/>
  <c r="S8" i="2"/>
  <c r="S9" i="2" s="1"/>
  <c r="S19" i="2"/>
  <c r="R9" i="2"/>
  <c r="R26" i="2" s="1"/>
  <c r="S17" i="2"/>
  <c r="W3" i="2" l="1"/>
  <c r="V5" i="2"/>
  <c r="U27" i="2"/>
  <c r="T28" i="2"/>
  <c r="T20" i="2"/>
  <c r="T8" i="2"/>
  <c r="T19" i="2"/>
  <c r="S11" i="2"/>
  <c r="S12" i="2" s="1"/>
  <c r="S26" i="2"/>
  <c r="T17" i="2"/>
  <c r="X3" i="2" l="1"/>
  <c r="W5" i="2"/>
  <c r="S13" i="2"/>
  <c r="V27" i="2"/>
  <c r="U28" i="2"/>
  <c r="U20" i="2"/>
  <c r="U19" i="2"/>
  <c r="U8" i="2"/>
  <c r="T9" i="2"/>
  <c r="U17" i="2"/>
  <c r="Y3" i="2" l="1"/>
  <c r="X5" i="2"/>
  <c r="S30" i="2"/>
  <c r="T36" i="2"/>
  <c r="T38" i="2" s="1"/>
  <c r="S47" i="2"/>
  <c r="T10" i="2" s="1"/>
  <c r="V28" i="2"/>
  <c r="V20" i="2"/>
  <c r="W27" i="2"/>
  <c r="S29" i="2"/>
  <c r="V8" i="2"/>
  <c r="V19" i="2"/>
  <c r="S14" i="2"/>
  <c r="U9" i="2"/>
  <c r="V17" i="2"/>
  <c r="T26" i="2"/>
  <c r="Z3" i="2" l="1"/>
  <c r="Y5" i="2"/>
  <c r="T37" i="2"/>
  <c r="W28" i="2"/>
  <c r="W20" i="2"/>
  <c r="S46" i="2"/>
  <c r="W19" i="2"/>
  <c r="W8" i="2"/>
  <c r="V9" i="2"/>
  <c r="W17" i="2"/>
  <c r="U26" i="2"/>
  <c r="AA3" i="2" l="1"/>
  <c r="Z5" i="2"/>
  <c r="X27" i="2"/>
  <c r="W9" i="2"/>
  <c r="X17" i="2"/>
  <c r="V26" i="2"/>
  <c r="AB3" i="2" l="1"/>
  <c r="AA5" i="2"/>
  <c r="X19" i="2"/>
  <c r="X8" i="2"/>
  <c r="X9" i="2" s="1"/>
  <c r="X28" i="2"/>
  <c r="X20" i="2"/>
  <c r="Y27" i="2"/>
  <c r="Y17" i="2"/>
  <c r="W26" i="2"/>
  <c r="AC3" i="2" l="1"/>
  <c r="AB5" i="2"/>
  <c r="Z27" i="2"/>
  <c r="Y28" i="2"/>
  <c r="Y20" i="2"/>
  <c r="Y8" i="2"/>
  <c r="Y9" i="2" s="1"/>
  <c r="Y19" i="2"/>
  <c r="Z17" i="2"/>
  <c r="X26" i="2"/>
  <c r="AD3" i="2" l="1"/>
  <c r="AC5" i="2"/>
  <c r="Z8" i="2"/>
  <c r="Z9" i="2" s="1"/>
  <c r="AA27" i="2"/>
  <c r="Z19" i="2"/>
  <c r="Z28" i="2"/>
  <c r="Z20" i="2"/>
  <c r="AA17" i="2"/>
  <c r="Y26" i="2"/>
  <c r="AE3" i="2" l="1"/>
  <c r="AD5" i="2"/>
  <c r="AA8" i="2"/>
  <c r="AA9" i="2" s="1"/>
  <c r="AA19" i="2"/>
  <c r="AA28" i="2"/>
  <c r="AA20" i="2"/>
  <c r="AB27" i="2"/>
  <c r="AB17" i="2"/>
  <c r="Z26" i="2"/>
  <c r="AF3" i="2" l="1"/>
  <c r="AE5" i="2"/>
  <c r="AB19" i="2"/>
  <c r="AB8" i="2"/>
  <c r="AB9" i="2" s="1"/>
  <c r="AB28" i="2"/>
  <c r="AB20" i="2"/>
  <c r="AC27" i="2"/>
  <c r="AA26" i="2"/>
  <c r="AC17" i="2"/>
  <c r="AG3" i="2" l="1"/>
  <c r="AF5" i="2"/>
  <c r="AC8" i="2"/>
  <c r="AC9" i="2" s="1"/>
  <c r="AC28" i="2"/>
  <c r="AC20" i="2"/>
  <c r="AD27" i="2"/>
  <c r="AC19" i="2"/>
  <c r="AD17" i="2"/>
  <c r="AB26" i="2"/>
  <c r="AH3" i="2" l="1"/>
  <c r="AG5" i="2"/>
  <c r="AD28" i="2"/>
  <c r="AD20" i="2"/>
  <c r="AE27" i="2"/>
  <c r="AD19" i="2"/>
  <c r="AD8" i="2"/>
  <c r="AD9" i="2" s="1"/>
  <c r="AE17" i="2"/>
  <c r="AC26" i="2"/>
  <c r="AI3" i="2" l="1"/>
  <c r="AH5" i="2"/>
  <c r="AE8" i="2"/>
  <c r="AE9" i="2" s="1"/>
  <c r="AF27" i="2"/>
  <c r="AE28" i="2"/>
  <c r="AE20" i="2"/>
  <c r="AE19" i="2"/>
  <c r="AF17" i="2"/>
  <c r="AD26" i="2"/>
  <c r="AJ3" i="2" l="1"/>
  <c r="AI5" i="2"/>
  <c r="AF8" i="2"/>
  <c r="AF19" i="2"/>
  <c r="AG27" i="2"/>
  <c r="AF28" i="2"/>
  <c r="AF20" i="2"/>
  <c r="AE26" i="2"/>
  <c r="AF9" i="2"/>
  <c r="AG17" i="2"/>
  <c r="AK3" i="2" l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AJ5" i="2"/>
  <c r="AG8" i="2"/>
  <c r="AG19" i="2"/>
  <c r="AG28" i="2"/>
  <c r="AG20" i="2"/>
  <c r="AH27" i="2"/>
  <c r="AG9" i="2"/>
  <c r="AH17" i="2"/>
  <c r="AF26" i="2"/>
  <c r="AH19" i="2" l="1"/>
  <c r="AH8" i="2"/>
  <c r="AH9" i="2" s="1"/>
  <c r="AH28" i="2"/>
  <c r="AH20" i="2"/>
  <c r="AI27" i="2"/>
  <c r="AI17" i="2"/>
  <c r="AG26" i="2"/>
  <c r="AI8" i="2" l="1"/>
  <c r="AI9" i="2" s="1"/>
  <c r="AI28" i="2"/>
  <c r="AI20" i="2"/>
  <c r="AJ27" i="2"/>
  <c r="AI19" i="2"/>
  <c r="AJ17" i="2"/>
  <c r="AH26" i="2"/>
  <c r="AJ28" i="2" l="1"/>
  <c r="AJ20" i="2"/>
  <c r="AJ8" i="2"/>
  <c r="AJ9" i="2" s="1"/>
  <c r="AJ19" i="2"/>
  <c r="AI26" i="2"/>
  <c r="AK17" i="2"/>
  <c r="AJ26" i="2" l="1"/>
  <c r="AL17" i="2"/>
  <c r="AM17" i="2" l="1"/>
  <c r="AN17" i="2" l="1"/>
  <c r="AO17" i="2" l="1"/>
  <c r="AP17" i="2" l="1"/>
  <c r="AQ17" i="2" l="1"/>
  <c r="AR17" i="2" l="1"/>
  <c r="AS17" i="2" l="1"/>
  <c r="AT17" i="2" l="1"/>
  <c r="AU17" i="2" l="1"/>
  <c r="AV17" i="2" l="1"/>
  <c r="AW17" i="2" l="1"/>
  <c r="AX17" i="2" l="1"/>
  <c r="AZ17" i="2" l="1"/>
  <c r="AY17" i="2"/>
  <c r="T11" i="2" l="1"/>
  <c r="T12" i="2" s="1"/>
  <c r="T30" i="2" l="1"/>
  <c r="T13" i="2"/>
  <c r="T47" i="2" s="1"/>
  <c r="U10" i="2" s="1"/>
  <c r="T29" i="2" l="1"/>
  <c r="T14" i="2"/>
  <c r="T46" i="2" l="1"/>
  <c r="U11" i="2" l="1"/>
  <c r="U12" i="2" s="1"/>
  <c r="U30" i="2" l="1"/>
  <c r="U13" i="2" l="1"/>
  <c r="U47" i="2" s="1"/>
  <c r="V10" i="2" s="1"/>
  <c r="U14" i="2" l="1"/>
  <c r="U29" i="2"/>
  <c r="U46" i="2" l="1"/>
  <c r="V11" i="2" l="1"/>
  <c r="V12" i="2" s="1"/>
  <c r="V30" i="2" l="1"/>
  <c r="V13" i="2" l="1"/>
  <c r="V47" i="2" s="1"/>
  <c r="W10" i="2" s="1"/>
  <c r="V14" i="2" l="1"/>
  <c r="V29" i="2"/>
  <c r="V46" i="2" l="1"/>
  <c r="W11" i="2" l="1"/>
  <c r="W12" i="2" s="1"/>
  <c r="W30" i="2" l="1"/>
  <c r="W13" i="2" l="1"/>
  <c r="W47" i="2" s="1"/>
  <c r="X10" i="2" s="1"/>
  <c r="W14" i="2" l="1"/>
  <c r="W29" i="2"/>
  <c r="W46" i="2"/>
  <c r="X11" i="2" l="1"/>
  <c r="X12" i="2" s="1"/>
  <c r="X30" i="2" l="1"/>
  <c r="X13" i="2" l="1"/>
  <c r="X47" i="2" s="1"/>
  <c r="Y10" i="2" s="1"/>
  <c r="X14" i="2" l="1"/>
  <c r="X29" i="2"/>
  <c r="X46" i="2"/>
  <c r="Y11" i="2" l="1"/>
  <c r="Y12" i="2" s="1"/>
  <c r="Y30" i="2" l="1"/>
  <c r="Y13" i="2" l="1"/>
  <c r="Y47" i="2" s="1"/>
  <c r="Z10" i="2" s="1"/>
  <c r="Y14" i="2" l="1"/>
  <c r="Y29" i="2"/>
  <c r="Y46" i="2" l="1"/>
  <c r="Z11" i="2" l="1"/>
  <c r="Z12" i="2" s="1"/>
  <c r="Z30" i="2" l="1"/>
  <c r="Z13" i="2" l="1"/>
  <c r="Z47" i="2" s="1"/>
  <c r="AA10" i="2" s="1"/>
  <c r="Z14" i="2" l="1"/>
  <c r="Z29" i="2"/>
  <c r="Z46" i="2" l="1"/>
  <c r="AA11" i="2" l="1"/>
  <c r="AA12" i="2" s="1"/>
  <c r="AA30" i="2" l="1"/>
  <c r="AA13" i="2" l="1"/>
  <c r="AA47" i="2" s="1"/>
  <c r="AB10" i="2" s="1"/>
  <c r="AA14" i="2" l="1"/>
  <c r="AA29" i="2"/>
  <c r="AA46" i="2" l="1"/>
  <c r="AB11" i="2" l="1"/>
  <c r="AB12" i="2" s="1"/>
  <c r="AB30" i="2" l="1"/>
  <c r="AB13" i="2" l="1"/>
  <c r="AB29" i="2" l="1"/>
  <c r="AB47" i="2"/>
  <c r="AC10" i="2" s="1"/>
  <c r="AB14" i="2"/>
  <c r="AB46" i="2" l="1"/>
  <c r="AC11" i="2"/>
  <c r="AC12" i="2" s="1"/>
  <c r="AC30" i="2" l="1"/>
  <c r="AC13" i="2" l="1"/>
  <c r="AC14" i="2" l="1"/>
  <c r="AC47" i="2"/>
  <c r="AD10" i="2" s="1"/>
  <c r="AC29" i="2"/>
  <c r="AC46" i="2" l="1"/>
  <c r="AD11" i="2"/>
  <c r="AD12" i="2" s="1"/>
  <c r="AD30" i="2" l="1"/>
  <c r="AD13" i="2" l="1"/>
  <c r="AD47" i="2" s="1"/>
  <c r="AE10" i="2" s="1"/>
  <c r="AD29" i="2" l="1"/>
  <c r="AD14" i="2"/>
  <c r="AD46" i="2" l="1"/>
  <c r="AE11" i="2" l="1"/>
  <c r="AE12" i="2" s="1"/>
  <c r="AE30" i="2" l="1"/>
  <c r="AE13" i="2" l="1"/>
  <c r="AE29" i="2" s="1"/>
  <c r="AE14" i="2" l="1"/>
  <c r="AE47" i="2"/>
  <c r="AF10" i="2" s="1"/>
  <c r="AE46" i="2" l="1"/>
  <c r="AF11" i="2"/>
  <c r="AF12" i="2" s="1"/>
  <c r="AF30" i="2" l="1"/>
  <c r="AF13" i="2" l="1"/>
  <c r="AF47" i="2" s="1"/>
  <c r="AG10" i="2" s="1"/>
  <c r="AF29" i="2" l="1"/>
  <c r="AF14" i="2"/>
  <c r="AF46" i="2"/>
  <c r="AG11" i="2" l="1"/>
  <c r="AG12" i="2" s="1"/>
  <c r="AG30" i="2" l="1"/>
  <c r="AG13" i="2" l="1"/>
  <c r="AG47" i="2" s="1"/>
  <c r="AH10" i="2" s="1"/>
  <c r="AG29" i="2" l="1"/>
  <c r="AG14" i="2"/>
  <c r="AG46" i="2" l="1"/>
  <c r="AH11" i="2" l="1"/>
  <c r="AH12" i="2" s="1"/>
  <c r="AH30" i="2" l="1"/>
  <c r="AH13" i="2" l="1"/>
  <c r="AH47" i="2" s="1"/>
  <c r="AI10" i="2" s="1"/>
  <c r="AH14" i="2" l="1"/>
  <c r="AH29" i="2"/>
  <c r="AH46" i="2" l="1"/>
  <c r="AI11" i="2" l="1"/>
  <c r="AI12" i="2" s="1"/>
  <c r="AI30" i="2" l="1"/>
  <c r="AI13" i="2" l="1"/>
  <c r="AI47" i="2" s="1"/>
  <c r="AJ10" i="2" s="1"/>
  <c r="AI29" i="2" l="1"/>
  <c r="AI14" i="2"/>
  <c r="AI46" i="2" l="1"/>
  <c r="AJ11" i="2" l="1"/>
  <c r="AJ12" i="2" s="1"/>
  <c r="AJ30" i="2" l="1"/>
  <c r="AJ13" i="2" l="1"/>
  <c r="AJ47" i="2" s="1"/>
  <c r="AK10" i="2" s="1"/>
  <c r="AJ46" i="2" l="1"/>
  <c r="AJ29" i="2"/>
  <c r="AJ14" i="2"/>
  <c r="AK13" i="2"/>
  <c r="AK29" i="2" s="1"/>
  <c r="AL13" i="2" l="1"/>
  <c r="AL29" i="2" s="1"/>
  <c r="AM13" i="2" l="1"/>
  <c r="AN13" i="2" s="1"/>
  <c r="AM29" i="2" l="1"/>
  <c r="AO13" i="2"/>
  <c r="AN29" i="2"/>
  <c r="AO29" i="2" l="1"/>
  <c r="AP13" i="2"/>
  <c r="AP29" i="2" l="1"/>
  <c r="AQ13" i="2"/>
  <c r="AR13" i="2" l="1"/>
  <c r="AQ29" i="2"/>
  <c r="AS13" i="2" l="1"/>
  <c r="AR29" i="2"/>
  <c r="AS29" i="2" l="1"/>
  <c r="AT13" i="2"/>
  <c r="AT29" i="2" l="1"/>
  <c r="AU13" i="2"/>
  <c r="AV13" i="2" l="1"/>
  <c r="AU29" i="2"/>
  <c r="AW13" i="2" l="1"/>
  <c r="AV29" i="2"/>
  <c r="AW29" i="2" l="1"/>
  <c r="AX13" i="2"/>
  <c r="AX29" i="2" l="1"/>
  <c r="AY13" i="2"/>
  <c r="AZ13" i="2" l="1"/>
  <c r="AY29" i="2"/>
  <c r="AZ29" i="2" l="1"/>
  <c r="BA13" i="2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l="1"/>
  <c r="N9" i="2"/>
  <c r="N11" i="2" s="1"/>
  <c r="N12" i="2" s="1"/>
  <c r="N14" i="2" s="1"/>
</calcChain>
</file>

<file path=xl/sharedStrings.xml><?xml version="1.0" encoding="utf-8"?>
<sst xmlns="http://schemas.openxmlformats.org/spreadsheetml/2006/main" count="211" uniqueCount="133">
  <si>
    <t>IBM</t>
  </si>
  <si>
    <t>price</t>
  </si>
  <si>
    <t>shares</t>
  </si>
  <si>
    <t>MC</t>
  </si>
  <si>
    <t>cash</t>
  </si>
  <si>
    <t>debt</t>
  </si>
  <si>
    <t>EV</t>
  </si>
  <si>
    <t>Q324</t>
  </si>
  <si>
    <t xml:space="preserve"> </t>
  </si>
  <si>
    <t>revenue</t>
  </si>
  <si>
    <t>COGS</t>
  </si>
  <si>
    <t>Gross profit</t>
  </si>
  <si>
    <t>SGA</t>
  </si>
  <si>
    <t>RD</t>
  </si>
  <si>
    <t>OPEX</t>
  </si>
  <si>
    <t>interest income</t>
  </si>
  <si>
    <t>Operating profit</t>
  </si>
  <si>
    <t>Pretaxe</t>
  </si>
  <si>
    <t>Taxe</t>
  </si>
  <si>
    <t>Net income</t>
  </si>
  <si>
    <t>EPS</t>
  </si>
  <si>
    <t>Shares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</si>
  <si>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</si>
  <si>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</si>
  <si>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</si>
  <si>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</si>
  <si>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</si>
  <si>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</si>
  <si>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</si>
  <si>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</si>
  <si>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</si>
  <si>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</si>
  <si>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Q424</t>
  </si>
  <si>
    <t>Revenue y/y</t>
  </si>
  <si>
    <t>Gross margin</t>
  </si>
  <si>
    <t>Operating margin</t>
  </si>
  <si>
    <t>Net margin</t>
  </si>
  <si>
    <t>Taxe rate</t>
  </si>
  <si>
    <t>MR</t>
  </si>
  <si>
    <t>DR</t>
  </si>
  <si>
    <t>NPV</t>
  </si>
  <si>
    <t>NC</t>
  </si>
  <si>
    <t>Total value</t>
  </si>
  <si>
    <t>Per share</t>
  </si>
  <si>
    <t>Currente price</t>
  </si>
  <si>
    <t>Infraestructure</t>
  </si>
  <si>
    <t>Financing</t>
  </si>
  <si>
    <t>Description</t>
  </si>
  <si>
    <t>% revenue</t>
  </si>
  <si>
    <t>Name</t>
  </si>
  <si>
    <t xml:space="preserve"> Notes</t>
  </si>
  <si>
    <t>GEO</t>
  </si>
  <si>
    <t>Americas</t>
  </si>
  <si>
    <t>Europe / M. Weast / Africa</t>
  </si>
  <si>
    <t>Asia</t>
  </si>
  <si>
    <t>YE 23</t>
  </si>
  <si>
    <t>YE23</t>
  </si>
  <si>
    <t>Competitors</t>
  </si>
  <si>
    <t>Oracle, SAP</t>
  </si>
  <si>
    <t>IMC, Dell</t>
  </si>
  <si>
    <t>Accenture, Infosys, Tata, Cognizant</t>
  </si>
  <si>
    <t>Services</t>
  </si>
  <si>
    <t xml:space="preserve">   Software</t>
  </si>
  <si>
    <t xml:space="preserve">   Consulting</t>
  </si>
  <si>
    <t>EV24</t>
  </si>
  <si>
    <t>E 24</t>
  </si>
  <si>
    <t>EV/E</t>
  </si>
  <si>
    <t>Yield</t>
  </si>
  <si>
    <t>Bonds</t>
  </si>
  <si>
    <t>Nº/y to return EV</t>
  </si>
  <si>
    <t>Compare to bonds for performace check</t>
  </si>
  <si>
    <t>Revenue y/y LC</t>
  </si>
  <si>
    <t>Hibrid solutions</t>
  </si>
  <si>
    <t>USD / EUR</t>
  </si>
  <si>
    <t>Percentage</t>
  </si>
  <si>
    <t>Próximo logo não é bom sinal</t>
  </si>
  <si>
    <t>SGA y/y</t>
  </si>
  <si>
    <t xml:space="preserve">RD y/y </t>
  </si>
  <si>
    <t>RC</t>
  </si>
  <si>
    <t>A/R</t>
  </si>
  <si>
    <t>F/R</t>
  </si>
  <si>
    <t>Inventory</t>
  </si>
  <si>
    <t>Pre expenses</t>
  </si>
  <si>
    <t>Assets</t>
  </si>
  <si>
    <t>PPE</t>
  </si>
  <si>
    <t>Pension</t>
  </si>
  <si>
    <t>DC</t>
  </si>
  <si>
    <t>Defered taxes</t>
  </si>
  <si>
    <t>Goodwill</t>
  </si>
  <si>
    <t>ORU assets</t>
  </si>
  <si>
    <t>I/S assets</t>
  </si>
  <si>
    <t>Debt</t>
  </si>
  <si>
    <t>Taxes</t>
  </si>
  <si>
    <t>A/P</t>
  </si>
  <si>
    <t>Compensation and benefits</t>
  </si>
  <si>
    <t>DI</t>
  </si>
  <si>
    <t>OLL</t>
  </si>
  <si>
    <t>OAEL</t>
  </si>
  <si>
    <t>Obligations</t>
  </si>
  <si>
    <t>Other liabilities</t>
  </si>
  <si>
    <t>Liabilities</t>
  </si>
  <si>
    <t>S/E</t>
  </si>
  <si>
    <t>L+S/E</t>
  </si>
  <si>
    <t>Net Cash</t>
  </si>
  <si>
    <t>USD /EUR y/y</t>
  </si>
  <si>
    <t>ROIC</t>
  </si>
  <si>
    <t>Aplly for revenue</t>
  </si>
  <si>
    <t>Apply for Interest income</t>
  </si>
  <si>
    <t>It's autoapplyied to NI</t>
  </si>
  <si>
    <t>Model NI</t>
  </si>
  <si>
    <t>Reported GAAP NI</t>
  </si>
  <si>
    <t>DA</t>
  </si>
  <si>
    <t>Compensations</t>
  </si>
  <si>
    <t>Loss</t>
  </si>
  <si>
    <t>Aquisitions</t>
  </si>
  <si>
    <t>2Q</t>
  </si>
  <si>
    <t>CAPEX</t>
  </si>
  <si>
    <t>CFFO</t>
  </si>
  <si>
    <t>Investments</t>
  </si>
  <si>
    <t>Transfers</t>
  </si>
  <si>
    <t>Purchases</t>
  </si>
  <si>
    <t>CFFI</t>
  </si>
  <si>
    <t>Alienations</t>
  </si>
  <si>
    <t>Dispositions</t>
  </si>
  <si>
    <t>Borrowings</t>
  </si>
  <si>
    <t>Repurchase of stock</t>
  </si>
  <si>
    <t>Dividend paid</t>
  </si>
  <si>
    <t>CFFF</t>
  </si>
  <si>
    <t>CF</t>
  </si>
  <si>
    <t>RD %</t>
  </si>
  <si>
    <t>SGA %</t>
  </si>
  <si>
    <t>ROA</t>
  </si>
  <si>
    <t>ROE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</si>
</sst>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&quot; x&quot;"/>
    <numFmt numFmtId="165" formatCode="0.0%"/>
    <numFmt numFmtId="167" formatCode="#,##0.000"/>
  </numFmts>
  <fonts count="6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212529"/>
      <name val="Inherit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  <xf numFmtId="9" fontId="0" fillId="0" borderId="0" xfId="1" applyFont="1"/>
    <xf numFmtId="9" fontId="0" fillId="0" borderId="0" xfId="0" applyNumberFormat="1"/>
    <xf numFmtId="3" fontId="1" fillId="0" borderId="0" xfId="0" applyNumberFormat="1" applyFont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6" xfId="0" applyNumberFormat="1" applyBorder="1"/>
    <xf numFmtId="164" fontId="0" fillId="0" borderId="0" xfId="0" applyNumberFormat="1"/>
    <xf numFmtId="165" fontId="0" fillId="0" borderId="0" xfId="0" applyNumberFormat="1"/>
    <xf numFmtId="0" fontId="4" fillId="0" borderId="0" xfId="0" applyFont="1" applyAlignment="1">
      <alignment horizontal="left" vertical="center" wrapText="1" indent="1"/>
    </xf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wrapText="1"/>
    </xf>
    <xf numFmtId="165" fontId="0" fillId="0" borderId="0" xfId="1" applyNumberFormat="1" applyFont="1"/>
    <xf numFmtId="9" fontId="1" fillId="0" borderId="0" xfId="1" applyFont="1"/>
    <xf numFmtId="0" fontId="5" fillId="0" borderId="0" xfId="0" applyFont="1" applyAlignment="1">
      <alignment horizontal="left"/>
    </xf>
    <xf numFmtId="0" fontId="0" fillId="0" borderId="0" xfId="0" quotePrefix="1"/>
    <xf numFmtId="3" fontId="0" fillId="2" borderId="0" xfId="0" applyNumberFormat="1" applyFill="1"/>
    <xf numFmtId="9" fontId="0" fillId="0" borderId="0" xfId="1" applyFont="1" applyFill="1" applyBorder="1"/>
    <xf numFmtId="167" fontId="0" fillId="0" borderId="0" xfId="0" applyNumberFormat="1"/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662940</xdr:colOff>
      <xdr:row>1</xdr:row>
      <xdr:rowOff>0</xdr:rowOff>
    </xdr:from>
    <xdr:to>
      <xdr:col>11</xdr:col>
      <xdr:colOff>0</xdr:colOff>
      <xdr:row>35</xdr:row>
      <xdr:rowOff>129540</xdr:rowOff>
    </xdr:to>
    <xdr:cxnSp macro="">
      <xdr:nvCxnSpPr>
        <xdr:cNvPr id="3" name="Conexão reta 2">
          <a:extLst>
            <a:ext uri="{FF2B5EF4-FFF2-40B4-BE49-F238E27FC236}">
              <a16:creationId xmlns:a16="http://schemas.microsoft.com/office/drawing/2014/main" id="{73F56401-4EF4-7A9A-392B-FFB39FC14BF6}"/>
            </a:ext>
          </a:extLst>
        </xdr:cNvPr>
        <xdr:cNvCxnSpPr/>
      </xdr:nvCxnSpPr>
      <xdr:spPr>
        <a:xfrm flipH="1">
          <a:off x="8747760" y="175260"/>
          <a:ext cx="7620" cy="468630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7620</xdr:colOff>
      <xdr:row>0</xdr:row>
      <xdr:rowOff>38100</xdr:rowOff>
    </xdr:from>
    <xdr:to>
      <xdr:col>18</xdr:col>
      <xdr:colOff>7620</xdr:colOff>
      <xdr:row>30</xdr:row>
      <xdr:rowOff>152400</xdr:rowOff>
    </xdr:to>
    <xdr:cxnSp macro="">
      <xdr:nvCxnSpPr>
        <xdr:cNvPr id="5" name="Conexão reta 4">
          <a:extLst>
            <a:ext uri="{FF2B5EF4-FFF2-40B4-BE49-F238E27FC236}">
              <a16:creationId xmlns:a16="http://schemas.microsoft.com/office/drawing/2014/main" id="{DBAE5991-B948-4C81-AB6E-8DD568F27F5A}"/>
            </a:ext>
          </a:extLst>
        </xdr:cNvPr>
        <xdr:cNvCxnSpPr/>
      </xdr:nvCxnSpPr>
      <xdr:spPr>
        <a:xfrm>
          <a:off x="13258800" y="38100"/>
          <a:ext cx="0" cy="397002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D4FE1-D979-4DFD-B265-52E6DA8C78B7}">
  <dimension ref="B3:O14"/>
  <sheetViews>
    <sheetView topLeftCell="H1" workbookViewId="0">
      <selection activeCell="N11" sqref="N11"/>
    </sheetView>
  </sheetViews>
  <sheetFormatPr defaultRowHeight="13.8"/>
  <cols>
    <col min="12" max="12" width="11.09765625" customWidth="1"/>
  </cols>
  <sheetData>
    <row r="3" spans="2:15">
      <c r="B3" s="2" t="s">
        <v>0</v>
      </c>
      <c r="K3" t="s">
        <v>1</v>
      </c>
      <c r="L3" s="3">
        <v>191</v>
      </c>
    </row>
    <row r="4" spans="2:15">
      <c r="K4" t="s">
        <v>2</v>
      </c>
      <c r="L4" s="3">
        <v>921.14519499999994</v>
      </c>
      <c r="M4" t="s">
        <v>7</v>
      </c>
      <c r="O4" t="s">
        <v>8</v>
      </c>
    </row>
    <row r="5" spans="2:15">
      <c r="K5" t="s">
        <v>3</v>
      </c>
      <c r="L5" s="3">
        <f>+L3*L4</f>
        <v>175938.73224499999</v>
      </c>
    </row>
    <row r="6" spans="2:15">
      <c r="K6" t="s">
        <v>4</v>
      </c>
      <c r="L6" s="3">
        <f>12210+1841</f>
        <v>14051</v>
      </c>
      <c r="M6" t="s">
        <v>7</v>
      </c>
    </row>
    <row r="7" spans="2:15">
      <c r="K7" t="s">
        <v>5</v>
      </c>
      <c r="L7" s="3">
        <f>3602+3631+52929</f>
        <v>60162</v>
      </c>
      <c r="M7" t="s">
        <v>7</v>
      </c>
    </row>
    <row r="8" spans="2:15">
      <c r="K8" t="s">
        <v>6</v>
      </c>
      <c r="L8" s="3">
        <f>+L5+L7-L6</f>
        <v>222049.73224499999</v>
      </c>
      <c r="M8" t="s">
        <v>8</v>
      </c>
    </row>
    <row r="10" spans="2:15">
      <c r="K10" t="s">
        <v>8</v>
      </c>
      <c r="L10" t="s">
        <v>8</v>
      </c>
      <c r="N10" t="s">
        <v>8</v>
      </c>
    </row>
    <row r="11" spans="2:15">
      <c r="L11" t="s">
        <v>8</v>
      </c>
      <c r="M11" t="s">
        <v>8</v>
      </c>
      <c r="N11" t="s">
        <v>8</v>
      </c>
    </row>
    <row r="12" spans="2:15">
      <c r="N12" t="s">
        <v>8</v>
      </c>
    </row>
    <row r="13" spans="2:15">
      <c r="M13" t="s">
        <v>8</v>
      </c>
    </row>
    <row r="14" spans="2:15">
      <c r="L14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AFB44-4668-4AEB-8CFA-D001C61B28C6}">
  <dimension ref="B1:W40"/>
  <sheetViews>
    <sheetView workbookViewId="0">
      <selection activeCell="B12" sqref="B12"/>
    </sheetView>
  </sheetViews>
  <sheetFormatPr defaultRowHeight="13.8"/>
  <cols>
    <col min="2" max="2" width="23" customWidth="1"/>
    <col min="3" max="4" width="10.59765625" customWidth="1"/>
    <col min="5" max="5" width="14.796875" customWidth="1"/>
    <col min="6" max="6" width="29.8984375" customWidth="1"/>
  </cols>
  <sheetData>
    <row r="1" spans="2:7">
      <c r="E1" t="s">
        <v>56</v>
      </c>
    </row>
    <row r="2" spans="2:7">
      <c r="B2" s="15" t="s">
        <v>49</v>
      </c>
      <c r="C2" s="8" t="s">
        <v>47</v>
      </c>
      <c r="D2" s="8" t="s">
        <v>48</v>
      </c>
      <c r="E2" s="9" t="s">
        <v>50</v>
      </c>
      <c r="F2" s="9" t="s">
        <v>57</v>
      </c>
      <c r="G2" t="s">
        <v>8</v>
      </c>
    </row>
    <row r="3" spans="2:7">
      <c r="B3" s="15" t="s">
        <v>61</v>
      </c>
      <c r="E3" s="11"/>
      <c r="F3" s="11"/>
    </row>
    <row r="4" spans="2:7">
      <c r="B4" s="10" t="s">
        <v>62</v>
      </c>
      <c r="D4" s="5">
        <f>26308/61860</f>
        <v>0.42528289686388621</v>
      </c>
      <c r="E4" s="11" t="s">
        <v>72</v>
      </c>
      <c r="F4" s="11" t="s">
        <v>58</v>
      </c>
    </row>
    <row r="5" spans="2:7">
      <c r="B5" s="10" t="s">
        <v>63</v>
      </c>
      <c r="D5" s="5">
        <f>19985/61860</f>
        <v>0.32306821855803425</v>
      </c>
      <c r="E5" s="11"/>
      <c r="F5" s="11" t="s">
        <v>60</v>
      </c>
    </row>
    <row r="6" spans="2:7">
      <c r="B6" s="10" t="s">
        <v>45</v>
      </c>
      <c r="D6" s="5">
        <f>14593/61860</f>
        <v>0.23590365341092789</v>
      </c>
      <c r="E6" s="11"/>
      <c r="F6" s="11" t="s">
        <v>59</v>
      </c>
    </row>
    <row r="7" spans="2:7">
      <c r="B7" s="12" t="s">
        <v>46</v>
      </c>
      <c r="C7" s="13"/>
      <c r="D7" s="16">
        <f>741/61860</f>
        <v>1.1978661493695442E-2</v>
      </c>
      <c r="E7" s="14"/>
      <c r="F7" s="14"/>
    </row>
    <row r="9" spans="2:7">
      <c r="E9" t="s">
        <v>55</v>
      </c>
    </row>
    <row r="10" spans="2:7">
      <c r="B10" s="15" t="s">
        <v>51</v>
      </c>
      <c r="C10" s="8" t="s">
        <v>47</v>
      </c>
      <c r="D10" s="8"/>
      <c r="E10" s="8" t="s">
        <v>48</v>
      </c>
      <c r="F10" s="9" t="s">
        <v>50</v>
      </c>
      <c r="G10" t="s">
        <v>8</v>
      </c>
    </row>
    <row r="11" spans="2:7">
      <c r="B11" s="15" t="s">
        <v>52</v>
      </c>
      <c r="E11" s="5">
        <f>31666/61860</f>
        <v>0.51189783381829934</v>
      </c>
      <c r="F11" s="11"/>
    </row>
    <row r="12" spans="2:7">
      <c r="B12" s="10" t="s">
        <v>53</v>
      </c>
      <c r="E12" s="5">
        <f>18492/61860</f>
        <v>0.29893307468477209</v>
      </c>
      <c r="F12" s="11"/>
    </row>
    <row r="13" spans="2:7">
      <c r="B13" s="12" t="s">
        <v>54</v>
      </c>
      <c r="C13" s="13"/>
      <c r="D13" s="13"/>
      <c r="E13" s="16">
        <f>11702/61860</f>
        <v>0.18916909149692854</v>
      </c>
      <c r="F13" s="14"/>
    </row>
    <row r="19" spans="2:23">
      <c r="B19" s="19"/>
    </row>
    <row r="20" spans="2:23">
      <c r="B20" s="19"/>
    </row>
    <row r="21" spans="2:23">
      <c r="B21" s="19"/>
    </row>
    <row r="22" spans="2:23">
      <c r="B22" s="19"/>
    </row>
    <row r="23" spans="2:23">
      <c r="B23" s="19"/>
      <c r="C23" s="19" t="s">
        <v>8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</row>
    <row r="24" spans="2:23">
      <c r="B24" s="19"/>
    </row>
    <row r="25" spans="2:23">
      <c r="B25" s="19"/>
    </row>
    <row r="26" spans="2:23">
      <c r="B26" s="19"/>
    </row>
    <row r="27" spans="2:23">
      <c r="B27" s="19"/>
      <c r="C27" s="19" t="s">
        <v>8</v>
      </c>
    </row>
    <row r="28" spans="2:23">
      <c r="B28" s="19"/>
    </row>
    <row r="29" spans="2:23">
      <c r="B29" s="19"/>
    </row>
    <row r="30" spans="2:23">
      <c r="B30" s="19"/>
    </row>
    <row r="31" spans="2:23">
      <c r="B31" s="19"/>
    </row>
    <row r="32" spans="2:23">
      <c r="B32" s="19"/>
    </row>
    <row r="33" spans="2:2">
      <c r="B33" s="19"/>
    </row>
    <row r="34" spans="2:2">
      <c r="B34" s="19"/>
    </row>
    <row r="35" spans="2:2">
      <c r="B35" s="19"/>
    </row>
    <row r="36" spans="2:2">
      <c r="B36" s="19"/>
    </row>
    <row r="37" spans="2:2">
      <c r="B37" s="19"/>
    </row>
    <row r="38" spans="2:2">
      <c r="B38" s="19"/>
    </row>
    <row r="39" spans="2:2">
      <c r="B39" s="19"/>
    </row>
    <row r="40" spans="2:2">
      <c r="B40" s="19"/>
    </row>
  </sheetData>
  <sortState xmlns:xlrd2="http://schemas.microsoft.com/office/spreadsheetml/2017/richdata2" ref="D23:W23">
    <sortCondition descending="1" ref="D22:D2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8DE0C-5859-48A5-A74E-71814D036034}">
  <dimension ref="A1:BO103"/>
  <sheetViews>
    <sheetView tabSelected="1" zoomScaleNormal="100" workbookViewId="0">
      <pane xSplit="1" ySplit="2" topLeftCell="M3" activePane="bottomRight" state="frozen"/>
      <selection pane="topRight" activeCell="C1" sqref="C1"/>
      <selection pane="bottomLeft" activeCell="A3" sqref="A3"/>
      <selection pane="bottomRight" activeCell="N8" sqref="N8"/>
    </sheetView>
  </sheetViews>
  <sheetFormatPr defaultRowHeight="13.8"/>
  <cols>
    <col min="1" max="1" width="18.09765625" customWidth="1"/>
    <col min="12" max="12" width="13.796875" customWidth="1"/>
    <col min="13" max="13" width="12" style="3" customWidth="1"/>
    <col min="14" max="16" width="8.796875" style="3"/>
    <col min="17" max="36" width="9.3984375" style="3" bestFit="1" customWidth="1"/>
  </cols>
  <sheetData>
    <row r="1" spans="1:67"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</row>
    <row r="2" spans="1:67"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7</v>
      </c>
      <c r="M2" t="s">
        <v>32</v>
      </c>
      <c r="N2"/>
      <c r="O2"/>
      <c r="P2"/>
      <c r="Q2">
        <v>2022</v>
      </c>
      <c r="R2">
        <v>2023</v>
      </c>
      <c r="S2">
        <f>+R2+1</f>
        <v>2024</v>
      </c>
      <c r="T2">
        <f t="shared" ref="T2:AJ2" si="0">+S2+1</f>
        <v>2025</v>
      </c>
      <c r="U2">
        <f t="shared" si="0"/>
        <v>2026</v>
      </c>
      <c r="V2">
        <f t="shared" si="0"/>
        <v>2027</v>
      </c>
      <c r="W2">
        <f t="shared" si="0"/>
        <v>2028</v>
      </c>
      <c r="X2">
        <f t="shared" si="0"/>
        <v>2029</v>
      </c>
      <c r="Y2">
        <f t="shared" si="0"/>
        <v>2030</v>
      </c>
      <c r="Z2">
        <f t="shared" si="0"/>
        <v>2031</v>
      </c>
      <c r="AA2">
        <f t="shared" si="0"/>
        <v>2032</v>
      </c>
      <c r="AB2">
        <f t="shared" si="0"/>
        <v>2033</v>
      </c>
      <c r="AC2">
        <f t="shared" si="0"/>
        <v>2034</v>
      </c>
      <c r="AD2">
        <f t="shared" si="0"/>
        <v>2035</v>
      </c>
      <c r="AE2">
        <f t="shared" si="0"/>
        <v>2036</v>
      </c>
      <c r="AF2">
        <f t="shared" si="0"/>
        <v>2037</v>
      </c>
      <c r="AG2">
        <f t="shared" si="0"/>
        <v>2038</v>
      </c>
      <c r="AH2">
        <f t="shared" si="0"/>
        <v>2039</v>
      </c>
      <c r="AI2">
        <f t="shared" si="0"/>
        <v>2040</v>
      </c>
      <c r="AJ2">
        <f t="shared" si="0"/>
        <v>2041</v>
      </c>
    </row>
    <row r="3" spans="1:67" s="1" customFormat="1">
      <c r="A3" s="1" t="s">
        <v>9</v>
      </c>
      <c r="B3" s="1">
        <v>14197</v>
      </c>
      <c r="C3" s="1">
        <v>15535</v>
      </c>
      <c r="D3" s="1">
        <v>14107</v>
      </c>
      <c r="E3" s="1">
        <f>60530-B3-C3-D3</f>
        <v>16691</v>
      </c>
      <c r="F3" s="1">
        <v>14252</v>
      </c>
      <c r="G3" s="1">
        <v>15475</v>
      </c>
      <c r="H3" s="1">
        <v>14752</v>
      </c>
      <c r="I3" s="1">
        <f>61860-F3-G3-H3</f>
        <v>17381</v>
      </c>
      <c r="J3" s="1">
        <v>14462</v>
      </c>
      <c r="K3" s="1">
        <v>15770</v>
      </c>
      <c r="L3" s="1" t="s">
        <v>8</v>
      </c>
      <c r="M3" s="6"/>
      <c r="N3" s="6"/>
      <c r="O3" s="6"/>
      <c r="P3" s="6" t="s">
        <v>8</v>
      </c>
      <c r="Q3" s="6">
        <f>SUM(B3:E3)</f>
        <v>60530</v>
      </c>
      <c r="R3" s="6">
        <f>SUM(F3:I3)</f>
        <v>61860</v>
      </c>
      <c r="S3" s="6">
        <f>+R3*1.05</f>
        <v>64953</v>
      </c>
      <c r="T3" s="6">
        <f t="shared" ref="T3" si="1">+S3*1.05</f>
        <v>68200.650000000009</v>
      </c>
      <c r="U3" s="6">
        <f>+T3*(1-$N$7)</f>
        <v>69564.663000000015</v>
      </c>
      <c r="V3" s="6">
        <f>+U3*(1-$N$7)</f>
        <v>70955.956260000021</v>
      </c>
      <c r="W3" s="6">
        <f>+V3*(1-$N$7)</f>
        <v>72375.07538520002</v>
      </c>
      <c r="X3" s="6">
        <f>+W3*(1-$N$7)</f>
        <v>73822.57689290402</v>
      </c>
      <c r="Y3" s="6">
        <f>+X3*(1-$N$7)</f>
        <v>75299.028430762104</v>
      </c>
      <c r="Z3" s="6">
        <f>+Y3*(1-$N$7)</f>
        <v>76805.008999377344</v>
      </c>
      <c r="AA3" s="6">
        <f>+Z3*(1-$N$7)</f>
        <v>78341.109179364896</v>
      </c>
      <c r="AB3" s="6">
        <f>+AA3*(1-$N$7)</f>
        <v>79907.931362952193</v>
      </c>
      <c r="AC3" s="6">
        <f>+AB3*(1-$N$7)</f>
        <v>81506.089990211243</v>
      </c>
      <c r="AD3" s="6">
        <f>+AC3*(1-$N$7)</f>
        <v>83136.21179001547</v>
      </c>
      <c r="AE3" s="6">
        <f>+AD3*(1-$N$7)</f>
        <v>84798.936025815783</v>
      </c>
      <c r="AF3" s="6">
        <f>+AE3*(1-$N$7)</f>
        <v>86494.914746332099</v>
      </c>
      <c r="AG3" s="6">
        <f>+AF3*(1-$N$7)</f>
        <v>88224.813041258749</v>
      </c>
      <c r="AH3" s="6">
        <f>+AG3*(1-$N$7)</f>
        <v>89989.30930208393</v>
      </c>
      <c r="AI3" s="6">
        <f>+AH3*(1-$N$7)</f>
        <v>91789.095488125604</v>
      </c>
      <c r="AJ3" s="6">
        <f>+AI3*(1-$N$7)</f>
        <v>93624.877397888122</v>
      </c>
      <c r="AK3" s="6">
        <f>+AJ3*(1-$N$7)</f>
        <v>95497.374945845891</v>
      </c>
      <c r="AL3" s="6">
        <f>+AK3*(1-$N$7)</f>
        <v>97407.322444762816</v>
      </c>
      <c r="AM3" s="6">
        <f>+AL3*(1-$N$7)</f>
        <v>99355.468893658079</v>
      </c>
      <c r="AN3" s="6">
        <f>+AM3*(1-$N$7)</f>
        <v>101342.57827153124</v>
      </c>
      <c r="AO3" s="6">
        <f>+AN3*(1-$N$7)</f>
        <v>103369.42983696186</v>
      </c>
      <c r="AP3" s="6">
        <f>+AO3*(1-$N$7)</f>
        <v>105436.8184337011</v>
      </c>
      <c r="AQ3" s="6">
        <f>+AP3*(1-$N$7)</f>
        <v>107545.55480237513</v>
      </c>
      <c r="AR3" s="6">
        <f>+AQ3*(1-$N$7)</f>
        <v>109696.46589842264</v>
      </c>
      <c r="AS3" s="6">
        <f>+AR3*(1-$N$7)</f>
        <v>111890.3952163911</v>
      </c>
      <c r="AT3" s="6">
        <f>+AS3*(1-$N$7)</f>
        <v>114128.20312071893</v>
      </c>
      <c r="AU3" s="6">
        <f>+AT3*(1-$N$7)</f>
        <v>116410.76718313331</v>
      </c>
      <c r="AV3" s="6">
        <f>+AU3*(1-$N$7)</f>
        <v>118738.98252679598</v>
      </c>
      <c r="AW3" s="6">
        <f>+AV3*(1-$N$7)</f>
        <v>121113.7621773319</v>
      </c>
      <c r="AX3" s="6">
        <f>+AW3*(1-$N$7)</f>
        <v>123536.03742087854</v>
      </c>
      <c r="AY3" s="6">
        <f>+AX3*(1-$N$7)</f>
        <v>126006.75816929611</v>
      </c>
      <c r="AZ3" s="6">
        <f>+AY3*(1-$N$7)</f>
        <v>128526.89333268204</v>
      </c>
    </row>
    <row r="4" spans="1:67">
      <c r="A4" t="s">
        <v>10</v>
      </c>
      <c r="B4">
        <v>6862</v>
      </c>
      <c r="C4">
        <v>7246</v>
      </c>
      <c r="D4">
        <v>6677</v>
      </c>
      <c r="E4">
        <f>25865-B4-C4-D4</f>
        <v>5080</v>
      </c>
      <c r="F4">
        <v>6743</v>
      </c>
      <c r="G4">
        <v>6974</v>
      </c>
      <c r="H4">
        <v>6729</v>
      </c>
      <c r="I4">
        <f>27560-F4-G4-H4</f>
        <v>7114</v>
      </c>
      <c r="J4">
        <v>6719</v>
      </c>
      <c r="K4">
        <v>6820</v>
      </c>
      <c r="Q4" s="3">
        <f>SUM(B4:E4)</f>
        <v>25865</v>
      </c>
      <c r="R4" s="3">
        <f>SUM(F4:I4)</f>
        <v>27560</v>
      </c>
      <c r="S4" s="3">
        <f>+R4*1.01</f>
        <v>27835.599999999999</v>
      </c>
      <c r="T4" s="3">
        <f t="shared" ref="T4:AJ4" si="2">+S4*1.01</f>
        <v>28113.955999999998</v>
      </c>
      <c r="U4" s="3">
        <f t="shared" si="2"/>
        <v>28395.095559999998</v>
      </c>
      <c r="V4" s="3">
        <f t="shared" si="2"/>
        <v>28679.046515599999</v>
      </c>
      <c r="W4" s="3">
        <f t="shared" si="2"/>
        <v>28965.836980756001</v>
      </c>
      <c r="X4" s="3">
        <f t="shared" si="2"/>
        <v>29255.49535056356</v>
      </c>
      <c r="Y4" s="3">
        <f t="shared" si="2"/>
        <v>29548.050304069195</v>
      </c>
      <c r="Z4" s="3">
        <f t="shared" si="2"/>
        <v>29843.530807109888</v>
      </c>
      <c r="AA4" s="3">
        <f t="shared" si="2"/>
        <v>30141.966115180989</v>
      </c>
      <c r="AB4" s="3">
        <f t="shared" si="2"/>
        <v>30443.385776332798</v>
      </c>
      <c r="AC4" s="3">
        <f t="shared" si="2"/>
        <v>30747.819634096126</v>
      </c>
      <c r="AD4" s="3">
        <f t="shared" si="2"/>
        <v>31055.297830437088</v>
      </c>
      <c r="AE4" s="3">
        <f t="shared" si="2"/>
        <v>31365.850808741459</v>
      </c>
      <c r="AF4" s="3">
        <f t="shared" si="2"/>
        <v>31679.509316828873</v>
      </c>
      <c r="AG4" s="3">
        <f t="shared" si="2"/>
        <v>31996.304409997163</v>
      </c>
      <c r="AH4" s="3">
        <f t="shared" si="2"/>
        <v>32316.267454097135</v>
      </c>
      <c r="AI4" s="3">
        <f t="shared" si="2"/>
        <v>32639.430128638105</v>
      </c>
      <c r="AJ4" s="3">
        <f t="shared" si="2"/>
        <v>32965.824429924483</v>
      </c>
    </row>
    <row r="5" spans="1:67" s="1" customFormat="1">
      <c r="A5" s="1" t="s">
        <v>11</v>
      </c>
      <c r="B5" s="1">
        <f t="shared" ref="B5:G5" si="3">+B3-B4</f>
        <v>7335</v>
      </c>
      <c r="C5" s="1">
        <f t="shared" si="3"/>
        <v>8289</v>
      </c>
      <c r="D5" s="1">
        <f t="shared" si="3"/>
        <v>7430</v>
      </c>
      <c r="E5" s="1">
        <f t="shared" si="3"/>
        <v>11611</v>
      </c>
      <c r="F5" s="1">
        <f t="shared" si="3"/>
        <v>7509</v>
      </c>
      <c r="G5" s="1">
        <f t="shared" si="3"/>
        <v>8501</v>
      </c>
      <c r="H5" s="1">
        <f t="shared" ref="H5:I5" si="4">+H3-H4</f>
        <v>8023</v>
      </c>
      <c r="I5" s="1">
        <f t="shared" si="4"/>
        <v>10267</v>
      </c>
      <c r="J5" s="1">
        <f>+J3-J4</f>
        <v>7743</v>
      </c>
      <c r="K5" s="1">
        <f>+K3-K4</f>
        <v>8950</v>
      </c>
      <c r="M5" s="6"/>
      <c r="N5" s="6"/>
      <c r="O5" s="6"/>
      <c r="P5" s="6"/>
      <c r="Q5" s="6">
        <f>+Q3-Q4</f>
        <v>34665</v>
      </c>
      <c r="R5" s="6">
        <f>+R3-R4</f>
        <v>34300</v>
      </c>
      <c r="S5" s="6">
        <f t="shared" ref="S5:AJ5" si="5">+S3-S4</f>
        <v>37117.4</v>
      </c>
      <c r="T5" s="6">
        <f t="shared" si="5"/>
        <v>40086.69400000001</v>
      </c>
      <c r="U5" s="6">
        <f t="shared" si="5"/>
        <v>41169.567440000013</v>
      </c>
      <c r="V5" s="6">
        <f t="shared" si="5"/>
        <v>42276.909744400022</v>
      </c>
      <c r="W5" s="6">
        <f t="shared" si="5"/>
        <v>43409.238404444019</v>
      </c>
      <c r="X5" s="6">
        <f t="shared" si="5"/>
        <v>44567.081542340457</v>
      </c>
      <c r="Y5" s="6">
        <f t="shared" si="5"/>
        <v>45750.978126692906</v>
      </c>
      <c r="Z5" s="6">
        <f t="shared" si="5"/>
        <v>46961.478192267459</v>
      </c>
      <c r="AA5" s="6">
        <f t="shared" si="5"/>
        <v>48199.143064183911</v>
      </c>
      <c r="AB5" s="6">
        <f t="shared" si="5"/>
        <v>49464.545586619395</v>
      </c>
      <c r="AC5" s="6">
        <f t="shared" si="5"/>
        <v>50758.270356115114</v>
      </c>
      <c r="AD5" s="6">
        <f t="shared" si="5"/>
        <v>52080.913959578378</v>
      </c>
      <c r="AE5" s="6">
        <f t="shared" si="5"/>
        <v>53433.085217074324</v>
      </c>
      <c r="AF5" s="6">
        <f t="shared" si="5"/>
        <v>54815.405429503226</v>
      </c>
      <c r="AG5" s="6">
        <f t="shared" si="5"/>
        <v>56228.508631261589</v>
      </c>
      <c r="AH5" s="6">
        <f t="shared" si="5"/>
        <v>57673.041847986795</v>
      </c>
      <c r="AI5" s="6">
        <f t="shared" si="5"/>
        <v>59149.665359487495</v>
      </c>
      <c r="AJ5" s="6">
        <f t="shared" si="5"/>
        <v>60659.052967963638</v>
      </c>
    </row>
    <row r="6" spans="1:67">
      <c r="A6" t="s">
        <v>12</v>
      </c>
      <c r="B6">
        <v>4597</v>
      </c>
      <c r="C6">
        <v>4855</v>
      </c>
      <c r="D6">
        <v>4391</v>
      </c>
      <c r="E6">
        <f>18609-B6-C6-D6</f>
        <v>4766</v>
      </c>
      <c r="F6">
        <v>4853</v>
      </c>
      <c r="G6">
        <v>4938</v>
      </c>
      <c r="H6">
        <v>4458</v>
      </c>
      <c r="I6" s="1">
        <f>19003-F6-G6-H6</f>
        <v>4754</v>
      </c>
      <c r="J6">
        <v>4974</v>
      </c>
      <c r="K6">
        <v>4938</v>
      </c>
      <c r="M6" t="s">
        <v>105</v>
      </c>
      <c r="N6" s="5">
        <v>0.01</v>
      </c>
      <c r="O6" s="3" t="s">
        <v>107</v>
      </c>
      <c r="Q6" s="3">
        <f>SUM(B6:E6)</f>
        <v>18609</v>
      </c>
      <c r="R6" s="3">
        <f>SUM(F6:I6)</f>
        <v>19003</v>
      </c>
      <c r="S6" s="3">
        <f>+R6*1.02</f>
        <v>19383.060000000001</v>
      </c>
      <c r="T6" s="3">
        <f t="shared" ref="T6:AJ6" si="6">+S6*1.02</f>
        <v>19770.7212</v>
      </c>
      <c r="U6" s="3">
        <f t="shared" si="6"/>
        <v>20166.135623999999</v>
      </c>
      <c r="V6" s="3">
        <f t="shared" si="6"/>
        <v>20569.458336479998</v>
      </c>
      <c r="W6" s="3">
        <f t="shared" si="6"/>
        <v>20980.847503209599</v>
      </c>
      <c r="X6" s="3">
        <f t="shared" si="6"/>
        <v>21400.464453273791</v>
      </c>
      <c r="Y6" s="3">
        <f t="shared" si="6"/>
        <v>21828.473742339269</v>
      </c>
      <c r="Z6" s="3">
        <f t="shared" si="6"/>
        <v>22265.043217186056</v>
      </c>
      <c r="AA6" s="3">
        <f t="shared" si="6"/>
        <v>22710.344081529776</v>
      </c>
      <c r="AB6" s="3">
        <f t="shared" si="6"/>
        <v>23164.550963160371</v>
      </c>
      <c r="AC6" s="3">
        <f t="shared" si="6"/>
        <v>23627.841982423579</v>
      </c>
      <c r="AD6" s="3">
        <f t="shared" si="6"/>
        <v>24100.398822072049</v>
      </c>
      <c r="AE6" s="3">
        <f t="shared" si="6"/>
        <v>24582.40679851349</v>
      </c>
      <c r="AF6" s="3">
        <f t="shared" si="6"/>
        <v>25074.05493448376</v>
      </c>
      <c r="AG6" s="3">
        <f t="shared" si="6"/>
        <v>25575.536033173437</v>
      </c>
      <c r="AH6" s="3">
        <f t="shared" si="6"/>
        <v>26087.046753836905</v>
      </c>
      <c r="AI6" s="3">
        <f t="shared" si="6"/>
        <v>26608.787688913642</v>
      </c>
      <c r="AJ6" s="3">
        <f t="shared" si="6"/>
        <v>27140.963442691915</v>
      </c>
    </row>
    <row r="7" spans="1:67">
      <c r="A7" t="s">
        <v>13</v>
      </c>
      <c r="B7" s="1">
        <v>1679</v>
      </c>
      <c r="C7">
        <v>1673</v>
      </c>
      <c r="D7">
        <v>1611</v>
      </c>
      <c r="E7">
        <f>6567-B7-C7-D7</f>
        <v>1604</v>
      </c>
      <c r="F7">
        <v>1655</v>
      </c>
      <c r="G7">
        <v>1840</v>
      </c>
      <c r="H7">
        <v>1685</v>
      </c>
      <c r="I7">
        <f>6775-H7-G7-F7</f>
        <v>1595</v>
      </c>
      <c r="J7">
        <v>1796</v>
      </c>
      <c r="K7">
        <v>1840</v>
      </c>
      <c r="M7" t="s">
        <v>38</v>
      </c>
      <c r="N7" s="28">
        <v>-0.02</v>
      </c>
      <c r="O7" s="3" t="s">
        <v>106</v>
      </c>
      <c r="Q7" s="3">
        <f>SUM(B7:E7)</f>
        <v>6567</v>
      </c>
      <c r="R7" s="3">
        <f>SUM(F7:I7)</f>
        <v>6775</v>
      </c>
      <c r="S7" s="3">
        <f t="shared" ref="S7:AJ7" si="7">+R7*1.02</f>
        <v>6910.5</v>
      </c>
      <c r="T7" s="3">
        <f t="shared" si="7"/>
        <v>7048.71</v>
      </c>
      <c r="U7" s="3">
        <f t="shared" si="7"/>
        <v>7189.6842000000006</v>
      </c>
      <c r="V7" s="3">
        <f t="shared" si="7"/>
        <v>7333.4778840000008</v>
      </c>
      <c r="W7" s="3">
        <f t="shared" si="7"/>
        <v>7480.1474416800011</v>
      </c>
      <c r="X7" s="3">
        <f t="shared" si="7"/>
        <v>7629.7503905136009</v>
      </c>
      <c r="Y7" s="3">
        <f t="shared" si="7"/>
        <v>7782.3453983238733</v>
      </c>
      <c r="Z7" s="3">
        <f t="shared" si="7"/>
        <v>7937.9923062903508</v>
      </c>
      <c r="AA7" s="3">
        <f t="shared" si="7"/>
        <v>8096.7521524161584</v>
      </c>
      <c r="AB7" s="3">
        <f t="shared" si="7"/>
        <v>8258.6871954644812</v>
      </c>
      <c r="AC7" s="3">
        <f t="shared" si="7"/>
        <v>8423.8609393737715</v>
      </c>
      <c r="AD7" s="3">
        <f t="shared" si="7"/>
        <v>8592.3381581612466</v>
      </c>
      <c r="AE7" s="3">
        <f t="shared" si="7"/>
        <v>8764.1849213244714</v>
      </c>
      <c r="AF7" s="3">
        <f t="shared" si="7"/>
        <v>8939.4686197509618</v>
      </c>
      <c r="AG7" s="3">
        <f t="shared" si="7"/>
        <v>9118.2579921459819</v>
      </c>
      <c r="AH7" s="3">
        <f t="shared" si="7"/>
        <v>9300.6231519889025</v>
      </c>
      <c r="AI7" s="3">
        <f t="shared" si="7"/>
        <v>9486.6356150286811</v>
      </c>
      <c r="AJ7" s="3">
        <f t="shared" si="7"/>
        <v>9676.3683273292554</v>
      </c>
    </row>
    <row r="8" spans="1:67">
      <c r="A8" t="s">
        <v>14</v>
      </c>
      <c r="B8">
        <f t="shared" ref="B8:G8" si="8">+B6+B7</f>
        <v>6276</v>
      </c>
      <c r="C8">
        <f t="shared" si="8"/>
        <v>6528</v>
      </c>
      <c r="D8">
        <f t="shared" si="8"/>
        <v>6002</v>
      </c>
      <c r="E8">
        <f t="shared" si="8"/>
        <v>6370</v>
      </c>
      <c r="F8">
        <f t="shared" si="8"/>
        <v>6508</v>
      </c>
      <c r="G8">
        <f t="shared" si="8"/>
        <v>6778</v>
      </c>
      <c r="H8">
        <f t="shared" ref="H8:I8" si="9">+H6+H7</f>
        <v>6143</v>
      </c>
      <c r="I8">
        <f t="shared" si="9"/>
        <v>6349</v>
      </c>
      <c r="J8">
        <f>+J6+J7</f>
        <v>6770</v>
      </c>
      <c r="K8">
        <f>+K6+K7</f>
        <v>6778</v>
      </c>
      <c r="M8" t="s">
        <v>39</v>
      </c>
      <c r="N8" s="5">
        <v>0.08</v>
      </c>
      <c r="O8" s="3" t="s">
        <v>108</v>
      </c>
      <c r="Q8" s="3">
        <f>+Q6+Q7</f>
        <v>25176</v>
      </c>
      <c r="R8" s="3">
        <f>+R6+R7</f>
        <v>25778</v>
      </c>
      <c r="S8" s="3">
        <f>+S6+S7</f>
        <v>26293.56</v>
      </c>
      <c r="T8" s="3">
        <f t="shared" ref="T8:AJ8" si="10">+T6+T7</f>
        <v>26819.431199999999</v>
      </c>
      <c r="U8" s="3">
        <f t="shared" si="10"/>
        <v>27355.819823999998</v>
      </c>
      <c r="V8" s="3">
        <f t="shared" si="10"/>
        <v>27902.936220479998</v>
      </c>
      <c r="W8" s="3">
        <f t="shared" si="10"/>
        <v>28460.9949448896</v>
      </c>
      <c r="X8" s="3">
        <f t="shared" si="10"/>
        <v>29030.214843787391</v>
      </c>
      <c r="Y8" s="3">
        <f t="shared" si="10"/>
        <v>29610.819140663141</v>
      </c>
      <c r="Z8" s="3">
        <f t="shared" si="10"/>
        <v>30203.035523476407</v>
      </c>
      <c r="AA8" s="3">
        <f t="shared" si="10"/>
        <v>30807.096233945937</v>
      </c>
      <c r="AB8" s="3">
        <f t="shared" si="10"/>
        <v>31423.238158624852</v>
      </c>
      <c r="AC8" s="3">
        <f t="shared" si="10"/>
        <v>32051.70292179735</v>
      </c>
      <c r="AD8" s="3">
        <f t="shared" si="10"/>
        <v>32692.736980233298</v>
      </c>
      <c r="AE8" s="3">
        <f t="shared" si="10"/>
        <v>33346.591719837961</v>
      </c>
      <c r="AF8" s="3">
        <f t="shared" si="10"/>
        <v>34013.523554234722</v>
      </c>
      <c r="AG8" s="3">
        <f t="shared" si="10"/>
        <v>34693.794025319417</v>
      </c>
      <c r="AH8" s="3">
        <f t="shared" si="10"/>
        <v>35387.669905825809</v>
      </c>
      <c r="AI8" s="3">
        <f t="shared" si="10"/>
        <v>36095.423303942327</v>
      </c>
      <c r="AJ8" s="3">
        <f t="shared" si="10"/>
        <v>36817.33177002117</v>
      </c>
    </row>
    <row r="9" spans="1:67" s="1" customFormat="1">
      <c r="A9" t="s">
        <v>16</v>
      </c>
      <c r="B9">
        <f t="shared" ref="B9:G9" si="11">+B5-B8</f>
        <v>1059</v>
      </c>
      <c r="C9">
        <f t="shared" si="11"/>
        <v>1761</v>
      </c>
      <c r="D9">
        <f t="shared" si="11"/>
        <v>1428</v>
      </c>
      <c r="E9">
        <f t="shared" si="11"/>
        <v>5241</v>
      </c>
      <c r="F9">
        <f t="shared" si="11"/>
        <v>1001</v>
      </c>
      <c r="G9">
        <f t="shared" si="11"/>
        <v>1723</v>
      </c>
      <c r="H9">
        <f t="shared" ref="H9:I9" si="12">+H5-H8</f>
        <v>1880</v>
      </c>
      <c r="I9">
        <f t="shared" si="12"/>
        <v>3918</v>
      </c>
      <c r="J9">
        <f>+J5-J8</f>
        <v>973</v>
      </c>
      <c r="K9">
        <f>+K5-K8</f>
        <v>2172</v>
      </c>
      <c r="M9" t="s">
        <v>40</v>
      </c>
      <c r="N9" s="3">
        <f>NPV(N8,Q13:BN13)</f>
        <v>169204.44730214067</v>
      </c>
      <c r="O9" s="3"/>
      <c r="P9" s="3" t="s">
        <v>8</v>
      </c>
      <c r="Q9" s="3">
        <f>+Q5-Q8</f>
        <v>9489</v>
      </c>
      <c r="R9" s="3">
        <f>+R5-R8</f>
        <v>8522</v>
      </c>
      <c r="S9" s="3">
        <f>S5-S8</f>
        <v>10823.84</v>
      </c>
      <c r="T9" s="3">
        <f>T5-T8</f>
        <v>13267.262800000011</v>
      </c>
      <c r="U9" s="3">
        <f t="shared" ref="U9:AJ9" si="13">U5-U8</f>
        <v>13813.747616000015</v>
      </c>
      <c r="V9" s="3">
        <f t="shared" si="13"/>
        <v>14373.973523920024</v>
      </c>
      <c r="W9" s="3">
        <f t="shared" si="13"/>
        <v>14948.243459554418</v>
      </c>
      <c r="X9" s="3">
        <f t="shared" si="13"/>
        <v>15536.866698553065</v>
      </c>
      <c r="Y9" s="3">
        <f t="shared" si="13"/>
        <v>16140.158986029764</v>
      </c>
      <c r="Z9" s="3">
        <f t="shared" si="13"/>
        <v>16758.442668791053</v>
      </c>
      <c r="AA9" s="3">
        <f t="shared" si="13"/>
        <v>17392.046830237974</v>
      </c>
      <c r="AB9" s="3">
        <f t="shared" si="13"/>
        <v>18041.307427994543</v>
      </c>
      <c r="AC9" s="3">
        <f t="shared" si="13"/>
        <v>18706.567434317763</v>
      </c>
      <c r="AD9" s="3">
        <f t="shared" si="13"/>
        <v>19388.17697934508</v>
      </c>
      <c r="AE9" s="3">
        <f t="shared" si="13"/>
        <v>20086.493497236363</v>
      </c>
      <c r="AF9" s="3">
        <f t="shared" si="13"/>
        <v>20801.881875268504</v>
      </c>
      <c r="AG9" s="3">
        <f t="shared" si="13"/>
        <v>21534.714605942172</v>
      </c>
      <c r="AH9" s="3">
        <f t="shared" si="13"/>
        <v>22285.371942160986</v>
      </c>
      <c r="AI9" s="3">
        <f t="shared" si="13"/>
        <v>23054.242055545168</v>
      </c>
      <c r="AJ9" s="3">
        <f t="shared" si="13"/>
        <v>23841.721197942468</v>
      </c>
    </row>
    <row r="10" spans="1:67">
      <c r="A10" t="s">
        <v>15</v>
      </c>
      <c r="B10">
        <f>-121+246+311</f>
        <v>436</v>
      </c>
      <c r="C10">
        <f>-176-81+297</f>
        <v>40</v>
      </c>
      <c r="D10">
        <f>-121+5755+295</f>
        <v>5929</v>
      </c>
      <c r="E10">
        <f>-663+5803+1216-B10-C10-D10</f>
        <v>-49</v>
      </c>
      <c r="F10">
        <f>-180-245+367</f>
        <v>-58</v>
      </c>
      <c r="G10">
        <f>-261+423-48</f>
        <v>114</v>
      </c>
      <c r="H10">
        <f>-190-215+412</f>
        <v>7</v>
      </c>
      <c r="I10">
        <f>-860-914+1607-F10-G10-H10</f>
        <v>-230</v>
      </c>
      <c r="J10">
        <f>-216-317+432</f>
        <v>-101</v>
      </c>
      <c r="K10">
        <f>-233+427-241</f>
        <v>-47</v>
      </c>
      <c r="M10" t="s">
        <v>41</v>
      </c>
      <c r="N10" s="3">
        <f>+main!L6-main!L7</f>
        <v>-46111</v>
      </c>
      <c r="Q10" s="3">
        <f>SUM(B10:E10)</f>
        <v>6356</v>
      </c>
      <c r="R10" s="3">
        <f>SUM(F10:I10)</f>
        <v>-167</v>
      </c>
      <c r="S10" s="27">
        <f>+R47*$N$6</f>
        <v>-431.06</v>
      </c>
      <c r="T10" s="27">
        <f>+S47*$N$6</f>
        <v>-341.68209199999995</v>
      </c>
      <c r="U10" s="27">
        <f>+T47*$N$6</f>
        <v>-230.52209791119989</v>
      </c>
      <c r="V10" s="27">
        <f>+U47*$N$6</f>
        <v>-113.70635845563608</v>
      </c>
      <c r="W10" s="27">
        <f>+V47*$N$6</f>
        <v>8.9319391673576511</v>
      </c>
      <c r="X10" s="27">
        <f>+W47*$N$6</f>
        <v>137.56364759636492</v>
      </c>
      <c r="Y10" s="27">
        <f>+X47*$N$6</f>
        <v>272.36374857325006</v>
      </c>
      <c r="Z10" s="27">
        <f>+Y47*$N$6</f>
        <v>413.51144409083599</v>
      </c>
      <c r="AA10" s="27">
        <f>+Z47*$N$6</f>
        <v>561.19024946162028</v>
      </c>
      <c r="AB10" s="27">
        <f>+AA47*$N$6</f>
        <v>715.58808834703666</v>
      </c>
      <c r="AC10" s="27">
        <f>+AB47*$N$6</f>
        <v>876.89738978757441</v>
      </c>
      <c r="AD10" s="27">
        <f>+AC47*$N$6</f>
        <v>1045.3151872748804</v>
      </c>
      <c r="AE10" s="27">
        <f>+AD47*$N$6</f>
        <v>1221.043219907812</v>
      </c>
      <c r="AF10" s="27">
        <f>+AE47*$N$6</f>
        <v>1404.2880356752521</v>
      </c>
      <c r="AG10" s="27">
        <f>+AF47*$N$6</f>
        <v>1595.2610969093685</v>
      </c>
      <c r="AH10" s="27">
        <f>+AG47*$N$6</f>
        <v>1794.1788879538915</v>
      </c>
      <c r="AI10" s="27">
        <f>+AH47*$N$6</f>
        <v>2001.2630250928796</v>
      </c>
      <c r="AJ10" s="27">
        <f>+AI47*$N$6</f>
        <v>2216.7403687863671</v>
      </c>
      <c r="AK10" s="27">
        <f>+AJ47*$N$6</f>
        <v>2440.8431382602348</v>
      </c>
    </row>
    <row r="11" spans="1:67">
      <c r="A11" t="s">
        <v>17</v>
      </c>
      <c r="B11">
        <v>623</v>
      </c>
      <c r="C11">
        <v>1722</v>
      </c>
      <c r="D11">
        <v>-4501</v>
      </c>
      <c r="E11">
        <f>1156-B11-C11-D11</f>
        <v>3312</v>
      </c>
      <c r="F11">
        <v>1058</v>
      </c>
      <c r="G11">
        <v>2000</v>
      </c>
      <c r="H11">
        <v>1873</v>
      </c>
      <c r="I11">
        <f>8690-F11-G11-H11</f>
        <v>3759</v>
      </c>
      <c r="J11">
        <v>1074</v>
      </c>
      <c r="K11">
        <v>2219</v>
      </c>
      <c r="M11" t="s">
        <v>42</v>
      </c>
      <c r="N11" s="3">
        <f>+N9+N10</f>
        <v>123093.44730214067</v>
      </c>
      <c r="Q11" s="3">
        <f>SUM(B11:E11)</f>
        <v>1156</v>
      </c>
      <c r="R11" s="3">
        <f>SUM(F11:I11)</f>
        <v>8690</v>
      </c>
      <c r="S11" s="3">
        <f>+S9+S10</f>
        <v>10392.780000000001</v>
      </c>
      <c r="T11" s="3">
        <f t="shared" ref="T11:AJ11" si="14">+T9+T10</f>
        <v>12925.580708000012</v>
      </c>
      <c r="U11" s="3">
        <f t="shared" si="14"/>
        <v>13583.225518088815</v>
      </c>
      <c r="V11" s="3">
        <f t="shared" si="14"/>
        <v>14260.267165464387</v>
      </c>
      <c r="W11" s="3">
        <f t="shared" si="14"/>
        <v>14957.175398721776</v>
      </c>
      <c r="X11" s="3">
        <f t="shared" si="14"/>
        <v>15674.430346149431</v>
      </c>
      <c r="Y11" s="3">
        <f t="shared" si="14"/>
        <v>16412.522734603015</v>
      </c>
      <c r="Z11" s="3">
        <f t="shared" si="14"/>
        <v>17171.954112881889</v>
      </c>
      <c r="AA11" s="3">
        <f t="shared" si="14"/>
        <v>17953.237079699593</v>
      </c>
      <c r="AB11" s="3">
        <f t="shared" si="14"/>
        <v>18756.895516341581</v>
      </c>
      <c r="AC11" s="3">
        <f t="shared" si="14"/>
        <v>19583.464824105336</v>
      </c>
      <c r="AD11" s="3">
        <f t="shared" si="14"/>
        <v>20433.492166619959</v>
      </c>
      <c r="AE11" s="3">
        <f t="shared" si="14"/>
        <v>21307.536717144176</v>
      </c>
      <c r="AF11" s="3">
        <f t="shared" si="14"/>
        <v>22206.169910943754</v>
      </c>
      <c r="AG11" s="3">
        <f t="shared" si="14"/>
        <v>23129.975702851541</v>
      </c>
      <c r="AH11" s="3">
        <f t="shared" si="14"/>
        <v>24079.550830114877</v>
      </c>
      <c r="AI11" s="3">
        <f t="shared" si="14"/>
        <v>25055.505080638046</v>
      </c>
      <c r="AJ11" s="3">
        <f t="shared" si="14"/>
        <v>26058.461566728834</v>
      </c>
    </row>
    <row r="12" spans="1:67">
      <c r="A12" t="s">
        <v>18</v>
      </c>
      <c r="B12">
        <v>-39</v>
      </c>
      <c r="C12">
        <v>257</v>
      </c>
      <c r="D12">
        <v>-1287</v>
      </c>
      <c r="E12">
        <f>-626-B12-C12-D12</f>
        <v>443</v>
      </c>
      <c r="F12">
        <v>124</v>
      </c>
      <c r="G12">
        <v>419</v>
      </c>
      <c r="H12">
        <v>159</v>
      </c>
      <c r="I12">
        <f>1176-F12-G12-H12</f>
        <v>474</v>
      </c>
      <c r="J12">
        <v>-502</v>
      </c>
      <c r="K12">
        <v>389</v>
      </c>
      <c r="M12" t="s">
        <v>43</v>
      </c>
      <c r="N12" s="3">
        <f>+N11/main!L4</f>
        <v>133.63088465346735</v>
      </c>
      <c r="O12" s="3" t="s">
        <v>8</v>
      </c>
      <c r="P12" s="3" t="s">
        <v>8</v>
      </c>
      <c r="Q12" s="3">
        <f>SUM(B12:E12)</f>
        <v>-626</v>
      </c>
      <c r="R12" s="3">
        <f>SUM(F12:I12)</f>
        <v>1176</v>
      </c>
      <c r="S12" s="3">
        <f>+S11*0.14</f>
        <v>1454.9892000000002</v>
      </c>
      <c r="T12" s="3">
        <f t="shared" ref="T12:AJ12" si="15">+T11*0.14</f>
        <v>1809.5812991200019</v>
      </c>
      <c r="U12" s="3">
        <f t="shared" si="15"/>
        <v>1901.6515725324343</v>
      </c>
      <c r="V12" s="3">
        <f t="shared" si="15"/>
        <v>1996.4374031650143</v>
      </c>
      <c r="W12" s="3">
        <f t="shared" si="15"/>
        <v>2094.0045558210491</v>
      </c>
      <c r="X12" s="3">
        <f t="shared" si="15"/>
        <v>2194.4202484609204</v>
      </c>
      <c r="Y12" s="3">
        <f t="shared" si="15"/>
        <v>2297.7531828444226</v>
      </c>
      <c r="Z12" s="3">
        <f t="shared" si="15"/>
        <v>2404.0735758034648</v>
      </c>
      <c r="AA12" s="3">
        <f t="shared" si="15"/>
        <v>2513.4531911579434</v>
      </c>
      <c r="AB12" s="3">
        <f t="shared" si="15"/>
        <v>2625.9653722878215</v>
      </c>
      <c r="AC12" s="3">
        <f t="shared" si="15"/>
        <v>2741.6850753747472</v>
      </c>
      <c r="AD12" s="3">
        <f t="shared" si="15"/>
        <v>2860.6889033267944</v>
      </c>
      <c r="AE12" s="3">
        <f t="shared" si="15"/>
        <v>2983.0551404001849</v>
      </c>
      <c r="AF12" s="3">
        <f t="shared" si="15"/>
        <v>3108.863787532126</v>
      </c>
      <c r="AG12" s="3">
        <f t="shared" si="15"/>
        <v>3238.1965983992163</v>
      </c>
      <c r="AH12" s="3">
        <f t="shared" si="15"/>
        <v>3371.1371162160831</v>
      </c>
      <c r="AI12" s="3">
        <f t="shared" si="15"/>
        <v>3507.7707112893268</v>
      </c>
      <c r="AJ12" s="3">
        <f t="shared" si="15"/>
        <v>3648.184619342037</v>
      </c>
    </row>
    <row r="13" spans="1:67" s="1" customFormat="1">
      <c r="A13" s="1" t="s">
        <v>19</v>
      </c>
      <c r="B13" s="1">
        <f t="shared" ref="B13:G13" si="16">+B11-B12</f>
        <v>662</v>
      </c>
      <c r="C13" s="1">
        <f t="shared" si="16"/>
        <v>1465</v>
      </c>
      <c r="D13" s="1">
        <f t="shared" si="16"/>
        <v>-3214</v>
      </c>
      <c r="E13" s="1">
        <f t="shared" si="16"/>
        <v>2869</v>
      </c>
      <c r="F13" s="1">
        <f t="shared" si="16"/>
        <v>934</v>
      </c>
      <c r="G13" s="1">
        <f t="shared" si="16"/>
        <v>1581</v>
      </c>
      <c r="H13" s="1">
        <f t="shared" ref="H13:I13" si="17">+H11-H12</f>
        <v>1714</v>
      </c>
      <c r="I13" s="1">
        <f t="shared" si="17"/>
        <v>3285</v>
      </c>
      <c r="J13" s="1">
        <f>+J11-J12</f>
        <v>1576</v>
      </c>
      <c r="K13" s="1">
        <f>+K11-K12</f>
        <v>1830</v>
      </c>
      <c r="M13" t="s">
        <v>44</v>
      </c>
      <c r="N13" s="3">
        <v>187</v>
      </c>
      <c r="O13" s="3"/>
      <c r="P13" s="6"/>
      <c r="Q13" s="6">
        <f>+Q11-Q12</f>
        <v>1782</v>
      </c>
      <c r="R13" s="6">
        <f>+R11-R12</f>
        <v>7514</v>
      </c>
      <c r="S13" s="6">
        <f>+S11-S12</f>
        <v>8937.7908000000007</v>
      </c>
      <c r="T13" s="6">
        <f>+T11-T12</f>
        <v>11115.99940888001</v>
      </c>
      <c r="U13" s="6">
        <f t="shared" ref="U13:AJ13" si="18">+U11-U12</f>
        <v>11681.573945556382</v>
      </c>
      <c r="V13" s="6">
        <f t="shared" si="18"/>
        <v>12263.829762299372</v>
      </c>
      <c r="W13" s="6">
        <f t="shared" si="18"/>
        <v>12863.170842900727</v>
      </c>
      <c r="X13" s="6">
        <f t="shared" si="18"/>
        <v>13480.010097688511</v>
      </c>
      <c r="Y13" s="6">
        <f t="shared" si="18"/>
        <v>14114.769551758593</v>
      </c>
      <c r="Z13" s="6">
        <f t="shared" si="18"/>
        <v>14767.880537078425</v>
      </c>
      <c r="AA13" s="6">
        <f t="shared" si="18"/>
        <v>15439.78388854165</v>
      </c>
      <c r="AB13" s="6">
        <f t="shared" si="18"/>
        <v>16130.93014405376</v>
      </c>
      <c r="AC13" s="6">
        <f t="shared" si="18"/>
        <v>16841.779748730591</v>
      </c>
      <c r="AD13" s="6">
        <f t="shared" si="18"/>
        <v>17572.803263293164</v>
      </c>
      <c r="AE13" s="6">
        <f t="shared" si="18"/>
        <v>18324.48157674399</v>
      </c>
      <c r="AF13" s="6">
        <f t="shared" si="18"/>
        <v>19097.306123411629</v>
      </c>
      <c r="AG13" s="6">
        <f t="shared" si="18"/>
        <v>19891.779104452326</v>
      </c>
      <c r="AH13" s="6">
        <f t="shared" si="18"/>
        <v>20708.413713898794</v>
      </c>
      <c r="AI13" s="6">
        <f t="shared" si="18"/>
        <v>21547.73436934872</v>
      </c>
      <c r="AJ13" s="6">
        <f t="shared" si="18"/>
        <v>22410.276947386796</v>
      </c>
      <c r="AK13" s="6">
        <f>+AJ13*(1+$N$7)</f>
        <v>21962.07140843906</v>
      </c>
      <c r="AL13" s="6">
        <f>+AK13*(1+$N$7)</f>
        <v>21522.829980270279</v>
      </c>
      <c r="AM13" s="6">
        <f>+AL13*(1+$N$7)</f>
        <v>21092.373380664874</v>
      </c>
      <c r="AN13" s="6">
        <f>+AM13*(1+$N$7)</f>
        <v>20670.525913051577</v>
      </c>
      <c r="AO13" s="6">
        <f>+AN13*(1+$N$7)</f>
        <v>20257.115394790544</v>
      </c>
      <c r="AP13" s="6">
        <f>+AO13*(1+$N$7)</f>
        <v>19851.973086894734</v>
      </c>
      <c r="AQ13" s="6">
        <f>+AP13*(1+$N$7)</f>
        <v>19454.933625156838</v>
      </c>
      <c r="AR13" s="6">
        <f>+AQ13*(1+$N$7)</f>
        <v>19065.834952653702</v>
      </c>
      <c r="AS13" s="6">
        <f>+AR13*(1+$N$7)</f>
        <v>18684.518253600629</v>
      </c>
      <c r="AT13" s="6">
        <f>+AS13*(1+$N$7)</f>
        <v>18310.827888528616</v>
      </c>
      <c r="AU13" s="6">
        <f>+AT13*(1+$N$7)</f>
        <v>17944.611330758045</v>
      </c>
      <c r="AV13" s="6">
        <f>+AU13*(1+$N$7)</f>
        <v>17585.719104142885</v>
      </c>
      <c r="AW13" s="6">
        <f>+AV13*(1+$N$7)</f>
        <v>17234.004722060028</v>
      </c>
      <c r="AX13" s="6">
        <f>+AW13*(1+$N$7)</f>
        <v>16889.324627618826</v>
      </c>
      <c r="AY13" s="6">
        <f>+AX13*(1+$N$7)</f>
        <v>16551.53813506645</v>
      </c>
      <c r="AZ13" s="6">
        <f>+AY13*(1+$N$7)</f>
        <v>16220.50737236512</v>
      </c>
      <c r="BA13" s="6">
        <f>+AZ13*(1+$N$7)</f>
        <v>15896.097224917818</v>
      </c>
      <c r="BB13" s="6">
        <f>+BA13*(1+$N$7)</f>
        <v>15578.17528041946</v>
      </c>
      <c r="BC13" s="6">
        <f>+BB13*(1+$N$7)</f>
        <v>15266.61177481107</v>
      </c>
      <c r="BD13" s="6">
        <f>+BC13*(1+$N$7)</f>
        <v>14961.279539314848</v>
      </c>
      <c r="BE13" s="6">
        <f>+BD13*(1+$N$7)</f>
        <v>14662.053948528552</v>
      </c>
      <c r="BF13" s="6">
        <f>+BE13*(1+$N$7)</f>
        <v>14368.81286955798</v>
      </c>
      <c r="BG13" s="6">
        <f>+BF13*(1+$N$7)</f>
        <v>14081.436612166821</v>
      </c>
      <c r="BH13" s="6">
        <f>+BG13*(1+$N$7)</f>
        <v>13799.807879923485</v>
      </c>
      <c r="BI13" s="6">
        <f>+BH13*(1+$N$7)</f>
        <v>13523.811722325014</v>
      </c>
      <c r="BJ13" s="6">
        <f>+BI13*(1+$N$7)</f>
        <v>13253.335487878514</v>
      </c>
      <c r="BK13" s="6">
        <f>+BJ13*(1+$N$7)</f>
        <v>12988.268778120944</v>
      </c>
      <c r="BL13" s="6">
        <f>+BK13*(1+$N$7)</f>
        <v>12728.503402558525</v>
      </c>
      <c r="BM13" s="6">
        <f>+BL13*(1+$N$7)</f>
        <v>12473.933334507354</v>
      </c>
      <c r="BN13" s="6">
        <f>+BM13*(1+$N$7)</f>
        <v>12224.454667817206</v>
      </c>
      <c r="BO13" s="6">
        <f>+BN13*(1+$N$7)</f>
        <v>11979.965574460863</v>
      </c>
    </row>
    <row r="14" spans="1:67">
      <c r="A14" t="s">
        <v>20</v>
      </c>
      <c r="B14">
        <f t="shared" ref="B14:G14" si="19">+B13/B15</f>
        <v>0.73612809963304793</v>
      </c>
      <c r="C14">
        <f t="shared" si="19"/>
        <v>1.6250693288962841</v>
      </c>
      <c r="D14">
        <f t="shared" si="19"/>
        <v>-3.5549164915385467</v>
      </c>
      <c r="E14">
        <f t="shared" si="19"/>
        <v>3.1783698031604231</v>
      </c>
      <c r="F14">
        <f t="shared" si="19"/>
        <v>1.0292011019283747</v>
      </c>
      <c r="G14">
        <f t="shared" si="19"/>
        <v>1.7375535773161885</v>
      </c>
      <c r="H14">
        <f t="shared" ref="H14:I14" si="20">+H13/H15</f>
        <v>1.8777388255915863</v>
      </c>
      <c r="I14">
        <f t="shared" si="20"/>
        <v>3.562636242367716</v>
      </c>
      <c r="J14">
        <f>+J13/J15</f>
        <v>1.7182730047972088</v>
      </c>
      <c r="K14">
        <f>+K13/K15</f>
        <v>1.9884820167336739</v>
      </c>
      <c r="M14" t="s">
        <v>74</v>
      </c>
      <c r="N14" s="28">
        <f>+N12/N13-1</f>
        <v>-0.28539633875151149</v>
      </c>
      <c r="O14" s="3" t="s">
        <v>8</v>
      </c>
      <c r="P14" s="3" t="s">
        <v>8</v>
      </c>
      <c r="Q14" s="7">
        <f>+Q13/Q15</f>
        <v>1.9758485227150508</v>
      </c>
      <c r="R14" s="7">
        <f>+R13/R15</f>
        <v>8.2294025359570906</v>
      </c>
      <c r="S14" s="7">
        <f t="shared" ref="S14:AJ14" si="21">+S13/S15</f>
        <v>9.7894751369112818</v>
      </c>
      <c r="T14" s="7">
        <f t="shared" si="21"/>
        <v>12.175245792858719</v>
      </c>
      <c r="U14" s="7">
        <f t="shared" si="21"/>
        <v>12.794714069612684</v>
      </c>
      <c r="V14" s="7">
        <f t="shared" si="21"/>
        <v>13.432453189813113</v>
      </c>
      <c r="W14" s="7">
        <f t="shared" si="21"/>
        <v>14.088905632969032</v>
      </c>
      <c r="X14" s="7">
        <f t="shared" si="21"/>
        <v>14.76452365573769</v>
      </c>
      <c r="Y14" s="7">
        <f t="shared" si="21"/>
        <v>15.459769498092653</v>
      </c>
      <c r="Z14" s="7">
        <f t="shared" si="21"/>
        <v>16.175115593733214</v>
      </c>
      <c r="AA14" s="7">
        <f t="shared" si="21"/>
        <v>16.911044784821083</v>
      </c>
      <c r="AB14" s="7">
        <f t="shared" si="21"/>
        <v>17.668050541132267</v>
      </c>
      <c r="AC14" s="7">
        <f t="shared" si="21"/>
        <v>18.44663718371368</v>
      </c>
      <c r="AD14" s="7">
        <f t="shared" si="21"/>
        <v>19.247320113135995</v>
      </c>
      <c r="AE14" s="7">
        <f t="shared" si="21"/>
        <v>20.070626042435915</v>
      </c>
      <c r="AF14" s="7">
        <f t="shared" si="21"/>
        <v>20.917093234842966</v>
      </c>
      <c r="AG14" s="7">
        <f t="shared" si="21"/>
        <v>21.78727174638809</v>
      </c>
      <c r="AH14" s="7">
        <f t="shared" si="21"/>
        <v>22.681723673492655</v>
      </c>
      <c r="AI14" s="7">
        <f t="shared" si="21"/>
        <v>23.601023405639342</v>
      </c>
      <c r="AJ14" s="7">
        <f t="shared" si="21"/>
        <v>24.545757883227598</v>
      </c>
    </row>
    <row r="15" spans="1:67">
      <c r="A15" t="s">
        <v>21</v>
      </c>
      <c r="B15">
        <v>899.3</v>
      </c>
      <c r="C15">
        <v>901.5</v>
      </c>
      <c r="D15">
        <v>904.1</v>
      </c>
      <c r="E15">
        <v>902.66399999999999</v>
      </c>
      <c r="F15">
        <v>907.5</v>
      </c>
      <c r="G15">
        <v>909.9</v>
      </c>
      <c r="H15">
        <v>912.8</v>
      </c>
      <c r="I15">
        <v>922.07</v>
      </c>
      <c r="J15">
        <v>917.2</v>
      </c>
      <c r="K15">
        <v>920.3</v>
      </c>
      <c r="L15" s="28" t="s">
        <v>8</v>
      </c>
      <c r="Q15" s="3">
        <f>AVERAGE(B15:E15)</f>
        <v>901.89100000000008</v>
      </c>
      <c r="R15" s="3">
        <f>AVERAGE(F15:I15)</f>
        <v>913.0675</v>
      </c>
      <c r="S15" s="3">
        <v>913</v>
      </c>
      <c r="T15" s="3">
        <v>913</v>
      </c>
      <c r="U15" s="3">
        <v>913</v>
      </c>
      <c r="V15" s="3">
        <v>913</v>
      </c>
      <c r="W15" s="3">
        <v>913</v>
      </c>
      <c r="X15" s="3">
        <v>913</v>
      </c>
      <c r="Y15" s="3">
        <v>913</v>
      </c>
      <c r="Z15" s="3">
        <v>913</v>
      </c>
      <c r="AA15" s="3">
        <v>913</v>
      </c>
      <c r="AB15" s="3">
        <v>913</v>
      </c>
      <c r="AC15" s="3">
        <v>913</v>
      </c>
      <c r="AD15" s="3">
        <v>913</v>
      </c>
      <c r="AE15" s="3">
        <v>913</v>
      </c>
      <c r="AF15" s="3">
        <v>913</v>
      </c>
      <c r="AG15" s="3">
        <v>913</v>
      </c>
      <c r="AH15" s="3">
        <v>913</v>
      </c>
      <c r="AI15" s="3">
        <v>913</v>
      </c>
      <c r="AJ15" s="3">
        <v>913</v>
      </c>
    </row>
    <row r="17" spans="1:53">
      <c r="A17" s="1" t="s">
        <v>33</v>
      </c>
      <c r="B17" s="1"/>
      <c r="C17" s="1"/>
      <c r="D17" s="1"/>
      <c r="E17" s="1"/>
      <c r="F17" s="24">
        <f>+F3/B3-1</f>
        <v>3.8740578995561936E-3</v>
      </c>
      <c r="G17" s="24">
        <f t="shared" ref="G17:I17" si="22">+G3/C3-1</f>
        <v>-3.862246540070835E-3</v>
      </c>
      <c r="H17" s="24">
        <f t="shared" si="22"/>
        <v>4.5721981994754302E-2</v>
      </c>
      <c r="I17" s="24">
        <f t="shared" si="22"/>
        <v>4.1339644119585461E-2</v>
      </c>
      <c r="J17" s="24">
        <f>+J3/F3-1</f>
        <v>1.4734774066797574E-2</v>
      </c>
      <c r="K17" s="24">
        <f>+K3/G3-1</f>
        <v>1.9063004846526566E-2</v>
      </c>
      <c r="L17" s="1"/>
      <c r="M17" s="6"/>
      <c r="N17" s="6"/>
      <c r="O17" s="6"/>
      <c r="P17" s="6"/>
      <c r="Q17" s="6" t="s">
        <v>8</v>
      </c>
      <c r="R17" s="24">
        <f>+R3/Q3-1</f>
        <v>2.197257558235588E-2</v>
      </c>
      <c r="S17" s="24">
        <f>+S3/R3-1</f>
        <v>5.0000000000000044E-2</v>
      </c>
      <c r="T17" s="24">
        <f t="shared" ref="T17:AZ17" si="23">+T3/S3-1</f>
        <v>5.0000000000000044E-2</v>
      </c>
      <c r="U17" s="24">
        <f t="shared" si="23"/>
        <v>2.0000000000000018E-2</v>
      </c>
      <c r="V17" s="24">
        <f t="shared" si="23"/>
        <v>2.0000000000000018E-2</v>
      </c>
      <c r="W17" s="24">
        <f t="shared" si="23"/>
        <v>2.0000000000000018E-2</v>
      </c>
      <c r="X17" s="24">
        <f t="shared" si="23"/>
        <v>2.0000000000000018E-2</v>
      </c>
      <c r="Y17" s="24">
        <f t="shared" si="23"/>
        <v>2.0000000000000018E-2</v>
      </c>
      <c r="Z17" s="24">
        <f t="shared" si="23"/>
        <v>2.0000000000000018E-2</v>
      </c>
      <c r="AA17" s="24">
        <f t="shared" si="23"/>
        <v>2.0000000000000018E-2</v>
      </c>
      <c r="AB17" s="24">
        <f t="shared" si="23"/>
        <v>2.0000000000000018E-2</v>
      </c>
      <c r="AC17" s="24">
        <f t="shared" si="23"/>
        <v>2.0000000000000018E-2</v>
      </c>
      <c r="AD17" s="24">
        <f t="shared" si="23"/>
        <v>2.0000000000000018E-2</v>
      </c>
      <c r="AE17" s="24">
        <f t="shared" si="23"/>
        <v>2.0000000000000018E-2</v>
      </c>
      <c r="AF17" s="24">
        <f t="shared" si="23"/>
        <v>2.0000000000000018E-2</v>
      </c>
      <c r="AG17" s="24">
        <f t="shared" si="23"/>
        <v>2.0000000000000018E-2</v>
      </c>
      <c r="AH17" s="24">
        <f t="shared" si="23"/>
        <v>2.0000000000000018E-2</v>
      </c>
      <c r="AI17" s="24">
        <f t="shared" si="23"/>
        <v>2.0000000000000018E-2</v>
      </c>
      <c r="AJ17" s="24">
        <f t="shared" si="23"/>
        <v>2.0000000000000018E-2</v>
      </c>
      <c r="AK17" s="24">
        <f t="shared" si="23"/>
        <v>2.0000000000000018E-2</v>
      </c>
      <c r="AL17" s="24">
        <f t="shared" si="23"/>
        <v>2.0000000000000018E-2</v>
      </c>
      <c r="AM17" s="24">
        <f t="shared" si="23"/>
        <v>2.0000000000000018E-2</v>
      </c>
      <c r="AN17" s="24">
        <f t="shared" si="23"/>
        <v>2.0000000000000018E-2</v>
      </c>
      <c r="AO17" s="24">
        <f t="shared" si="23"/>
        <v>2.0000000000000018E-2</v>
      </c>
      <c r="AP17" s="24">
        <f t="shared" si="23"/>
        <v>2.0000000000000018E-2</v>
      </c>
      <c r="AQ17" s="24">
        <f t="shared" si="23"/>
        <v>2.0000000000000018E-2</v>
      </c>
      <c r="AR17" s="24">
        <f t="shared" si="23"/>
        <v>2.0000000000000018E-2</v>
      </c>
      <c r="AS17" s="24">
        <f t="shared" si="23"/>
        <v>2.0000000000000018E-2</v>
      </c>
      <c r="AT17" s="24">
        <f t="shared" si="23"/>
        <v>2.0000000000000018E-2</v>
      </c>
      <c r="AU17" s="24">
        <f t="shared" si="23"/>
        <v>2.0000000000000018E-2</v>
      </c>
      <c r="AV17" s="24">
        <f t="shared" si="23"/>
        <v>2.0000000000000018E-2</v>
      </c>
      <c r="AW17" s="24">
        <f t="shared" si="23"/>
        <v>2.0000000000000018E-2</v>
      </c>
      <c r="AX17" s="24">
        <f t="shared" si="23"/>
        <v>2.0000000000000018E-2</v>
      </c>
      <c r="AY17" s="24">
        <f t="shared" si="23"/>
        <v>2.0000000000000018E-2</v>
      </c>
      <c r="AZ17" s="24">
        <f t="shared" si="23"/>
        <v>2.0000000000000018E-2</v>
      </c>
    </row>
    <row r="18" spans="1:53">
      <c r="A18" t="s">
        <v>71</v>
      </c>
      <c r="F18" s="4"/>
      <c r="G18" s="4"/>
      <c r="H18" s="4"/>
      <c r="I18" s="4"/>
      <c r="J18" s="4"/>
      <c r="K18" s="4">
        <v>0.04</v>
      </c>
      <c r="R18" s="4"/>
      <c r="S18" s="4"/>
      <c r="T18" s="4" t="s">
        <v>8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53">
      <c r="A19" t="s">
        <v>76</v>
      </c>
      <c r="F19" s="4"/>
      <c r="G19" s="4"/>
      <c r="H19" s="4"/>
      <c r="I19" s="23">
        <f t="shared" ref="I19:J20" si="24">+I6/E6-1</f>
        <v>-2.5178346621904657E-3</v>
      </c>
      <c r="J19" s="23">
        <f t="shared" si="24"/>
        <v>2.4933031114774407E-2</v>
      </c>
      <c r="K19" s="23">
        <f>+K6/G6-1</f>
        <v>0</v>
      </c>
      <c r="R19" s="4">
        <f>+R6/Q6-1</f>
        <v>2.1172550916223276E-2</v>
      </c>
      <c r="S19" s="4">
        <f t="shared" ref="S19:AJ19" si="25">+S6/R6-1</f>
        <v>2.0000000000000018E-2</v>
      </c>
      <c r="T19" s="4">
        <f t="shared" si="25"/>
        <v>2.0000000000000018E-2</v>
      </c>
      <c r="U19" s="4">
        <f t="shared" si="25"/>
        <v>2.0000000000000018E-2</v>
      </c>
      <c r="V19" s="4">
        <f t="shared" si="25"/>
        <v>2.0000000000000018E-2</v>
      </c>
      <c r="W19" s="4">
        <f t="shared" si="25"/>
        <v>2.0000000000000018E-2</v>
      </c>
      <c r="X19" s="4">
        <f t="shared" si="25"/>
        <v>2.0000000000000018E-2</v>
      </c>
      <c r="Y19" s="4">
        <f t="shared" si="25"/>
        <v>2.0000000000000018E-2</v>
      </c>
      <c r="Z19" s="4">
        <f t="shared" si="25"/>
        <v>2.0000000000000018E-2</v>
      </c>
      <c r="AA19" s="4">
        <f t="shared" si="25"/>
        <v>2.0000000000000018E-2</v>
      </c>
      <c r="AB19" s="4">
        <f t="shared" si="25"/>
        <v>2.0000000000000018E-2</v>
      </c>
      <c r="AC19" s="4">
        <f t="shared" si="25"/>
        <v>2.0000000000000018E-2</v>
      </c>
      <c r="AD19" s="4">
        <f t="shared" si="25"/>
        <v>2.0000000000000018E-2</v>
      </c>
      <c r="AE19" s="4">
        <f t="shared" si="25"/>
        <v>2.0000000000000018E-2</v>
      </c>
      <c r="AF19" s="4">
        <f t="shared" si="25"/>
        <v>2.0000000000000018E-2</v>
      </c>
      <c r="AG19" s="4">
        <f t="shared" si="25"/>
        <v>2.0000000000000018E-2</v>
      </c>
      <c r="AH19" s="4">
        <f t="shared" si="25"/>
        <v>2.0000000000000018E-2</v>
      </c>
      <c r="AI19" s="4">
        <f t="shared" si="25"/>
        <v>2.0000000000000018E-2</v>
      </c>
      <c r="AJ19" s="4">
        <f t="shared" si="25"/>
        <v>2.0000000000000018E-2</v>
      </c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53">
      <c r="A20" t="s">
        <v>77</v>
      </c>
      <c r="F20" s="4"/>
      <c r="G20" s="4"/>
      <c r="H20" s="4"/>
      <c r="I20" s="23">
        <f t="shared" si="24"/>
        <v>-5.610972568578565E-3</v>
      </c>
      <c r="J20" s="23">
        <f t="shared" si="24"/>
        <v>8.5196374622356519E-2</v>
      </c>
      <c r="K20" s="23">
        <f>+K7/G7-1</f>
        <v>0</v>
      </c>
      <c r="Q20" s="3" t="s">
        <v>8</v>
      </c>
      <c r="R20" s="4">
        <f t="shared" ref="R20:AJ20" si="26">+R7/Q7-1</f>
        <v>3.1673519110705151E-2</v>
      </c>
      <c r="S20" s="4">
        <f t="shared" si="26"/>
        <v>2.0000000000000018E-2</v>
      </c>
      <c r="T20" s="4">
        <f t="shared" si="26"/>
        <v>2.0000000000000018E-2</v>
      </c>
      <c r="U20" s="4">
        <f t="shared" si="26"/>
        <v>2.0000000000000018E-2</v>
      </c>
      <c r="V20" s="4">
        <f t="shared" si="26"/>
        <v>2.0000000000000018E-2</v>
      </c>
      <c r="W20" s="4">
        <f t="shared" si="26"/>
        <v>2.0000000000000018E-2</v>
      </c>
      <c r="X20" s="4">
        <f t="shared" si="26"/>
        <v>2.0000000000000018E-2</v>
      </c>
      <c r="Y20" s="4">
        <f t="shared" si="26"/>
        <v>2.0000000000000018E-2</v>
      </c>
      <c r="Z20" s="4">
        <f t="shared" si="26"/>
        <v>2.0000000000000018E-2</v>
      </c>
      <c r="AA20" s="4">
        <f t="shared" si="26"/>
        <v>2.0000000000000018E-2</v>
      </c>
      <c r="AB20" s="4">
        <f t="shared" si="26"/>
        <v>2.0000000000000018E-2</v>
      </c>
      <c r="AC20" s="4">
        <f t="shared" si="26"/>
        <v>2.0000000000000018E-2</v>
      </c>
      <c r="AD20" s="4">
        <f t="shared" si="26"/>
        <v>2.0000000000000018E-2</v>
      </c>
      <c r="AE20" s="4">
        <f t="shared" si="26"/>
        <v>2.0000000000000018E-2</v>
      </c>
      <c r="AF20" s="4">
        <f t="shared" si="26"/>
        <v>2.0000000000000018E-2</v>
      </c>
      <c r="AG20" s="4">
        <f t="shared" si="26"/>
        <v>2.0000000000000018E-2</v>
      </c>
      <c r="AH20" s="4">
        <f t="shared" si="26"/>
        <v>2.0000000000000018E-2</v>
      </c>
      <c r="AI20" s="4">
        <f t="shared" si="26"/>
        <v>2.0000000000000018E-2</v>
      </c>
      <c r="AJ20" s="4">
        <f t="shared" si="26"/>
        <v>2.0000000000000018E-2</v>
      </c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53">
      <c r="F21" s="4"/>
      <c r="G21" s="4"/>
      <c r="H21" s="4"/>
      <c r="I21" s="4"/>
      <c r="J21" s="4"/>
      <c r="K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53">
      <c r="F22" s="4"/>
      <c r="G22" s="4"/>
      <c r="H22" s="4"/>
      <c r="I22" s="4"/>
      <c r="J22" s="4"/>
      <c r="K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53">
      <c r="F23" s="4"/>
      <c r="G23" s="4"/>
      <c r="H23" s="4"/>
      <c r="I23" s="4"/>
      <c r="J23" s="4"/>
      <c r="K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5" spans="1:53">
      <c r="A25" t="s">
        <v>34</v>
      </c>
      <c r="B25" s="4">
        <f>+B5/B3</f>
        <v>0.51665844896809188</v>
      </c>
      <c r="C25" s="4">
        <f t="shared" ref="C25:K25" si="27">+C5/C3</f>
        <v>0.5335693595107821</v>
      </c>
      <c r="D25" s="4">
        <f t="shared" si="27"/>
        <v>0.52668887786205432</v>
      </c>
      <c r="E25" s="4">
        <f t="shared" si="27"/>
        <v>0.69564435923551615</v>
      </c>
      <c r="F25" s="4">
        <f t="shared" si="27"/>
        <v>0.52687342127420711</v>
      </c>
      <c r="G25" s="4">
        <f t="shared" si="27"/>
        <v>0.54933764135702745</v>
      </c>
      <c r="H25" s="4">
        <f t="shared" si="27"/>
        <v>0.54385845986984815</v>
      </c>
      <c r="I25" s="4">
        <f t="shared" si="27"/>
        <v>0.59070249122605145</v>
      </c>
      <c r="J25" s="4">
        <f t="shared" si="27"/>
        <v>0.53540312543216706</v>
      </c>
      <c r="K25" s="23">
        <f t="shared" si="27"/>
        <v>0.56753329105897277</v>
      </c>
      <c r="R25" s="4">
        <v>0.56000000000000005</v>
      </c>
      <c r="S25" s="4">
        <v>0.56000000000000005</v>
      </c>
      <c r="T25" s="4">
        <v>0.56000000000000005</v>
      </c>
      <c r="U25" s="4">
        <v>0.56000000000000005</v>
      </c>
      <c r="V25" s="4">
        <v>0.56000000000000005</v>
      </c>
      <c r="W25" s="4">
        <v>0.56000000000000005</v>
      </c>
      <c r="X25" s="4">
        <v>0.56000000000000005</v>
      </c>
      <c r="Y25" s="4">
        <v>0.56000000000000005</v>
      </c>
      <c r="Z25" s="4">
        <v>0.56000000000000005</v>
      </c>
      <c r="AA25" s="4">
        <v>0.56000000000000005</v>
      </c>
      <c r="AB25" s="4">
        <v>0.56000000000000005</v>
      </c>
      <c r="AC25" s="4">
        <v>0.56000000000000005</v>
      </c>
      <c r="AD25" s="4">
        <v>0.56000000000000005</v>
      </c>
      <c r="AE25" s="4">
        <v>0.56000000000000005</v>
      </c>
      <c r="AF25" s="4">
        <v>0.56000000000000005</v>
      </c>
      <c r="AG25" s="4">
        <v>0.56000000000000005</v>
      </c>
      <c r="AH25" s="4">
        <v>0.56000000000000005</v>
      </c>
      <c r="AI25" s="4">
        <v>0.56000000000000005</v>
      </c>
      <c r="AJ25" s="4">
        <v>0.56000000000000005</v>
      </c>
    </row>
    <row r="26" spans="1:53">
      <c r="A26" t="s">
        <v>35</v>
      </c>
      <c r="B26" s="4">
        <f>+B9/B3</f>
        <v>7.4593223920546597E-2</v>
      </c>
      <c r="C26" s="4">
        <f t="shared" ref="C26:K26" si="28">+C9/C3</f>
        <v>0.11335693595107821</v>
      </c>
      <c r="D26" s="4">
        <f t="shared" si="28"/>
        <v>0.10122634153257248</v>
      </c>
      <c r="E26" s="4">
        <f t="shared" si="28"/>
        <v>0.31400155772572047</v>
      </c>
      <c r="F26" s="4">
        <f t="shared" si="28"/>
        <v>7.0235756385068765E-2</v>
      </c>
      <c r="G26" s="4">
        <f t="shared" si="28"/>
        <v>0.11134087237479806</v>
      </c>
      <c r="H26" s="4">
        <f t="shared" si="28"/>
        <v>0.12744034707158353</v>
      </c>
      <c r="I26" s="4">
        <f t="shared" si="28"/>
        <v>0.22541856049709452</v>
      </c>
      <c r="J26" s="4">
        <f t="shared" si="28"/>
        <v>6.7279767666989357E-2</v>
      </c>
      <c r="K26" s="4">
        <f t="shared" si="28"/>
        <v>0.1377298668357641</v>
      </c>
      <c r="Q26" s="3" t="s">
        <v>8</v>
      </c>
      <c r="R26" s="4">
        <f t="shared" ref="R26:S26" si="29">+R9/R3</f>
        <v>0.13776268994503718</v>
      </c>
      <c r="S26" s="4">
        <f t="shared" si="29"/>
        <v>0.16664110972549381</v>
      </c>
      <c r="T26" s="4">
        <f t="shared" ref="T26:AJ26" si="30">+T9/T3</f>
        <v>0.19453279110976229</v>
      </c>
      <c r="U26" s="4">
        <f t="shared" si="30"/>
        <v>0.19857420449230109</v>
      </c>
      <c r="V26" s="4">
        <f t="shared" si="30"/>
        <v>0.20257599617501115</v>
      </c>
      <c r="W26" s="4">
        <f t="shared" si="30"/>
        <v>0.20653855460592976</v>
      </c>
      <c r="X26" s="4">
        <f t="shared" si="30"/>
        <v>0.21046226442478061</v>
      </c>
      <c r="Y26" s="4">
        <f t="shared" si="30"/>
        <v>0.21434750650030943</v>
      </c>
      <c r="Z26" s="4">
        <f t="shared" si="30"/>
        <v>0.21819465796725462</v>
      </c>
      <c r="AA26" s="4">
        <f t="shared" si="30"/>
        <v>0.22200409226295525</v>
      </c>
      <c r="AB26" s="4">
        <f t="shared" si="30"/>
        <v>0.22577617916359996</v>
      </c>
      <c r="AC26" s="4">
        <f t="shared" si="30"/>
        <v>0.22951128482012073</v>
      </c>
      <c r="AD26" s="4">
        <f t="shared" si="30"/>
        <v>0.23320977179373442</v>
      </c>
      <c r="AE26" s="4">
        <f t="shared" si="30"/>
        <v>0.23687199909113632</v>
      </c>
      <c r="AF26" s="4">
        <f t="shared" si="30"/>
        <v>0.24049832219934789</v>
      </c>
      <c r="AG26" s="4">
        <f t="shared" si="30"/>
        <v>0.24408909312022414</v>
      </c>
      <c r="AH26" s="4">
        <f t="shared" si="30"/>
        <v>0.2476446604046211</v>
      </c>
      <c r="AI26" s="4">
        <f t="shared" si="30"/>
        <v>0.25116536918622978</v>
      </c>
      <c r="AJ26" s="4">
        <f t="shared" si="30"/>
        <v>0.25465156121507787</v>
      </c>
    </row>
    <row r="27" spans="1:53">
      <c r="A27" t="s">
        <v>130</v>
      </c>
      <c r="B27" s="4">
        <f>+B6/B3</f>
        <v>0.32380080298654645</v>
      </c>
      <c r="C27" s="4">
        <f t="shared" ref="C27:K27" si="31">+C6/C3</f>
        <v>0.3125201158673962</v>
      </c>
      <c r="D27" s="4">
        <f t="shared" si="31"/>
        <v>0.31126391153328137</v>
      </c>
      <c r="E27" s="4">
        <f t="shared" si="31"/>
        <v>0.28554310706368702</v>
      </c>
      <c r="F27" s="4">
        <f t="shared" si="31"/>
        <v>0.34051361212461406</v>
      </c>
      <c r="G27" s="4">
        <f t="shared" si="31"/>
        <v>0.31909531502423261</v>
      </c>
      <c r="H27" s="4">
        <f t="shared" si="31"/>
        <v>0.30219631236442518</v>
      </c>
      <c r="I27" s="4">
        <f t="shared" si="31"/>
        <v>0.27351705885737299</v>
      </c>
      <c r="J27" s="4">
        <f t="shared" si="31"/>
        <v>0.34393583183515419</v>
      </c>
      <c r="K27" s="4">
        <f t="shared" si="31"/>
        <v>0.31312618896639188</v>
      </c>
      <c r="R27" s="4">
        <f t="shared" ref="R27:AJ27" si="32">+R6/R3</f>
        <v>0.30719366311024893</v>
      </c>
      <c r="S27" s="4">
        <f t="shared" si="32"/>
        <v>0.29841670130709902</v>
      </c>
      <c r="T27" s="4">
        <f t="shared" si="32"/>
        <v>0.28989050984118181</v>
      </c>
      <c r="U27" s="4">
        <f t="shared" si="32"/>
        <v>0.28989050984118181</v>
      </c>
      <c r="V27" s="4">
        <f t="shared" si="32"/>
        <v>0.28989050984118175</v>
      </c>
      <c r="W27" s="4">
        <f t="shared" si="32"/>
        <v>0.28989050984118175</v>
      </c>
      <c r="X27" s="4">
        <f t="shared" si="32"/>
        <v>0.28989050984118175</v>
      </c>
      <c r="Y27" s="4">
        <f t="shared" si="32"/>
        <v>0.28989050984118181</v>
      </c>
      <c r="Z27" s="4">
        <f t="shared" si="32"/>
        <v>0.28989050984118181</v>
      </c>
      <c r="AA27" s="4">
        <f t="shared" si="32"/>
        <v>0.28989050984118181</v>
      </c>
      <c r="AB27" s="4">
        <f t="shared" si="32"/>
        <v>0.28989050984118175</v>
      </c>
      <c r="AC27" s="4">
        <f t="shared" si="32"/>
        <v>0.28989050984118175</v>
      </c>
      <c r="AD27" s="4">
        <f t="shared" si="32"/>
        <v>0.28989050984118175</v>
      </c>
      <c r="AE27" s="4">
        <f t="shared" si="32"/>
        <v>0.2898905098411817</v>
      </c>
      <c r="AF27" s="4">
        <f t="shared" si="32"/>
        <v>0.28989050984118175</v>
      </c>
      <c r="AG27" s="4">
        <f t="shared" si="32"/>
        <v>0.28989050984118175</v>
      </c>
      <c r="AH27" s="4">
        <f t="shared" si="32"/>
        <v>0.2898905098411817</v>
      </c>
      <c r="AI27" s="4">
        <f t="shared" si="32"/>
        <v>0.2898905098411817</v>
      </c>
      <c r="AJ27" s="4">
        <f t="shared" si="32"/>
        <v>0.2898905098411817</v>
      </c>
    </row>
    <row r="28" spans="1:53">
      <c r="A28" t="s">
        <v>129</v>
      </c>
      <c r="B28" s="4">
        <f>+B7/B3</f>
        <v>0.1182644220609988</v>
      </c>
      <c r="C28" s="4">
        <f t="shared" ref="C28:K28" si="33">+C7/C3</f>
        <v>0.1076923076923077</v>
      </c>
      <c r="D28" s="4">
        <f t="shared" si="33"/>
        <v>0.11419862479620047</v>
      </c>
      <c r="E28" s="4">
        <f t="shared" si="33"/>
        <v>9.6099694446108677E-2</v>
      </c>
      <c r="F28" s="4">
        <f t="shared" si="33"/>
        <v>0.11612405276452428</v>
      </c>
      <c r="G28" s="4">
        <f t="shared" si="33"/>
        <v>0.11890145395799677</v>
      </c>
      <c r="H28" s="4">
        <f t="shared" si="33"/>
        <v>0.11422180043383948</v>
      </c>
      <c r="I28" s="4">
        <f t="shared" si="33"/>
        <v>9.1766871871583916E-2</v>
      </c>
      <c r="J28" s="4">
        <f t="shared" si="33"/>
        <v>0.12418752593002351</v>
      </c>
      <c r="K28" s="4">
        <f t="shared" si="33"/>
        <v>0.11667723525681674</v>
      </c>
      <c r="R28" s="4">
        <f t="shared" ref="R28:AJ28" si="34">+R7/R3</f>
        <v>0.10952150016165535</v>
      </c>
      <c r="S28" s="4">
        <f t="shared" si="34"/>
        <v>0.10639231444275091</v>
      </c>
      <c r="T28" s="4">
        <f t="shared" si="34"/>
        <v>0.10335253403010088</v>
      </c>
      <c r="U28" s="4">
        <f t="shared" si="34"/>
        <v>0.10335253403010088</v>
      </c>
      <c r="V28" s="4">
        <f t="shared" si="34"/>
        <v>0.10335253403010086</v>
      </c>
      <c r="W28" s="4">
        <f t="shared" si="34"/>
        <v>0.10335253403010088</v>
      </c>
      <c r="X28" s="4">
        <f t="shared" si="34"/>
        <v>0.10335253403010088</v>
      </c>
      <c r="Y28" s="4">
        <f t="shared" si="34"/>
        <v>0.10335253403010088</v>
      </c>
      <c r="Z28" s="4">
        <f t="shared" si="34"/>
        <v>0.10335253403010088</v>
      </c>
      <c r="AA28" s="4">
        <f t="shared" si="34"/>
        <v>0.10335253403010088</v>
      </c>
      <c r="AB28" s="4">
        <f t="shared" si="34"/>
        <v>0.10335253403010088</v>
      </c>
      <c r="AC28" s="4">
        <f t="shared" si="34"/>
        <v>0.10335253403010088</v>
      </c>
      <c r="AD28" s="4">
        <f t="shared" si="34"/>
        <v>0.10335253403010086</v>
      </c>
      <c r="AE28" s="4">
        <f t="shared" si="34"/>
        <v>0.10335253403010086</v>
      </c>
      <c r="AF28" s="4">
        <f t="shared" si="34"/>
        <v>0.10335253403010088</v>
      </c>
      <c r="AG28" s="4">
        <f t="shared" si="34"/>
        <v>0.10335253403010088</v>
      </c>
      <c r="AH28" s="4">
        <f t="shared" si="34"/>
        <v>0.10335253403010088</v>
      </c>
      <c r="AI28" s="4">
        <f t="shared" si="34"/>
        <v>0.10335253403010089</v>
      </c>
      <c r="AJ28" s="4">
        <f t="shared" si="34"/>
        <v>0.10335253403010089</v>
      </c>
    </row>
    <row r="29" spans="1:53">
      <c r="A29" t="s">
        <v>36</v>
      </c>
      <c r="B29" s="5">
        <f>+B13/B3</f>
        <v>4.6629569627386069E-2</v>
      </c>
      <c r="C29" s="5">
        <f t="shared" ref="C29:K29" si="35">+C13/C3</f>
        <v>9.430318635339556E-2</v>
      </c>
      <c r="D29" s="5">
        <f t="shared" si="35"/>
        <v>-0.22783015524207839</v>
      </c>
      <c r="E29" s="5">
        <f t="shared" si="35"/>
        <v>0.17188904199868194</v>
      </c>
      <c r="F29" s="5">
        <f t="shared" si="35"/>
        <v>6.553466180185237E-2</v>
      </c>
      <c r="G29" s="5">
        <f t="shared" si="35"/>
        <v>0.10216478190630049</v>
      </c>
      <c r="H29" s="5">
        <f t="shared" si="35"/>
        <v>0.11618763557483731</v>
      </c>
      <c r="I29" s="5">
        <f t="shared" si="35"/>
        <v>0.18899948219319948</v>
      </c>
      <c r="J29" s="5">
        <f t="shared" si="35"/>
        <v>0.10897524547088923</v>
      </c>
      <c r="K29" s="5">
        <f t="shared" si="35"/>
        <v>0.11604311984781231</v>
      </c>
      <c r="R29" s="5">
        <f t="shared" ref="R29:S29" si="36">+R13/R3</f>
        <v>0.12146783058519237</v>
      </c>
      <c r="S29" s="5">
        <f t="shared" si="36"/>
        <v>0.13760397210290518</v>
      </c>
      <c r="T29" s="5">
        <f t="shared" ref="T29:AZ29" si="37">+T13/T3</f>
        <v>0.16298964025826745</v>
      </c>
      <c r="U29" s="5">
        <f t="shared" si="37"/>
        <v>0.1679239637164113</v>
      </c>
      <c r="V29" s="5">
        <f t="shared" si="37"/>
        <v>0.17283721351540515</v>
      </c>
      <c r="W29" s="5">
        <f t="shared" si="37"/>
        <v>0.17772929111906827</v>
      </c>
      <c r="X29" s="5">
        <f t="shared" si="37"/>
        <v>0.18260010236765709</v>
      </c>
      <c r="Y29" s="5">
        <f t="shared" si="37"/>
        <v>0.18744955739684219</v>
      </c>
      <c r="Z29" s="5">
        <f t="shared" si="37"/>
        <v>0.19227757055790656</v>
      </c>
      <c r="AA29" s="5">
        <f t="shared" si="37"/>
        <v>0.19708406033914694</v>
      </c>
      <c r="AB29" s="5">
        <f t="shared" si="37"/>
        <v>0.20186894928846277</v>
      </c>
      <c r="AC29" s="5">
        <f t="shared" si="37"/>
        <v>0.20663216393711517</v>
      </c>
      <c r="AD29" s="5">
        <f t="shared" si="37"/>
        <v>0.21137363472464152</v>
      </c>
      <c r="AE29" s="5">
        <f t="shared" si="37"/>
        <v>0.21609329592490845</v>
      </c>
      <c r="AF29" s="5">
        <f t="shared" si="37"/>
        <v>0.22079108557328764</v>
      </c>
      <c r="AG29" s="5">
        <f t="shared" si="37"/>
        <v>0.22546694539494055</v>
      </c>
      <c r="AH29" s="5">
        <f t="shared" si="37"/>
        <v>0.23012082073419401</v>
      </c>
      <c r="AI29" s="5">
        <f t="shared" si="37"/>
        <v>0.23475266048499482</v>
      </c>
      <c r="AJ29" s="5">
        <f t="shared" si="37"/>
        <v>0.23936241702242592</v>
      </c>
      <c r="AK29" s="5">
        <f t="shared" si="37"/>
        <v>0.22997565557056607</v>
      </c>
      <c r="AL29" s="5">
        <f t="shared" si="37"/>
        <v>0.22095700241093599</v>
      </c>
      <c r="AM29" s="5">
        <f t="shared" si="37"/>
        <v>0.21229202192423263</v>
      </c>
      <c r="AN29" s="5">
        <f t="shared" si="37"/>
        <v>0.20396684459387057</v>
      </c>
      <c r="AO29" s="5">
        <f t="shared" si="37"/>
        <v>0.19596814480587563</v>
      </c>
      <c r="AP29" s="5">
        <f t="shared" si="37"/>
        <v>0.18828311951937071</v>
      </c>
      <c r="AQ29" s="5">
        <f t="shared" si="37"/>
        <v>0.18089946777351301</v>
      </c>
      <c r="AR29" s="5">
        <f t="shared" si="37"/>
        <v>0.17380537099808113</v>
      </c>
      <c r="AS29" s="5">
        <f t="shared" si="37"/>
        <v>0.16698947409619558</v>
      </c>
      <c r="AT29" s="5">
        <f t="shared" si="37"/>
        <v>0.16044086726889378</v>
      </c>
      <c r="AU29" s="5">
        <f t="shared" si="37"/>
        <v>0.1541490685524666</v>
      </c>
      <c r="AV29" s="5">
        <f t="shared" si="37"/>
        <v>0.14810400704060517</v>
      </c>
      <c r="AW29" s="5">
        <f t="shared" si="37"/>
        <v>0.14229600676450302</v>
      </c>
      <c r="AX29" s="5">
        <f t="shared" si="37"/>
        <v>0.13671577120511072</v>
      </c>
      <c r="AY29" s="5">
        <f t="shared" si="37"/>
        <v>0.13135436841275344</v>
      </c>
      <c r="AZ29" s="5">
        <f t="shared" si="37"/>
        <v>0.1262032167102925</v>
      </c>
      <c r="BA29" s="5" t="s">
        <v>8</v>
      </c>
    </row>
    <row r="30" spans="1:53">
      <c r="A30" t="s">
        <v>37</v>
      </c>
      <c r="B30" s="5">
        <f>+B12/B11</f>
        <v>-6.2600321027287326E-2</v>
      </c>
      <c r="C30" s="5">
        <f t="shared" ref="C30:K30" si="38">+C12/C11</f>
        <v>0.14924506387921022</v>
      </c>
      <c r="D30" s="5">
        <f t="shared" si="38"/>
        <v>0.28593645856476341</v>
      </c>
      <c r="E30" s="5">
        <f t="shared" si="38"/>
        <v>0.13375603864734301</v>
      </c>
      <c r="F30" s="5">
        <f t="shared" si="38"/>
        <v>0.11720226843100189</v>
      </c>
      <c r="G30" s="5">
        <f t="shared" si="38"/>
        <v>0.20949999999999999</v>
      </c>
      <c r="H30" s="5">
        <f t="shared" si="38"/>
        <v>8.4890549919914571E-2</v>
      </c>
      <c r="I30" s="5">
        <f t="shared" si="38"/>
        <v>0.12609736632083002</v>
      </c>
      <c r="J30" s="5">
        <f t="shared" si="38"/>
        <v>-0.46741154562383613</v>
      </c>
      <c r="K30" s="5">
        <f t="shared" si="38"/>
        <v>0.17530419107706174</v>
      </c>
      <c r="R30" s="5">
        <f t="shared" ref="R30:S30" si="39">+R12/R11</f>
        <v>0.13532796317606444</v>
      </c>
      <c r="S30" s="5">
        <f t="shared" si="39"/>
        <v>0.14000000000000001</v>
      </c>
      <c r="T30" s="5">
        <f t="shared" ref="T30:AJ30" si="40">+T12/T11</f>
        <v>0.14000000000000001</v>
      </c>
      <c r="U30" s="5">
        <f t="shared" si="40"/>
        <v>0.14000000000000001</v>
      </c>
      <c r="V30" s="5">
        <f t="shared" si="40"/>
        <v>0.14000000000000001</v>
      </c>
      <c r="W30" s="5">
        <f t="shared" si="40"/>
        <v>0.14000000000000001</v>
      </c>
      <c r="X30" s="5">
        <f t="shared" si="40"/>
        <v>0.14000000000000001</v>
      </c>
      <c r="Y30" s="5">
        <f t="shared" si="40"/>
        <v>0.14000000000000001</v>
      </c>
      <c r="Z30" s="5">
        <f t="shared" si="40"/>
        <v>0.14000000000000001</v>
      </c>
      <c r="AA30" s="5">
        <f t="shared" si="40"/>
        <v>0.14000000000000001</v>
      </c>
      <c r="AB30" s="5">
        <f t="shared" si="40"/>
        <v>0.14000000000000001</v>
      </c>
      <c r="AC30" s="5">
        <f t="shared" si="40"/>
        <v>0.14000000000000001</v>
      </c>
      <c r="AD30" s="5">
        <f t="shared" si="40"/>
        <v>0.14000000000000001</v>
      </c>
      <c r="AE30" s="5">
        <f t="shared" si="40"/>
        <v>0.14000000000000001</v>
      </c>
      <c r="AF30" s="5">
        <f t="shared" si="40"/>
        <v>0.14000000000000001</v>
      </c>
      <c r="AG30" s="5">
        <f t="shared" si="40"/>
        <v>0.14000000000000001</v>
      </c>
      <c r="AH30" s="5">
        <f t="shared" si="40"/>
        <v>0.14000000000000001</v>
      </c>
      <c r="AI30" s="5">
        <f t="shared" si="40"/>
        <v>0.14000000000000001</v>
      </c>
      <c r="AJ30" s="5">
        <f t="shared" si="40"/>
        <v>0.14000000000000001</v>
      </c>
    </row>
    <row r="34" spans="1:36">
      <c r="I34" t="s">
        <v>8</v>
      </c>
    </row>
    <row r="35" spans="1:36">
      <c r="S35" s="3" t="s">
        <v>64</v>
      </c>
      <c r="T35" s="3">
        <f>+main!L8</f>
        <v>222049.73224499999</v>
      </c>
    </row>
    <row r="36" spans="1:36">
      <c r="S36" s="3" t="s">
        <v>65</v>
      </c>
      <c r="T36" s="3">
        <f>+S13</f>
        <v>8937.7908000000007</v>
      </c>
    </row>
    <row r="37" spans="1:36">
      <c r="S37" s="3" t="s">
        <v>66</v>
      </c>
      <c r="T37" s="17">
        <f>+T35/T36</f>
        <v>24.843916938064826</v>
      </c>
      <c r="U37" s="3" t="s">
        <v>69</v>
      </c>
    </row>
    <row r="38" spans="1:36">
      <c r="J38" t="s">
        <v>8</v>
      </c>
      <c r="S38" s="3" t="s">
        <v>67</v>
      </c>
      <c r="T38" s="18">
        <f>+T36/T35</f>
        <v>4.0251301857632649E-2</v>
      </c>
      <c r="U38" s="3" t="s">
        <v>70</v>
      </c>
    </row>
    <row r="39" spans="1:36">
      <c r="U39" s="3" t="s">
        <v>75</v>
      </c>
    </row>
    <row r="40" spans="1:36">
      <c r="S40" s="6" t="s">
        <v>68</v>
      </c>
      <c r="T40" s="5">
        <v>0.03</v>
      </c>
    </row>
    <row r="43" spans="1:36">
      <c r="A43" s="25" t="s">
        <v>73</v>
      </c>
      <c r="B43" s="22">
        <v>1.1435</v>
      </c>
      <c r="C43" s="22">
        <v>1.1216999999999999</v>
      </c>
      <c r="D43" s="22">
        <v>1.0647</v>
      </c>
      <c r="E43" s="22">
        <v>1.0069999999999999</v>
      </c>
      <c r="F43" s="22">
        <v>1.0205</v>
      </c>
      <c r="G43" s="22">
        <v>1.073</v>
      </c>
      <c r="H43" s="22">
        <v>1.0887</v>
      </c>
      <c r="I43" s="22">
        <v>1.0884</v>
      </c>
      <c r="J43" s="22">
        <v>1.0750999999999999</v>
      </c>
      <c r="K43" s="21">
        <v>1.0858000000000001</v>
      </c>
      <c r="L43" s="20">
        <v>1.07</v>
      </c>
      <c r="M43" s="1">
        <v>1.07</v>
      </c>
      <c r="N43" s="1">
        <v>1.07</v>
      </c>
      <c r="O43" s="1"/>
      <c r="P43" s="1">
        <v>1.07</v>
      </c>
      <c r="Q43" s="1">
        <v>1.07</v>
      </c>
    </row>
    <row r="44" spans="1:36">
      <c r="A44" t="s">
        <v>104</v>
      </c>
      <c r="F44" s="5">
        <f t="shared" ref="F44:I44" si="41">+F43/B43-1</f>
        <v>-0.10756449497157849</v>
      </c>
      <c r="G44" s="5">
        <f t="shared" si="41"/>
        <v>-4.3416243202282212E-2</v>
      </c>
      <c r="H44" s="5">
        <f t="shared" si="41"/>
        <v>2.2541561003099453E-2</v>
      </c>
      <c r="I44" s="5">
        <f t="shared" si="41"/>
        <v>8.0834160873882954E-2</v>
      </c>
      <c r="J44" s="5">
        <f>+J43/F43-1</f>
        <v>5.3503184713375784E-2</v>
      </c>
      <c r="K44" s="5">
        <f>+K43/G43-1</f>
        <v>1.1929170549860313E-2</v>
      </c>
      <c r="L44" s="5">
        <f>+L43/H43-1</f>
        <v>-1.7176448975842695E-2</v>
      </c>
      <c r="M44" s="5">
        <f>+M43/I43-1</f>
        <v>-1.6905549430356492E-2</v>
      </c>
      <c r="N44" s="5">
        <f>+N43/J43-1</f>
        <v>-4.7437447679284928E-3</v>
      </c>
      <c r="O44" s="5"/>
      <c r="P44" s="5">
        <f>+P43/K43-1</f>
        <v>-1.4551482777675484E-2</v>
      </c>
      <c r="Q44" s="5">
        <f>+Q43/L43-1</f>
        <v>0</v>
      </c>
      <c r="AB44" s="3" t="s">
        <v>8</v>
      </c>
    </row>
    <row r="45" spans="1:36"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1:36">
      <c r="A46" t="s">
        <v>67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18">
        <f t="shared" ref="R46:AJ46" si="42">+R10/R47</f>
        <v>3.8741706490975736E-3</v>
      </c>
      <c r="S46" s="18">
        <f t="shared" si="42"/>
        <v>1.2615820673446358E-2</v>
      </c>
      <c r="T46" s="18">
        <f t="shared" si="42"/>
        <v>1.4822097104617725E-2</v>
      </c>
      <c r="U46" s="18">
        <f t="shared" si="42"/>
        <v>2.027345709089267E-2</v>
      </c>
      <c r="V46" s="18">
        <f t="shared" si="42"/>
        <v>-0.12730310442684531</v>
      </c>
      <c r="W46" s="18">
        <f t="shared" si="42"/>
        <v>6.4929502258950539E-4</v>
      </c>
      <c r="X46" s="18">
        <f t="shared" si="42"/>
        <v>5.0507326440092769E-3</v>
      </c>
      <c r="Y46" s="18">
        <f t="shared" si="42"/>
        <v>6.5866072744874254E-3</v>
      </c>
      <c r="Z46" s="18">
        <f t="shared" si="42"/>
        <v>7.3684716455344615E-3</v>
      </c>
      <c r="AA46" s="18">
        <f t="shared" si="42"/>
        <v>7.842364323837954E-3</v>
      </c>
      <c r="AB46" s="18">
        <f t="shared" si="42"/>
        <v>8.1604540814106605E-3</v>
      </c>
      <c r="AC46" s="18">
        <f t="shared" si="42"/>
        <v>8.3888323872308001E-3</v>
      </c>
      <c r="AD46" s="18">
        <f t="shared" si="42"/>
        <v>8.560836915779288E-3</v>
      </c>
      <c r="AE46" s="18">
        <f t="shared" si="42"/>
        <v>8.6951051984194491E-3</v>
      </c>
      <c r="AF46" s="18">
        <f t="shared" si="42"/>
        <v>8.8028726983682849E-3</v>
      </c>
      <c r="AG46" s="18">
        <f t="shared" si="42"/>
        <v>8.8913157301088747E-3</v>
      </c>
      <c r="AH46" s="18">
        <f t="shared" si="42"/>
        <v>8.9652327827853748E-3</v>
      </c>
      <c r="AI46" s="18">
        <f t="shared" si="42"/>
        <v>9.0279540774030383E-3</v>
      </c>
      <c r="AJ46" s="18">
        <f t="shared" si="42"/>
        <v>9.0818632874802348E-3</v>
      </c>
    </row>
    <row r="47" spans="1:36" s="1" customFormat="1">
      <c r="A47" s="1" t="s">
        <v>103</v>
      </c>
      <c r="E47" s="1" t="s">
        <v>8</v>
      </c>
      <c r="M47" s="6"/>
      <c r="N47" s="6"/>
      <c r="O47" s="6"/>
      <c r="P47" s="6"/>
      <c r="Q47" s="6"/>
      <c r="R47" s="6">
        <f>+R48-R63</f>
        <v>-43106</v>
      </c>
      <c r="S47" s="6">
        <f t="shared" ref="S47:AJ47" si="43">+R47+S13</f>
        <v>-34168.209199999998</v>
      </c>
      <c r="T47" s="6">
        <f t="shared" si="43"/>
        <v>-23052.209791119989</v>
      </c>
      <c r="U47" s="6">
        <f t="shared" si="43"/>
        <v>-11370.635845563607</v>
      </c>
      <c r="V47" s="6">
        <f t="shared" si="43"/>
        <v>893.19391673576501</v>
      </c>
      <c r="W47" s="6">
        <f t="shared" si="43"/>
        <v>13756.364759636492</v>
      </c>
      <c r="X47" s="6">
        <f t="shared" si="43"/>
        <v>27236.374857325005</v>
      </c>
      <c r="Y47" s="6">
        <f t="shared" si="43"/>
        <v>41351.144409083601</v>
      </c>
      <c r="Z47" s="6">
        <f t="shared" si="43"/>
        <v>56119.024946162026</v>
      </c>
      <c r="AA47" s="6">
        <f t="shared" si="43"/>
        <v>71558.808834703668</v>
      </c>
      <c r="AB47" s="6">
        <f t="shared" si="43"/>
        <v>87689.738978757436</v>
      </c>
      <c r="AC47" s="6">
        <f t="shared" si="43"/>
        <v>104531.51872748803</v>
      </c>
      <c r="AD47" s="6">
        <f t="shared" si="43"/>
        <v>122104.3219907812</v>
      </c>
      <c r="AE47" s="6">
        <f t="shared" si="43"/>
        <v>140428.8035675252</v>
      </c>
      <c r="AF47" s="6">
        <f t="shared" si="43"/>
        <v>159526.10969093684</v>
      </c>
      <c r="AG47" s="6">
        <f t="shared" si="43"/>
        <v>179417.88879538915</v>
      </c>
      <c r="AH47" s="6">
        <f t="shared" si="43"/>
        <v>200126.30250928795</v>
      </c>
      <c r="AI47" s="6">
        <f t="shared" si="43"/>
        <v>221674.03687863669</v>
      </c>
      <c r="AJ47" s="6">
        <f t="shared" si="43"/>
        <v>244084.31382602348</v>
      </c>
    </row>
    <row r="48" spans="1:36">
      <c r="A48" t="s">
        <v>4</v>
      </c>
      <c r="J48" t="s">
        <v>8</v>
      </c>
      <c r="R48">
        <f>13068+373</f>
        <v>13441</v>
      </c>
    </row>
    <row r="49" spans="1:48">
      <c r="A49" t="s">
        <v>78</v>
      </c>
      <c r="J49" t="s">
        <v>8</v>
      </c>
      <c r="R49">
        <v>21</v>
      </c>
    </row>
    <row r="50" spans="1:48">
      <c r="A50" t="s">
        <v>79</v>
      </c>
      <c r="J50" t="s">
        <v>8</v>
      </c>
      <c r="R50">
        <f>7214+640</f>
        <v>7854</v>
      </c>
    </row>
    <row r="51" spans="1:48">
      <c r="A51" t="s">
        <v>80</v>
      </c>
      <c r="J51" t="s">
        <v>8</v>
      </c>
      <c r="R51">
        <f>6102+692</f>
        <v>6794</v>
      </c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</row>
    <row r="52" spans="1:48">
      <c r="A52" t="s">
        <v>81</v>
      </c>
      <c r="J52" t="s">
        <v>8</v>
      </c>
      <c r="M52" t="s">
        <v>8</v>
      </c>
      <c r="N52" s="3" t="s">
        <v>8</v>
      </c>
      <c r="R52">
        <f>1161+5766</f>
        <v>6927</v>
      </c>
      <c r="AK52" s="3"/>
      <c r="AL52" s="3"/>
    </row>
    <row r="53" spans="1:48">
      <c r="A53" t="s">
        <v>86</v>
      </c>
      <c r="J53" t="s">
        <v>8</v>
      </c>
      <c r="R53">
        <f>998+842</f>
        <v>1840</v>
      </c>
    </row>
    <row r="54" spans="1:48">
      <c r="A54" t="s">
        <v>82</v>
      </c>
      <c r="J54" t="s">
        <v>8</v>
      </c>
      <c r="R54">
        <v>2639</v>
      </c>
    </row>
    <row r="55" spans="1:48">
      <c r="A55" t="s">
        <v>84</v>
      </c>
      <c r="E55" s="26" t="s">
        <v>8</v>
      </c>
      <c r="J55" t="s">
        <v>8</v>
      </c>
      <c r="R55">
        <v>5501</v>
      </c>
    </row>
    <row r="56" spans="1:48">
      <c r="A56" t="s">
        <v>89</v>
      </c>
      <c r="E56" s="26"/>
      <c r="J56" t="s">
        <v>8</v>
      </c>
      <c r="R56">
        <v>3220</v>
      </c>
    </row>
    <row r="57" spans="1:48">
      <c r="A57" t="s">
        <v>85</v>
      </c>
      <c r="J57" t="s">
        <v>8</v>
      </c>
      <c r="R57">
        <v>7506</v>
      </c>
    </row>
    <row r="58" spans="1:48">
      <c r="A58" t="s">
        <v>87</v>
      </c>
      <c r="J58" t="s">
        <v>8</v>
      </c>
      <c r="R58">
        <v>6656</v>
      </c>
    </row>
    <row r="59" spans="1:48">
      <c r="A59" t="s">
        <v>88</v>
      </c>
      <c r="J59" t="s">
        <v>8</v>
      </c>
      <c r="R59">
        <f>60178+11036</f>
        <v>71214</v>
      </c>
    </row>
    <row r="60" spans="1:48">
      <c r="A60" t="s">
        <v>90</v>
      </c>
      <c r="J60" t="s">
        <v>8</v>
      </c>
      <c r="R60">
        <v>1626</v>
      </c>
    </row>
    <row r="61" spans="1:48">
      <c r="A61" s="1" t="s">
        <v>83</v>
      </c>
      <c r="B61" s="1"/>
      <c r="C61" s="1"/>
      <c r="D61" s="1"/>
      <c r="E61" s="1"/>
      <c r="F61" s="1"/>
      <c r="G61" s="1"/>
      <c r="H61" s="1"/>
      <c r="J61" t="s">
        <v>8</v>
      </c>
      <c r="K61" t="s">
        <v>8</v>
      </c>
      <c r="R61" s="1">
        <f>SUM(R48:R60)</f>
        <v>135239</v>
      </c>
    </row>
    <row r="62" spans="1:48">
      <c r="J62" t="s">
        <v>8</v>
      </c>
      <c r="R62"/>
    </row>
    <row r="63" spans="1:48">
      <c r="A63" t="s">
        <v>91</v>
      </c>
      <c r="J63" t="s">
        <v>8</v>
      </c>
      <c r="R63">
        <f>6426+50121</f>
        <v>56547</v>
      </c>
    </row>
    <row r="64" spans="1:48">
      <c r="A64" t="s">
        <v>92</v>
      </c>
      <c r="J64" t="s">
        <v>8</v>
      </c>
      <c r="R64">
        <v>2270</v>
      </c>
    </row>
    <row r="65" spans="1:18">
      <c r="A65" t="s">
        <v>93</v>
      </c>
      <c r="J65" t="s">
        <v>8</v>
      </c>
      <c r="R65">
        <v>4132</v>
      </c>
    </row>
    <row r="66" spans="1:18">
      <c r="A66" t="s">
        <v>94</v>
      </c>
      <c r="J66" t="s">
        <v>8</v>
      </c>
      <c r="R66">
        <v>3501</v>
      </c>
    </row>
    <row r="67" spans="1:18">
      <c r="A67" t="s">
        <v>95</v>
      </c>
      <c r="J67" t="s">
        <v>8</v>
      </c>
      <c r="R67">
        <f>13451+3533</f>
        <v>16984</v>
      </c>
    </row>
    <row r="68" spans="1:18">
      <c r="A68" t="s">
        <v>96</v>
      </c>
      <c r="J68" t="s">
        <v>8</v>
      </c>
      <c r="R68">
        <f>820+2568</f>
        <v>3388</v>
      </c>
    </row>
    <row r="69" spans="1:18">
      <c r="A69" t="s">
        <v>97</v>
      </c>
      <c r="J69" t="s">
        <v>8</v>
      </c>
      <c r="R69">
        <v>3521</v>
      </c>
    </row>
    <row r="70" spans="1:18">
      <c r="A70" t="s">
        <v>98</v>
      </c>
      <c r="J70" t="s">
        <v>8</v>
      </c>
      <c r="R70">
        <v>10808</v>
      </c>
    </row>
    <row r="71" spans="1:18">
      <c r="A71" t="s">
        <v>99</v>
      </c>
      <c r="J71" t="s">
        <v>8</v>
      </c>
      <c r="R71">
        <v>11475</v>
      </c>
    </row>
    <row r="72" spans="1:18">
      <c r="A72" s="1" t="s">
        <v>100</v>
      </c>
      <c r="B72" s="1"/>
      <c r="C72" s="1"/>
      <c r="D72" s="1"/>
      <c r="E72" s="1"/>
      <c r="F72" s="1"/>
      <c r="G72" s="1"/>
      <c r="H72" s="1"/>
      <c r="J72" t="s">
        <v>8</v>
      </c>
      <c r="R72" s="1">
        <f>SUM(R63:R71)</f>
        <v>112626</v>
      </c>
    </row>
    <row r="73" spans="1:18">
      <c r="J73" t="s">
        <v>8</v>
      </c>
      <c r="R73"/>
    </row>
    <row r="74" spans="1:18">
      <c r="A74" t="s">
        <v>101</v>
      </c>
      <c r="J74" t="s">
        <v>8</v>
      </c>
      <c r="R74">
        <f>+R61-R72</f>
        <v>22613</v>
      </c>
    </row>
    <row r="75" spans="1:18">
      <c r="A75" t="s">
        <v>102</v>
      </c>
      <c r="J75" t="s">
        <v>8</v>
      </c>
      <c r="R75">
        <f>+R72+R74</f>
        <v>135239</v>
      </c>
    </row>
    <row r="76" spans="1:18">
      <c r="R76"/>
    </row>
    <row r="77" spans="1:18">
      <c r="A77" t="s">
        <v>131</v>
      </c>
      <c r="R77" s="5">
        <f>+R13/R61</f>
        <v>5.5560895895414783E-2</v>
      </c>
    </row>
    <row r="78" spans="1:18">
      <c r="A78" t="s">
        <v>132</v>
      </c>
      <c r="R78" s="5">
        <f>+R13/R74</f>
        <v>0.33228673771724232</v>
      </c>
    </row>
    <row r="80" spans="1:18">
      <c r="K80" t="s">
        <v>115</v>
      </c>
    </row>
    <row r="81" spans="1:18">
      <c r="A81" t="s">
        <v>109</v>
      </c>
      <c r="K81" s="3">
        <f>+K13+J13</f>
        <v>3406</v>
      </c>
    </row>
    <row r="82" spans="1:18">
      <c r="A82" t="s">
        <v>110</v>
      </c>
      <c r="K82" s="3">
        <v>3439</v>
      </c>
    </row>
    <row r="83" spans="1:18">
      <c r="A83" t="s">
        <v>111</v>
      </c>
      <c r="K83" s="3">
        <f>1081+1205</f>
        <v>2286</v>
      </c>
      <c r="M83" s="3" t="s">
        <v>8</v>
      </c>
    </row>
    <row r="84" spans="1:18">
      <c r="A84" t="s">
        <v>112</v>
      </c>
      <c r="K84" s="3">
        <v>636</v>
      </c>
      <c r="L84" s="3"/>
      <c r="M84" s="3" t="s">
        <v>8</v>
      </c>
    </row>
    <row r="85" spans="1:18">
      <c r="A85" t="s">
        <v>113</v>
      </c>
      <c r="K85" s="3">
        <v>-280</v>
      </c>
    </row>
    <row r="86" spans="1:18">
      <c r="A86" t="s">
        <v>114</v>
      </c>
      <c r="K86" s="3">
        <v>152</v>
      </c>
    </row>
    <row r="87" spans="1:18">
      <c r="A87" s="1" t="s">
        <v>117</v>
      </c>
      <c r="B87" s="1"/>
      <c r="C87" s="1"/>
      <c r="D87" s="1"/>
      <c r="E87" s="1"/>
      <c r="F87" s="1"/>
      <c r="G87" s="1"/>
      <c r="H87" s="1"/>
      <c r="I87" s="1"/>
      <c r="J87" s="1"/>
      <c r="K87" s="6">
        <f>SUM(K82:K86)</f>
        <v>6233</v>
      </c>
    </row>
    <row r="88" spans="1:18">
      <c r="A88" t="s">
        <v>84</v>
      </c>
      <c r="K88" s="3">
        <v>-459</v>
      </c>
    </row>
    <row r="89" spans="1:18">
      <c r="A89" t="s">
        <v>122</v>
      </c>
      <c r="K89" s="3">
        <v>57</v>
      </c>
    </row>
    <row r="90" spans="1:18">
      <c r="A90" t="s">
        <v>116</v>
      </c>
      <c r="K90" s="3">
        <f>+K88+K89</f>
        <v>-402</v>
      </c>
      <c r="N90" s="5" t="s">
        <v>8</v>
      </c>
      <c r="R90" s="29" t="s">
        <v>8</v>
      </c>
    </row>
    <row r="91" spans="1:18">
      <c r="A91" t="s">
        <v>118</v>
      </c>
      <c r="K91" s="3">
        <v>-358</v>
      </c>
    </row>
    <row r="92" spans="1:18">
      <c r="A92" t="s">
        <v>114</v>
      </c>
      <c r="K92" s="3">
        <v>-235</v>
      </c>
    </row>
    <row r="93" spans="1:18">
      <c r="A93" t="s">
        <v>119</v>
      </c>
      <c r="K93" s="3">
        <v>703</v>
      </c>
    </row>
    <row r="94" spans="1:18">
      <c r="A94" t="s">
        <v>120</v>
      </c>
      <c r="K94" s="3">
        <v>-5596</v>
      </c>
    </row>
    <row r="95" spans="1:18">
      <c r="A95" t="s">
        <v>123</v>
      </c>
      <c r="K95" s="3">
        <v>3917</v>
      </c>
    </row>
    <row r="96" spans="1:18">
      <c r="A96" s="1" t="s">
        <v>121</v>
      </c>
      <c r="B96" s="1"/>
      <c r="C96" s="1"/>
      <c r="D96" s="1"/>
      <c r="E96" s="1"/>
      <c r="F96" s="1"/>
      <c r="G96" s="1"/>
      <c r="H96" s="1"/>
      <c r="I96" s="1"/>
      <c r="J96" s="1"/>
      <c r="K96" s="6">
        <f>SUM(K90:K95)</f>
        <v>-1971</v>
      </c>
    </row>
    <row r="97" spans="1:36">
      <c r="A97" t="s">
        <v>91</v>
      </c>
      <c r="K97">
        <f>5705-5224</f>
        <v>481</v>
      </c>
    </row>
    <row r="98" spans="1:36">
      <c r="A98" t="s">
        <v>124</v>
      </c>
      <c r="K98" s="3">
        <v>-350</v>
      </c>
    </row>
    <row r="99" spans="1:36">
      <c r="A99" t="s">
        <v>125</v>
      </c>
      <c r="K99" s="3">
        <v>289</v>
      </c>
    </row>
    <row r="100" spans="1:36">
      <c r="A100" t="s">
        <v>126</v>
      </c>
      <c r="K100" s="3">
        <v>-3058</v>
      </c>
    </row>
    <row r="101" spans="1:36" s="1" customFormat="1">
      <c r="A101" s="1" t="s">
        <v>127</v>
      </c>
      <c r="K101" s="1">
        <f>SUM(K97:K100)</f>
        <v>-2638</v>
      </c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</row>
    <row r="103" spans="1:36">
      <c r="A103" s="1" t="s">
        <v>128</v>
      </c>
      <c r="K103" s="3">
        <f>+K101+K96+K87</f>
        <v>1624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main</vt:lpstr>
      <vt:lpstr>business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Simão Clemente</dc:creator>
  <cp:lastModifiedBy>Simão Clemente</cp:lastModifiedBy>
  <dcterms:created xsi:type="dcterms:W3CDTF">2024-08-11T13:36:16Z</dcterms:created>
  <dcterms:modified xsi:type="dcterms:W3CDTF">2024-09-24T11:30:10Z</dcterms:modified>
</cp:coreProperties>
</file>