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58" documentId="8_{91A85DBD-37F5-495F-9D0D-AFC39F49FA9F}" xr6:coauthVersionLast="47" xr6:coauthVersionMax="47" xr10:uidLastSave="{C0A93E9C-07C6-43ED-B149-03C9023D0512}"/>
  <bookViews>
    <workbookView xWindow="-108" yWindow="-108" windowWidth="23256" windowHeight="12456" activeTab="1" xr2:uid="{A4478C07-9115-4914-9DE9-A3B7CC45EB2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2" l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T4" i="2"/>
  <c r="S4" i="2"/>
  <c r="S8" i="2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S7" i="2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U6" i="2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T6" i="2"/>
  <c r="S6" i="2"/>
  <c r="S11" i="2"/>
  <c r="R47" i="2" l="1"/>
  <c r="R54" i="2" s="1"/>
  <c r="R43" i="2"/>
  <c r="R45" i="2" s="1"/>
  <c r="L3" i="1"/>
  <c r="N22" i="2"/>
  <c r="N19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K24" i="2"/>
  <c r="K23" i="2"/>
  <c r="K22" i="2"/>
  <c r="R56" i="2" l="1"/>
  <c r="R33" i="2"/>
  <c r="R11" i="2" s="1"/>
  <c r="R57" i="2"/>
  <c r="R16" i="2" l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R13" i="2"/>
  <c r="R8" i="2"/>
  <c r="R7" i="2"/>
  <c r="R6" i="2"/>
  <c r="R4" i="2"/>
  <c r="R3" i="2"/>
  <c r="Q16" i="2"/>
  <c r="Q13" i="2"/>
  <c r="Q11" i="2"/>
  <c r="Q8" i="2"/>
  <c r="Q7" i="2"/>
  <c r="Q6" i="2"/>
  <c r="Q4" i="2"/>
  <c r="Q3" i="2"/>
  <c r="Q5" i="2" s="1"/>
  <c r="Q21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B9" i="2"/>
  <c r="B5" i="2"/>
  <c r="B21" i="2" s="1"/>
  <c r="C9" i="2"/>
  <c r="C5" i="2"/>
  <c r="C21" i="2" s="1"/>
  <c r="D9" i="2"/>
  <c r="D5" i="2"/>
  <c r="D21" i="2" s="1"/>
  <c r="H9" i="2"/>
  <c r="H5" i="2"/>
  <c r="E9" i="2"/>
  <c r="E5" i="2"/>
  <c r="I9" i="2"/>
  <c r="I5" i="2"/>
  <c r="I21" i="2" s="1"/>
  <c r="F9" i="2"/>
  <c r="F5" i="2"/>
  <c r="F21" i="2" s="1"/>
  <c r="J5" i="2"/>
  <c r="J21" i="2" s="1"/>
  <c r="J9" i="2"/>
  <c r="G5" i="2"/>
  <c r="G21" i="2" s="1"/>
  <c r="G9" i="2"/>
  <c r="K9" i="2"/>
  <c r="J10" i="2" l="1"/>
  <c r="R23" i="2"/>
  <c r="Q24" i="2"/>
  <c r="Q22" i="2"/>
  <c r="S3" i="2"/>
  <c r="S5" i="2" s="1"/>
  <c r="R18" i="2"/>
  <c r="J12" i="2"/>
  <c r="J25" i="2"/>
  <c r="R5" i="2"/>
  <c r="H10" i="2"/>
  <c r="H21" i="2"/>
  <c r="Q9" i="2"/>
  <c r="Q10" i="2" s="1"/>
  <c r="R22" i="2"/>
  <c r="I18" i="2"/>
  <c r="J18" i="2"/>
  <c r="E10" i="2"/>
  <c r="E21" i="2"/>
  <c r="R24" i="2"/>
  <c r="Q23" i="2"/>
  <c r="R9" i="2"/>
  <c r="F18" i="2"/>
  <c r="G18" i="2"/>
  <c r="H18" i="2"/>
  <c r="B10" i="2"/>
  <c r="C10" i="2"/>
  <c r="D10" i="2"/>
  <c r="I10" i="2"/>
  <c r="F10" i="2"/>
  <c r="G10" i="2"/>
  <c r="H12" i="2" l="1"/>
  <c r="H25" i="2"/>
  <c r="J14" i="2"/>
  <c r="J26" i="2"/>
  <c r="E12" i="2"/>
  <c r="E25" i="2"/>
  <c r="G12" i="2"/>
  <c r="G25" i="2"/>
  <c r="F12" i="2"/>
  <c r="F25" i="2"/>
  <c r="Q25" i="2"/>
  <c r="Q12" i="2"/>
  <c r="C12" i="2"/>
  <c r="C25" i="2"/>
  <c r="B12" i="2"/>
  <c r="B25" i="2"/>
  <c r="R21" i="2"/>
  <c r="R10" i="2"/>
  <c r="R12" i="2" s="1"/>
  <c r="I12" i="2"/>
  <c r="I25" i="2"/>
  <c r="D12" i="2"/>
  <c r="D25" i="2"/>
  <c r="S24" i="2"/>
  <c r="S18" i="2"/>
  <c r="T3" i="2"/>
  <c r="T5" i="2" s="1"/>
  <c r="S21" i="2"/>
  <c r="S23" i="2"/>
  <c r="K5" i="2"/>
  <c r="L6" i="1"/>
  <c r="L5" i="1"/>
  <c r="L4" i="1"/>
  <c r="K10" i="2" l="1"/>
  <c r="K21" i="2"/>
  <c r="K18" i="2"/>
  <c r="G14" i="2"/>
  <c r="G26" i="2"/>
  <c r="C14" i="2"/>
  <c r="C26" i="2"/>
  <c r="Q14" i="2"/>
  <c r="Q26" i="2"/>
  <c r="S22" i="2"/>
  <c r="S9" i="2"/>
  <c r="S10" i="2" s="1"/>
  <c r="B14" i="2"/>
  <c r="B26" i="2"/>
  <c r="E14" i="2"/>
  <c r="E26" i="2"/>
  <c r="D14" i="2"/>
  <c r="D26" i="2"/>
  <c r="I14" i="2"/>
  <c r="I26" i="2"/>
  <c r="J15" i="2"/>
  <c r="J27" i="2"/>
  <c r="T24" i="2"/>
  <c r="T23" i="2"/>
  <c r="T18" i="2"/>
  <c r="U3" i="2"/>
  <c r="U5" i="2" s="1"/>
  <c r="R25" i="2"/>
  <c r="F14" i="2"/>
  <c r="F19" i="2" s="1"/>
  <c r="F26" i="2"/>
  <c r="H14" i="2"/>
  <c r="H26" i="2"/>
  <c r="L7" i="1"/>
  <c r="G19" i="2" l="1"/>
  <c r="H19" i="2"/>
  <c r="I19" i="2"/>
  <c r="J19" i="2"/>
  <c r="D15" i="2"/>
  <c r="D27" i="2"/>
  <c r="G15" i="2"/>
  <c r="G27" i="2"/>
  <c r="H15" i="2"/>
  <c r="H27" i="2"/>
  <c r="Q27" i="2"/>
  <c r="Q15" i="2"/>
  <c r="T21" i="2"/>
  <c r="C15" i="2"/>
  <c r="C27" i="2"/>
  <c r="B15" i="2"/>
  <c r="B27" i="2"/>
  <c r="V3" i="2"/>
  <c r="V5" i="2" s="1"/>
  <c r="U18" i="2"/>
  <c r="U23" i="2"/>
  <c r="U24" i="2"/>
  <c r="I15" i="2"/>
  <c r="I27" i="2"/>
  <c r="F15" i="2"/>
  <c r="F27" i="2"/>
  <c r="E15" i="2"/>
  <c r="E27" i="2"/>
  <c r="R14" i="2"/>
  <c r="R26" i="2"/>
  <c r="S25" i="2"/>
  <c r="T22" i="2"/>
  <c r="T9" i="2"/>
  <c r="T10" i="2" s="1"/>
  <c r="K12" i="2"/>
  <c r="K25" i="2"/>
  <c r="R19" i="2" l="1"/>
  <c r="L9" i="1"/>
  <c r="R61" i="2"/>
  <c r="R60" i="2"/>
  <c r="V24" i="2"/>
  <c r="V18" i="2"/>
  <c r="W3" i="2"/>
  <c r="W5" i="2" s="1"/>
  <c r="V23" i="2"/>
  <c r="V21" i="2"/>
  <c r="R27" i="2"/>
  <c r="R15" i="2"/>
  <c r="T25" i="2"/>
  <c r="K14" i="2"/>
  <c r="K19" i="2" s="1"/>
  <c r="K26" i="2"/>
  <c r="U22" i="2"/>
  <c r="U9" i="2"/>
  <c r="U10" i="2" s="1"/>
  <c r="U21" i="2"/>
  <c r="U25" i="2" l="1"/>
  <c r="K15" i="2"/>
  <c r="K27" i="2"/>
  <c r="X3" i="2"/>
  <c r="X5" i="2" s="1"/>
  <c r="W21" i="2"/>
  <c r="W18" i="2"/>
  <c r="W24" i="2"/>
  <c r="W23" i="2"/>
  <c r="V22" i="2"/>
  <c r="V9" i="2"/>
  <c r="V10" i="2" s="1"/>
  <c r="X23" i="2" l="1"/>
  <c r="X18" i="2"/>
  <c r="X21" i="2"/>
  <c r="X24" i="2"/>
  <c r="Y3" i="2"/>
  <c r="Y5" i="2" s="1"/>
  <c r="V25" i="2"/>
  <c r="W22" i="2"/>
  <c r="W9" i="2"/>
  <c r="W10" i="2" s="1"/>
  <c r="W25" i="2" l="1"/>
  <c r="Y24" i="2"/>
  <c r="Y23" i="2"/>
  <c r="Y18" i="2"/>
  <c r="Z3" i="2"/>
  <c r="Z5" i="2" s="1"/>
  <c r="X22" i="2"/>
  <c r="X9" i="2"/>
  <c r="X10" i="2" s="1"/>
  <c r="X25" i="2" l="1"/>
  <c r="Y21" i="2"/>
  <c r="Z23" i="2"/>
  <c r="Z18" i="2"/>
  <c r="AA3" i="2"/>
  <c r="AA5" i="2" s="1"/>
  <c r="Z21" i="2"/>
  <c r="Z24" i="2"/>
  <c r="Y22" i="2"/>
  <c r="Y9" i="2"/>
  <c r="Y10" i="2" s="1"/>
  <c r="Y25" i="2" l="1"/>
  <c r="Z22" i="2"/>
  <c r="Z9" i="2"/>
  <c r="Z10" i="2" s="1"/>
  <c r="AA18" i="2"/>
  <c r="AA24" i="2"/>
  <c r="AA23" i="2"/>
  <c r="AB3" i="2"/>
  <c r="AB5" i="2" s="1"/>
  <c r="AA21" i="2"/>
  <c r="Z25" i="2" l="1"/>
  <c r="AA22" i="2"/>
  <c r="AA9" i="2"/>
  <c r="AA10" i="2" s="1"/>
  <c r="AB23" i="2"/>
  <c r="AB21" i="2"/>
  <c r="AC3" i="2"/>
  <c r="AC5" i="2" s="1"/>
  <c r="AB24" i="2"/>
  <c r="AB18" i="2"/>
  <c r="AA25" i="2" l="1"/>
  <c r="AB22" i="2"/>
  <c r="AB9" i="2"/>
  <c r="AB10" i="2" s="1"/>
  <c r="AC21" i="2"/>
  <c r="AC23" i="2"/>
  <c r="AC18" i="2"/>
  <c r="AD3" i="2"/>
  <c r="AD5" i="2" s="1"/>
  <c r="AC24" i="2"/>
  <c r="AB25" i="2" l="1"/>
  <c r="AC22" i="2"/>
  <c r="AC9" i="2"/>
  <c r="AC10" i="2" s="1"/>
  <c r="AE3" i="2"/>
  <c r="AE5" i="2" s="1"/>
  <c r="AD23" i="2"/>
  <c r="AD18" i="2"/>
  <c r="AD24" i="2"/>
  <c r="AE18" i="2" l="1"/>
  <c r="AF3" i="2"/>
  <c r="AF5" i="2" s="1"/>
  <c r="AE21" i="2"/>
  <c r="AE24" i="2"/>
  <c r="AE23" i="2"/>
  <c r="AD22" i="2"/>
  <c r="AD9" i="2"/>
  <c r="AD10" i="2" s="1"/>
  <c r="AC25" i="2"/>
  <c r="AD21" i="2"/>
  <c r="AD25" i="2" l="1"/>
  <c r="AE22" i="2"/>
  <c r="AE9" i="2"/>
  <c r="AE10" i="2" s="1"/>
  <c r="AG3" i="2"/>
  <c r="AG5" i="2" s="1"/>
  <c r="AF18" i="2"/>
  <c r="AF23" i="2"/>
  <c r="AF24" i="2"/>
  <c r="AE25" i="2" l="1"/>
  <c r="AF21" i="2"/>
  <c r="AF22" i="2"/>
  <c r="AF9" i="2"/>
  <c r="AF10" i="2" s="1"/>
  <c r="AH3" i="2"/>
  <c r="AH5" i="2" s="1"/>
  <c r="AG18" i="2"/>
  <c r="AG24" i="2"/>
  <c r="AG23" i="2"/>
  <c r="AF25" i="2" l="1"/>
  <c r="AG21" i="2"/>
  <c r="AG22" i="2"/>
  <c r="AG9" i="2"/>
  <c r="AG10" i="2" s="1"/>
  <c r="AH21" i="2"/>
  <c r="AH23" i="2"/>
  <c r="AH24" i="2"/>
  <c r="AH18" i="2"/>
  <c r="AI3" i="2"/>
  <c r="AI5" i="2" s="1"/>
  <c r="AG25" i="2" l="1"/>
  <c r="AJ3" i="2"/>
  <c r="AJ5" i="2" s="1"/>
  <c r="AI23" i="2"/>
  <c r="AI24" i="2"/>
  <c r="AI18" i="2"/>
  <c r="AH9" i="2"/>
  <c r="AH10" i="2" s="1"/>
  <c r="AH22" i="2"/>
  <c r="AI21" i="2" l="1"/>
  <c r="AJ18" i="2"/>
  <c r="AJ23" i="2"/>
  <c r="AJ24" i="2"/>
  <c r="AH25" i="2"/>
  <c r="AI9" i="2"/>
  <c r="AI10" i="2" s="1"/>
  <c r="AI22" i="2"/>
  <c r="AI25" i="2" l="1"/>
  <c r="AJ21" i="2"/>
  <c r="AJ22" i="2"/>
  <c r="AJ9" i="2"/>
  <c r="AJ10" i="2" s="1"/>
  <c r="AJ25" i="2" l="1"/>
  <c r="S12" i="2" l="1"/>
  <c r="S13" i="2" l="1"/>
  <c r="S26" i="2" s="1"/>
  <c r="S14" i="2" l="1"/>
  <c r="S33" i="2" l="1"/>
  <c r="T11" i="2" s="1"/>
  <c r="T12" i="2" s="1"/>
  <c r="S27" i="2"/>
  <c r="S19" i="2"/>
  <c r="S15" i="2"/>
  <c r="T13" i="2" l="1"/>
  <c r="T26" i="2" s="1"/>
  <c r="T14" i="2" l="1"/>
  <c r="T33" i="2" l="1"/>
  <c r="T15" i="2"/>
  <c r="T27" i="2"/>
  <c r="T19" i="2"/>
  <c r="U11" i="2" l="1"/>
  <c r="U12" i="2" s="1"/>
  <c r="U13" i="2" l="1"/>
  <c r="U26" i="2" s="1"/>
  <c r="U14" i="2" l="1"/>
  <c r="U33" i="2" l="1"/>
  <c r="U19" i="2"/>
  <c r="U15" i="2"/>
  <c r="U27" i="2"/>
  <c r="V11" i="2" l="1"/>
  <c r="V12" i="2" s="1"/>
  <c r="V13" i="2" l="1"/>
  <c r="V26" i="2" s="1"/>
  <c r="V14" i="2"/>
  <c r="V33" i="2" l="1"/>
  <c r="V19" i="2"/>
  <c r="V27" i="2"/>
  <c r="V15" i="2"/>
  <c r="W11" i="2" l="1"/>
  <c r="W12" i="2" s="1"/>
  <c r="W13" i="2" l="1"/>
  <c r="W26" i="2" s="1"/>
  <c r="W14" i="2" l="1"/>
  <c r="W33" i="2" s="1"/>
  <c r="W15" i="2" l="1"/>
  <c r="W27" i="2"/>
  <c r="W19" i="2"/>
  <c r="X11" i="2" l="1"/>
  <c r="X12" i="2" s="1"/>
  <c r="X13" i="2" l="1"/>
  <c r="X26" i="2" s="1"/>
  <c r="X14" i="2" l="1"/>
  <c r="X33" i="2" s="1"/>
  <c r="X15" i="2"/>
  <c r="X19" i="2"/>
  <c r="X27" i="2" l="1"/>
  <c r="Y11" i="2"/>
  <c r="Y12" i="2" s="1"/>
  <c r="Y13" i="2" l="1"/>
  <c r="Y26" i="2" s="1"/>
  <c r="Y14" i="2" l="1"/>
  <c r="Y33" i="2" s="1"/>
  <c r="Y15" i="2"/>
  <c r="Y27" i="2"/>
  <c r="Y19" i="2"/>
  <c r="Z11" i="2" l="1"/>
  <c r="Z12" i="2" s="1"/>
  <c r="Z13" i="2" l="1"/>
  <c r="Z26" i="2" s="1"/>
  <c r="Z14" i="2" l="1"/>
  <c r="Z33" i="2" s="1"/>
  <c r="Z19" i="2" l="1"/>
  <c r="Z27" i="2"/>
  <c r="Z15" i="2"/>
  <c r="AA11" i="2" l="1"/>
  <c r="AA12" i="2" s="1"/>
  <c r="AA13" i="2" l="1"/>
  <c r="AA26" i="2" s="1"/>
  <c r="AA14" i="2" l="1"/>
  <c r="AA33" i="2" s="1"/>
  <c r="AA27" i="2" l="1"/>
  <c r="AA19" i="2"/>
  <c r="AA15" i="2"/>
  <c r="AB11" i="2"/>
  <c r="AB12" i="2" s="1"/>
  <c r="AB13" i="2" l="1"/>
  <c r="AB26" i="2" s="1"/>
  <c r="AB14" i="2" l="1"/>
  <c r="AB33" i="2" s="1"/>
  <c r="AB27" i="2" l="1"/>
  <c r="AB15" i="2"/>
  <c r="AB19" i="2"/>
  <c r="AC11" i="2" l="1"/>
  <c r="AC12" i="2" s="1"/>
  <c r="AC13" i="2" l="1"/>
  <c r="AC26" i="2" s="1"/>
  <c r="AC14" i="2" l="1"/>
  <c r="AC33" i="2" s="1"/>
  <c r="AC27" i="2" l="1"/>
  <c r="AC15" i="2"/>
  <c r="AC19" i="2"/>
  <c r="AD11" i="2" l="1"/>
  <c r="AD12" i="2" s="1"/>
  <c r="AD13" i="2" l="1"/>
  <c r="AD26" i="2" s="1"/>
  <c r="AD14" i="2" l="1"/>
  <c r="AD33" i="2" s="1"/>
  <c r="AD15" i="2" l="1"/>
  <c r="AD27" i="2"/>
  <c r="AD19" i="2"/>
  <c r="AE11" i="2" l="1"/>
  <c r="AE12" i="2" s="1"/>
  <c r="AE13" i="2" l="1"/>
  <c r="AE26" i="2" s="1"/>
  <c r="AE14" i="2" l="1"/>
  <c r="AE33" i="2" s="1"/>
  <c r="AE15" i="2" l="1"/>
  <c r="AE27" i="2"/>
  <c r="AE19" i="2"/>
  <c r="AF11" i="2" l="1"/>
  <c r="AF12" i="2" s="1"/>
  <c r="AF13" i="2" l="1"/>
  <c r="AF26" i="2" s="1"/>
  <c r="AF14" i="2" l="1"/>
  <c r="AF33" i="2" s="1"/>
  <c r="AF27" i="2" l="1"/>
  <c r="AF15" i="2"/>
  <c r="AF19" i="2"/>
  <c r="AG11" i="2" l="1"/>
  <c r="AG12" i="2" s="1"/>
  <c r="AG13" i="2" l="1"/>
  <c r="AG26" i="2" s="1"/>
  <c r="AG14" i="2" l="1"/>
  <c r="AG33" i="2" s="1"/>
  <c r="AG27" i="2" l="1"/>
  <c r="AG19" i="2"/>
  <c r="AG15" i="2"/>
  <c r="AH11" i="2" l="1"/>
  <c r="AH12" i="2" s="1"/>
  <c r="AH13" i="2" l="1"/>
  <c r="AH26" i="2" s="1"/>
  <c r="AH14" i="2" l="1"/>
  <c r="AH33" i="2" s="1"/>
  <c r="AH27" i="2" l="1"/>
  <c r="AH15" i="2"/>
  <c r="AH19" i="2"/>
  <c r="AI11" i="2" l="1"/>
  <c r="AI12" i="2" s="1"/>
  <c r="AI13" i="2" l="1"/>
  <c r="AI26" i="2" s="1"/>
  <c r="AI14" i="2" l="1"/>
  <c r="AI33" i="2" s="1"/>
  <c r="AI27" i="2" l="1"/>
  <c r="AI19" i="2"/>
  <c r="AI15" i="2"/>
  <c r="AJ11" i="2" l="1"/>
  <c r="AJ12" i="2" s="1"/>
  <c r="AJ13" i="2" l="1"/>
  <c r="AJ26" i="2" s="1"/>
  <c r="AJ14" i="2" l="1"/>
  <c r="AJ27" i="2"/>
  <c r="AJ33" i="2" l="1"/>
  <c r="AK14" i="2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N18" i="2" s="1"/>
  <c r="N20" i="2" s="1"/>
  <c r="N21" i="2" s="1"/>
  <c r="N23" i="2" s="1"/>
  <c r="AJ19" i="2"/>
  <c r="AJ15" i="2"/>
</calcChain>
</file>

<file path=xl/sharedStrings.xml><?xml version="1.0" encoding="utf-8"?>
<sst xmlns="http://schemas.openxmlformats.org/spreadsheetml/2006/main" count="92" uniqueCount="71">
  <si>
    <t>META</t>
  </si>
  <si>
    <t>Price</t>
  </si>
  <si>
    <t>Shares</t>
  </si>
  <si>
    <t>MC</t>
  </si>
  <si>
    <t>Cash</t>
  </si>
  <si>
    <t>Debt</t>
  </si>
  <si>
    <t>EV</t>
  </si>
  <si>
    <t>Q24</t>
  </si>
  <si>
    <t>1.35T</t>
  </si>
  <si>
    <t>Revenue</t>
  </si>
  <si>
    <t xml:space="preserve"> 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</si>
  <si>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</si>
  <si>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</si>
  <si>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</si>
  <si>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</si>
  <si>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</si>
  <si>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</si>
  <si>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</si>
  <si>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</si>
  <si>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</si>
  <si>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Cost of revenue</t>
  </si>
  <si>
    <t>Gross Margin</t>
  </si>
  <si>
    <t>RD</t>
  </si>
  <si>
    <t>MS</t>
  </si>
  <si>
    <t>GA</t>
  </si>
  <si>
    <t>Operating Profit</t>
  </si>
  <si>
    <t>Interest income</t>
  </si>
  <si>
    <t>Pretaxe</t>
  </si>
  <si>
    <t>Taxes</t>
  </si>
  <si>
    <t>Net Income</t>
  </si>
  <si>
    <t>EPS</t>
  </si>
  <si>
    <t>OPEX</t>
  </si>
  <si>
    <t>Q122</t>
  </si>
  <si>
    <t>revenue y/y</t>
  </si>
  <si>
    <t>ROIC</t>
  </si>
  <si>
    <t>MR</t>
  </si>
  <si>
    <t>DR</t>
  </si>
  <si>
    <t>NPV</t>
  </si>
  <si>
    <t>True value</t>
  </si>
  <si>
    <t>Per share</t>
  </si>
  <si>
    <t>Current value</t>
  </si>
  <si>
    <t>Ratio</t>
  </si>
  <si>
    <t>Operating Margin</t>
  </si>
  <si>
    <t>RD %</t>
  </si>
  <si>
    <t>MS %</t>
  </si>
  <si>
    <t>GA%</t>
  </si>
  <si>
    <t>Taxe Rate</t>
  </si>
  <si>
    <t>Net Margin</t>
  </si>
  <si>
    <t>NC</t>
  </si>
  <si>
    <t xml:space="preserve">Cash </t>
  </si>
  <si>
    <t>Assets</t>
  </si>
  <si>
    <t>A/R</t>
  </si>
  <si>
    <t>OCA</t>
  </si>
  <si>
    <t>Equity Securities</t>
  </si>
  <si>
    <t>PPE</t>
  </si>
  <si>
    <t>OLA</t>
  </si>
  <si>
    <t>Intangibles</t>
  </si>
  <si>
    <t>Other</t>
  </si>
  <si>
    <t>A/P</t>
  </si>
  <si>
    <t>P/P</t>
  </si>
  <si>
    <t>OLL</t>
  </si>
  <si>
    <t>AE</t>
  </si>
  <si>
    <t>ONCLL</t>
  </si>
  <si>
    <t>Líabilities</t>
  </si>
  <si>
    <t>S/E</t>
  </si>
  <si>
    <t>L+S/E</t>
  </si>
  <si>
    <t>Net Cash</t>
  </si>
  <si>
    <t>ROA</t>
  </si>
  <si>
    <t>ROE</t>
  </si>
  <si>
    <t>NI y/y/</t>
  </si>
  <si>
    <t>EV/E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</si>
</sst>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000000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3" fontId="0" fillId="2" borderId="0" xfId="0" applyNumberFormat="1" applyFill="1"/>
    <xf numFmtId="8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53340</xdr:rowOff>
    </xdr:from>
    <xdr:to>
      <xdr:col>11</xdr:col>
      <xdr:colOff>7620</xdr:colOff>
      <xdr:row>32</xdr:row>
      <xdr:rowOff>106680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5BA44343-9DBC-E0B6-7DFD-0271366DA2B9}"/>
            </a:ext>
          </a:extLst>
        </xdr:cNvPr>
        <xdr:cNvCxnSpPr/>
      </xdr:nvCxnSpPr>
      <xdr:spPr>
        <a:xfrm>
          <a:off x="8298180" y="53340"/>
          <a:ext cx="0" cy="5486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0</xdr:row>
      <xdr:rowOff>60960</xdr:rowOff>
    </xdr:from>
    <xdr:to>
      <xdr:col>18</xdr:col>
      <xdr:colOff>0</xdr:colOff>
      <xdr:row>32</xdr:row>
      <xdr:rowOff>114300</xdr:rowOff>
    </xdr:to>
    <xdr:cxnSp macro="">
      <xdr:nvCxnSpPr>
        <xdr:cNvPr id="4" name="Conexão reta 3">
          <a:extLst>
            <a:ext uri="{FF2B5EF4-FFF2-40B4-BE49-F238E27FC236}">
              <a16:creationId xmlns:a16="http://schemas.microsoft.com/office/drawing/2014/main" id="{EB626176-F129-4BA2-B233-260AEF30A47E}"/>
            </a:ext>
          </a:extLst>
        </xdr:cNvPr>
        <xdr:cNvCxnSpPr/>
      </xdr:nvCxnSpPr>
      <xdr:spPr>
        <a:xfrm>
          <a:off x="15224760" y="60960"/>
          <a:ext cx="0" cy="566166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E39A-A4CD-4185-A30A-7652841AFB33}">
  <dimension ref="B2:M9"/>
  <sheetViews>
    <sheetView topLeftCell="D1" workbookViewId="0">
      <selection activeCell="K10" sqref="K10"/>
    </sheetView>
  </sheetViews>
  <sheetFormatPr defaultRowHeight="13.8" x14ac:dyDescent="0.25"/>
  <cols>
    <col min="13" max="13" width="9.5" bestFit="1" customWidth="1"/>
  </cols>
  <sheetData>
    <row r="2" spans="2:13" x14ac:dyDescent="0.25">
      <c r="B2" s="2" t="s">
        <v>0</v>
      </c>
      <c r="K2" t="s">
        <v>1</v>
      </c>
      <c r="L2" s="3">
        <v>537.5</v>
      </c>
    </row>
    <row r="3" spans="2:13" x14ac:dyDescent="0.25">
      <c r="K3" t="s">
        <v>2</v>
      </c>
      <c r="L3" s="3">
        <f>2184.728795+345.087958</f>
        <v>2529.8167530000001</v>
      </c>
      <c r="M3" t="s">
        <v>7</v>
      </c>
    </row>
    <row r="4" spans="2:13" x14ac:dyDescent="0.25">
      <c r="K4" t="s">
        <v>3</v>
      </c>
      <c r="L4" s="3">
        <f>+L2*L3</f>
        <v>1359776.5047375001</v>
      </c>
      <c r="M4" t="s">
        <v>8</v>
      </c>
    </row>
    <row r="5" spans="2:13" x14ac:dyDescent="0.25">
      <c r="K5" t="s">
        <v>4</v>
      </c>
      <c r="L5" s="3">
        <f>32045</f>
        <v>32045</v>
      </c>
      <c r="M5" t="s">
        <v>7</v>
      </c>
    </row>
    <row r="6" spans="2:13" x14ac:dyDescent="0.25">
      <c r="K6" t="s">
        <v>5</v>
      </c>
      <c r="L6" s="3">
        <f>18389</f>
        <v>18389</v>
      </c>
      <c r="M6" t="s">
        <v>7</v>
      </c>
    </row>
    <row r="7" spans="2:13" x14ac:dyDescent="0.25">
      <c r="K7" t="s">
        <v>6</v>
      </c>
      <c r="L7" s="3">
        <f>+L4-L5+L6</f>
        <v>1346120.5047375001</v>
      </c>
    </row>
    <row r="8" spans="2:13" x14ac:dyDescent="0.25">
      <c r="M8" s="3" t="s">
        <v>10</v>
      </c>
    </row>
    <row r="9" spans="2:13" x14ac:dyDescent="0.25">
      <c r="K9" t="s">
        <v>70</v>
      </c>
      <c r="L9" s="10">
        <f>+L7/model!R14</f>
        <v>34.207690316926467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6DA0-8374-4467-8FA3-46D3F4C0B8C0}">
  <dimension ref="A2:BE61"/>
  <sheetViews>
    <sheetView tabSelected="1" workbookViewId="0">
      <pane xSplit="1" ySplit="2" topLeftCell="K13" activePane="bottomRight" state="frozen"/>
      <selection pane="topRight" activeCell="B1" sqref="B1"/>
      <selection pane="bottomLeft" activeCell="A3" sqref="A3"/>
      <selection pane="bottomRight" activeCell="S14" sqref="S14"/>
    </sheetView>
  </sheetViews>
  <sheetFormatPr defaultRowHeight="13.8" x14ac:dyDescent="0.25"/>
  <cols>
    <col min="1" max="1" width="14.8984375" bestFit="1" customWidth="1"/>
    <col min="2" max="2" width="14.796875" customWidth="1"/>
    <col min="12" max="12" width="11.69921875" bestFit="1" customWidth="1"/>
    <col min="13" max="13" width="17.59765625" bestFit="1" customWidth="1"/>
    <col min="14" max="15" width="17.59765625" customWidth="1"/>
    <col min="19" max="19" width="9" bestFit="1" customWidth="1"/>
  </cols>
  <sheetData>
    <row r="2" spans="1:57" x14ac:dyDescent="0.25">
      <c r="A2" t="s">
        <v>10</v>
      </c>
      <c r="B2" t="s">
        <v>32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Q2">
        <v>2022</v>
      </c>
      <c r="R2">
        <f>+Q2+1</f>
        <v>2023</v>
      </c>
      <c r="S2">
        <f t="shared" ref="S2:AJ2" si="0">+R2+1</f>
        <v>2024</v>
      </c>
      <c r="T2">
        <f t="shared" si="0"/>
        <v>2025</v>
      </c>
      <c r="U2">
        <f t="shared" si="0"/>
        <v>2026</v>
      </c>
      <c r="V2">
        <f t="shared" si="0"/>
        <v>2027</v>
      </c>
      <c r="W2">
        <f t="shared" si="0"/>
        <v>2028</v>
      </c>
      <c r="X2">
        <f t="shared" si="0"/>
        <v>2029</v>
      </c>
      <c r="Y2">
        <f t="shared" si="0"/>
        <v>2030</v>
      </c>
      <c r="Z2">
        <f t="shared" si="0"/>
        <v>2031</v>
      </c>
      <c r="AA2">
        <f t="shared" si="0"/>
        <v>2032</v>
      </c>
      <c r="AB2">
        <f t="shared" si="0"/>
        <v>2033</v>
      </c>
      <c r="AC2">
        <f t="shared" si="0"/>
        <v>2034</v>
      </c>
      <c r="AD2">
        <f t="shared" si="0"/>
        <v>2035</v>
      </c>
      <c r="AE2">
        <f t="shared" si="0"/>
        <v>2036</v>
      </c>
      <c r="AF2">
        <f t="shared" si="0"/>
        <v>2037</v>
      </c>
      <c r="AG2">
        <f t="shared" si="0"/>
        <v>2038</v>
      </c>
      <c r="AH2">
        <f t="shared" si="0"/>
        <v>2039</v>
      </c>
      <c r="AI2">
        <f t="shared" si="0"/>
        <v>2040</v>
      </c>
      <c r="AJ2">
        <f t="shared" si="0"/>
        <v>2041</v>
      </c>
    </row>
    <row r="3" spans="1:57" s="4" customFormat="1" x14ac:dyDescent="0.25">
      <c r="A3" s="1" t="s">
        <v>9</v>
      </c>
      <c r="B3" s="4">
        <v>27908</v>
      </c>
      <c r="C3" s="4">
        <v>28822</v>
      </c>
      <c r="D3" s="4">
        <v>27714</v>
      </c>
      <c r="E3" s="4">
        <v>32165</v>
      </c>
      <c r="F3" s="4">
        <v>28645</v>
      </c>
      <c r="G3" s="4">
        <v>31999</v>
      </c>
      <c r="H3" s="4">
        <v>34146</v>
      </c>
      <c r="I3" s="4">
        <v>40111</v>
      </c>
      <c r="J3" s="4">
        <v>36455</v>
      </c>
      <c r="K3" s="4">
        <v>39071</v>
      </c>
      <c r="Q3" s="4">
        <f>SUM(B3:E3)</f>
        <v>116609</v>
      </c>
      <c r="R3" s="4">
        <f>SUM(F3:I3)</f>
        <v>134901</v>
      </c>
      <c r="S3" s="4">
        <f t="shared" ref="S3:AJ3" si="1">+R3*(1-$N$16)</f>
        <v>141646.05000000002</v>
      </c>
      <c r="T3" s="4">
        <f t="shared" si="1"/>
        <v>148728.35250000004</v>
      </c>
      <c r="U3" s="4">
        <f t="shared" si="1"/>
        <v>156164.77012500004</v>
      </c>
      <c r="V3" s="4">
        <f t="shared" si="1"/>
        <v>163973.00863125004</v>
      </c>
      <c r="W3" s="4">
        <f t="shared" si="1"/>
        <v>172171.65906281254</v>
      </c>
      <c r="X3" s="4">
        <f t="shared" si="1"/>
        <v>180780.24201595318</v>
      </c>
      <c r="Y3" s="4">
        <f t="shared" si="1"/>
        <v>189819.25411675085</v>
      </c>
      <c r="Z3" s="4">
        <f t="shared" si="1"/>
        <v>199310.21682258841</v>
      </c>
      <c r="AA3" s="4">
        <f t="shared" si="1"/>
        <v>209275.72766371784</v>
      </c>
      <c r="AB3" s="4">
        <f t="shared" si="1"/>
        <v>219739.51404690376</v>
      </c>
      <c r="AC3" s="4">
        <f t="shared" si="1"/>
        <v>230726.48974924895</v>
      </c>
      <c r="AD3" s="4">
        <f t="shared" si="1"/>
        <v>242262.81423671142</v>
      </c>
      <c r="AE3" s="4">
        <f t="shared" si="1"/>
        <v>254375.95494854701</v>
      </c>
      <c r="AF3" s="4">
        <f t="shared" si="1"/>
        <v>267094.75269597437</v>
      </c>
      <c r="AG3" s="4">
        <f t="shared" si="1"/>
        <v>280449.49033077311</v>
      </c>
      <c r="AH3" s="4">
        <f t="shared" si="1"/>
        <v>294471.96484731178</v>
      </c>
      <c r="AI3" s="4">
        <f t="shared" si="1"/>
        <v>309195.56308967737</v>
      </c>
      <c r="AJ3" s="4">
        <f t="shared" si="1"/>
        <v>324655.34124416125</v>
      </c>
    </row>
    <row r="4" spans="1:57" s="3" customFormat="1" x14ac:dyDescent="0.25">
      <c r="A4" t="s">
        <v>20</v>
      </c>
      <c r="B4" s="3">
        <v>6005</v>
      </c>
      <c r="C4" s="3">
        <v>5192</v>
      </c>
      <c r="D4" s="3">
        <v>5716</v>
      </c>
      <c r="E4" s="3">
        <v>8336</v>
      </c>
      <c r="F4" s="3">
        <v>6108</v>
      </c>
      <c r="G4" s="3">
        <v>5945</v>
      </c>
      <c r="H4" s="3">
        <v>6210</v>
      </c>
      <c r="I4" s="3">
        <v>7695</v>
      </c>
      <c r="J4" s="3">
        <v>6640</v>
      </c>
      <c r="K4" s="3">
        <v>7308</v>
      </c>
      <c r="N4" s="3" t="s">
        <v>10</v>
      </c>
      <c r="Q4" s="3">
        <f>SUM(B4:E4)</f>
        <v>25249</v>
      </c>
      <c r="R4" s="3">
        <f>SUM(F4:I4)</f>
        <v>25958</v>
      </c>
      <c r="S4" s="3">
        <f>+R4*1.05</f>
        <v>27255.9</v>
      </c>
      <c r="T4" s="3">
        <f t="shared" ref="T4:AJ4" si="2">+S4*1.05</f>
        <v>28618.695000000003</v>
      </c>
      <c r="U4" s="3">
        <f t="shared" si="2"/>
        <v>30049.629750000004</v>
      </c>
      <c r="V4" s="3">
        <f t="shared" si="2"/>
        <v>31552.111237500005</v>
      </c>
      <c r="W4" s="3">
        <f t="shared" si="2"/>
        <v>33129.716799375004</v>
      </c>
      <c r="X4" s="3">
        <f t="shared" si="2"/>
        <v>34786.202639343755</v>
      </c>
      <c r="Y4" s="3">
        <f t="shared" si="2"/>
        <v>36525.512771310947</v>
      </c>
      <c r="Z4" s="3">
        <f t="shared" si="2"/>
        <v>38351.788409876499</v>
      </c>
      <c r="AA4" s="3">
        <f t="shared" si="2"/>
        <v>40269.377830370322</v>
      </c>
      <c r="AB4" s="3">
        <f t="shared" si="2"/>
        <v>42282.84672188884</v>
      </c>
      <c r="AC4" s="3">
        <f t="shared" si="2"/>
        <v>44396.989057983286</v>
      </c>
      <c r="AD4" s="3">
        <f t="shared" si="2"/>
        <v>46616.838510882451</v>
      </c>
      <c r="AE4" s="3">
        <f t="shared" si="2"/>
        <v>48947.680436426577</v>
      </c>
      <c r="AF4" s="3">
        <f t="shared" si="2"/>
        <v>51395.064458247907</v>
      </c>
      <c r="AG4" s="3">
        <f t="shared" si="2"/>
        <v>53964.817681160304</v>
      </c>
      <c r="AH4" s="3">
        <f t="shared" si="2"/>
        <v>56663.058565218322</v>
      </c>
      <c r="AI4" s="3">
        <f t="shared" si="2"/>
        <v>59496.211493479241</v>
      </c>
      <c r="AJ4" s="3">
        <f t="shared" si="2"/>
        <v>62471.022068153208</v>
      </c>
    </row>
    <row r="5" spans="1:57" s="4" customFormat="1" x14ac:dyDescent="0.25">
      <c r="A5" s="1" t="s">
        <v>21</v>
      </c>
      <c r="B5" s="4">
        <f t="shared" ref="B5:K5" si="3">+B3-B4</f>
        <v>21903</v>
      </c>
      <c r="C5" s="4">
        <f t="shared" si="3"/>
        <v>23630</v>
      </c>
      <c r="D5" s="4">
        <f t="shared" si="3"/>
        <v>21998</v>
      </c>
      <c r="E5" s="4">
        <f t="shared" si="3"/>
        <v>23829</v>
      </c>
      <c r="F5" s="4">
        <f t="shared" si="3"/>
        <v>22537</v>
      </c>
      <c r="G5" s="4">
        <f t="shared" si="3"/>
        <v>26054</v>
      </c>
      <c r="H5" s="4">
        <f t="shared" si="3"/>
        <v>27936</v>
      </c>
      <c r="I5" s="4">
        <f t="shared" si="3"/>
        <v>32416</v>
      </c>
      <c r="J5" s="4">
        <f t="shared" si="3"/>
        <v>29815</v>
      </c>
      <c r="K5" s="4">
        <f t="shared" si="3"/>
        <v>31763</v>
      </c>
      <c r="O5" s="4" t="s">
        <v>10</v>
      </c>
      <c r="Q5" s="4">
        <f>+Q3-Q4</f>
        <v>91360</v>
      </c>
      <c r="R5" s="4">
        <f>+R3-R4</f>
        <v>108943</v>
      </c>
      <c r="S5" s="4">
        <f t="shared" ref="S5:AJ5" si="4">+S3-S4</f>
        <v>114390.15000000002</v>
      </c>
      <c r="T5" s="4">
        <f t="shared" si="4"/>
        <v>120109.65750000003</v>
      </c>
      <c r="U5" s="4">
        <f t="shared" si="4"/>
        <v>126115.14037500003</v>
      </c>
      <c r="V5" s="4">
        <f t="shared" si="4"/>
        <v>132420.89739375003</v>
      </c>
      <c r="W5" s="4">
        <f t="shared" si="4"/>
        <v>139041.94226343755</v>
      </c>
      <c r="X5" s="4">
        <f t="shared" si="4"/>
        <v>145994.03937660943</v>
      </c>
      <c r="Y5" s="4">
        <f t="shared" si="4"/>
        <v>153293.74134543989</v>
      </c>
      <c r="Z5" s="4">
        <f t="shared" si="4"/>
        <v>160958.42841271192</v>
      </c>
      <c r="AA5" s="4">
        <f t="shared" si="4"/>
        <v>169006.34983334751</v>
      </c>
      <c r="AB5" s="4">
        <f t="shared" si="4"/>
        <v>177456.66732501492</v>
      </c>
      <c r="AC5" s="4">
        <f t="shared" si="4"/>
        <v>186329.50069126568</v>
      </c>
      <c r="AD5" s="4">
        <f t="shared" si="4"/>
        <v>195645.97572582896</v>
      </c>
      <c r="AE5" s="4">
        <f t="shared" si="4"/>
        <v>205428.27451212044</v>
      </c>
      <c r="AF5" s="4">
        <f t="shared" si="4"/>
        <v>215699.68823772646</v>
      </c>
      <c r="AG5" s="4">
        <f t="shared" si="4"/>
        <v>226484.67264961282</v>
      </c>
      <c r="AH5" s="4">
        <f t="shared" si="4"/>
        <v>237808.90628209346</v>
      </c>
      <c r="AI5" s="4">
        <f t="shared" si="4"/>
        <v>249699.35159619813</v>
      </c>
      <c r="AJ5" s="4">
        <f t="shared" si="4"/>
        <v>262184.31917600805</v>
      </c>
    </row>
    <row r="6" spans="1:57" s="3" customFormat="1" x14ac:dyDescent="0.25">
      <c r="A6" t="s">
        <v>22</v>
      </c>
      <c r="B6" s="3">
        <v>7707</v>
      </c>
      <c r="C6" s="3">
        <v>8690</v>
      </c>
      <c r="D6" s="3">
        <v>9170</v>
      </c>
      <c r="E6" s="3">
        <v>9771</v>
      </c>
      <c r="F6" s="3">
        <v>9381</v>
      </c>
      <c r="G6" s="3">
        <v>9344</v>
      </c>
      <c r="H6" s="3">
        <v>9241</v>
      </c>
      <c r="I6" s="3">
        <v>10517</v>
      </c>
      <c r="J6" s="3">
        <v>9978</v>
      </c>
      <c r="K6" s="3">
        <v>10537</v>
      </c>
      <c r="M6" s="3" t="s">
        <v>10</v>
      </c>
      <c r="Q6" s="3">
        <f>SUM(B6:E6)</f>
        <v>35338</v>
      </c>
      <c r="R6" s="3">
        <f>SUM(F6:I6)</f>
        <v>38483</v>
      </c>
      <c r="S6" s="3">
        <f>+R6*1.03</f>
        <v>39637.49</v>
      </c>
      <c r="T6" s="3">
        <f t="shared" ref="T6:AJ6" si="5">+S6*1.03</f>
        <v>40826.614699999998</v>
      </c>
      <c r="U6" s="3">
        <f t="shared" si="5"/>
        <v>42051.413140999997</v>
      </c>
      <c r="V6" s="3">
        <f t="shared" si="5"/>
        <v>43312.955535230001</v>
      </c>
      <c r="W6" s="3">
        <f t="shared" si="5"/>
        <v>44612.344201286905</v>
      </c>
      <c r="X6" s="3">
        <f t="shared" si="5"/>
        <v>45950.714527325516</v>
      </c>
      <c r="Y6" s="3">
        <f t="shared" si="5"/>
        <v>47329.235963145285</v>
      </c>
      <c r="Z6" s="3">
        <f t="shared" si="5"/>
        <v>48749.113042039644</v>
      </c>
      <c r="AA6" s="3">
        <f t="shared" si="5"/>
        <v>50211.586433300836</v>
      </c>
      <c r="AB6" s="3">
        <f t="shared" si="5"/>
        <v>51717.934026299859</v>
      </c>
      <c r="AC6" s="3">
        <f t="shared" si="5"/>
        <v>53269.472047088857</v>
      </c>
      <c r="AD6" s="3">
        <f t="shared" si="5"/>
        <v>54867.556208501526</v>
      </c>
      <c r="AE6" s="3">
        <f t="shared" si="5"/>
        <v>56513.582894756575</v>
      </c>
      <c r="AF6" s="3">
        <f t="shared" si="5"/>
        <v>58208.990381599273</v>
      </c>
      <c r="AG6" s="3">
        <f t="shared" si="5"/>
        <v>59955.260093047254</v>
      </c>
      <c r="AH6" s="3">
        <f t="shared" si="5"/>
        <v>61753.917895838676</v>
      </c>
      <c r="AI6" s="3">
        <f t="shared" si="5"/>
        <v>63606.535432713841</v>
      </c>
      <c r="AJ6" s="3">
        <f t="shared" si="5"/>
        <v>65514.731495695261</v>
      </c>
    </row>
    <row r="7" spans="1:57" s="3" customFormat="1" x14ac:dyDescent="0.25">
      <c r="A7" t="s">
        <v>23</v>
      </c>
      <c r="B7" s="3">
        <v>3312</v>
      </c>
      <c r="C7" s="3">
        <v>3595</v>
      </c>
      <c r="D7" s="3">
        <v>3780</v>
      </c>
      <c r="E7" s="3">
        <v>4574</v>
      </c>
      <c r="F7" s="3">
        <v>3044</v>
      </c>
      <c r="G7" s="3">
        <v>3154</v>
      </c>
      <c r="H7" s="3">
        <v>2877</v>
      </c>
      <c r="I7" s="3">
        <v>3226</v>
      </c>
      <c r="J7" s="3">
        <v>2564</v>
      </c>
      <c r="K7" s="3">
        <v>2721</v>
      </c>
      <c r="Q7" s="3">
        <f>SUM(B7:E7)</f>
        <v>15261</v>
      </c>
      <c r="R7" s="3">
        <f>SUM(F7:I7)</f>
        <v>12301</v>
      </c>
      <c r="S7" s="3">
        <f t="shared" ref="S7:AJ7" si="6">+R7*1.03</f>
        <v>12670.03</v>
      </c>
      <c r="T7" s="3">
        <f t="shared" si="6"/>
        <v>13050.1309</v>
      </c>
      <c r="U7" s="3">
        <f t="shared" si="6"/>
        <v>13441.634827</v>
      </c>
      <c r="V7" s="3">
        <f t="shared" si="6"/>
        <v>13844.88387181</v>
      </c>
      <c r="W7" s="3">
        <f t="shared" si="6"/>
        <v>14260.2303879643</v>
      </c>
      <c r="X7" s="3">
        <f t="shared" si="6"/>
        <v>14688.037299603229</v>
      </c>
      <c r="Y7" s="3">
        <f t="shared" si="6"/>
        <v>15128.678418591326</v>
      </c>
      <c r="Z7" s="3">
        <f t="shared" si="6"/>
        <v>15582.538771149066</v>
      </c>
      <c r="AA7" s="3">
        <f t="shared" si="6"/>
        <v>16050.014934283538</v>
      </c>
      <c r="AB7" s="3">
        <f t="shared" si="6"/>
        <v>16531.515382312045</v>
      </c>
      <c r="AC7" s="3">
        <f t="shared" si="6"/>
        <v>17027.460843781406</v>
      </c>
      <c r="AD7" s="3">
        <f t="shared" si="6"/>
        <v>17538.28466909485</v>
      </c>
      <c r="AE7" s="3">
        <f t="shared" si="6"/>
        <v>18064.433209167695</v>
      </c>
      <c r="AF7" s="3">
        <f t="shared" si="6"/>
        <v>18606.366205442726</v>
      </c>
      <c r="AG7" s="3">
        <f t="shared" si="6"/>
        <v>19164.557191606007</v>
      </c>
      <c r="AH7" s="3">
        <f t="shared" si="6"/>
        <v>19739.493907354186</v>
      </c>
      <c r="AI7" s="3">
        <f t="shared" si="6"/>
        <v>20331.678724574813</v>
      </c>
      <c r="AJ7" s="3">
        <f t="shared" si="6"/>
        <v>20941.629086312059</v>
      </c>
    </row>
    <row r="8" spans="1:57" s="3" customFormat="1" x14ac:dyDescent="0.25">
      <c r="A8" t="s">
        <v>24</v>
      </c>
      <c r="B8" s="3">
        <v>2360</v>
      </c>
      <c r="C8" s="3">
        <v>2987</v>
      </c>
      <c r="D8" s="3">
        <v>3384</v>
      </c>
      <c r="E8" s="3">
        <v>3085</v>
      </c>
      <c r="F8" s="3">
        <v>2885</v>
      </c>
      <c r="G8" s="3">
        <v>4164</v>
      </c>
      <c r="H8" s="3">
        <v>2070</v>
      </c>
      <c r="I8" s="3">
        <v>2289</v>
      </c>
      <c r="J8" s="3">
        <v>3455</v>
      </c>
      <c r="K8" s="3">
        <v>3658</v>
      </c>
      <c r="Q8" s="3">
        <f>SUM(B8:E8)</f>
        <v>11816</v>
      </c>
      <c r="R8" s="3">
        <f>SUM(F8:I8)</f>
        <v>11408</v>
      </c>
      <c r="S8" s="3">
        <f t="shared" ref="S8:AJ8" si="7">+R8*1.03</f>
        <v>11750.24</v>
      </c>
      <c r="T8" s="3">
        <f t="shared" si="7"/>
        <v>12102.7472</v>
      </c>
      <c r="U8" s="3">
        <f t="shared" si="7"/>
        <v>12465.829616000001</v>
      </c>
      <c r="V8" s="3">
        <f t="shared" si="7"/>
        <v>12839.804504480002</v>
      </c>
      <c r="W8" s="3">
        <f t="shared" si="7"/>
        <v>13224.998639614403</v>
      </c>
      <c r="X8" s="3">
        <f t="shared" si="7"/>
        <v>13621.748598802835</v>
      </c>
      <c r="Y8" s="3">
        <f t="shared" si="7"/>
        <v>14030.401056766919</v>
      </c>
      <c r="Z8" s="3">
        <f t="shared" si="7"/>
        <v>14451.313088469928</v>
      </c>
      <c r="AA8" s="3">
        <f t="shared" si="7"/>
        <v>14884.852481124026</v>
      </c>
      <c r="AB8" s="3">
        <f t="shared" si="7"/>
        <v>15331.398055557747</v>
      </c>
      <c r="AC8" s="3">
        <f t="shared" si="7"/>
        <v>15791.339997224481</v>
      </c>
      <c r="AD8" s="3">
        <f t="shared" si="7"/>
        <v>16265.080197141215</v>
      </c>
      <c r="AE8" s="3">
        <f t="shared" si="7"/>
        <v>16753.032603055453</v>
      </c>
      <c r="AF8" s="3">
        <f t="shared" si="7"/>
        <v>17255.623581147116</v>
      </c>
      <c r="AG8" s="3">
        <f t="shared" si="7"/>
        <v>17773.292288581531</v>
      </c>
      <c r="AH8" s="3">
        <f t="shared" si="7"/>
        <v>18306.491057238978</v>
      </c>
      <c r="AI8" s="3">
        <f t="shared" si="7"/>
        <v>18855.685788956147</v>
      </c>
      <c r="AJ8" s="3">
        <f t="shared" si="7"/>
        <v>19421.356362624832</v>
      </c>
    </row>
    <row r="9" spans="1:57" s="3" customFormat="1" x14ac:dyDescent="0.25">
      <c r="A9" t="s">
        <v>31</v>
      </c>
      <c r="B9" s="3">
        <f t="shared" ref="B9:K9" si="8">+B6+B7+B8</f>
        <v>13379</v>
      </c>
      <c r="C9" s="3">
        <f t="shared" si="8"/>
        <v>15272</v>
      </c>
      <c r="D9" s="3">
        <f t="shared" si="8"/>
        <v>16334</v>
      </c>
      <c r="E9" s="3">
        <f t="shared" si="8"/>
        <v>17430</v>
      </c>
      <c r="F9" s="3">
        <f t="shared" si="8"/>
        <v>15310</v>
      </c>
      <c r="G9" s="3">
        <f t="shared" si="8"/>
        <v>16662</v>
      </c>
      <c r="H9" s="3">
        <f t="shared" si="8"/>
        <v>14188</v>
      </c>
      <c r="I9" s="3">
        <f t="shared" si="8"/>
        <v>16032</v>
      </c>
      <c r="J9" s="3">
        <f t="shared" si="8"/>
        <v>15997</v>
      </c>
      <c r="K9" s="3">
        <f t="shared" si="8"/>
        <v>16916</v>
      </c>
      <c r="Q9" s="3">
        <f t="shared" ref="Q9:AJ9" si="9">+Q6+Q7+Q8</f>
        <v>62415</v>
      </c>
      <c r="R9" s="3">
        <f t="shared" si="9"/>
        <v>62192</v>
      </c>
      <c r="S9" s="3">
        <f t="shared" si="9"/>
        <v>64057.759999999995</v>
      </c>
      <c r="T9" s="3">
        <f t="shared" si="9"/>
        <v>65979.492799999993</v>
      </c>
      <c r="U9" s="3">
        <f t="shared" si="9"/>
        <v>67958.877584000002</v>
      </c>
      <c r="V9" s="3">
        <f t="shared" si="9"/>
        <v>69997.643911520005</v>
      </c>
      <c r="W9" s="3">
        <f t="shared" si="9"/>
        <v>72097.573228865615</v>
      </c>
      <c r="X9" s="3">
        <f t="shared" si="9"/>
        <v>74260.500425731589</v>
      </c>
      <c r="Y9" s="3">
        <f t="shared" si="9"/>
        <v>76488.31543850353</v>
      </c>
      <c r="Z9" s="3">
        <f t="shared" si="9"/>
        <v>78782.964901658648</v>
      </c>
      <c r="AA9" s="3">
        <f t="shared" si="9"/>
        <v>81146.453848708392</v>
      </c>
      <c r="AB9" s="3">
        <f t="shared" si="9"/>
        <v>83580.847464169652</v>
      </c>
      <c r="AC9" s="3">
        <f t="shared" si="9"/>
        <v>86088.27288809474</v>
      </c>
      <c r="AD9" s="3">
        <f t="shared" si="9"/>
        <v>88670.921074737591</v>
      </c>
      <c r="AE9" s="3">
        <f t="shared" si="9"/>
        <v>91331.048706979724</v>
      </c>
      <c r="AF9" s="3">
        <f t="shared" si="9"/>
        <v>94070.980168189111</v>
      </c>
      <c r="AG9" s="3">
        <f t="shared" si="9"/>
        <v>96893.109573234789</v>
      </c>
      <c r="AH9" s="3">
        <f t="shared" si="9"/>
        <v>99799.902860431845</v>
      </c>
      <c r="AI9" s="3">
        <f t="shared" si="9"/>
        <v>102793.89994624481</v>
      </c>
      <c r="AJ9" s="3">
        <f t="shared" si="9"/>
        <v>105877.71694463216</v>
      </c>
    </row>
    <row r="10" spans="1:57" s="4" customFormat="1" x14ac:dyDescent="0.25">
      <c r="A10" s="1" t="s">
        <v>25</v>
      </c>
      <c r="B10" s="4">
        <f t="shared" ref="B10:K10" si="10">+B5-B9</f>
        <v>8524</v>
      </c>
      <c r="C10" s="4">
        <f t="shared" si="10"/>
        <v>8358</v>
      </c>
      <c r="D10" s="4">
        <f t="shared" si="10"/>
        <v>5664</v>
      </c>
      <c r="E10" s="4">
        <f t="shared" si="10"/>
        <v>6399</v>
      </c>
      <c r="F10" s="4">
        <f t="shared" si="10"/>
        <v>7227</v>
      </c>
      <c r="G10" s="4">
        <f t="shared" si="10"/>
        <v>9392</v>
      </c>
      <c r="H10" s="4">
        <f t="shared" si="10"/>
        <v>13748</v>
      </c>
      <c r="I10" s="4">
        <f t="shared" si="10"/>
        <v>16384</v>
      </c>
      <c r="J10" s="4">
        <f t="shared" si="10"/>
        <v>13818</v>
      </c>
      <c r="K10" s="4">
        <f t="shared" si="10"/>
        <v>14847</v>
      </c>
      <c r="Q10" s="4">
        <f t="shared" ref="Q10:AJ10" si="11">+Q5-Q9</f>
        <v>28945</v>
      </c>
      <c r="R10" s="4">
        <f t="shared" si="11"/>
        <v>46751</v>
      </c>
      <c r="S10" s="4">
        <f t="shared" si="11"/>
        <v>50332.390000000029</v>
      </c>
      <c r="T10" s="4">
        <f t="shared" si="11"/>
        <v>54130.164700000038</v>
      </c>
      <c r="U10" s="4">
        <f t="shared" si="11"/>
        <v>58156.26279100003</v>
      </c>
      <c r="V10" s="4">
        <f t="shared" si="11"/>
        <v>62423.253482230022</v>
      </c>
      <c r="W10" s="4">
        <f t="shared" si="11"/>
        <v>66944.369034571937</v>
      </c>
      <c r="X10" s="4">
        <f t="shared" si="11"/>
        <v>71733.538950877846</v>
      </c>
      <c r="Y10" s="4">
        <f t="shared" si="11"/>
        <v>76805.425906936362</v>
      </c>
      <c r="Z10" s="4">
        <f t="shared" si="11"/>
        <v>82175.463511053269</v>
      </c>
      <c r="AA10" s="4">
        <f t="shared" si="11"/>
        <v>87859.895984639123</v>
      </c>
      <c r="AB10" s="4">
        <f t="shared" si="11"/>
        <v>93875.819860845266</v>
      </c>
      <c r="AC10" s="4">
        <f t="shared" si="11"/>
        <v>100241.22780317094</v>
      </c>
      <c r="AD10" s="4">
        <f t="shared" si="11"/>
        <v>106975.05465109137</v>
      </c>
      <c r="AE10" s="4">
        <f t="shared" si="11"/>
        <v>114097.22580514071</v>
      </c>
      <c r="AF10" s="4">
        <f t="shared" si="11"/>
        <v>121628.70806953734</v>
      </c>
      <c r="AG10" s="4">
        <f t="shared" si="11"/>
        <v>129591.56307637804</v>
      </c>
      <c r="AH10" s="4">
        <f t="shared" si="11"/>
        <v>138009.00342166162</v>
      </c>
      <c r="AI10" s="4">
        <f t="shared" si="11"/>
        <v>146905.45164995332</v>
      </c>
      <c r="AJ10" s="4">
        <f t="shared" si="11"/>
        <v>156306.60223137587</v>
      </c>
    </row>
    <row r="11" spans="1:57" s="7" customFormat="1" x14ac:dyDescent="0.25">
      <c r="A11" t="s">
        <v>26</v>
      </c>
      <c r="B11" s="7">
        <v>384</v>
      </c>
      <c r="C11" s="7">
        <v>-172</v>
      </c>
      <c r="D11" s="7">
        <v>-88</v>
      </c>
      <c r="E11" s="7">
        <v>-250</v>
      </c>
      <c r="F11" s="7">
        <v>80</v>
      </c>
      <c r="G11" s="7">
        <v>-99</v>
      </c>
      <c r="H11" s="7">
        <v>272</v>
      </c>
      <c r="I11" s="7">
        <v>424</v>
      </c>
      <c r="J11" s="7">
        <v>365</v>
      </c>
      <c r="K11" s="7">
        <v>259</v>
      </c>
      <c r="L11" s="3"/>
      <c r="M11" s="3"/>
      <c r="N11" s="3"/>
      <c r="O11" s="3"/>
      <c r="P11" s="3" t="s">
        <v>10</v>
      </c>
      <c r="Q11" s="7">
        <f>SUM(B11:E11)</f>
        <v>-126</v>
      </c>
      <c r="R11" s="7">
        <f>+(R33*$N$15)</f>
        <v>931.40000000000009</v>
      </c>
      <c r="S11" s="7">
        <f>+R33*$N$15</f>
        <v>931.40000000000009</v>
      </c>
      <c r="T11" s="7">
        <f t="shared" ref="T11:AJ11" si="12">+S33*$N$15</f>
        <v>3033.2153900000012</v>
      </c>
      <c r="U11" s="7">
        <f t="shared" si="12"/>
        <v>5376.9139736900033</v>
      </c>
      <c r="V11" s="7">
        <f t="shared" si="12"/>
        <v>7981.7742210422939</v>
      </c>
      <c r="W11" s="7">
        <f t="shared" si="12"/>
        <v>10868.38035687646</v>
      </c>
      <c r="X11" s="7">
        <f t="shared" si="12"/>
        <v>14058.703081925843</v>
      </c>
      <c r="Y11" s="7">
        <f t="shared" si="12"/>
        <v>17576.185005270796</v>
      </c>
      <c r="Z11" s="7">
        <f t="shared" si="12"/>
        <v>21445.831052671288</v>
      </c>
      <c r="AA11" s="7">
        <f t="shared" si="12"/>
        <v>25694.304129783995</v>
      </c>
      <c r="AB11" s="7">
        <f t="shared" si="12"/>
        <v>30350.026334475344</v>
      </c>
      <c r="AC11" s="7">
        <f t="shared" si="12"/>
        <v>35443.28602848349</v>
      </c>
      <c r="AD11" s="7">
        <f t="shared" si="12"/>
        <v>41006.351095581325</v>
      </c>
      <c r="AE11" s="7">
        <f t="shared" si="12"/>
        <v>47073.588731194905</v>
      </c>
      <c r="AF11" s="7">
        <f t="shared" si="12"/>
        <v>53681.592127184667</v>
      </c>
      <c r="AG11" s="7">
        <f t="shared" si="12"/>
        <v>60869.314435250271</v>
      </c>
      <c r="AH11" s="7">
        <f t="shared" si="12"/>
        <v>68678.210413227018</v>
      </c>
      <c r="AI11" s="7">
        <f t="shared" si="12"/>
        <v>77152.386180457455</v>
      </c>
      <c r="AJ11" s="7">
        <f t="shared" si="12"/>
        <v>86338.757531504292</v>
      </c>
    </row>
    <row r="12" spans="1:57" s="3" customFormat="1" x14ac:dyDescent="0.25">
      <c r="A12" t="s">
        <v>27</v>
      </c>
      <c r="B12" s="3">
        <f t="shared" ref="B12:K12" si="13">+B10+B11</f>
        <v>8908</v>
      </c>
      <c r="C12" s="3">
        <f t="shared" si="13"/>
        <v>8186</v>
      </c>
      <c r="D12" s="3">
        <f t="shared" si="13"/>
        <v>5576</v>
      </c>
      <c r="E12" s="3">
        <f t="shared" si="13"/>
        <v>6149</v>
      </c>
      <c r="F12" s="3">
        <f t="shared" si="13"/>
        <v>7307</v>
      </c>
      <c r="G12" s="3">
        <f t="shared" si="13"/>
        <v>9293</v>
      </c>
      <c r="H12" s="3">
        <f t="shared" si="13"/>
        <v>14020</v>
      </c>
      <c r="I12" s="3">
        <f t="shared" si="13"/>
        <v>16808</v>
      </c>
      <c r="J12" s="3">
        <f t="shared" si="13"/>
        <v>14183</v>
      </c>
      <c r="K12" s="3">
        <f t="shared" si="13"/>
        <v>15106</v>
      </c>
      <c r="Q12" s="3">
        <f t="shared" ref="Q12:AJ12" si="14">+Q10+Q11</f>
        <v>28819</v>
      </c>
      <c r="R12" s="3">
        <f>+R10+R11</f>
        <v>47682.400000000001</v>
      </c>
      <c r="S12" s="3">
        <f>+S10+S11</f>
        <v>51263.79000000003</v>
      </c>
      <c r="T12" s="3">
        <f t="shared" si="14"/>
        <v>57163.380090000035</v>
      </c>
      <c r="U12" s="3">
        <f t="shared" si="14"/>
        <v>63533.176764690033</v>
      </c>
      <c r="V12" s="3">
        <f t="shared" si="14"/>
        <v>70405.02770327231</v>
      </c>
      <c r="W12" s="3">
        <f t="shared" si="14"/>
        <v>77812.749391448393</v>
      </c>
      <c r="X12" s="3">
        <f t="shared" si="14"/>
        <v>85792.242032803682</v>
      </c>
      <c r="Y12" s="3">
        <f t="shared" si="14"/>
        <v>94381.610912207165</v>
      </c>
      <c r="Z12" s="3">
        <f t="shared" si="14"/>
        <v>103621.29456372456</v>
      </c>
      <c r="AA12" s="3">
        <f t="shared" si="14"/>
        <v>113554.20011442312</v>
      </c>
      <c r="AB12" s="3">
        <f t="shared" si="14"/>
        <v>124225.84619532061</v>
      </c>
      <c r="AC12" s="3">
        <f t="shared" si="14"/>
        <v>135684.51383165445</v>
      </c>
      <c r="AD12" s="3">
        <f t="shared" si="14"/>
        <v>147981.40574667271</v>
      </c>
      <c r="AE12" s="3">
        <f t="shared" si="14"/>
        <v>161170.81453633562</v>
      </c>
      <c r="AF12" s="3">
        <f t="shared" si="14"/>
        <v>175310.300196722</v>
      </c>
      <c r="AG12" s="3">
        <f t="shared" si="14"/>
        <v>190460.87751162832</v>
      </c>
      <c r="AH12" s="3">
        <f t="shared" si="14"/>
        <v>206687.21383488865</v>
      </c>
      <c r="AI12" s="3">
        <f t="shared" si="14"/>
        <v>224057.83783041078</v>
      </c>
      <c r="AJ12" s="3">
        <f t="shared" si="14"/>
        <v>242645.35976288017</v>
      </c>
    </row>
    <row r="13" spans="1:57" s="3" customFormat="1" x14ac:dyDescent="0.25">
      <c r="A13" t="s">
        <v>28</v>
      </c>
      <c r="B13" s="3">
        <v>1443</v>
      </c>
      <c r="C13" s="3">
        <v>1499</v>
      </c>
      <c r="D13" s="3">
        <v>1181</v>
      </c>
      <c r="E13" s="3">
        <v>1497</v>
      </c>
      <c r="F13" s="3">
        <v>1598</v>
      </c>
      <c r="G13" s="3">
        <v>1505</v>
      </c>
      <c r="H13" s="3">
        <v>2437</v>
      </c>
      <c r="I13" s="3">
        <v>2791</v>
      </c>
      <c r="J13" s="3">
        <v>1814</v>
      </c>
      <c r="K13" s="3">
        <v>1641</v>
      </c>
      <c r="Q13" s="3">
        <f>SUM(B13:E13)</f>
        <v>5620</v>
      </c>
      <c r="R13" s="3">
        <f>SUM(F13:I13)</f>
        <v>8331</v>
      </c>
      <c r="S13" s="3">
        <f>+S12*0.18</f>
        <v>9227.4822000000058</v>
      </c>
      <c r="T13" s="3">
        <f t="shared" ref="T13:AJ13" si="15">+T12*0.18</f>
        <v>10289.408416200005</v>
      </c>
      <c r="U13" s="3">
        <f t="shared" si="15"/>
        <v>11435.971817644206</v>
      </c>
      <c r="V13" s="3">
        <f t="shared" si="15"/>
        <v>12672.904986589016</v>
      </c>
      <c r="W13" s="3">
        <f t="shared" si="15"/>
        <v>14006.294890460711</v>
      </c>
      <c r="X13" s="3">
        <f t="shared" si="15"/>
        <v>15442.603565904663</v>
      </c>
      <c r="Y13" s="3">
        <f t="shared" si="15"/>
        <v>16988.689964197289</v>
      </c>
      <c r="Z13" s="3">
        <f t="shared" si="15"/>
        <v>18651.833021470418</v>
      </c>
      <c r="AA13" s="3">
        <f t="shared" si="15"/>
        <v>20439.75602059616</v>
      </c>
      <c r="AB13" s="3">
        <f t="shared" si="15"/>
        <v>22360.652315157709</v>
      </c>
      <c r="AC13" s="3">
        <f t="shared" si="15"/>
        <v>24423.212489697798</v>
      </c>
      <c r="AD13" s="3">
        <f t="shared" si="15"/>
        <v>26636.653034401086</v>
      </c>
      <c r="AE13" s="3">
        <f t="shared" si="15"/>
        <v>29010.746616540411</v>
      </c>
      <c r="AF13" s="3">
        <f t="shared" si="15"/>
        <v>31555.85403540996</v>
      </c>
      <c r="AG13" s="3">
        <f t="shared" si="15"/>
        <v>34282.9579520931</v>
      </c>
      <c r="AH13" s="3">
        <f t="shared" si="15"/>
        <v>37203.698490279952</v>
      </c>
      <c r="AI13" s="3">
        <f t="shared" si="15"/>
        <v>40330.410809473935</v>
      </c>
      <c r="AJ13" s="3">
        <f t="shared" si="15"/>
        <v>43676.164757318431</v>
      </c>
    </row>
    <row r="14" spans="1:57" s="4" customFormat="1" x14ac:dyDescent="0.25">
      <c r="A14" s="1" t="s">
        <v>29</v>
      </c>
      <c r="B14" s="4">
        <f t="shared" ref="B14:K14" si="16">+B12-B13</f>
        <v>7465</v>
      </c>
      <c r="C14" s="4">
        <f t="shared" si="16"/>
        <v>6687</v>
      </c>
      <c r="D14" s="4">
        <f t="shared" si="16"/>
        <v>4395</v>
      </c>
      <c r="E14" s="4">
        <f t="shared" si="16"/>
        <v>4652</v>
      </c>
      <c r="F14" s="4">
        <f t="shared" si="16"/>
        <v>5709</v>
      </c>
      <c r="G14" s="4">
        <f t="shared" si="16"/>
        <v>7788</v>
      </c>
      <c r="H14" s="4">
        <f t="shared" si="16"/>
        <v>11583</v>
      </c>
      <c r="I14" s="4">
        <f t="shared" si="16"/>
        <v>14017</v>
      </c>
      <c r="J14" s="4">
        <f t="shared" si="16"/>
        <v>12369</v>
      </c>
      <c r="K14" s="4">
        <f t="shared" si="16"/>
        <v>13465</v>
      </c>
      <c r="P14" s="4" t="s">
        <v>10</v>
      </c>
      <c r="Q14" s="4">
        <f t="shared" ref="Q14:BE14" si="17">+Q12-Q13</f>
        <v>23199</v>
      </c>
      <c r="R14" s="4">
        <f t="shared" si="17"/>
        <v>39351.4</v>
      </c>
      <c r="S14" s="4">
        <f t="shared" si="17"/>
        <v>42036.307800000024</v>
      </c>
      <c r="T14" s="4">
        <f t="shared" si="17"/>
        <v>46873.971673800028</v>
      </c>
      <c r="U14" s="4">
        <f t="shared" si="17"/>
        <v>52097.20494704583</v>
      </c>
      <c r="V14" s="4">
        <f t="shared" si="17"/>
        <v>57732.122716683298</v>
      </c>
      <c r="W14" s="4">
        <f t="shared" si="17"/>
        <v>63806.454500987682</v>
      </c>
      <c r="X14" s="4">
        <f t="shared" si="17"/>
        <v>70349.638466899021</v>
      </c>
      <c r="Y14" s="4">
        <f t="shared" si="17"/>
        <v>77392.92094800988</v>
      </c>
      <c r="Z14" s="4">
        <f t="shared" si="17"/>
        <v>84969.461542254139</v>
      </c>
      <c r="AA14" s="4">
        <f t="shared" si="17"/>
        <v>93114.444093826954</v>
      </c>
      <c r="AB14" s="4">
        <f t="shared" si="17"/>
        <v>101865.1938801629</v>
      </c>
      <c r="AC14" s="4">
        <f t="shared" si="17"/>
        <v>111261.30134195666</v>
      </c>
      <c r="AD14" s="4">
        <f t="shared" si="17"/>
        <v>121344.75271227163</v>
      </c>
      <c r="AE14" s="4">
        <f t="shared" si="17"/>
        <v>132160.0679197952</v>
      </c>
      <c r="AF14" s="4">
        <f t="shared" si="17"/>
        <v>143754.44616131205</v>
      </c>
      <c r="AG14" s="4">
        <f t="shared" si="17"/>
        <v>156177.91955953522</v>
      </c>
      <c r="AH14" s="4">
        <f t="shared" si="17"/>
        <v>169483.51534460869</v>
      </c>
      <c r="AI14" s="4">
        <f t="shared" si="17"/>
        <v>183727.42702093686</v>
      </c>
      <c r="AJ14" s="4">
        <f t="shared" si="17"/>
        <v>198969.19500556175</v>
      </c>
      <c r="AK14" s="4">
        <f>+AJ14</f>
        <v>198969.19500556175</v>
      </c>
      <c r="AL14" s="4">
        <f t="shared" ref="AL14:BE14" si="18">+AK14</f>
        <v>198969.19500556175</v>
      </c>
      <c r="AM14" s="4">
        <f t="shared" si="18"/>
        <v>198969.19500556175</v>
      </c>
      <c r="AN14" s="4">
        <f t="shared" si="18"/>
        <v>198969.19500556175</v>
      </c>
      <c r="AO14" s="4">
        <f t="shared" si="18"/>
        <v>198969.19500556175</v>
      </c>
      <c r="AP14" s="4">
        <f t="shared" si="18"/>
        <v>198969.19500556175</v>
      </c>
      <c r="AQ14" s="4">
        <f t="shared" si="18"/>
        <v>198969.19500556175</v>
      </c>
      <c r="AR14" s="4">
        <f t="shared" si="18"/>
        <v>198969.19500556175</v>
      </c>
      <c r="AS14" s="4">
        <f t="shared" si="18"/>
        <v>198969.19500556175</v>
      </c>
      <c r="AT14" s="4">
        <f t="shared" si="18"/>
        <v>198969.19500556175</v>
      </c>
      <c r="AU14" s="4">
        <f t="shared" si="18"/>
        <v>198969.19500556175</v>
      </c>
      <c r="AV14" s="4">
        <f t="shared" si="18"/>
        <v>198969.19500556175</v>
      </c>
      <c r="AW14" s="4">
        <f t="shared" si="18"/>
        <v>198969.19500556175</v>
      </c>
      <c r="AX14" s="4">
        <f t="shared" si="18"/>
        <v>198969.19500556175</v>
      </c>
      <c r="AY14" s="4">
        <f t="shared" si="18"/>
        <v>198969.19500556175</v>
      </c>
      <c r="AZ14" s="4">
        <f t="shared" si="18"/>
        <v>198969.19500556175</v>
      </c>
      <c r="BA14" s="4">
        <f t="shared" si="18"/>
        <v>198969.19500556175</v>
      </c>
      <c r="BB14" s="4">
        <f t="shared" si="18"/>
        <v>198969.19500556175</v>
      </c>
      <c r="BC14" s="4">
        <f t="shared" si="18"/>
        <v>198969.19500556175</v>
      </c>
      <c r="BD14" s="4">
        <f t="shared" si="18"/>
        <v>198969.19500556175</v>
      </c>
      <c r="BE14" s="4">
        <f t="shared" si="18"/>
        <v>198969.19500556175</v>
      </c>
    </row>
    <row r="15" spans="1:57" s="3" customFormat="1" x14ac:dyDescent="0.25">
      <c r="A15" t="s">
        <v>30</v>
      </c>
      <c r="B15" s="5">
        <f t="shared" ref="B15:K15" si="19">+B14/B16</f>
        <v>2.7394495412844035</v>
      </c>
      <c r="C15" s="5">
        <f t="shared" si="19"/>
        <v>2.4730029585798818</v>
      </c>
      <c r="D15" s="5">
        <f t="shared" si="19"/>
        <v>1.638702460850112</v>
      </c>
      <c r="E15" s="5">
        <f t="shared" si="19"/>
        <v>1.7634571645185746</v>
      </c>
      <c r="F15" s="5">
        <f t="shared" si="19"/>
        <v>2.206803247004252</v>
      </c>
      <c r="G15" s="5">
        <f t="shared" si="19"/>
        <v>3.0327102803738319</v>
      </c>
      <c r="H15" s="5">
        <f t="shared" si="19"/>
        <v>4.4965062111801242</v>
      </c>
      <c r="I15" s="5">
        <f t="shared" si="19"/>
        <v>5.4625876851130162</v>
      </c>
      <c r="J15" s="5">
        <f t="shared" si="19"/>
        <v>4.8601178781925345</v>
      </c>
      <c r="K15" s="5">
        <f t="shared" si="19"/>
        <v>5.3137332280978686</v>
      </c>
      <c r="M15" t="s">
        <v>34</v>
      </c>
      <c r="N15" s="6">
        <v>0.05</v>
      </c>
      <c r="Q15" s="5">
        <f t="shared" ref="Q15:AJ15" si="20">+Q14/Q16</f>
        <v>8.6329891152665361</v>
      </c>
      <c r="R15" s="5">
        <f t="shared" si="20"/>
        <v>15.286549480431194</v>
      </c>
      <c r="S15" s="5">
        <f t="shared" si="20"/>
        <v>16.32953590366127</v>
      </c>
      <c r="T15" s="5">
        <f t="shared" si="20"/>
        <v>18.208787675556</v>
      </c>
      <c r="U15" s="5">
        <f t="shared" si="20"/>
        <v>20.237818761598845</v>
      </c>
      <c r="V15" s="5">
        <f t="shared" si="20"/>
        <v>22.426773901790153</v>
      </c>
      <c r="W15" s="5">
        <f t="shared" si="20"/>
        <v>24.786424978532654</v>
      </c>
      <c r="X15" s="5">
        <f t="shared" si="20"/>
        <v>27.328207620432757</v>
      </c>
      <c r="Y15" s="5">
        <f t="shared" si="20"/>
        <v>30.064259861322668</v>
      </c>
      <c r="Z15" s="5">
        <f t="shared" si="20"/>
        <v>33.007462966788047</v>
      </c>
      <c r="AA15" s="5">
        <f t="shared" si="20"/>
        <v>36.171484546499741</v>
      </c>
      <c r="AB15" s="5">
        <f t="shared" si="20"/>
        <v>39.570824076978887</v>
      </c>
      <c r="AC15" s="5">
        <f t="shared" si="20"/>
        <v>43.220860966089795</v>
      </c>
      <c r="AD15" s="5">
        <f t="shared" si="20"/>
        <v>47.137905297570796</v>
      </c>
      <c r="AE15" s="5">
        <f t="shared" si="20"/>
        <v>51.339251401299485</v>
      </c>
      <c r="AF15" s="5">
        <f t="shared" si="20"/>
        <v>55.843234402762768</v>
      </c>
      <c r="AG15" s="5">
        <f t="shared" si="20"/>
        <v>60.669289913386507</v>
      </c>
      <c r="AH15" s="5">
        <f t="shared" si="20"/>
        <v>65.838017031993274</v>
      </c>
      <c r="AI15" s="5">
        <f t="shared" si="20"/>
        <v>71.371244836724031</v>
      </c>
      <c r="AJ15" s="5">
        <f t="shared" si="20"/>
        <v>77.29210255630251</v>
      </c>
    </row>
    <row r="16" spans="1:57" s="3" customFormat="1" x14ac:dyDescent="0.25">
      <c r="A16" t="s">
        <v>2</v>
      </c>
      <c r="B16" s="3">
        <v>2725</v>
      </c>
      <c r="C16" s="3">
        <v>2704</v>
      </c>
      <c r="D16" s="3">
        <v>2682</v>
      </c>
      <c r="E16" s="3">
        <v>2638</v>
      </c>
      <c r="F16" s="3">
        <v>2587</v>
      </c>
      <c r="G16" s="3">
        <v>2568</v>
      </c>
      <c r="H16" s="3">
        <v>2576</v>
      </c>
      <c r="I16" s="3">
        <v>2566</v>
      </c>
      <c r="J16" s="3">
        <v>2545</v>
      </c>
      <c r="K16" s="3">
        <v>2534</v>
      </c>
      <c r="M16" t="s">
        <v>35</v>
      </c>
      <c r="N16" s="6">
        <v>-0.05</v>
      </c>
      <c r="O16" s="6"/>
      <c r="P16" s="3" t="s">
        <v>10</v>
      </c>
      <c r="Q16" s="3">
        <f>AVERAGE(B16:E16)</f>
        <v>2687.25</v>
      </c>
      <c r="R16" s="3">
        <f>AVERAGE(F16:I16)</f>
        <v>2574.25</v>
      </c>
      <c r="S16" s="3">
        <f>+R16</f>
        <v>2574.25</v>
      </c>
      <c r="T16" s="3">
        <f t="shared" ref="T16:AJ16" si="21">+S16</f>
        <v>2574.25</v>
      </c>
      <c r="U16" s="3">
        <f t="shared" si="21"/>
        <v>2574.25</v>
      </c>
      <c r="V16" s="3">
        <f t="shared" si="21"/>
        <v>2574.25</v>
      </c>
      <c r="W16" s="3">
        <f t="shared" si="21"/>
        <v>2574.25</v>
      </c>
      <c r="X16" s="3">
        <f t="shared" si="21"/>
        <v>2574.25</v>
      </c>
      <c r="Y16" s="3">
        <f t="shared" si="21"/>
        <v>2574.25</v>
      </c>
      <c r="Z16" s="3">
        <f t="shared" si="21"/>
        <v>2574.25</v>
      </c>
      <c r="AA16" s="3">
        <f t="shared" si="21"/>
        <v>2574.25</v>
      </c>
      <c r="AB16" s="3">
        <f t="shared" si="21"/>
        <v>2574.25</v>
      </c>
      <c r="AC16" s="3">
        <f t="shared" si="21"/>
        <v>2574.25</v>
      </c>
      <c r="AD16" s="3">
        <f t="shared" si="21"/>
        <v>2574.25</v>
      </c>
      <c r="AE16" s="3">
        <f t="shared" si="21"/>
        <v>2574.25</v>
      </c>
      <c r="AF16" s="3">
        <f t="shared" si="21"/>
        <v>2574.25</v>
      </c>
      <c r="AG16" s="3">
        <f t="shared" si="21"/>
        <v>2574.25</v>
      </c>
      <c r="AH16" s="3">
        <f t="shared" si="21"/>
        <v>2574.25</v>
      </c>
      <c r="AI16" s="3">
        <f t="shared" si="21"/>
        <v>2574.25</v>
      </c>
      <c r="AJ16" s="3">
        <f t="shared" si="21"/>
        <v>2574.25</v>
      </c>
    </row>
    <row r="17" spans="1:36" x14ac:dyDescent="0.25">
      <c r="A17" t="s">
        <v>10</v>
      </c>
      <c r="M17" t="s">
        <v>36</v>
      </c>
      <c r="N17" s="6">
        <v>7.0000000000000007E-2</v>
      </c>
      <c r="O17" s="6"/>
    </row>
    <row r="18" spans="1:36" x14ac:dyDescent="0.25">
      <c r="A18" t="s">
        <v>33</v>
      </c>
      <c r="F18" s="6">
        <f t="shared" ref="F18:H18" si="22">+F5/B5-1</f>
        <v>2.8945806510523697E-2</v>
      </c>
      <c r="G18" s="6">
        <f t="shared" si="22"/>
        <v>0.1025814642403724</v>
      </c>
      <c r="H18" s="6">
        <f t="shared" si="22"/>
        <v>0.26993363033002993</v>
      </c>
      <c r="I18" s="6">
        <f>+I5/E5-1</f>
        <v>0.36035922615300686</v>
      </c>
      <c r="J18" s="6">
        <f t="shared" ref="J18:K18" si="23">+J5/F5-1</f>
        <v>0.32293561698540185</v>
      </c>
      <c r="K18" s="6">
        <f t="shared" si="23"/>
        <v>0.21912182390419899</v>
      </c>
      <c r="M18" t="s">
        <v>37</v>
      </c>
      <c r="N18" s="8">
        <f>NPV(N17,Q14:BE14)</f>
        <v>1405943.1053827025</v>
      </c>
      <c r="O18" s="6"/>
      <c r="Q18" t="s">
        <v>10</v>
      </c>
      <c r="R18" s="6">
        <f>+R3/Q3-1</f>
        <v>0.15686610810486323</v>
      </c>
      <c r="S18" s="6">
        <f t="shared" ref="S18:AJ18" si="24">+S3/R3-1</f>
        <v>5.0000000000000044E-2</v>
      </c>
      <c r="T18" s="6">
        <f t="shared" si="24"/>
        <v>5.0000000000000044E-2</v>
      </c>
      <c r="U18" s="6">
        <f t="shared" si="24"/>
        <v>5.0000000000000044E-2</v>
      </c>
      <c r="V18" s="6">
        <f t="shared" si="24"/>
        <v>5.0000000000000044E-2</v>
      </c>
      <c r="W18" s="6">
        <f t="shared" si="24"/>
        <v>5.0000000000000044E-2</v>
      </c>
      <c r="X18" s="6">
        <f t="shared" si="24"/>
        <v>5.0000000000000044E-2</v>
      </c>
      <c r="Y18" s="6">
        <f t="shared" si="24"/>
        <v>5.0000000000000044E-2</v>
      </c>
      <c r="Z18" s="6">
        <f t="shared" si="24"/>
        <v>5.0000000000000044E-2</v>
      </c>
      <c r="AA18" s="6">
        <f t="shared" si="24"/>
        <v>5.0000000000000044E-2</v>
      </c>
      <c r="AB18" s="6">
        <f t="shared" si="24"/>
        <v>5.0000000000000044E-2</v>
      </c>
      <c r="AC18" s="6">
        <f t="shared" si="24"/>
        <v>5.0000000000000044E-2</v>
      </c>
      <c r="AD18" s="6">
        <f t="shared" si="24"/>
        <v>5.0000000000000044E-2</v>
      </c>
      <c r="AE18" s="6">
        <f t="shared" si="24"/>
        <v>5.0000000000000044E-2</v>
      </c>
      <c r="AF18" s="6">
        <f t="shared" si="24"/>
        <v>5.0000000000000044E-2</v>
      </c>
      <c r="AG18" s="6">
        <f t="shared" si="24"/>
        <v>5.0000000000000044E-2</v>
      </c>
      <c r="AH18" s="6">
        <f t="shared" si="24"/>
        <v>5.0000000000000044E-2</v>
      </c>
      <c r="AI18" s="6">
        <f t="shared" si="24"/>
        <v>5.0000000000000044E-2</v>
      </c>
      <c r="AJ18" s="6">
        <f t="shared" si="24"/>
        <v>5.0000000000000044E-2</v>
      </c>
    </row>
    <row r="19" spans="1:36" x14ac:dyDescent="0.25">
      <c r="A19" t="s">
        <v>69</v>
      </c>
      <c r="F19" s="6">
        <f t="shared" ref="F19:J19" si="25">+F14/B14-1</f>
        <v>-0.23523107836570667</v>
      </c>
      <c r="G19" s="6">
        <f t="shared" si="25"/>
        <v>0.16464782413638401</v>
      </c>
      <c r="H19" s="6">
        <f t="shared" si="25"/>
        <v>1.6354948805460752</v>
      </c>
      <c r="I19" s="6">
        <f t="shared" si="25"/>
        <v>2.0131126397248496</v>
      </c>
      <c r="J19" s="6">
        <f t="shared" si="25"/>
        <v>1.16657908565423</v>
      </c>
      <c r="K19" s="6">
        <f>+K14/G14-1</f>
        <v>0.72894196199280947</v>
      </c>
      <c r="M19" t="s">
        <v>48</v>
      </c>
      <c r="N19" s="3">
        <f>+main!L5-main!L6</f>
        <v>13656</v>
      </c>
      <c r="O19" s="8"/>
      <c r="Q19" t="s">
        <v>10</v>
      </c>
      <c r="R19" s="6">
        <f>+R14/Q14-1</f>
        <v>0.6962541488857279</v>
      </c>
      <c r="S19" s="6">
        <f t="shared" ref="S19:AJ19" si="26">+S14/R14-1</f>
        <v>6.8229028700377281E-2</v>
      </c>
      <c r="T19" s="6">
        <f t="shared" si="26"/>
        <v>0.11508298723133814</v>
      </c>
      <c r="U19" s="6">
        <f t="shared" si="26"/>
        <v>0.11143142103670511</v>
      </c>
      <c r="V19" s="6">
        <f t="shared" si="26"/>
        <v>0.10816161395539514</v>
      </c>
      <c r="W19" s="6">
        <f t="shared" si="26"/>
        <v>0.10521580531715036</v>
      </c>
      <c r="X19" s="6">
        <f t="shared" si="26"/>
        <v>0.10254736792827224</v>
      </c>
      <c r="Y19" s="6">
        <f t="shared" si="26"/>
        <v>0.10011824701025107</v>
      </c>
      <c r="Z19" s="6">
        <f t="shared" si="26"/>
        <v>9.789707509985246E-2</v>
      </c>
      <c r="AA19" s="6">
        <f t="shared" si="26"/>
        <v>9.5857763527457784E-2</v>
      </c>
      <c r="AB19" s="6">
        <f t="shared" si="26"/>
        <v>9.3978435585334585E-2</v>
      </c>
      <c r="AC19" s="6">
        <f t="shared" si="26"/>
        <v>9.22406084343943E-2</v>
      </c>
      <c r="AD19" s="6">
        <f t="shared" si="26"/>
        <v>9.0628558615577726E-2</v>
      </c>
      <c r="AE19" s="6">
        <f t="shared" si="26"/>
        <v>8.912882482169171E-2</v>
      </c>
      <c r="AF19" s="6">
        <f t="shared" si="26"/>
        <v>8.7729814489450719E-2</v>
      </c>
      <c r="AG19" s="6">
        <f t="shared" si="26"/>
        <v>8.6421489769313631E-2</v>
      </c>
      <c r="AH19" s="6">
        <f t="shared" si="26"/>
        <v>8.5195114793428672E-2</v>
      </c>
      <c r="AI19" s="6">
        <f t="shared" si="26"/>
        <v>8.4043050720102208E-2</v>
      </c>
      <c r="AJ19" s="6">
        <f t="shared" si="26"/>
        <v>8.2958588337973094E-2</v>
      </c>
    </row>
    <row r="20" spans="1:36" x14ac:dyDescent="0.25">
      <c r="M20" t="s">
        <v>38</v>
      </c>
      <c r="N20" s="9">
        <f>+N18-N19</f>
        <v>1392287.1053827025</v>
      </c>
      <c r="O20" s="3"/>
    </row>
    <row r="21" spans="1:36" x14ac:dyDescent="0.25">
      <c r="A21" t="s">
        <v>21</v>
      </c>
      <c r="B21" s="6">
        <f t="shared" ref="B21:J21" si="27">+B5/B3</f>
        <v>0.78482872294682526</v>
      </c>
      <c r="C21" s="6">
        <f t="shared" si="27"/>
        <v>0.81985982929706469</v>
      </c>
      <c r="D21" s="6">
        <f t="shared" si="27"/>
        <v>0.79375045103557773</v>
      </c>
      <c r="E21" s="6">
        <f t="shared" si="27"/>
        <v>0.74083631276231932</v>
      </c>
      <c r="F21" s="6">
        <f t="shared" si="27"/>
        <v>0.7867690696456624</v>
      </c>
      <c r="G21" s="6">
        <f t="shared" si="27"/>
        <v>0.81421294415450485</v>
      </c>
      <c r="H21" s="6">
        <f t="shared" si="27"/>
        <v>0.81813389562467054</v>
      </c>
      <c r="I21" s="6">
        <f t="shared" si="27"/>
        <v>0.80815736331679588</v>
      </c>
      <c r="J21" s="6">
        <f t="shared" si="27"/>
        <v>0.81785763269784661</v>
      </c>
      <c r="K21" s="6">
        <f>+K5/K3</f>
        <v>0.81295590079598679</v>
      </c>
      <c r="M21" t="s">
        <v>39</v>
      </c>
      <c r="N21">
        <f>+N20/main!L3</f>
        <v>550.35097057193946</v>
      </c>
      <c r="O21" s="9"/>
      <c r="Q21" s="6">
        <f t="shared" ref="Q21:AJ21" si="28">+Q5/Q3</f>
        <v>0.78347297378418479</v>
      </c>
      <c r="R21" s="6">
        <f t="shared" si="28"/>
        <v>0.80757740861817184</v>
      </c>
      <c r="S21" s="6">
        <f t="shared" si="28"/>
        <v>0.80757740861817195</v>
      </c>
      <c r="T21" s="6">
        <f t="shared" si="28"/>
        <v>0.80757740861817184</v>
      </c>
      <c r="U21" s="6">
        <f t="shared" si="28"/>
        <v>0.80757740861817184</v>
      </c>
      <c r="V21" s="6">
        <f t="shared" si="28"/>
        <v>0.80757740861817184</v>
      </c>
      <c r="W21" s="6">
        <f t="shared" si="28"/>
        <v>0.80757740861817195</v>
      </c>
      <c r="X21" s="6">
        <f t="shared" si="28"/>
        <v>0.80757740861817195</v>
      </c>
      <c r="Y21" s="6">
        <f t="shared" si="28"/>
        <v>0.80757740861817184</v>
      </c>
      <c r="Z21" s="6">
        <f t="shared" si="28"/>
        <v>0.80757740861817184</v>
      </c>
      <c r="AA21" s="6">
        <f t="shared" si="28"/>
        <v>0.80757740861817184</v>
      </c>
      <c r="AB21" s="6">
        <f t="shared" si="28"/>
        <v>0.80757740861817184</v>
      </c>
      <c r="AC21" s="6">
        <f t="shared" si="28"/>
        <v>0.80757740861817195</v>
      </c>
      <c r="AD21" s="6">
        <f t="shared" si="28"/>
        <v>0.80757740861817184</v>
      </c>
      <c r="AE21" s="6">
        <f t="shared" si="28"/>
        <v>0.80757740861817195</v>
      </c>
      <c r="AF21" s="6">
        <f t="shared" si="28"/>
        <v>0.80757740861817184</v>
      </c>
      <c r="AG21" s="6">
        <f t="shared" si="28"/>
        <v>0.80757740861817195</v>
      </c>
      <c r="AH21" s="6">
        <f t="shared" si="28"/>
        <v>0.80757740861817195</v>
      </c>
      <c r="AI21" s="6">
        <f t="shared" si="28"/>
        <v>0.80757740861817195</v>
      </c>
      <c r="AJ21" s="6">
        <f t="shared" si="28"/>
        <v>0.80757740861817195</v>
      </c>
    </row>
    <row r="22" spans="1:36" x14ac:dyDescent="0.25">
      <c r="A22" t="s">
        <v>43</v>
      </c>
      <c r="B22" s="6">
        <f t="shared" ref="B22:J22" si="29">+B6/B3</f>
        <v>0.27615737422961156</v>
      </c>
      <c r="C22" s="6">
        <f t="shared" si="29"/>
        <v>0.30150579418499757</v>
      </c>
      <c r="D22" s="6">
        <f t="shared" si="29"/>
        <v>0.33087969979071952</v>
      </c>
      <c r="E22" s="6">
        <f t="shared" si="29"/>
        <v>0.30377739779263174</v>
      </c>
      <c r="F22" s="6">
        <f t="shared" si="29"/>
        <v>0.32749170884971202</v>
      </c>
      <c r="G22" s="6">
        <f t="shared" si="29"/>
        <v>0.29200912528516515</v>
      </c>
      <c r="H22" s="6">
        <f t="shared" si="29"/>
        <v>0.27063199203420607</v>
      </c>
      <c r="I22" s="6">
        <f t="shared" si="29"/>
        <v>0.26219740220887039</v>
      </c>
      <c r="J22" s="6">
        <f t="shared" si="29"/>
        <v>0.27370731038266355</v>
      </c>
      <c r="K22" s="6">
        <f>+K6/K3</f>
        <v>0.26968851577896652</v>
      </c>
      <c r="M22" t="s">
        <v>40</v>
      </c>
      <c r="N22" s="3">
        <f>+main!L2</f>
        <v>537.5</v>
      </c>
      <c r="Q22" s="6">
        <f t="shared" ref="Q22:AJ22" si="30">+Q6/Q3</f>
        <v>0.30304693462768739</v>
      </c>
      <c r="R22" s="6">
        <f t="shared" si="30"/>
        <v>0.28526845612708579</v>
      </c>
      <c r="S22" s="6">
        <f t="shared" si="30"/>
        <v>0.27983477124847456</v>
      </c>
      <c r="T22" s="6">
        <f t="shared" si="30"/>
        <v>0.27450458512945597</v>
      </c>
      <c r="U22" s="6">
        <f t="shared" si="30"/>
        <v>0.26927592636508541</v>
      </c>
      <c r="V22" s="6">
        <f t="shared" si="30"/>
        <v>0.26414686110098856</v>
      </c>
      <c r="W22" s="6">
        <f t="shared" si="30"/>
        <v>0.25911549231811259</v>
      </c>
      <c r="X22" s="6">
        <f t="shared" si="30"/>
        <v>0.25417995913110092</v>
      </c>
      <c r="Y22" s="6">
        <f t="shared" si="30"/>
        <v>0.24933843610003237</v>
      </c>
      <c r="Z22" s="6">
        <f t="shared" si="30"/>
        <v>0.24458913255526982</v>
      </c>
      <c r="AA22" s="6">
        <f t="shared" si="30"/>
        <v>0.23993029193516943</v>
      </c>
      <c r="AB22" s="6">
        <f t="shared" si="30"/>
        <v>0.23536019113640427</v>
      </c>
      <c r="AC22" s="6">
        <f t="shared" si="30"/>
        <v>0.23087713987666322</v>
      </c>
      <c r="AD22" s="6">
        <f t="shared" si="30"/>
        <v>0.2264794800694887</v>
      </c>
      <c r="AE22" s="6">
        <f t="shared" si="30"/>
        <v>0.22216558521102225</v>
      </c>
      <c r="AF22" s="6">
        <f t="shared" si="30"/>
        <v>0.21793385977843133</v>
      </c>
      <c r="AG22" s="6">
        <f t="shared" si="30"/>
        <v>0.21378273863979455</v>
      </c>
      <c r="AH22" s="6">
        <f t="shared" si="30"/>
        <v>0.20971068647522703</v>
      </c>
      <c r="AI22" s="6">
        <f t="shared" si="30"/>
        <v>0.20571619720903225</v>
      </c>
      <c r="AJ22" s="6">
        <f t="shared" si="30"/>
        <v>0.20179779345266974</v>
      </c>
    </row>
    <row r="23" spans="1:36" x14ac:dyDescent="0.25">
      <c r="A23" t="s">
        <v>44</v>
      </c>
      <c r="B23" s="6">
        <f t="shared" ref="B23:J23" si="31">+B7/B3</f>
        <v>0.11867564855955282</v>
      </c>
      <c r="C23" s="6">
        <f t="shared" si="31"/>
        <v>0.12473110818125044</v>
      </c>
      <c r="D23" s="6">
        <f t="shared" si="31"/>
        <v>0.13639315869235766</v>
      </c>
      <c r="E23" s="6">
        <f t="shared" si="31"/>
        <v>0.142204259288046</v>
      </c>
      <c r="F23" s="6">
        <f t="shared" si="31"/>
        <v>0.10626636411241054</v>
      </c>
      <c r="G23" s="6">
        <f t="shared" si="31"/>
        <v>9.8565580174380454E-2</v>
      </c>
      <c r="H23" s="6">
        <f t="shared" si="31"/>
        <v>8.4255842558425581E-2</v>
      </c>
      <c r="I23" s="6">
        <f t="shared" si="31"/>
        <v>8.0426815586746775E-2</v>
      </c>
      <c r="J23" s="6">
        <f t="shared" si="31"/>
        <v>7.0333287614867651E-2</v>
      </c>
      <c r="K23" s="6">
        <f>+K7/K3</f>
        <v>6.9642445803793099E-2</v>
      </c>
      <c r="M23" t="s">
        <v>41</v>
      </c>
      <c r="N23" s="6">
        <f>+N21/N22-1</f>
        <v>2.3908782459422184E-2</v>
      </c>
      <c r="O23" s="3"/>
      <c r="Q23" s="6">
        <f t="shared" ref="Q23:AJ23" si="32">+Q7/Q3</f>
        <v>0.13087326021147597</v>
      </c>
      <c r="R23" s="6">
        <f t="shared" si="32"/>
        <v>9.1185387802907317E-2</v>
      </c>
      <c r="S23" s="6">
        <f t="shared" si="32"/>
        <v>8.9448523273328126E-2</v>
      </c>
      <c r="T23" s="6">
        <f t="shared" si="32"/>
        <v>8.7744741877645666E-2</v>
      </c>
      <c r="U23" s="6">
        <f t="shared" si="32"/>
        <v>8.6073413460928602E-2</v>
      </c>
      <c r="V23" s="6">
        <f t="shared" si="32"/>
        <v>8.4433919871196639E-2</v>
      </c>
      <c r="W23" s="6">
        <f t="shared" si="32"/>
        <v>8.2825654730792897E-2</v>
      </c>
      <c r="X23" s="6">
        <f t="shared" si="32"/>
        <v>8.1248023212111123E-2</v>
      </c>
      <c r="Y23" s="6">
        <f t="shared" si="32"/>
        <v>7.9700441817594711E-2</v>
      </c>
      <c r="Z23" s="6">
        <f t="shared" si="32"/>
        <v>7.8182338163926238E-2</v>
      </c>
      <c r="AA23" s="6">
        <f t="shared" si="32"/>
        <v>7.6693150770327637E-2</v>
      </c>
      <c r="AB23" s="6">
        <f t="shared" si="32"/>
        <v>7.5232328850892816E-2</v>
      </c>
      <c r="AC23" s="6">
        <f t="shared" si="32"/>
        <v>7.3799332110875804E-2</v>
      </c>
      <c r="AD23" s="6">
        <f t="shared" si="32"/>
        <v>7.2393630546859128E-2</v>
      </c>
      <c r="AE23" s="6">
        <f t="shared" si="32"/>
        <v>7.1014704250728478E-2</v>
      </c>
      <c r="AF23" s="6">
        <f t="shared" si="32"/>
        <v>6.9662043217381259E-2</v>
      </c>
      <c r="AG23" s="6">
        <f t="shared" si="32"/>
        <v>6.83351471560978E-2</v>
      </c>
      <c r="AH23" s="6">
        <f t="shared" si="32"/>
        <v>6.7033525305505451E-2</v>
      </c>
      <c r="AI23" s="6">
        <f t="shared" si="32"/>
        <v>6.5756696252067259E-2</v>
      </c>
      <c r="AJ23" s="6">
        <f t="shared" si="32"/>
        <v>6.4504187752027889E-2</v>
      </c>
    </row>
    <row r="24" spans="1:36" x14ac:dyDescent="0.25">
      <c r="A24" t="s">
        <v>45</v>
      </c>
      <c r="B24" s="6">
        <f t="shared" ref="B24:J24" si="33">+B8/B3</f>
        <v>8.4563566002579901E-2</v>
      </c>
      <c r="C24" s="6">
        <f t="shared" si="33"/>
        <v>0.1036361113038651</v>
      </c>
      <c r="D24" s="6">
        <f t="shared" si="33"/>
        <v>0.12210435159125352</v>
      </c>
      <c r="E24" s="6">
        <f t="shared" si="33"/>
        <v>9.5911705269703093E-2</v>
      </c>
      <c r="F24" s="6">
        <f t="shared" si="33"/>
        <v>0.10071565718275441</v>
      </c>
      <c r="G24" s="6">
        <f t="shared" si="33"/>
        <v>0.13012906653332917</v>
      </c>
      <c r="H24" s="6">
        <f t="shared" si="33"/>
        <v>6.062203479177649E-2</v>
      </c>
      <c r="I24" s="6">
        <f t="shared" si="33"/>
        <v>5.7066640073795215E-2</v>
      </c>
      <c r="J24" s="6">
        <f t="shared" si="33"/>
        <v>9.4774379371828282E-2</v>
      </c>
      <c r="K24" s="6">
        <f>+K8/K3</f>
        <v>9.3624427324614165E-2</v>
      </c>
      <c r="N24" s="6"/>
      <c r="O24" s="6"/>
      <c r="Q24" s="6">
        <f t="shared" ref="Q24:AJ24" si="34">+Q8/Q3</f>
        <v>0.10133008601394404</v>
      </c>
      <c r="R24" s="6">
        <f t="shared" si="34"/>
        <v>8.4565718563983955E-2</v>
      </c>
      <c r="S24" s="6">
        <f t="shared" si="34"/>
        <v>8.2954942972289017E-2</v>
      </c>
      <c r="T24" s="6">
        <f t="shared" si="34"/>
        <v>8.1374848820435886E-2</v>
      </c>
      <c r="U24" s="6">
        <f t="shared" si="34"/>
        <v>7.9824851700046634E-2</v>
      </c>
      <c r="V24" s="6">
        <f t="shared" si="34"/>
        <v>7.8304378334331473E-2</v>
      </c>
      <c r="W24" s="6">
        <f t="shared" si="34"/>
        <v>7.6812866366058496E-2</v>
      </c>
      <c r="X24" s="6">
        <f t="shared" si="34"/>
        <v>7.534976414956214E-2</v>
      </c>
      <c r="Y24" s="6">
        <f t="shared" si="34"/>
        <v>7.391453054671332E-2</v>
      </c>
      <c r="Z24" s="6">
        <f t="shared" si="34"/>
        <v>7.2506634726775918E-2</v>
      </c>
      <c r="AA24" s="6">
        <f t="shared" si="34"/>
        <v>7.112555597007543E-2</v>
      </c>
      <c r="AB24" s="6">
        <f t="shared" si="34"/>
        <v>6.9770783475407314E-2</v>
      </c>
      <c r="AC24" s="6">
        <f t="shared" si="34"/>
        <v>6.8441816171113848E-2</v>
      </c>
      <c r="AD24" s="6">
        <f t="shared" si="34"/>
        <v>6.7138162529759293E-2</v>
      </c>
      <c r="AE24" s="6">
        <f t="shared" si="34"/>
        <v>6.5859340386335313E-2</v>
      </c>
      <c r="AF24" s="6">
        <f t="shared" si="34"/>
        <v>6.4604876759928917E-2</v>
      </c>
      <c r="AG24" s="6">
        <f t="shared" si="34"/>
        <v>6.337430767878742E-2</v>
      </c>
      <c r="AH24" s="6">
        <f t="shared" si="34"/>
        <v>6.2167178008715275E-2</v>
      </c>
      <c r="AI24" s="6">
        <f t="shared" si="34"/>
        <v>6.0983041284739747E-2</v>
      </c>
      <c r="AJ24" s="6">
        <f t="shared" si="34"/>
        <v>5.9821459545982794E-2</v>
      </c>
    </row>
    <row r="25" spans="1:36" x14ac:dyDescent="0.25">
      <c r="A25" t="s">
        <v>42</v>
      </c>
      <c r="B25" s="6">
        <f t="shared" ref="B25:J25" si="35">+B10/B3</f>
        <v>0.30543213415508097</v>
      </c>
      <c r="C25" s="6">
        <f t="shared" si="35"/>
        <v>0.28998681562695161</v>
      </c>
      <c r="D25" s="6">
        <f t="shared" si="35"/>
        <v>0.20437324096124701</v>
      </c>
      <c r="E25" s="6">
        <f t="shared" si="35"/>
        <v>0.19894295041193844</v>
      </c>
      <c r="F25" s="6">
        <f t="shared" si="35"/>
        <v>0.25229533950078548</v>
      </c>
      <c r="G25" s="6">
        <f t="shared" si="35"/>
        <v>0.29350917216163003</v>
      </c>
      <c r="H25" s="6">
        <f t="shared" si="35"/>
        <v>0.40262402624026239</v>
      </c>
      <c r="I25" s="6">
        <f t="shared" si="35"/>
        <v>0.4084665054473835</v>
      </c>
      <c r="J25" s="6">
        <f t="shared" si="35"/>
        <v>0.37904265532848719</v>
      </c>
      <c r="K25" s="6">
        <f>+K10/K3</f>
        <v>0.38000051188861306</v>
      </c>
      <c r="Q25" s="6">
        <f t="shared" ref="Q25:AJ25" si="36">+Q10/Q3</f>
        <v>0.24822269293107735</v>
      </c>
      <c r="R25" s="6">
        <f t="shared" si="36"/>
        <v>0.34655784612419477</v>
      </c>
      <c r="S25" s="6">
        <f t="shared" si="36"/>
        <v>0.3553391711240802</v>
      </c>
      <c r="T25" s="6">
        <f t="shared" si="36"/>
        <v>0.36395323279063435</v>
      </c>
      <c r="U25" s="6">
        <f t="shared" si="36"/>
        <v>0.37240321709211122</v>
      </c>
      <c r="V25" s="6">
        <f t="shared" si="36"/>
        <v>0.38069224931165518</v>
      </c>
      <c r="W25" s="6">
        <f t="shared" si="36"/>
        <v>0.38882339520320791</v>
      </c>
      <c r="X25" s="6">
        <f t="shared" si="36"/>
        <v>0.39679966212539769</v>
      </c>
      <c r="Y25" s="6">
        <f t="shared" si="36"/>
        <v>0.40462400015383143</v>
      </c>
      <c r="Z25" s="6">
        <f t="shared" si="36"/>
        <v>0.41229930317219987</v>
      </c>
      <c r="AA25" s="6">
        <f t="shared" si="36"/>
        <v>0.4198284099425994</v>
      </c>
      <c r="AB25" s="6">
        <f t="shared" si="36"/>
        <v>0.42721410515546748</v>
      </c>
      <c r="AC25" s="6">
        <f t="shared" si="36"/>
        <v>0.43445912045951907</v>
      </c>
      <c r="AD25" s="6">
        <f t="shared" si="36"/>
        <v>0.44156613547206475</v>
      </c>
      <c r="AE25" s="6">
        <f t="shared" si="36"/>
        <v>0.44853777877008588</v>
      </c>
      <c r="AF25" s="6">
        <f t="shared" si="36"/>
        <v>0.45537662886243035</v>
      </c>
      <c r="AG25" s="6">
        <f t="shared" si="36"/>
        <v>0.46208521514349221</v>
      </c>
      <c r="AH25" s="6">
        <f t="shared" si="36"/>
        <v>0.46866601882872416</v>
      </c>
      <c r="AI25" s="6">
        <f t="shared" si="36"/>
        <v>0.47512147387233261</v>
      </c>
      <c r="AJ25" s="6">
        <f t="shared" si="36"/>
        <v>0.48145396786749145</v>
      </c>
    </row>
    <row r="26" spans="1:36" x14ac:dyDescent="0.25">
      <c r="A26" t="s">
        <v>46</v>
      </c>
      <c r="B26" s="6">
        <f t="shared" ref="B26:J26" si="37">+B13/B12</f>
        <v>0.1619892231701841</v>
      </c>
      <c r="C26" s="6">
        <f t="shared" si="37"/>
        <v>0.18311751771316884</v>
      </c>
      <c r="D26" s="6">
        <f t="shared" si="37"/>
        <v>0.21180057388809181</v>
      </c>
      <c r="E26" s="6">
        <f t="shared" si="37"/>
        <v>0.24345422019840623</v>
      </c>
      <c r="F26" s="6">
        <f t="shared" si="37"/>
        <v>0.21869440262761736</v>
      </c>
      <c r="G26" s="6">
        <f t="shared" si="37"/>
        <v>0.16194985472936618</v>
      </c>
      <c r="H26" s="6">
        <f t="shared" si="37"/>
        <v>0.1738231098430813</v>
      </c>
      <c r="I26" s="6">
        <f t="shared" si="37"/>
        <v>0.16605188005711566</v>
      </c>
      <c r="J26" s="6">
        <f t="shared" si="37"/>
        <v>0.12789959811041388</v>
      </c>
      <c r="K26" s="6">
        <f>+K13/K12</f>
        <v>0.10863233152389778</v>
      </c>
      <c r="Q26" s="6">
        <f t="shared" ref="Q26:AJ26" si="38">+Q13/Q12</f>
        <v>0.19501023630243935</v>
      </c>
      <c r="R26" s="6">
        <f t="shared" si="38"/>
        <v>0.17471855443517942</v>
      </c>
      <c r="S26" s="6">
        <f t="shared" si="38"/>
        <v>0.18000000000000002</v>
      </c>
      <c r="T26" s="6">
        <f t="shared" si="38"/>
        <v>0.18</v>
      </c>
      <c r="U26" s="6">
        <f t="shared" si="38"/>
        <v>0.18</v>
      </c>
      <c r="V26" s="6">
        <f t="shared" si="38"/>
        <v>0.18</v>
      </c>
      <c r="W26" s="6">
        <f t="shared" si="38"/>
        <v>0.18</v>
      </c>
      <c r="X26" s="6">
        <f t="shared" si="38"/>
        <v>0.18</v>
      </c>
      <c r="Y26" s="6">
        <f t="shared" si="38"/>
        <v>0.18</v>
      </c>
      <c r="Z26" s="6">
        <f t="shared" si="38"/>
        <v>0.18</v>
      </c>
      <c r="AA26" s="6">
        <f t="shared" si="38"/>
        <v>0.18</v>
      </c>
      <c r="AB26" s="6">
        <f t="shared" si="38"/>
        <v>0.18</v>
      </c>
      <c r="AC26" s="6">
        <f t="shared" si="38"/>
        <v>0.18</v>
      </c>
      <c r="AD26" s="6">
        <f t="shared" si="38"/>
        <v>0.18</v>
      </c>
      <c r="AE26" s="6">
        <f t="shared" si="38"/>
        <v>0.18</v>
      </c>
      <c r="AF26" s="6">
        <f t="shared" si="38"/>
        <v>0.18</v>
      </c>
      <c r="AG26" s="6">
        <f t="shared" si="38"/>
        <v>0.18000000000000002</v>
      </c>
      <c r="AH26" s="6">
        <f t="shared" si="38"/>
        <v>0.17999999999999997</v>
      </c>
      <c r="AI26" s="6">
        <f t="shared" si="38"/>
        <v>0.17999999999999997</v>
      </c>
      <c r="AJ26" s="6">
        <f t="shared" si="38"/>
        <v>0.18</v>
      </c>
    </row>
    <row r="27" spans="1:36" x14ac:dyDescent="0.25">
      <c r="A27" t="s">
        <v>47</v>
      </c>
      <c r="B27" s="6">
        <f t="shared" ref="B27:K27" si="39">+B14/B3</f>
        <v>0.26748602551239786</v>
      </c>
      <c r="C27" s="6">
        <f t="shared" si="39"/>
        <v>0.23201026993269031</v>
      </c>
      <c r="D27" s="6">
        <f t="shared" si="39"/>
        <v>0.15858410911452694</v>
      </c>
      <c r="E27" s="6">
        <f t="shared" si="39"/>
        <v>0.1446292554018343</v>
      </c>
      <c r="F27" s="6">
        <f t="shared" si="39"/>
        <v>0.19930179787048349</v>
      </c>
      <c r="G27" s="6">
        <f t="shared" si="39"/>
        <v>0.24338260570642833</v>
      </c>
      <c r="H27" s="6">
        <f t="shared" si="39"/>
        <v>0.33921982076963625</v>
      </c>
      <c r="I27" s="6">
        <f t="shared" si="39"/>
        <v>0.34945526164892421</v>
      </c>
      <c r="J27" s="6">
        <f t="shared" si="39"/>
        <v>0.33929502125908656</v>
      </c>
      <c r="K27" s="6">
        <f t="shared" si="39"/>
        <v>0.34462900872770086</v>
      </c>
      <c r="Q27" s="6">
        <f t="shared" ref="Q27:AJ27" si="40">+Q14/Q3</f>
        <v>0.19894690804311846</v>
      </c>
      <c r="R27" s="6">
        <f t="shared" si="40"/>
        <v>0.29170576941609033</v>
      </c>
      <c r="S27" s="6">
        <f t="shared" si="40"/>
        <v>0.29677006736156791</v>
      </c>
      <c r="T27" s="6">
        <f t="shared" si="40"/>
        <v>0.31516500308036438</v>
      </c>
      <c r="U27" s="6">
        <f t="shared" si="40"/>
        <v>0.33360408308061612</v>
      </c>
      <c r="V27" s="6">
        <f t="shared" si="40"/>
        <v>0.35208308488450024</v>
      </c>
      <c r="W27" s="6">
        <f t="shared" si="40"/>
        <v>0.37059789542778054</v>
      </c>
      <c r="X27" s="6">
        <f t="shared" si="40"/>
        <v>0.38914450872729184</v>
      </c>
      <c r="Y27" s="6">
        <f t="shared" si="40"/>
        <v>0.40771902359498441</v>
      </c>
      <c r="Z27" s="6">
        <f t="shared" si="40"/>
        <v>0.42631764139762002</v>
      </c>
      <c r="AA27" s="6">
        <f t="shared" si="40"/>
        <v>0.44493666386123487</v>
      </c>
      <c r="AB27" s="6">
        <f t="shared" si="40"/>
        <v>0.46357249091949665</v>
      </c>
      <c r="AC27" s="6">
        <f t="shared" si="40"/>
        <v>0.48222161860510354</v>
      </c>
      <c r="AD27" s="6">
        <f t="shared" si="40"/>
        <v>0.50088063698338559</v>
      </c>
      <c r="AE27" s="6">
        <f t="shared" si="40"/>
        <v>0.51954622812729057</v>
      </c>
      <c r="AF27" s="6">
        <f t="shared" si="40"/>
        <v>0.53821516413294446</v>
      </c>
      <c r="AG27" s="6">
        <f t="shared" si="40"/>
        <v>0.55688430517499909</v>
      </c>
      <c r="AH27" s="6">
        <f t="shared" si="40"/>
        <v>0.57555059760099225</v>
      </c>
      <c r="AI27" s="6">
        <f t="shared" si="40"/>
        <v>0.59421107206395962</v>
      </c>
      <c r="AJ27" s="6">
        <f t="shared" si="40"/>
        <v>0.61286284169255167</v>
      </c>
    </row>
    <row r="30" spans="1:36" x14ac:dyDescent="0.25">
      <c r="U30" t="s">
        <v>10</v>
      </c>
    </row>
    <row r="31" spans="1:36" x14ac:dyDescent="0.25">
      <c r="Q31" t="s">
        <v>10</v>
      </c>
    </row>
    <row r="33" spans="1:36" s="1" customFormat="1" x14ac:dyDescent="0.25">
      <c r="A33" s="1" t="s">
        <v>66</v>
      </c>
      <c r="P33" s="1" t="s">
        <v>10</v>
      </c>
      <c r="R33" s="1">
        <f>+R36-R47</f>
        <v>18628</v>
      </c>
      <c r="S33" s="4">
        <f>+R33+S14</f>
        <v>60664.307800000024</v>
      </c>
      <c r="T33" s="4">
        <f t="shared" ref="T33:AJ33" si="41">+S33+T14</f>
        <v>107538.27947380005</v>
      </c>
      <c r="U33" s="4">
        <f t="shared" si="41"/>
        <v>159635.48442084587</v>
      </c>
      <c r="V33" s="4">
        <f t="shared" si="41"/>
        <v>217367.60713752918</v>
      </c>
      <c r="W33" s="4">
        <f t="shared" si="41"/>
        <v>281174.06163851684</v>
      </c>
      <c r="X33" s="4">
        <f t="shared" si="41"/>
        <v>351523.70010541589</v>
      </c>
      <c r="Y33" s="4">
        <f t="shared" si="41"/>
        <v>428916.62105342577</v>
      </c>
      <c r="Z33" s="4">
        <f t="shared" si="41"/>
        <v>513886.08259567991</v>
      </c>
      <c r="AA33" s="4">
        <f t="shared" si="41"/>
        <v>607000.52668950683</v>
      </c>
      <c r="AB33" s="4">
        <f t="shared" si="41"/>
        <v>708865.72056966973</v>
      </c>
      <c r="AC33" s="4">
        <f t="shared" si="41"/>
        <v>820127.02191162645</v>
      </c>
      <c r="AD33" s="4">
        <f t="shared" si="41"/>
        <v>941471.77462389809</v>
      </c>
      <c r="AE33" s="4">
        <f t="shared" si="41"/>
        <v>1073631.8425436933</v>
      </c>
      <c r="AF33" s="4">
        <f t="shared" si="41"/>
        <v>1217386.2887050053</v>
      </c>
      <c r="AG33" s="4">
        <f t="shared" si="41"/>
        <v>1373564.2082645404</v>
      </c>
      <c r="AH33" s="4">
        <f t="shared" si="41"/>
        <v>1543047.723609149</v>
      </c>
      <c r="AI33" s="4">
        <f t="shared" si="41"/>
        <v>1726775.1506300857</v>
      </c>
      <c r="AJ33" s="4">
        <f t="shared" si="41"/>
        <v>1925744.3456356474</v>
      </c>
    </row>
    <row r="36" spans="1:36" x14ac:dyDescent="0.25">
      <c r="A36" t="s">
        <v>49</v>
      </c>
      <c r="R36">
        <v>41862</v>
      </c>
    </row>
    <row r="37" spans="1:36" x14ac:dyDescent="0.25">
      <c r="A37" t="s">
        <v>23</v>
      </c>
      <c r="R37">
        <v>23541</v>
      </c>
    </row>
    <row r="38" spans="1:36" x14ac:dyDescent="0.25">
      <c r="A38" t="s">
        <v>51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>
        <v>16169</v>
      </c>
    </row>
    <row r="39" spans="1:36" x14ac:dyDescent="0.25">
      <c r="A39" t="s">
        <v>52</v>
      </c>
      <c r="R39">
        <v>3793</v>
      </c>
    </row>
    <row r="40" spans="1:36" x14ac:dyDescent="0.25">
      <c r="A40" t="s">
        <v>53</v>
      </c>
      <c r="R40">
        <v>6141</v>
      </c>
    </row>
    <row r="41" spans="1:36" x14ac:dyDescent="0.25">
      <c r="A41" t="s">
        <v>54</v>
      </c>
      <c r="R41">
        <v>96587</v>
      </c>
    </row>
    <row r="42" spans="1:36" x14ac:dyDescent="0.25">
      <c r="A42" t="s">
        <v>55</v>
      </c>
      <c r="R42">
        <v>13294</v>
      </c>
    </row>
    <row r="43" spans="1:36" x14ac:dyDescent="0.25">
      <c r="A43" t="s">
        <v>56</v>
      </c>
      <c r="R43">
        <f>788+20654</f>
        <v>21442</v>
      </c>
    </row>
    <row r="44" spans="1:36" x14ac:dyDescent="0.25">
      <c r="A44" t="s">
        <v>57</v>
      </c>
      <c r="R44">
        <v>6794</v>
      </c>
    </row>
    <row r="45" spans="1:36" x14ac:dyDescent="0.25">
      <c r="A45" s="1" t="s">
        <v>50</v>
      </c>
      <c r="Q45" t="s">
        <v>10</v>
      </c>
      <c r="R45" s="1">
        <f>SUM(R36:R44)</f>
        <v>229623</v>
      </c>
    </row>
    <row r="47" spans="1:36" x14ac:dyDescent="0.25">
      <c r="A47" t="s">
        <v>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>
        <f>4849+18385</f>
        <v>23234</v>
      </c>
    </row>
    <row r="48" spans="1:36" x14ac:dyDescent="0.25">
      <c r="A48" t="s">
        <v>58</v>
      </c>
      <c r="R48">
        <v>863</v>
      </c>
    </row>
    <row r="49" spans="1:18" s="1" customFormat="1" x14ac:dyDescent="0.25">
      <c r="A49" t="s">
        <v>59</v>
      </c>
      <c r="R49">
        <v>1623</v>
      </c>
    </row>
    <row r="50" spans="1:18" s="1" customFormat="1" x14ac:dyDescent="0.25">
      <c r="A50" t="s">
        <v>60</v>
      </c>
      <c r="R50">
        <v>24625</v>
      </c>
    </row>
    <row r="51" spans="1:18" x14ac:dyDescent="0.25">
      <c r="A51" t="s">
        <v>61</v>
      </c>
      <c r="R51">
        <v>17226</v>
      </c>
    </row>
    <row r="52" spans="1:18" x14ac:dyDescent="0.25">
      <c r="A52" t="s">
        <v>62</v>
      </c>
      <c r="R52">
        <v>884</v>
      </c>
    </row>
    <row r="53" spans="1:18" x14ac:dyDescent="0.25">
      <c r="A53" t="s">
        <v>57</v>
      </c>
      <c r="R53">
        <v>8884</v>
      </c>
    </row>
    <row r="54" spans="1:18" x14ac:dyDescent="0.25">
      <c r="A54" s="1" t="s">
        <v>63</v>
      </c>
      <c r="R54" s="1">
        <f>SUM(R47:R53)</f>
        <v>77339</v>
      </c>
    </row>
    <row r="56" spans="1:18" x14ac:dyDescent="0.25">
      <c r="A56" s="1" t="s">
        <v>64</v>
      </c>
      <c r="R56" s="1">
        <f>+R45-R54</f>
        <v>152284</v>
      </c>
    </row>
    <row r="57" spans="1:18" x14ac:dyDescent="0.25">
      <c r="A57" s="1" t="s">
        <v>65</v>
      </c>
      <c r="R57" s="1">
        <f>+R54+R56</f>
        <v>229623</v>
      </c>
    </row>
    <row r="60" spans="1:18" x14ac:dyDescent="0.25">
      <c r="A60" t="s">
        <v>67</v>
      </c>
      <c r="R60" s="6">
        <f>+R14/R45</f>
        <v>0.17137394773171677</v>
      </c>
    </row>
    <row r="61" spans="1:18" x14ac:dyDescent="0.25">
      <c r="A61" t="s">
        <v>68</v>
      </c>
      <c r="R61" s="6">
        <f>+R14/(R45-R54)</f>
        <v>0.25840797457382259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0fd296-9832-4e10-a7ad-2bcee574d3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CBFEB144F63F4E9EB43CF067A3FDD2" ma:contentTypeVersion="9" ma:contentTypeDescription="Criar um novo documento." ma:contentTypeScope="" ma:versionID="f59182e7d3e0cf5298e8ad942a121699">
  <xsd:schema xmlns:xsd="http://www.w3.org/2001/XMLSchema" xmlns:xs="http://www.w3.org/2001/XMLSchema" xmlns:p="http://schemas.microsoft.com/office/2006/metadata/properties" xmlns:ns3="de0fd296-9832-4e10-a7ad-2bcee574d3b0" xmlns:ns4="02570eab-4ecf-4bb5-b806-a666b23f79b6" targetNamespace="http://schemas.microsoft.com/office/2006/metadata/properties" ma:root="true" ma:fieldsID="f61c57c9eb7d1a1f1952f23e1a76f510" ns3:_="" ns4:_="">
    <xsd:import namespace="de0fd296-9832-4e10-a7ad-2bcee574d3b0"/>
    <xsd:import namespace="02570eab-4ecf-4bb5-b806-a666b23f7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fd296-9832-4e10-a7ad-2bcee574d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70eab-4ecf-4bb5-b806-a666b23f7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E1E6AC-BE1F-4454-ACC0-808E93021859}">
  <ds:schemaRefs>
    <ds:schemaRef ds:uri="http://schemas.microsoft.com/office/2006/documentManagement/types"/>
    <ds:schemaRef ds:uri="02570eab-4ecf-4bb5-b806-a666b23f79b6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de0fd296-9832-4e10-a7ad-2bcee574d3b0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3CAFD1E-70C1-468B-BCA7-27CB3B3A9D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302561-F91D-4714-9836-447F718E17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0fd296-9832-4e10-a7ad-2bcee574d3b0"/>
    <ds:schemaRef ds:uri="02570eab-4ecf-4bb5-b806-a666b23f7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2024-09-19T10:36:20Z</dcterms:created>
  <dcterms:modified xsi:type="dcterms:W3CDTF">2024-09-24T11:48:37Z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0x01010078CBFEB144F63F4E9EB43CF067A3FDD2</vt:lpwstr>
  </property>
</Properties>
</file>