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Financials/Ações/"/>
    </mc:Choice>
  </mc:AlternateContent>
  <xr:revisionPtr revIDLastSave="421" documentId="11_FE4855BF84DCCE436F107A399131F45B7AFB1D1F" xr6:coauthVersionLast="47" xr6:coauthVersionMax="47" xr10:uidLastSave="{2514221F-7AB8-4323-B401-4519D183F3FC}"/>
  <bookViews>
    <workbookView xWindow="-108" yWindow="-108" windowWidth="23256" windowHeight="12456" activeTab="1" xr2:uid="{00000000-000D-0000-FFFF-FFFF00000000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8" i="2" l="1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N14" i="2"/>
  <c r="V3" i="2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U3" i="2"/>
  <c r="T25" i="2"/>
  <c r="S25" i="2"/>
  <c r="T24" i="2"/>
  <c r="S24" i="2"/>
  <c r="T23" i="2"/>
  <c r="S23" i="2"/>
  <c r="T22" i="2"/>
  <c r="S22" i="2"/>
  <c r="T21" i="2"/>
  <c r="S21" i="2"/>
  <c r="T20" i="2"/>
  <c r="S20" i="2"/>
  <c r="V10" i="2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U10" i="2"/>
  <c r="X16" i="2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X7" i="2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X6" i="2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X5" i="2"/>
  <c r="V16" i="2"/>
  <c r="W16" i="2" s="1"/>
  <c r="V7" i="2"/>
  <c r="W7" i="2" s="1"/>
  <c r="V6" i="2"/>
  <c r="W6" i="2" s="1"/>
  <c r="V5" i="2"/>
  <c r="U16" i="2"/>
  <c r="U8" i="2"/>
  <c r="U7" i="2"/>
  <c r="U6" i="2"/>
  <c r="U5" i="2"/>
  <c r="N3" i="2"/>
  <c r="M3" i="2"/>
  <c r="L3" i="2"/>
  <c r="O3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8" i="2"/>
  <c r="I18" i="2"/>
  <c r="H18" i="2"/>
  <c r="G18" i="2"/>
  <c r="F18" i="2"/>
  <c r="K25" i="2"/>
  <c r="K24" i="2"/>
  <c r="K23" i="2"/>
  <c r="K22" i="2"/>
  <c r="K21" i="2"/>
  <c r="K20" i="2"/>
  <c r="K18" i="2"/>
  <c r="AK1" i="2"/>
  <c r="U2" i="2"/>
  <c r="T16" i="2"/>
  <c r="T13" i="2"/>
  <c r="T11" i="2"/>
  <c r="T10" i="2"/>
  <c r="T8" i="2"/>
  <c r="T7" i="2"/>
  <c r="T6" i="2"/>
  <c r="T5" i="2"/>
  <c r="T4" i="2"/>
  <c r="T3" i="2"/>
  <c r="T2" i="2"/>
  <c r="T9" i="2"/>
  <c r="T12" i="2" s="1"/>
  <c r="T14" i="2" s="1"/>
  <c r="T15" i="2" s="1"/>
  <c r="S14" i="2"/>
  <c r="S15" i="2"/>
  <c r="S16" i="2"/>
  <c r="S13" i="2"/>
  <c r="S12" i="2"/>
  <c r="S11" i="2"/>
  <c r="S10" i="2"/>
  <c r="S9" i="2"/>
  <c r="S8" i="2"/>
  <c r="S7" i="2"/>
  <c r="S6" i="2"/>
  <c r="S5" i="2"/>
  <c r="S4" i="2"/>
  <c r="S3" i="2"/>
  <c r="S2" i="2"/>
  <c r="U1" i="2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T1" i="2"/>
  <c r="B10" i="2"/>
  <c r="B8" i="2"/>
  <c r="B4" i="2"/>
  <c r="B9" i="2" s="1"/>
  <c r="B12" i="2" s="1"/>
  <c r="B14" i="2" s="1"/>
  <c r="B15" i="2" s="1"/>
  <c r="C10" i="2"/>
  <c r="C4" i="2"/>
  <c r="C8" i="2"/>
  <c r="C9" i="2"/>
  <c r="C12" i="2" s="1"/>
  <c r="C14" i="2" s="1"/>
  <c r="C15" i="2" s="1"/>
  <c r="E10" i="2"/>
  <c r="E8" i="2"/>
  <c r="E4" i="2"/>
  <c r="E9" i="2" s="1"/>
  <c r="E12" i="2" s="1"/>
  <c r="E14" i="2" s="1"/>
  <c r="E15" i="2" s="1"/>
  <c r="I10" i="2"/>
  <c r="I8" i="2"/>
  <c r="I4" i="2"/>
  <c r="I9" i="2" s="1"/>
  <c r="I12" i="2" s="1"/>
  <c r="I14" i="2" s="1"/>
  <c r="I15" i="2" s="1"/>
  <c r="D10" i="2"/>
  <c r="D8" i="2"/>
  <c r="D4" i="2"/>
  <c r="D9" i="2" s="1"/>
  <c r="D12" i="2" s="1"/>
  <c r="D14" i="2" s="1"/>
  <c r="D15" i="2" s="1"/>
  <c r="H10" i="2"/>
  <c r="H8" i="2"/>
  <c r="H4" i="2"/>
  <c r="H9" i="2" s="1"/>
  <c r="H12" i="2" s="1"/>
  <c r="H14" i="2" s="1"/>
  <c r="H15" i="2" s="1"/>
  <c r="F10" i="2"/>
  <c r="F8" i="2"/>
  <c r="F4" i="2"/>
  <c r="F9" i="2" s="1"/>
  <c r="F12" i="2" s="1"/>
  <c r="F14" i="2" s="1"/>
  <c r="F15" i="2" s="1"/>
  <c r="J10" i="2"/>
  <c r="J8" i="2"/>
  <c r="J4" i="2"/>
  <c r="J9" i="2" s="1"/>
  <c r="J12" i="2" s="1"/>
  <c r="J14" i="2" s="1"/>
  <c r="J15" i="2" s="1"/>
  <c r="G10" i="2"/>
  <c r="G8" i="2"/>
  <c r="G4" i="2"/>
  <c r="G9" i="2" s="1"/>
  <c r="G12" i="2" s="1"/>
  <c r="G14" i="2" s="1"/>
  <c r="G15" i="2" s="1"/>
  <c r="K10" i="2"/>
  <c r="K8" i="2"/>
  <c r="K4" i="2"/>
  <c r="K9" i="2" s="1"/>
  <c r="K12" i="2" s="1"/>
  <c r="K14" i="2" s="1"/>
  <c r="K15" i="2" s="1"/>
  <c r="M5" i="1"/>
  <c r="M4" i="1"/>
  <c r="M7" i="1" s="1"/>
  <c r="U23" i="2" l="1"/>
  <c r="U22" i="2"/>
  <c r="U21" i="2"/>
  <c r="V2" i="2"/>
  <c r="U4" i="2"/>
  <c r="U20" i="2" s="1"/>
  <c r="X8" i="2"/>
  <c r="Y5" i="2"/>
  <c r="U9" i="2"/>
  <c r="V4" i="2"/>
  <c r="V20" i="2" s="1"/>
  <c r="W2" i="2"/>
  <c r="V8" i="2"/>
  <c r="W5" i="2"/>
  <c r="W8" i="2" s="1"/>
  <c r="X2" i="2" l="1"/>
  <c r="W23" i="2"/>
  <c r="W22" i="2"/>
  <c r="W21" i="2"/>
  <c r="U12" i="2"/>
  <c r="U24" i="2"/>
  <c r="V23" i="2"/>
  <c r="V22" i="2"/>
  <c r="V21" i="2"/>
  <c r="X4" i="2"/>
  <c r="X20" i="2" s="1"/>
  <c r="Y2" i="2"/>
  <c r="Y8" i="2"/>
  <c r="Z5" i="2"/>
  <c r="Y4" i="2"/>
  <c r="Z2" i="2"/>
  <c r="X9" i="2"/>
  <c r="W4" i="2"/>
  <c r="V9" i="2"/>
  <c r="U13" i="2"/>
  <c r="U14" i="2" l="1"/>
  <c r="U25" i="2"/>
  <c r="V12" i="2"/>
  <c r="V24" i="2"/>
  <c r="W9" i="2"/>
  <c r="W20" i="2"/>
  <c r="X12" i="2"/>
  <c r="X24" i="2"/>
  <c r="Z23" i="2"/>
  <c r="Z22" i="2"/>
  <c r="Z21" i="2"/>
  <c r="Y9" i="2"/>
  <c r="Y20" i="2"/>
  <c r="Y23" i="2"/>
  <c r="Y22" i="2"/>
  <c r="Y21" i="2"/>
  <c r="X23" i="2"/>
  <c r="X22" i="2"/>
  <c r="X21" i="2"/>
  <c r="U15" i="2"/>
  <c r="X13" i="2"/>
  <c r="Z4" i="2"/>
  <c r="Z20" i="2" s="1"/>
  <c r="AA2" i="2"/>
  <c r="Z8" i="2"/>
  <c r="AA5" i="2"/>
  <c r="V13" i="2"/>
  <c r="V14" i="2" l="1"/>
  <c r="V25" i="2"/>
  <c r="AA23" i="2"/>
  <c r="AA22" i="2"/>
  <c r="AA21" i="2"/>
  <c r="X14" i="2"/>
  <c r="X15" i="2" s="1"/>
  <c r="X25" i="2"/>
  <c r="Y12" i="2"/>
  <c r="Y13" i="2" s="1"/>
  <c r="Y24" i="2"/>
  <c r="W12" i="2"/>
  <c r="W13" i="2" s="1"/>
  <c r="W24" i="2"/>
  <c r="V15" i="2"/>
  <c r="AA8" i="2"/>
  <c r="AB5" i="2"/>
  <c r="AA4" i="2"/>
  <c r="AB2" i="2"/>
  <c r="Z9" i="2"/>
  <c r="Z12" i="2" l="1"/>
  <c r="Z24" i="2"/>
  <c r="AB23" i="2"/>
  <c r="AB22" i="2"/>
  <c r="AB21" i="2"/>
  <c r="AA9" i="2"/>
  <c r="AA20" i="2"/>
  <c r="W14" i="2"/>
  <c r="W15" i="2" s="1"/>
  <c r="W25" i="2"/>
  <c r="Y14" i="2"/>
  <c r="Y15" i="2" s="1"/>
  <c r="Y25" i="2"/>
  <c r="Z13" i="2"/>
  <c r="AB4" i="2"/>
  <c r="AB20" i="2" s="1"/>
  <c r="AC2" i="2"/>
  <c r="AB8" i="2"/>
  <c r="AC5" i="2"/>
  <c r="AC23" i="2" l="1"/>
  <c r="AC22" i="2"/>
  <c r="AC21" i="2"/>
  <c r="Z14" i="2"/>
  <c r="Z25" i="2"/>
  <c r="AA12" i="2"/>
  <c r="AA13" i="2" s="1"/>
  <c r="AA24" i="2"/>
  <c r="Z15" i="2"/>
  <c r="AC8" i="2"/>
  <c r="AD5" i="2"/>
  <c r="AC4" i="2"/>
  <c r="AD2" i="2"/>
  <c r="AB9" i="2"/>
  <c r="AB12" i="2" l="1"/>
  <c r="AB24" i="2"/>
  <c r="AD23" i="2"/>
  <c r="AD22" i="2"/>
  <c r="AD21" i="2"/>
  <c r="AC9" i="2"/>
  <c r="AC20" i="2"/>
  <c r="AA14" i="2"/>
  <c r="AA15" i="2" s="1"/>
  <c r="AA25" i="2"/>
  <c r="AB13" i="2"/>
  <c r="AD4" i="2"/>
  <c r="AD20" i="2" s="1"/>
  <c r="AE2" i="2"/>
  <c r="AD8" i="2"/>
  <c r="AE5" i="2"/>
  <c r="AE23" i="2" l="1"/>
  <c r="AE22" i="2"/>
  <c r="AE21" i="2"/>
  <c r="AB14" i="2"/>
  <c r="AB25" i="2"/>
  <c r="AC12" i="2"/>
  <c r="AC13" i="2" s="1"/>
  <c r="AC24" i="2"/>
  <c r="AB15" i="2"/>
  <c r="AE8" i="2"/>
  <c r="AF5" i="2"/>
  <c r="AE4" i="2"/>
  <c r="AF2" i="2"/>
  <c r="AD9" i="2"/>
  <c r="AD12" i="2" l="1"/>
  <c r="AD24" i="2"/>
  <c r="AF23" i="2"/>
  <c r="AF22" i="2"/>
  <c r="AF21" i="2"/>
  <c r="AE9" i="2"/>
  <c r="AE20" i="2"/>
  <c r="AC14" i="2"/>
  <c r="AC15" i="2" s="1"/>
  <c r="AC25" i="2"/>
  <c r="AD13" i="2"/>
  <c r="AF4" i="2"/>
  <c r="AF20" i="2" s="1"/>
  <c r="AG2" i="2"/>
  <c r="AF8" i="2"/>
  <c r="AG5" i="2"/>
  <c r="AG23" i="2" l="1"/>
  <c r="AG22" i="2"/>
  <c r="AG21" i="2"/>
  <c r="AD14" i="2"/>
  <c r="AD25" i="2"/>
  <c r="AE12" i="2"/>
  <c r="AE13" i="2" s="1"/>
  <c r="AE24" i="2"/>
  <c r="AD15" i="2"/>
  <c r="AG8" i="2"/>
  <c r="AH5" i="2"/>
  <c r="AG4" i="2"/>
  <c r="AH2" i="2"/>
  <c r="AF9" i="2"/>
  <c r="AF12" i="2" l="1"/>
  <c r="AF24" i="2"/>
  <c r="AH23" i="2"/>
  <c r="AH22" i="2"/>
  <c r="AH21" i="2"/>
  <c r="AG9" i="2"/>
  <c r="AG20" i="2"/>
  <c r="AE14" i="2"/>
  <c r="AE15" i="2" s="1"/>
  <c r="AE25" i="2"/>
  <c r="AF13" i="2"/>
  <c r="AH4" i="2"/>
  <c r="AH20" i="2" s="1"/>
  <c r="AI2" i="2"/>
  <c r="AH8" i="2"/>
  <c r="AI5" i="2"/>
  <c r="AI23" i="2" l="1"/>
  <c r="AI22" i="2"/>
  <c r="AI21" i="2"/>
  <c r="AF14" i="2"/>
  <c r="AF25" i="2"/>
  <c r="AG12" i="2"/>
  <c r="AG13" i="2" s="1"/>
  <c r="AG24" i="2"/>
  <c r="AF15" i="2"/>
  <c r="AI8" i="2"/>
  <c r="AJ5" i="2"/>
  <c r="AI4" i="2"/>
  <c r="AJ2" i="2"/>
  <c r="AH9" i="2"/>
  <c r="AH12" i="2" l="1"/>
  <c r="AH24" i="2"/>
  <c r="AJ23" i="2"/>
  <c r="AJ22" i="2"/>
  <c r="AJ21" i="2"/>
  <c r="AI9" i="2"/>
  <c r="AI20" i="2"/>
  <c r="AG14" i="2"/>
  <c r="AG15" i="2" s="1"/>
  <c r="AG25" i="2"/>
  <c r="AH13" i="2"/>
  <c r="AJ4" i="2"/>
  <c r="AJ20" i="2" s="1"/>
  <c r="AK2" i="2"/>
  <c r="AJ8" i="2"/>
  <c r="AK5" i="2"/>
  <c r="AK8" i="2" s="1"/>
  <c r="AK4" i="2" l="1"/>
  <c r="AK20" i="2" s="1"/>
  <c r="AK23" i="2"/>
  <c r="AK22" i="2"/>
  <c r="AK21" i="2"/>
  <c r="AH14" i="2"/>
  <c r="AH25" i="2"/>
  <c r="AI12" i="2"/>
  <c r="AI13" i="2" s="1"/>
  <c r="AI24" i="2"/>
  <c r="AH15" i="2"/>
  <c r="AK9" i="2"/>
  <c r="AJ9" i="2"/>
  <c r="AJ12" i="2" l="1"/>
  <c r="AJ24" i="2"/>
  <c r="AK12" i="2"/>
  <c r="AK24" i="2"/>
  <c r="AI14" i="2"/>
  <c r="AI15" i="2" s="1"/>
  <c r="AI25" i="2"/>
  <c r="AJ13" i="2"/>
  <c r="AK13" i="2"/>
  <c r="AK14" i="2" l="1"/>
  <c r="AK25" i="2"/>
  <c r="AJ14" i="2"/>
  <c r="AJ25" i="2"/>
  <c r="AK15" i="2"/>
  <c r="AL14" i="2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AJ15" i="2"/>
  <c r="N11" i="2"/>
  <c r="N12" i="2" s="1"/>
  <c r="N13" i="2" s="1"/>
</calcChain>
</file>

<file path=xl/sharedStrings.xml><?xml version="1.0" encoding="utf-8"?>
<sst xmlns="http://schemas.openxmlformats.org/spreadsheetml/2006/main" count="55" uniqueCount="50">
  <si>
    <t>NET</t>
  </si>
  <si>
    <t>Price</t>
  </si>
  <si>
    <t>Shares</t>
  </si>
  <si>
    <t>MC</t>
  </si>
  <si>
    <t>Cash</t>
  </si>
  <si>
    <t>Debt</t>
  </si>
  <si>
    <t>EV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</si>
  <si>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</si>
  <si>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</si>
  <si>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</si>
  <si>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</si>
  <si>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</si>
  <si>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</si>
  <si>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</si>
  <si>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</si>
  <si>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</si>
  <si>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</si>
  <si>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Revenue</t>
  </si>
  <si>
    <t>CoS</t>
  </si>
  <si>
    <t>Gross profit</t>
  </si>
  <si>
    <t>SM</t>
  </si>
  <si>
    <t>RD</t>
  </si>
  <si>
    <t>GA</t>
  </si>
  <si>
    <t>Terminal</t>
  </si>
  <si>
    <t>OPEX</t>
  </si>
  <si>
    <t>ROIC</t>
  </si>
  <si>
    <t>Operating Profit</t>
  </si>
  <si>
    <t>MR</t>
  </si>
  <si>
    <t>Interest Income</t>
  </si>
  <si>
    <t>DR</t>
  </si>
  <si>
    <t>Other</t>
  </si>
  <si>
    <t>NPV</t>
  </si>
  <si>
    <t>EBIT</t>
  </si>
  <si>
    <t>TV</t>
  </si>
  <si>
    <t>Taxes</t>
  </si>
  <si>
    <t>Per share</t>
  </si>
  <si>
    <t xml:space="preserve">Valor MT volátil </t>
  </si>
  <si>
    <t>NI</t>
  </si>
  <si>
    <t>Ratio</t>
  </si>
  <si>
    <t>EPS</t>
  </si>
  <si>
    <t>Revenue yy</t>
  </si>
  <si>
    <t xml:space="preserve"> </t>
  </si>
  <si>
    <t>Gross %</t>
  </si>
  <si>
    <t>SM %</t>
  </si>
  <si>
    <t>RD %</t>
  </si>
  <si>
    <t>GA %</t>
  </si>
  <si>
    <t>Operating %</t>
  </si>
  <si>
    <t>Taxe rate</t>
  </si>
  <si>
    <t xml:space="preserve">Ratio N deve tar bem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</si>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</sst>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Alignment="1">
      <alignment wrapText="1"/>
    </xf>
    <xf numFmtId="9" fontId="0" fillId="0" borderId="0" xfId="0" applyNumberFormat="1"/>
    <xf numFmtId="9" fontId="1" fillId="0" borderId="0" xfId="0" applyNumberFormat="1" applyFont="1"/>
    <xf numFmtId="8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66675</xdr:rowOff>
    </xdr:from>
    <xdr:to>
      <xdr:col>11</xdr:col>
      <xdr:colOff>9525</xdr:colOff>
      <xdr:row>19</xdr:row>
      <xdr:rowOff>152400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78AA6BB3-0AD3-571B-DDB8-CDE11B18D681}"/>
            </a:ext>
            <a:ext uri="{147F2762-F138-4A5C-976F-8EAC2B608ADB}">
              <a16:predDERef xmlns:a16="http://schemas.microsoft.com/office/drawing/2014/main" pred="{A6A25A1C-9CBC-AD19-6EEA-B345243F6C91}"/>
            </a:ext>
          </a:extLst>
        </xdr:cNvPr>
        <xdr:cNvCxnSpPr>
          <a:cxnSpLocks/>
        </xdr:cNvCxnSpPr>
      </xdr:nvCxnSpPr>
      <xdr:spPr>
        <a:xfrm>
          <a:off x="7943850" y="66675"/>
          <a:ext cx="0" cy="3705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11430</xdr:colOff>
      <xdr:row>0</xdr:row>
      <xdr:rowOff>59055</xdr:rowOff>
    </xdr:from>
    <xdr:to>
      <xdr:col>20</xdr:col>
      <xdr:colOff>11430</xdr:colOff>
      <xdr:row>19</xdr:row>
      <xdr:rowOff>144780</xdr:rowOff>
    </xdr:to>
    <xdr:cxnSp macro="">
      <xdr:nvCxnSpPr>
        <xdr:cNvPr id="4" name="Conexão Reta 2">
          <a:extLst>
            <a:ext uri="{FF2B5EF4-FFF2-40B4-BE49-F238E27FC236}">
              <a16:creationId xmlns:a16="http://schemas.microsoft.com/office/drawing/2014/main" id="{0CF1DFB9-3B56-47BB-B0A3-C1941C7F753D}"/>
            </a:ext>
            <a:ext uri="{147F2762-F138-4A5C-976F-8EAC2B608ADB}">
              <a16:predDERef xmlns:a16="http://schemas.microsoft.com/office/drawing/2014/main" pred="{A6A25A1C-9CBC-AD19-6EEA-B345243F6C91}"/>
            </a:ext>
          </a:extLst>
        </xdr:cNvPr>
        <xdr:cNvCxnSpPr>
          <a:cxnSpLocks/>
        </xdr:cNvCxnSpPr>
      </xdr:nvCxnSpPr>
      <xdr:spPr>
        <a:xfrm>
          <a:off x="14085570" y="59055"/>
          <a:ext cx="0" cy="35604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7"/>
  <sheetViews>
    <sheetView topLeftCell="G1" workbookViewId="0">
      <selection activeCell="M4" sqref="M4"/>
    </sheetView>
  </sheetViews>
  <sheetFormatPr defaultRowHeight="14.4" x14ac:dyDescent="0.3"/>
  <cols>
    <col min="13" max="13" width="15.5546875" bestFit="1" customWidth="1"/>
  </cols>
  <sheetData>
    <row r="2" spans="2:13" x14ac:dyDescent="0.3">
      <c r="B2" s="1" t="s">
        <v>0</v>
      </c>
      <c r="L2" t="s">
        <v>1</v>
      </c>
      <c r="M2" s="2">
        <v>78</v>
      </c>
    </row>
    <row r="3" spans="2:13" x14ac:dyDescent="0.3">
      <c r="L3" t="s">
        <v>2</v>
      </c>
      <c r="M3" s="2">
        <v>321.47000000000003</v>
      </c>
    </row>
    <row r="4" spans="2:13" x14ac:dyDescent="0.3">
      <c r="L4" t="s">
        <v>3</v>
      </c>
      <c r="M4" s="2">
        <f>+M3*M2</f>
        <v>25074.660000000003</v>
      </c>
    </row>
    <row r="5" spans="2:13" x14ac:dyDescent="0.3">
      <c r="L5" t="s">
        <v>4</v>
      </c>
      <c r="M5" s="2">
        <f>156.967+1600.43+250.213</f>
        <v>2007.6100000000001</v>
      </c>
    </row>
    <row r="6" spans="2:13" x14ac:dyDescent="0.3">
      <c r="J6" s="2"/>
      <c r="L6" t="s">
        <v>5</v>
      </c>
      <c r="M6" s="2">
        <v>0</v>
      </c>
    </row>
    <row r="7" spans="2:13" x14ac:dyDescent="0.3">
      <c r="L7" t="s">
        <v>6</v>
      </c>
      <c r="M7" s="2">
        <f>+M4-M5+M6</f>
        <v>23067.050000000003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6B7A-8401-4C4F-AEFA-E652C970420E}">
  <dimension ref="A1:AZ25"/>
  <sheetViews>
    <sheetView tabSelected="1" workbookViewId="0">
      <pane xSplit="1" ySplit="1" topLeftCell="C2" activePane="bottomRight" state="frozen"/>
      <selection pane="topRight"/>
      <selection pane="bottomLeft"/>
      <selection pane="bottomRight" activeCell="N16" sqref="N16"/>
    </sheetView>
  </sheetViews>
  <sheetFormatPr defaultRowHeight="14.4" x14ac:dyDescent="0.3"/>
  <cols>
    <col min="1" max="1" width="14.6640625" style="8" bestFit="1" customWidth="1"/>
    <col min="2" max="11" width="10.44140625" bestFit="1" customWidth="1"/>
    <col min="14" max="14" width="15" bestFit="1" customWidth="1"/>
  </cols>
  <sheetData>
    <row r="1" spans="1:52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S1">
        <v>2022</v>
      </c>
      <c r="T1">
        <f>+S1+1</f>
        <v>2023</v>
      </c>
      <c r="U1">
        <f t="shared" ref="U1:AK1" si="0">+T1+1</f>
        <v>2024</v>
      </c>
      <c r="V1">
        <f t="shared" si="0"/>
        <v>2025</v>
      </c>
      <c r="W1">
        <f t="shared" si="0"/>
        <v>2026</v>
      </c>
      <c r="X1">
        <f t="shared" si="0"/>
        <v>2027</v>
      </c>
      <c r="Y1">
        <f t="shared" si="0"/>
        <v>2028</v>
      </c>
      <c r="Z1">
        <f t="shared" si="0"/>
        <v>2029</v>
      </c>
      <c r="AA1">
        <f t="shared" si="0"/>
        <v>2030</v>
      </c>
      <c r="AB1">
        <f t="shared" si="0"/>
        <v>2031</v>
      </c>
      <c r="AC1">
        <f t="shared" si="0"/>
        <v>2032</v>
      </c>
      <c r="AD1">
        <f t="shared" si="0"/>
        <v>2033</v>
      </c>
      <c r="AE1">
        <f t="shared" si="0"/>
        <v>2034</v>
      </c>
      <c r="AF1">
        <f t="shared" si="0"/>
        <v>2035</v>
      </c>
      <c r="AG1">
        <f t="shared" si="0"/>
        <v>2036</v>
      </c>
      <c r="AH1">
        <f t="shared" si="0"/>
        <v>2037</v>
      </c>
      <c r="AI1">
        <f t="shared" si="0"/>
        <v>2038</v>
      </c>
      <c r="AJ1">
        <f t="shared" si="0"/>
        <v>2039</v>
      </c>
      <c r="AK1">
        <f t="shared" si="0"/>
        <v>2040</v>
      </c>
    </row>
    <row r="2" spans="1:52" s="1" customFormat="1" x14ac:dyDescent="0.3">
      <c r="A2" s="9" t="s">
        <v>17</v>
      </c>
      <c r="B2" s="3">
        <v>212167</v>
      </c>
      <c r="C2" s="3">
        <v>234517</v>
      </c>
      <c r="D2" s="3">
        <v>253857</v>
      </c>
      <c r="E2" s="3">
        <v>274700</v>
      </c>
      <c r="F2" s="3">
        <v>290175</v>
      </c>
      <c r="G2" s="3">
        <v>308494</v>
      </c>
      <c r="H2" s="3">
        <v>335603</v>
      </c>
      <c r="I2" s="3">
        <v>362473</v>
      </c>
      <c r="J2" s="3">
        <v>378602</v>
      </c>
      <c r="K2" s="3">
        <v>400996</v>
      </c>
      <c r="S2" s="3">
        <f>SUM(B2:E2)</f>
        <v>975241</v>
      </c>
      <c r="T2" s="3">
        <f>SUM(F2:I2)</f>
        <v>1296745</v>
      </c>
      <c r="U2" s="1">
        <f>+T2*(1-$N$9)</f>
        <v>1368065.9749999999</v>
      </c>
      <c r="V2" s="1">
        <f t="shared" ref="V2:W2" si="1">+U2*(1-$N$9)</f>
        <v>1443309.6036249998</v>
      </c>
      <c r="W2" s="1">
        <f t="shared" si="1"/>
        <v>1522691.6318243747</v>
      </c>
      <c r="X2" s="1">
        <f t="shared" ref="X2:AK2" si="2">+W2*(1-$N$9)</f>
        <v>1606439.6715747153</v>
      </c>
      <c r="Y2" s="1">
        <f t="shared" si="2"/>
        <v>1694793.8535113246</v>
      </c>
      <c r="Z2" s="1">
        <f t="shared" si="2"/>
        <v>1788007.5154544474</v>
      </c>
      <c r="AA2" s="1">
        <f t="shared" si="2"/>
        <v>1886347.9288044418</v>
      </c>
      <c r="AB2" s="1">
        <f t="shared" si="2"/>
        <v>1990097.0648886859</v>
      </c>
      <c r="AC2" s="1">
        <f t="shared" si="2"/>
        <v>2099552.4034575634</v>
      </c>
      <c r="AD2" s="1">
        <f t="shared" si="2"/>
        <v>2215027.7856477294</v>
      </c>
      <c r="AE2" s="1">
        <f t="shared" si="2"/>
        <v>2336854.3138583545</v>
      </c>
      <c r="AF2" s="1">
        <f t="shared" si="2"/>
        <v>2465381.3011205639</v>
      </c>
      <c r="AG2" s="1">
        <f t="shared" si="2"/>
        <v>2600977.2726821946</v>
      </c>
      <c r="AH2" s="1">
        <f t="shared" si="2"/>
        <v>2744031.022679715</v>
      </c>
      <c r="AI2" s="1">
        <f t="shared" si="2"/>
        <v>2894952.7289270991</v>
      </c>
      <c r="AJ2" s="1">
        <f t="shared" si="2"/>
        <v>3054175.1290180893</v>
      </c>
      <c r="AK2" s="1">
        <f t="shared" si="2"/>
        <v>3222154.7611140842</v>
      </c>
    </row>
    <row r="3" spans="1:52" x14ac:dyDescent="0.3">
      <c r="A3" s="8" t="s">
        <v>18</v>
      </c>
      <c r="B3" s="2">
        <v>47051</v>
      </c>
      <c r="C3" s="2">
        <v>55804</v>
      </c>
      <c r="D3" s="2">
        <v>61967</v>
      </c>
      <c r="E3" s="4">
        <v>67788</v>
      </c>
      <c r="F3" s="2">
        <v>70432</v>
      </c>
      <c r="G3" s="2">
        <v>75221</v>
      </c>
      <c r="H3" s="2">
        <v>78069</v>
      </c>
      <c r="I3" s="4">
        <v>83283</v>
      </c>
      <c r="J3" s="2">
        <v>85038</v>
      </c>
      <c r="K3" s="2">
        <v>89011</v>
      </c>
      <c r="L3" s="5">
        <f t="shared" ref="L3:N3" si="3">+H3/D3-1</f>
        <v>0.25984798360417649</v>
      </c>
      <c r="M3" s="5">
        <f t="shared" si="3"/>
        <v>0.22858027969552142</v>
      </c>
      <c r="N3" s="5">
        <f t="shared" si="3"/>
        <v>0.20737732848705126</v>
      </c>
      <c r="O3" s="5">
        <f>+K3/G3-1</f>
        <v>0.18332646468406422</v>
      </c>
      <c r="S3" s="2">
        <f>SUM(B3:E3)</f>
        <v>232610</v>
      </c>
      <c r="T3" s="2">
        <f>SUM(F3:I3)</f>
        <v>307005</v>
      </c>
      <c r="U3">
        <f>+T3*1.04</f>
        <v>319285.2</v>
      </c>
      <c r="V3">
        <f t="shared" ref="V3:AK3" si="4">+U3*1.04</f>
        <v>332056.60800000001</v>
      </c>
      <c r="W3">
        <f t="shared" si="4"/>
        <v>345338.87232000002</v>
      </c>
      <c r="X3">
        <f t="shared" si="4"/>
        <v>359152.42721280002</v>
      </c>
      <c r="Y3">
        <f t="shared" si="4"/>
        <v>373518.52430131205</v>
      </c>
      <c r="Z3">
        <f t="shared" si="4"/>
        <v>388459.26527336455</v>
      </c>
      <c r="AA3">
        <f t="shared" si="4"/>
        <v>403997.63588429918</v>
      </c>
      <c r="AB3">
        <f t="shared" si="4"/>
        <v>420157.54131967115</v>
      </c>
      <c r="AC3">
        <f t="shared" si="4"/>
        <v>436963.84297245799</v>
      </c>
      <c r="AD3">
        <f t="shared" si="4"/>
        <v>454442.39669135632</v>
      </c>
      <c r="AE3">
        <f t="shared" si="4"/>
        <v>472620.09255901061</v>
      </c>
      <c r="AF3">
        <f t="shared" si="4"/>
        <v>491524.89626137103</v>
      </c>
      <c r="AG3">
        <f t="shared" si="4"/>
        <v>511185.89211182587</v>
      </c>
      <c r="AH3">
        <f t="shared" si="4"/>
        <v>531633.32779629889</v>
      </c>
      <c r="AI3">
        <f t="shared" si="4"/>
        <v>552898.66090815084</v>
      </c>
      <c r="AJ3">
        <f t="shared" si="4"/>
        <v>575014.60734447686</v>
      </c>
      <c r="AK3">
        <f t="shared" si="4"/>
        <v>598015.19163825596</v>
      </c>
    </row>
    <row r="4" spans="1:52" s="1" customFormat="1" x14ac:dyDescent="0.3">
      <c r="A4" s="9" t="s">
        <v>19</v>
      </c>
      <c r="B4" s="3">
        <f t="shared" ref="B4:K4" si="5">+B2-B3</f>
        <v>165116</v>
      </c>
      <c r="C4" s="3">
        <f t="shared" si="5"/>
        <v>178713</v>
      </c>
      <c r="D4" s="3">
        <f t="shared" si="5"/>
        <v>191890</v>
      </c>
      <c r="E4" s="3">
        <f t="shared" si="5"/>
        <v>206912</v>
      </c>
      <c r="F4" s="3">
        <f t="shared" si="5"/>
        <v>219743</v>
      </c>
      <c r="G4" s="3">
        <f t="shared" si="5"/>
        <v>233273</v>
      </c>
      <c r="H4" s="3">
        <f t="shared" si="5"/>
        <v>257534</v>
      </c>
      <c r="I4" s="3">
        <f t="shared" si="5"/>
        <v>279190</v>
      </c>
      <c r="J4" s="3">
        <f t="shared" si="5"/>
        <v>293564</v>
      </c>
      <c r="K4" s="3">
        <f t="shared" si="5"/>
        <v>311985</v>
      </c>
      <c r="S4" s="3">
        <f>+S2-S3</f>
        <v>742631</v>
      </c>
      <c r="T4" s="3">
        <f>+T2-T3</f>
        <v>989740</v>
      </c>
      <c r="U4" s="3">
        <f>+U2-U3</f>
        <v>1048780.7749999999</v>
      </c>
      <c r="V4" s="3">
        <f t="shared" ref="V4:W4" si="6">+V2-V3</f>
        <v>1111252.9956249997</v>
      </c>
      <c r="W4" s="3">
        <f t="shared" si="6"/>
        <v>1177352.7595043746</v>
      </c>
      <c r="X4" s="3">
        <f t="shared" ref="X4" si="7">+X2-X3</f>
        <v>1247287.2443619152</v>
      </c>
      <c r="Y4" s="3">
        <f t="shared" ref="Y4" si="8">+Y2-Y3</f>
        <v>1321275.3292100127</v>
      </c>
      <c r="Z4" s="3">
        <f t="shared" ref="Z4" si="9">+Z2-Z3</f>
        <v>1399548.2501810829</v>
      </c>
      <c r="AA4" s="3">
        <f t="shared" ref="AA4" si="10">+AA2-AA3</f>
        <v>1482350.2929201426</v>
      </c>
      <c r="AB4" s="3">
        <f t="shared" ref="AB4" si="11">+AB2-AB3</f>
        <v>1569939.5235690149</v>
      </c>
      <c r="AC4" s="3">
        <f t="shared" ref="AC4" si="12">+AC2-AC3</f>
        <v>1662588.5604851055</v>
      </c>
      <c r="AD4" s="3">
        <f t="shared" ref="AD4" si="13">+AD2-AD3</f>
        <v>1760585.3889563731</v>
      </c>
      <c r="AE4" s="3">
        <f t="shared" ref="AE4" si="14">+AE2-AE3</f>
        <v>1864234.2212993437</v>
      </c>
      <c r="AF4" s="3">
        <f t="shared" ref="AF4" si="15">+AF2-AF3</f>
        <v>1973856.4048591929</v>
      </c>
      <c r="AG4" s="3">
        <f t="shared" ref="AG4" si="16">+AG2-AG3</f>
        <v>2089791.3805703688</v>
      </c>
      <c r="AH4" s="3">
        <f t="shared" ref="AH4" si="17">+AH2-AH3</f>
        <v>2212397.6948834159</v>
      </c>
      <c r="AI4" s="3">
        <f t="shared" ref="AI4" si="18">+AI2-AI3</f>
        <v>2342054.0680189482</v>
      </c>
      <c r="AJ4" s="3">
        <f t="shared" ref="AJ4" si="19">+AJ2-AJ3</f>
        <v>2479160.5216736123</v>
      </c>
      <c r="AK4" s="3">
        <f t="shared" ref="AK4" si="20">+AK2-AK3</f>
        <v>2624139.5694758282</v>
      </c>
    </row>
    <row r="5" spans="1:52" x14ac:dyDescent="0.3">
      <c r="A5" s="8" t="s">
        <v>20</v>
      </c>
      <c r="B5" s="2">
        <v>100057</v>
      </c>
      <c r="C5" s="2">
        <v>117622</v>
      </c>
      <c r="D5" s="2">
        <v>116033</v>
      </c>
      <c r="E5" s="2">
        <v>132050</v>
      </c>
      <c r="F5" s="2">
        <v>137001</v>
      </c>
      <c r="G5" s="2">
        <v>146688</v>
      </c>
      <c r="H5" s="2">
        <v>150214</v>
      </c>
      <c r="I5" s="2">
        <v>165214</v>
      </c>
      <c r="J5" s="2">
        <v>194102</v>
      </c>
      <c r="K5" s="2">
        <v>174501</v>
      </c>
      <c r="S5" s="2">
        <f t="shared" ref="S5:S7" si="21">SUM(B5:E5)</f>
        <v>465762</v>
      </c>
      <c r="T5" s="2">
        <f t="shared" ref="T5:T7" si="22">SUM(F5:I5)</f>
        <v>599117</v>
      </c>
      <c r="U5">
        <f>+T5*1.05</f>
        <v>629072.85</v>
      </c>
      <c r="V5">
        <f t="shared" ref="V5:W5" si="23">+U5*1.05</f>
        <v>660526.49250000005</v>
      </c>
      <c r="W5">
        <f t="shared" si="23"/>
        <v>693552.81712500006</v>
      </c>
      <c r="X5">
        <f t="shared" ref="X5:AK5" si="24">+W5*1.05</f>
        <v>728230.45798125013</v>
      </c>
      <c r="Y5">
        <f t="shared" si="24"/>
        <v>764641.98088031262</v>
      </c>
      <c r="Z5">
        <f t="shared" si="24"/>
        <v>802874.07992432825</v>
      </c>
      <c r="AA5">
        <f t="shared" si="24"/>
        <v>843017.78392054467</v>
      </c>
      <c r="AB5">
        <f t="shared" si="24"/>
        <v>885168.67311657197</v>
      </c>
      <c r="AC5">
        <f t="shared" si="24"/>
        <v>929427.10677240056</v>
      </c>
      <c r="AD5">
        <f t="shared" si="24"/>
        <v>975898.46211102058</v>
      </c>
      <c r="AE5">
        <f t="shared" si="24"/>
        <v>1024693.3852165716</v>
      </c>
      <c r="AF5">
        <f t="shared" si="24"/>
        <v>1075928.0544774001</v>
      </c>
      <c r="AG5">
        <f t="shared" si="24"/>
        <v>1129724.4572012702</v>
      </c>
      <c r="AH5">
        <f t="shared" si="24"/>
        <v>1186210.6800613338</v>
      </c>
      <c r="AI5">
        <f t="shared" si="24"/>
        <v>1245521.2140644006</v>
      </c>
      <c r="AJ5">
        <f t="shared" si="24"/>
        <v>1307797.2747676207</v>
      </c>
      <c r="AK5">
        <f t="shared" si="24"/>
        <v>1373187.1385060018</v>
      </c>
    </row>
    <row r="6" spans="1:52" x14ac:dyDescent="0.3">
      <c r="A6" s="8" t="s">
        <v>21</v>
      </c>
      <c r="B6" s="2">
        <v>67054</v>
      </c>
      <c r="C6" s="2">
        <v>75114</v>
      </c>
      <c r="D6" s="2">
        <v>76432</v>
      </c>
      <c r="E6" s="2">
        <v>79703</v>
      </c>
      <c r="F6" s="2">
        <v>81539</v>
      </c>
      <c r="G6" s="2">
        <v>89610</v>
      </c>
      <c r="H6" s="2">
        <v>90593</v>
      </c>
      <c r="I6" s="2">
        <v>96401</v>
      </c>
      <c r="J6" s="2">
        <v>87703</v>
      </c>
      <c r="K6" s="2">
        <v>102547</v>
      </c>
      <c r="S6" s="2">
        <f t="shared" si="21"/>
        <v>298303</v>
      </c>
      <c r="T6" s="2">
        <f t="shared" si="22"/>
        <v>358143</v>
      </c>
      <c r="U6">
        <f>+T6*1.03</f>
        <v>368887.29000000004</v>
      </c>
      <c r="V6">
        <f t="shared" ref="V6:W6" si="25">+U6*1.03</f>
        <v>379953.90870000003</v>
      </c>
      <c r="W6">
        <f t="shared" si="25"/>
        <v>391352.52596100006</v>
      </c>
      <c r="X6">
        <f t="shared" ref="X6:AK6" si="26">+W6*1.03</f>
        <v>403093.1017398301</v>
      </c>
      <c r="Y6">
        <f t="shared" si="26"/>
        <v>415185.89479202504</v>
      </c>
      <c r="Z6">
        <f t="shared" si="26"/>
        <v>427641.47163578577</v>
      </c>
      <c r="AA6">
        <f t="shared" si="26"/>
        <v>440470.71578485938</v>
      </c>
      <c r="AB6">
        <f t="shared" si="26"/>
        <v>453684.83725840517</v>
      </c>
      <c r="AC6">
        <f t="shared" si="26"/>
        <v>467295.38237615733</v>
      </c>
      <c r="AD6">
        <f t="shared" si="26"/>
        <v>481314.24384744203</v>
      </c>
      <c r="AE6">
        <f t="shared" si="26"/>
        <v>495753.6711628653</v>
      </c>
      <c r="AF6">
        <f t="shared" si="26"/>
        <v>510626.28129775129</v>
      </c>
      <c r="AG6">
        <f t="shared" si="26"/>
        <v>525945.06973668386</v>
      </c>
      <c r="AH6">
        <f t="shared" si="26"/>
        <v>541723.4218287844</v>
      </c>
      <c r="AI6">
        <f t="shared" si="26"/>
        <v>557975.12448364799</v>
      </c>
      <c r="AJ6">
        <f t="shared" si="26"/>
        <v>574714.37821815745</v>
      </c>
      <c r="AK6">
        <f t="shared" si="26"/>
        <v>591955.80956470221</v>
      </c>
    </row>
    <row r="7" spans="1:52" x14ac:dyDescent="0.3">
      <c r="A7" s="8" t="s">
        <v>22</v>
      </c>
      <c r="B7" s="2">
        <v>38029</v>
      </c>
      <c r="C7" s="2">
        <v>50518</v>
      </c>
      <c r="D7" s="2">
        <v>45372</v>
      </c>
      <c r="E7" s="2">
        <v>45850</v>
      </c>
      <c r="F7" s="2">
        <v>48475</v>
      </c>
      <c r="G7" s="2">
        <v>53147</v>
      </c>
      <c r="H7" s="2">
        <v>55939</v>
      </c>
      <c r="I7" s="2">
        <v>60404</v>
      </c>
      <c r="J7" s="2">
        <v>66309</v>
      </c>
      <c r="K7" s="2">
        <v>69635</v>
      </c>
      <c r="M7" t="s">
        <v>23</v>
      </c>
      <c r="N7" s="5">
        <v>-0.01</v>
      </c>
      <c r="S7" s="2">
        <f t="shared" si="21"/>
        <v>179769</v>
      </c>
      <c r="T7" s="2">
        <f t="shared" si="22"/>
        <v>217965</v>
      </c>
      <c r="U7">
        <f>+T7*1.04</f>
        <v>226683.6</v>
      </c>
      <c r="V7">
        <f t="shared" ref="V7:W7" si="27">+U7*1.04</f>
        <v>235750.94400000002</v>
      </c>
      <c r="W7">
        <f t="shared" si="27"/>
        <v>245180.98176000002</v>
      </c>
      <c r="X7">
        <f t="shared" ref="X7:AK7" si="28">+W7*1.04</f>
        <v>254988.22103040005</v>
      </c>
      <c r="Y7">
        <f t="shared" si="28"/>
        <v>265187.74987161608</v>
      </c>
      <c r="Z7">
        <f t="shared" si="28"/>
        <v>275795.25986648072</v>
      </c>
      <c r="AA7">
        <f t="shared" si="28"/>
        <v>286827.07026113995</v>
      </c>
      <c r="AB7">
        <f t="shared" si="28"/>
        <v>298300.15307158558</v>
      </c>
      <c r="AC7">
        <f t="shared" si="28"/>
        <v>310232.15919444902</v>
      </c>
      <c r="AD7">
        <f t="shared" si="28"/>
        <v>322641.44556222699</v>
      </c>
      <c r="AE7">
        <f t="shared" si="28"/>
        <v>335547.10338471609</v>
      </c>
      <c r="AF7">
        <f t="shared" si="28"/>
        <v>348968.98752010474</v>
      </c>
      <c r="AG7">
        <f t="shared" si="28"/>
        <v>362927.74702090892</v>
      </c>
      <c r="AH7">
        <f t="shared" si="28"/>
        <v>377444.85690174531</v>
      </c>
      <c r="AI7">
        <f t="shared" si="28"/>
        <v>392542.65117781516</v>
      </c>
      <c r="AJ7">
        <f t="shared" si="28"/>
        <v>408244.35722492781</v>
      </c>
      <c r="AK7">
        <f t="shared" si="28"/>
        <v>424574.13151392492</v>
      </c>
    </row>
    <row r="8" spans="1:52" x14ac:dyDescent="0.3">
      <c r="A8" s="8" t="s">
        <v>24</v>
      </c>
      <c r="B8" s="2">
        <f t="shared" ref="B8:K8" si="29">+B7+B6+B5</f>
        <v>205140</v>
      </c>
      <c r="C8" s="2">
        <f t="shared" si="29"/>
        <v>243254</v>
      </c>
      <c r="D8" s="2">
        <f t="shared" si="29"/>
        <v>237837</v>
      </c>
      <c r="E8" s="2">
        <f t="shared" si="29"/>
        <v>257603</v>
      </c>
      <c r="F8" s="2">
        <f t="shared" si="29"/>
        <v>267015</v>
      </c>
      <c r="G8" s="2">
        <f t="shared" si="29"/>
        <v>289445</v>
      </c>
      <c r="H8" s="2">
        <f t="shared" si="29"/>
        <v>296746</v>
      </c>
      <c r="I8" s="2">
        <f t="shared" si="29"/>
        <v>322019</v>
      </c>
      <c r="J8" s="2">
        <f t="shared" si="29"/>
        <v>348114</v>
      </c>
      <c r="K8" s="2">
        <f t="shared" si="29"/>
        <v>346683</v>
      </c>
      <c r="M8" t="s">
        <v>25</v>
      </c>
      <c r="N8" s="5">
        <v>0.01</v>
      </c>
      <c r="S8" s="2">
        <f>+S5+S6+S7</f>
        <v>943834</v>
      </c>
      <c r="T8" s="2">
        <f>+T5+T6+T7</f>
        <v>1175225</v>
      </c>
      <c r="U8" s="2">
        <f>+U5+U6+U7</f>
        <v>1224643.74</v>
      </c>
      <c r="V8" s="2">
        <f t="shared" ref="V8:W8" si="30">+V5+V6+V7</f>
        <v>1276231.3452000001</v>
      </c>
      <c r="W8" s="2">
        <f t="shared" si="30"/>
        <v>1330086.3248460002</v>
      </c>
      <c r="X8" s="2">
        <f t="shared" ref="X8" si="31">+X5+X6+X7</f>
        <v>1386311.7807514803</v>
      </c>
      <c r="Y8" s="2">
        <f t="shared" ref="Y8" si="32">+Y5+Y6+Y7</f>
        <v>1445015.6255439536</v>
      </c>
      <c r="Z8" s="2">
        <f t="shared" ref="Z8" si="33">+Z5+Z6+Z7</f>
        <v>1506310.8114265949</v>
      </c>
      <c r="AA8" s="2">
        <f t="shared" ref="AA8" si="34">+AA5+AA6+AA7</f>
        <v>1570315.5699665439</v>
      </c>
      <c r="AB8" s="2">
        <f t="shared" ref="AB8" si="35">+AB5+AB6+AB7</f>
        <v>1637153.6634465628</v>
      </c>
      <c r="AC8" s="2">
        <f t="shared" ref="AC8" si="36">+AC5+AC6+AC7</f>
        <v>1706954.6483430068</v>
      </c>
      <c r="AD8" s="2">
        <f t="shared" ref="AD8" si="37">+AD5+AD6+AD7</f>
        <v>1779854.1515206895</v>
      </c>
      <c r="AE8" s="2">
        <f t="shared" ref="AE8" si="38">+AE5+AE6+AE7</f>
        <v>1855994.159764153</v>
      </c>
      <c r="AF8" s="2">
        <f t="shared" ref="AF8" si="39">+AF5+AF6+AF7</f>
        <v>1935523.3232952561</v>
      </c>
      <c r="AG8" s="2">
        <f t="shared" ref="AG8" si="40">+AG5+AG6+AG7</f>
        <v>2018597.273958863</v>
      </c>
      <c r="AH8" s="2">
        <f t="shared" ref="AH8" si="41">+AH5+AH6+AH7</f>
        <v>2105378.9587918636</v>
      </c>
      <c r="AI8" s="2">
        <f t="shared" ref="AI8" si="42">+AI5+AI6+AI7</f>
        <v>2196038.9897258636</v>
      </c>
      <c r="AJ8" s="2">
        <f t="shared" ref="AJ8" si="43">+AJ5+AJ6+AJ7</f>
        <v>2290756.0102107059</v>
      </c>
      <c r="AK8" s="2">
        <f t="shared" ref="AK8" si="44">+AK5+AK6+AK7</f>
        <v>2389717.0795846288</v>
      </c>
    </row>
    <row r="9" spans="1:52" s="1" customFormat="1" x14ac:dyDescent="0.3">
      <c r="A9" s="9" t="s">
        <v>26</v>
      </c>
      <c r="B9" s="3">
        <f t="shared" ref="B9:K9" si="45">+B4-B8</f>
        <v>-40024</v>
      </c>
      <c r="C9" s="3">
        <f t="shared" si="45"/>
        <v>-64541</v>
      </c>
      <c r="D9" s="3">
        <f t="shared" si="45"/>
        <v>-45947</v>
      </c>
      <c r="E9" s="3">
        <f t="shared" si="45"/>
        <v>-50691</v>
      </c>
      <c r="F9" s="3">
        <f t="shared" si="45"/>
        <v>-47272</v>
      </c>
      <c r="G9" s="3">
        <f t="shared" si="45"/>
        <v>-56172</v>
      </c>
      <c r="H9" s="3">
        <f t="shared" si="45"/>
        <v>-39212</v>
      </c>
      <c r="I9" s="3">
        <f t="shared" si="45"/>
        <v>-42829</v>
      </c>
      <c r="J9" s="3">
        <f t="shared" si="45"/>
        <v>-54550</v>
      </c>
      <c r="K9" s="3">
        <f t="shared" si="45"/>
        <v>-34698</v>
      </c>
      <c r="M9" s="1" t="s">
        <v>27</v>
      </c>
      <c r="N9" s="6">
        <v>-5.5E-2</v>
      </c>
      <c r="S9" s="3">
        <f>+S4-S8</f>
        <v>-201203</v>
      </c>
      <c r="T9" s="3">
        <f>+T4-T8</f>
        <v>-185485</v>
      </c>
      <c r="U9" s="3">
        <f>+U4-U8</f>
        <v>-175862.96500000008</v>
      </c>
      <c r="V9" s="3">
        <f t="shared" ref="V9:W9" si="46">+V4-V8</f>
        <v>-164978.34957500035</v>
      </c>
      <c r="W9" s="3">
        <f t="shared" si="46"/>
        <v>-152733.5653416256</v>
      </c>
      <c r="X9" s="3">
        <f t="shared" ref="X9" si="47">+X4-X8</f>
        <v>-139024.5363895651</v>
      </c>
      <c r="Y9" s="3">
        <f t="shared" ref="Y9" si="48">+Y4-Y8</f>
        <v>-123740.29633394093</v>
      </c>
      <c r="Z9" s="3">
        <f t="shared" ref="Z9" si="49">+Z4-Z8</f>
        <v>-106762.56124551198</v>
      </c>
      <c r="AA9" s="3">
        <f t="shared" ref="AA9" si="50">+AA4-AA8</f>
        <v>-87965.277046401286</v>
      </c>
      <c r="AB9" s="3">
        <f t="shared" ref="AB9" si="51">+AB4-AB8</f>
        <v>-67214.139877547976</v>
      </c>
      <c r="AC9" s="3">
        <f t="shared" ref="AC9" si="52">+AC4-AC8</f>
        <v>-44366.087857901352</v>
      </c>
      <c r="AD9" s="3">
        <f t="shared" ref="AD9" si="53">+AD4-AD8</f>
        <v>-19268.762564316392</v>
      </c>
      <c r="AE9" s="3">
        <f t="shared" ref="AE9" si="54">+AE4-AE8</f>
        <v>8240.0615351907909</v>
      </c>
      <c r="AF9" s="3">
        <f t="shared" ref="AF9" si="55">+AF4-AF8</f>
        <v>38333.081563936779</v>
      </c>
      <c r="AG9" s="3">
        <f t="shared" ref="AG9" si="56">+AG4-AG8</f>
        <v>71194.106611505849</v>
      </c>
      <c r="AH9" s="3">
        <f t="shared" ref="AH9" si="57">+AH4-AH8</f>
        <v>107018.7360915523</v>
      </c>
      <c r="AI9" s="3">
        <f t="shared" ref="AI9" si="58">+AI4-AI8</f>
        <v>146015.07829308463</v>
      </c>
      <c r="AJ9" s="3">
        <f t="shared" ref="AJ9" si="59">+AJ4-AJ8</f>
        <v>188404.51146290638</v>
      </c>
      <c r="AK9" s="3">
        <f t="shared" ref="AK9" si="60">+AK4-AK8</f>
        <v>234422.4898911994</v>
      </c>
    </row>
    <row r="10" spans="1:52" x14ac:dyDescent="0.3">
      <c r="A10" s="8" t="s">
        <v>28</v>
      </c>
      <c r="B10" s="2">
        <f>1061-1557</f>
        <v>-496</v>
      </c>
      <c r="C10" s="2">
        <f>1641-1040</f>
        <v>601</v>
      </c>
      <c r="D10" s="2">
        <f>3852-152</f>
        <v>3700</v>
      </c>
      <c r="E10" s="2">
        <f>8323-875</f>
        <v>7448</v>
      </c>
      <c r="F10" s="2">
        <f>13487-2126</f>
        <v>11361</v>
      </c>
      <c r="G10" s="2">
        <f>16536-1539-50300</f>
        <v>-35303</v>
      </c>
      <c r="H10" s="2">
        <f>17954-1138</f>
        <v>16816</v>
      </c>
      <c r="I10" s="2">
        <f>20190-1069</f>
        <v>19121</v>
      </c>
      <c r="J10" s="2">
        <f>21252-1100</f>
        <v>20152</v>
      </c>
      <c r="K10" s="2">
        <f>21715-1218</f>
        <v>20497</v>
      </c>
      <c r="M10" t="s">
        <v>29</v>
      </c>
      <c r="N10" s="5">
        <v>0.08</v>
      </c>
      <c r="S10" s="2">
        <f t="shared" ref="S10:S13" si="61">SUM(B10:E10)</f>
        <v>11253</v>
      </c>
      <c r="T10" s="2">
        <f t="shared" ref="T10:T11" si="62">SUM(F10:I10)</f>
        <v>11995</v>
      </c>
      <c r="U10" s="2">
        <f>+T10</f>
        <v>11995</v>
      </c>
      <c r="V10" s="2">
        <f t="shared" ref="V10:AK10" si="63">+U10</f>
        <v>11995</v>
      </c>
      <c r="W10" s="2">
        <f t="shared" si="63"/>
        <v>11995</v>
      </c>
      <c r="X10" s="2">
        <f t="shared" si="63"/>
        <v>11995</v>
      </c>
      <c r="Y10" s="2">
        <f t="shared" si="63"/>
        <v>11995</v>
      </c>
      <c r="Z10" s="2">
        <f t="shared" si="63"/>
        <v>11995</v>
      </c>
      <c r="AA10" s="2">
        <f t="shared" si="63"/>
        <v>11995</v>
      </c>
      <c r="AB10" s="2">
        <f t="shared" si="63"/>
        <v>11995</v>
      </c>
      <c r="AC10" s="2">
        <f t="shared" si="63"/>
        <v>11995</v>
      </c>
      <c r="AD10" s="2">
        <f t="shared" si="63"/>
        <v>11995</v>
      </c>
      <c r="AE10" s="2">
        <f t="shared" si="63"/>
        <v>11995</v>
      </c>
      <c r="AF10" s="2">
        <f t="shared" si="63"/>
        <v>11995</v>
      </c>
      <c r="AG10" s="2">
        <f t="shared" si="63"/>
        <v>11995</v>
      </c>
      <c r="AH10" s="2">
        <f t="shared" si="63"/>
        <v>11995</v>
      </c>
      <c r="AI10" s="2">
        <f t="shared" si="63"/>
        <v>11995</v>
      </c>
      <c r="AJ10" s="2">
        <f t="shared" si="63"/>
        <v>11995</v>
      </c>
      <c r="AK10" s="2">
        <f t="shared" si="63"/>
        <v>11995</v>
      </c>
    </row>
    <row r="11" spans="1:52" x14ac:dyDescent="0.3">
      <c r="A11" s="8" t="s">
        <v>30</v>
      </c>
      <c r="B11" s="2">
        <v>-487</v>
      </c>
      <c r="C11" s="2">
        <v>233</v>
      </c>
      <c r="D11" s="2">
        <v>2433</v>
      </c>
      <c r="E11" s="2">
        <v>-1602</v>
      </c>
      <c r="F11" s="2">
        <v>-857</v>
      </c>
      <c r="G11" s="2">
        <v>-1527</v>
      </c>
      <c r="H11" s="2">
        <v>115</v>
      </c>
      <c r="I11" s="2">
        <v>-2103</v>
      </c>
      <c r="J11" s="2">
        <v>1124</v>
      </c>
      <c r="K11" s="2">
        <v>269</v>
      </c>
      <c r="M11" t="s">
        <v>31</v>
      </c>
      <c r="N11" s="7">
        <f>NPV(N10,U14:AZ14)</f>
        <v>72932.333194184554</v>
      </c>
      <c r="S11" s="2">
        <f t="shared" si="61"/>
        <v>577</v>
      </c>
      <c r="T11" s="2">
        <f t="shared" si="62"/>
        <v>-4372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52" x14ac:dyDescent="0.3">
      <c r="A12" s="8" t="s">
        <v>32</v>
      </c>
      <c r="B12" s="2">
        <f t="shared" ref="B12:K12" si="64">+B9+B10+B11</f>
        <v>-41007</v>
      </c>
      <c r="C12" s="2">
        <f t="shared" si="64"/>
        <v>-63707</v>
      </c>
      <c r="D12" s="2">
        <f t="shared" si="64"/>
        <v>-39814</v>
      </c>
      <c r="E12" s="2">
        <f t="shared" si="64"/>
        <v>-44845</v>
      </c>
      <c r="F12" s="2">
        <f t="shared" si="64"/>
        <v>-36768</v>
      </c>
      <c r="G12" s="2">
        <f t="shared" si="64"/>
        <v>-93002</v>
      </c>
      <c r="H12" s="2">
        <f t="shared" si="64"/>
        <v>-22281</v>
      </c>
      <c r="I12" s="2">
        <f t="shared" si="64"/>
        <v>-25811</v>
      </c>
      <c r="J12" s="2">
        <f t="shared" si="64"/>
        <v>-33274</v>
      </c>
      <c r="K12" s="2">
        <f t="shared" si="64"/>
        <v>-13932</v>
      </c>
      <c r="M12" t="s">
        <v>33</v>
      </c>
      <c r="N12" s="2">
        <f>+N11-main!M5+main!M6</f>
        <v>70924.723194184553</v>
      </c>
      <c r="S12" s="2">
        <f>+S9+S10+S11</f>
        <v>-189373</v>
      </c>
      <c r="T12" s="2">
        <f>+T9+T10+T11</f>
        <v>-177862</v>
      </c>
      <c r="U12" s="2">
        <f>+U9+U10+U11</f>
        <v>-163867.96500000008</v>
      </c>
      <c r="V12" s="2">
        <f t="shared" ref="V12:W12" si="65">+V9+V10+V11</f>
        <v>-152983.34957500035</v>
      </c>
      <c r="W12" s="2">
        <f t="shared" si="65"/>
        <v>-140738.5653416256</v>
      </c>
      <c r="X12" s="2">
        <f t="shared" ref="X12" si="66">+X9+X10+X11</f>
        <v>-127029.5363895651</v>
      </c>
      <c r="Y12" s="2">
        <f t="shared" ref="Y12" si="67">+Y9+Y10+Y11</f>
        <v>-111745.29633394093</v>
      </c>
      <c r="Z12" s="2">
        <f t="shared" ref="Z12" si="68">+Z9+Z10+Z11</f>
        <v>-94767.561245511984</v>
      </c>
      <c r="AA12" s="2">
        <f t="shared" ref="AA12" si="69">+AA9+AA10+AA11</f>
        <v>-75970.277046401286</v>
      </c>
      <c r="AB12" s="2">
        <f t="shared" ref="AB12" si="70">+AB9+AB10+AB11</f>
        <v>-55219.139877547976</v>
      </c>
      <c r="AC12" s="2">
        <f t="shared" ref="AC12" si="71">+AC9+AC10+AC11</f>
        <v>-32371.087857901352</v>
      </c>
      <c r="AD12" s="2">
        <f t="shared" ref="AD12" si="72">+AD9+AD10+AD11</f>
        <v>-7273.7625643163919</v>
      </c>
      <c r="AE12" s="2">
        <f t="shared" ref="AE12" si="73">+AE9+AE10+AE11</f>
        <v>20235.061535190791</v>
      </c>
      <c r="AF12" s="2">
        <f t="shared" ref="AF12" si="74">+AF9+AF10+AF11</f>
        <v>50328.081563936779</v>
      </c>
      <c r="AG12" s="2">
        <f t="shared" ref="AG12" si="75">+AG9+AG10+AG11</f>
        <v>83189.106611505849</v>
      </c>
      <c r="AH12" s="2">
        <f t="shared" ref="AH12" si="76">+AH9+AH10+AH11</f>
        <v>119013.7360915523</v>
      </c>
      <c r="AI12" s="2">
        <f t="shared" ref="AI12" si="77">+AI9+AI10+AI11</f>
        <v>158010.07829308463</v>
      </c>
      <c r="AJ12" s="2">
        <f t="shared" ref="AJ12" si="78">+AJ9+AJ10+AJ11</f>
        <v>200399.51146290638</v>
      </c>
      <c r="AK12" s="2">
        <f t="shared" ref="AK12" si="79">+AK9+AK10+AK11</f>
        <v>246417.4898911994</v>
      </c>
    </row>
    <row r="13" spans="1:52" x14ac:dyDescent="0.3">
      <c r="A13" s="8" t="s">
        <v>34</v>
      </c>
      <c r="B13" s="2">
        <v>374</v>
      </c>
      <c r="C13" s="2">
        <v>-170</v>
      </c>
      <c r="D13" s="2">
        <v>1372</v>
      </c>
      <c r="E13" s="2">
        <v>1072</v>
      </c>
      <c r="F13" s="2">
        <v>1314</v>
      </c>
      <c r="G13" s="2">
        <v>1465</v>
      </c>
      <c r="H13" s="2">
        <v>1254</v>
      </c>
      <c r="I13" s="2">
        <v>2054</v>
      </c>
      <c r="J13" s="2">
        <v>2269</v>
      </c>
      <c r="K13" s="2">
        <v>1146</v>
      </c>
      <c r="M13" t="s">
        <v>35</v>
      </c>
      <c r="N13">
        <f>+N12/main!M3</f>
        <v>220.62625810864014</v>
      </c>
      <c r="O13" t="s">
        <v>36</v>
      </c>
      <c r="S13" s="2">
        <f t="shared" si="61"/>
        <v>2648</v>
      </c>
      <c r="T13" s="2">
        <f t="shared" ref="T13" si="80">SUM(F13:I13)</f>
        <v>6087</v>
      </c>
      <c r="U13">
        <f>+U12*0.2</f>
        <v>-32773.593000000015</v>
      </c>
      <c r="V13">
        <f t="shared" ref="V13:W13" si="81">+V12*0.2</f>
        <v>-30596.669915000071</v>
      </c>
      <c r="W13">
        <f t="shared" si="81"/>
        <v>-28147.71306832512</v>
      </c>
      <c r="X13">
        <f t="shared" ref="X13" si="82">+X12*0.2</f>
        <v>-25405.907277913022</v>
      </c>
      <c r="Y13">
        <f t="shared" ref="Y13" si="83">+Y12*0.2</f>
        <v>-22349.059266788187</v>
      </c>
      <c r="Z13">
        <f t="shared" ref="Z13" si="84">+Z12*0.2</f>
        <v>-18953.512249102398</v>
      </c>
      <c r="AA13">
        <f t="shared" ref="AA13" si="85">+AA12*0.2</f>
        <v>-15194.055409280258</v>
      </c>
      <c r="AB13">
        <f t="shared" ref="AB13" si="86">+AB12*0.2</f>
        <v>-11043.827975509595</v>
      </c>
      <c r="AC13">
        <f t="shared" ref="AC13" si="87">+AC12*0.2</f>
        <v>-6474.2175715802705</v>
      </c>
      <c r="AD13">
        <f t="shared" ref="AD13" si="88">+AD12*0.2</f>
        <v>-1454.7525128632785</v>
      </c>
      <c r="AE13">
        <f t="shared" ref="AE13" si="89">+AE12*0.2</f>
        <v>4047.0123070381583</v>
      </c>
      <c r="AF13">
        <f t="shared" ref="AF13" si="90">+AF12*0.2</f>
        <v>10065.616312787357</v>
      </c>
      <c r="AG13">
        <f t="shared" ref="AG13" si="91">+AG12*0.2</f>
        <v>16637.82132230117</v>
      </c>
      <c r="AH13">
        <f t="shared" ref="AH13" si="92">+AH12*0.2</f>
        <v>23802.747218310462</v>
      </c>
      <c r="AI13">
        <f t="shared" ref="AI13" si="93">+AI12*0.2</f>
        <v>31602.015658616929</v>
      </c>
      <c r="AJ13">
        <f t="shared" ref="AJ13" si="94">+AJ12*0.2</f>
        <v>40079.902292581275</v>
      </c>
      <c r="AK13">
        <f t="shared" ref="AK13" si="95">+AK12*0.2</f>
        <v>49283.49797823988</v>
      </c>
    </row>
    <row r="14" spans="1:52" s="1" customFormat="1" x14ac:dyDescent="0.3">
      <c r="A14" s="9" t="s">
        <v>37</v>
      </c>
      <c r="B14" s="3">
        <f t="shared" ref="B14:K14" si="96">+B12-B13</f>
        <v>-41381</v>
      </c>
      <c r="C14" s="3">
        <f t="shared" si="96"/>
        <v>-63537</v>
      </c>
      <c r="D14" s="3">
        <f t="shared" si="96"/>
        <v>-41186</v>
      </c>
      <c r="E14" s="3">
        <f t="shared" si="96"/>
        <v>-45917</v>
      </c>
      <c r="F14" s="3">
        <f t="shared" si="96"/>
        <v>-38082</v>
      </c>
      <c r="G14" s="3">
        <f t="shared" si="96"/>
        <v>-94467</v>
      </c>
      <c r="H14" s="3">
        <f t="shared" si="96"/>
        <v>-23535</v>
      </c>
      <c r="I14" s="3">
        <f t="shared" si="96"/>
        <v>-27865</v>
      </c>
      <c r="J14" s="3">
        <f t="shared" si="96"/>
        <v>-35543</v>
      </c>
      <c r="K14" s="3">
        <f t="shared" si="96"/>
        <v>-15078</v>
      </c>
      <c r="M14" s="1" t="s">
        <v>38</v>
      </c>
      <c r="N14" s="6">
        <f>+N13/main!M2-1</f>
        <v>1.8285417706235916</v>
      </c>
      <c r="O14" s="1" t="s">
        <v>48</v>
      </c>
      <c r="S14" s="3">
        <f>+S12-S13</f>
        <v>-192021</v>
      </c>
      <c r="T14" s="3">
        <f>+T12-T13</f>
        <v>-183949</v>
      </c>
      <c r="U14" s="3">
        <f>+U12-U13</f>
        <v>-131094.37200000006</v>
      </c>
      <c r="V14" s="3">
        <f t="shared" ref="V14:W14" si="97">+V12-V13</f>
        <v>-122386.67966000029</v>
      </c>
      <c r="W14" s="3">
        <f t="shared" si="97"/>
        <v>-112590.85227330048</v>
      </c>
      <c r="X14" s="3">
        <f t="shared" ref="X14" si="98">+X12-X13</f>
        <v>-101623.62911165207</v>
      </c>
      <c r="Y14" s="3">
        <f t="shared" ref="Y14" si="99">+Y12-Y13</f>
        <v>-89396.237067152746</v>
      </c>
      <c r="Z14" s="3">
        <f t="shared" ref="Z14" si="100">+Z12-Z13</f>
        <v>-75814.04899640959</v>
      </c>
      <c r="AA14" s="3">
        <f t="shared" ref="AA14" si="101">+AA12-AA13</f>
        <v>-60776.221637121031</v>
      </c>
      <c r="AB14" s="3">
        <f t="shared" ref="AB14" si="102">+AB12-AB13</f>
        <v>-44175.311902038382</v>
      </c>
      <c r="AC14" s="3">
        <f t="shared" ref="AC14" si="103">+AC12-AC13</f>
        <v>-25896.870286321082</v>
      </c>
      <c r="AD14" s="3">
        <f t="shared" ref="AD14" si="104">+AD12-AD13</f>
        <v>-5819.0100514531132</v>
      </c>
      <c r="AE14" s="3">
        <f t="shared" ref="AE14" si="105">+AE12-AE13</f>
        <v>16188.049228152633</v>
      </c>
      <c r="AF14" s="3">
        <f t="shared" ref="AF14" si="106">+AF12-AF13</f>
        <v>40262.465251149421</v>
      </c>
      <c r="AG14" s="3">
        <f t="shared" ref="AG14" si="107">+AG12-AG13</f>
        <v>66551.285289204679</v>
      </c>
      <c r="AH14" s="3">
        <f t="shared" ref="AH14" si="108">+AH12-AH13</f>
        <v>95210.988873241848</v>
      </c>
      <c r="AI14" s="3">
        <f t="shared" ref="AI14" si="109">+AI12-AI13</f>
        <v>126408.0626344677</v>
      </c>
      <c r="AJ14" s="3">
        <f t="shared" ref="AJ14" si="110">+AJ12-AJ13</f>
        <v>160319.6091703251</v>
      </c>
      <c r="AK14" s="3">
        <f t="shared" ref="AK14" si="111">+AK12-AK13</f>
        <v>197133.99191295952</v>
      </c>
      <c r="AL14" s="1">
        <f>+AK14*(1+$N$7)</f>
        <v>195162.65199382993</v>
      </c>
      <c r="AM14" s="1">
        <f t="shared" ref="AM14:AZ14" si="112">+AL14*(1+$N$7)</f>
        <v>193211.02547389164</v>
      </c>
      <c r="AN14" s="1">
        <f t="shared" si="112"/>
        <v>191278.91521915272</v>
      </c>
      <c r="AO14" s="1">
        <f t="shared" si="112"/>
        <v>189366.12606696121</v>
      </c>
      <c r="AP14" s="1">
        <f t="shared" si="112"/>
        <v>187472.46480629159</v>
      </c>
      <c r="AQ14" s="1">
        <f t="shared" si="112"/>
        <v>185597.74015822867</v>
      </c>
      <c r="AR14" s="1">
        <f t="shared" si="112"/>
        <v>183741.76275664638</v>
      </c>
      <c r="AS14" s="1">
        <f t="shared" si="112"/>
        <v>181904.34512907991</v>
      </c>
      <c r="AT14" s="1">
        <f t="shared" si="112"/>
        <v>180085.3016777891</v>
      </c>
      <c r="AU14" s="1">
        <f t="shared" si="112"/>
        <v>178284.44866101121</v>
      </c>
      <c r="AV14" s="1">
        <f t="shared" si="112"/>
        <v>176501.60417440109</v>
      </c>
      <c r="AW14" s="1">
        <f t="shared" si="112"/>
        <v>174736.58813265708</v>
      </c>
      <c r="AX14" s="1">
        <f t="shared" si="112"/>
        <v>172989.2222513305</v>
      </c>
      <c r="AY14" s="1">
        <f t="shared" si="112"/>
        <v>171259.3300288172</v>
      </c>
      <c r="AZ14" s="1">
        <f t="shared" si="112"/>
        <v>169546.73672852904</v>
      </c>
    </row>
    <row r="15" spans="1:52" x14ac:dyDescent="0.3">
      <c r="A15" s="8" t="s">
        <v>39</v>
      </c>
      <c r="B15" s="2">
        <f t="shared" ref="B15:K15" si="113">+B14/B16</f>
        <v>-0.12798221034595805</v>
      </c>
      <c r="C15" s="2">
        <f t="shared" si="113"/>
        <v>-0.19538003118109945</v>
      </c>
      <c r="D15" s="2">
        <f t="shared" si="113"/>
        <v>-0.1261091888912704</v>
      </c>
      <c r="E15" s="2">
        <f t="shared" si="113"/>
        <v>-0.13985185455918811</v>
      </c>
      <c r="F15" s="2">
        <f t="shared" si="113"/>
        <v>-0.11526412804300386</v>
      </c>
      <c r="G15" s="2">
        <f t="shared" si="113"/>
        <v>-0.28428484157244877</v>
      </c>
      <c r="H15" s="2">
        <f t="shared" si="113"/>
        <v>-7.0323845266624038E-2</v>
      </c>
      <c r="I15" s="2">
        <f t="shared" si="113"/>
        <v>-8.2789130602713187E-2</v>
      </c>
      <c r="J15" s="2">
        <f t="shared" si="113"/>
        <v>-0.10497573711615764</v>
      </c>
      <c r="K15" s="2">
        <f t="shared" si="113"/>
        <v>-4.4262699325990466E-2</v>
      </c>
      <c r="S15">
        <f>+S14/S16</f>
        <v>-0.58927137045081235</v>
      </c>
      <c r="T15">
        <f>+T14/T16</f>
        <v>-0.55160015892887937</v>
      </c>
      <c r="U15">
        <f>+U14/U16</f>
        <v>-0.39310720052776399</v>
      </c>
      <c r="V15">
        <f t="shared" ref="V15:W15" si="114">+V14/V16</f>
        <v>-0.36699580835576168</v>
      </c>
      <c r="W15">
        <f t="shared" si="114"/>
        <v>-0.3376214712115343</v>
      </c>
      <c r="X15">
        <f t="shared" ref="X15" si="115">+X14/X16</f>
        <v>-0.30473451863786577</v>
      </c>
      <c r="Y15">
        <f t="shared" ref="Y15" si="116">+Y14/Y16</f>
        <v>-0.26806875043563827</v>
      </c>
      <c r="Z15">
        <f t="shared" ref="Z15" si="117">+Z14/Z16</f>
        <v>-0.22734041215478951</v>
      </c>
      <c r="AA15">
        <f t="shared" ref="AA15" si="118">+AA14/AA16</f>
        <v>-0.18224710932993796</v>
      </c>
      <c r="AB15">
        <f t="shared" ref="AB15" si="119">+AB14/AB16</f>
        <v>-0.13246665687716261</v>
      </c>
      <c r="AC15">
        <f t="shared" ref="AC15" si="120">+AC14/AC16</f>
        <v>-7.7655859861675142E-2</v>
      </c>
      <c r="AD15">
        <f t="shared" ref="AD15" si="121">+AD14/AD16</f>
        <v>-1.7449221627680953E-2</v>
      </c>
      <c r="AE15">
        <f t="shared" ref="AE15" si="122">+AE14/AE16</f>
        <v>4.8542424949293089E-2</v>
      </c>
      <c r="AF15">
        <f t="shared" ref="AF15" si="123">+AF14/AF16</f>
        <v>0.12073336757146003</v>
      </c>
      <c r="AG15">
        <f t="shared" ref="AG15" si="124">+AG14/AG16</f>
        <v>0.19956455073116183</v>
      </c>
      <c r="AH15">
        <f t="shared" ref="AH15" si="125">+AH14/AH16</f>
        <v>0.28550520304136451</v>
      </c>
      <c r="AI15">
        <f t="shared" ref="AI15" si="126">+AI14/AI16</f>
        <v>0.37905456098736123</v>
      </c>
      <c r="AJ15">
        <f t="shared" ref="AJ15" si="127">+AJ14/AJ16</f>
        <v>0.48074369470759365</v>
      </c>
      <c r="AK15">
        <f t="shared" ref="AK15" si="128">+AK14/AK16</f>
        <v>0.59113744173370275</v>
      </c>
    </row>
    <row r="16" spans="1:52" x14ac:dyDescent="0.3">
      <c r="A16" s="8" t="s">
        <v>2</v>
      </c>
      <c r="B16" s="2">
        <v>323334</v>
      </c>
      <c r="C16" s="2">
        <v>325197</v>
      </c>
      <c r="D16" s="2">
        <v>326590</v>
      </c>
      <c r="E16" s="2">
        <v>328326</v>
      </c>
      <c r="F16" s="2">
        <v>330389</v>
      </c>
      <c r="G16" s="2">
        <v>332297</v>
      </c>
      <c r="H16" s="2">
        <v>334666</v>
      </c>
      <c r="I16" s="2">
        <v>336578</v>
      </c>
      <c r="J16" s="2">
        <v>338583</v>
      </c>
      <c r="K16" s="2">
        <v>340648</v>
      </c>
      <c r="N16" t="s">
        <v>41</v>
      </c>
      <c r="S16" s="2">
        <f>AVERAGE(B16:E16)</f>
        <v>325861.75</v>
      </c>
      <c r="T16" s="2">
        <f>AVERAGE(F16:I16)</f>
        <v>333482.5</v>
      </c>
      <c r="U16" s="2">
        <f>+T16</f>
        <v>333482.5</v>
      </c>
      <c r="V16" s="2">
        <f t="shared" ref="V16:W16" si="129">+U16</f>
        <v>333482.5</v>
      </c>
      <c r="W16" s="2">
        <f t="shared" si="129"/>
        <v>333482.5</v>
      </c>
      <c r="X16" s="2">
        <f t="shared" ref="X16:AK16" si="130">+W16</f>
        <v>333482.5</v>
      </c>
      <c r="Y16" s="2">
        <f t="shared" si="130"/>
        <v>333482.5</v>
      </c>
      <c r="Z16" s="2">
        <f t="shared" si="130"/>
        <v>333482.5</v>
      </c>
      <c r="AA16" s="2">
        <f t="shared" si="130"/>
        <v>333482.5</v>
      </c>
      <c r="AB16" s="2">
        <f t="shared" si="130"/>
        <v>333482.5</v>
      </c>
      <c r="AC16" s="2">
        <f t="shared" si="130"/>
        <v>333482.5</v>
      </c>
      <c r="AD16" s="2">
        <f t="shared" si="130"/>
        <v>333482.5</v>
      </c>
      <c r="AE16" s="2">
        <f t="shared" si="130"/>
        <v>333482.5</v>
      </c>
      <c r="AF16" s="2">
        <f t="shared" si="130"/>
        <v>333482.5</v>
      </c>
      <c r="AG16" s="2">
        <f t="shared" si="130"/>
        <v>333482.5</v>
      </c>
      <c r="AH16" s="2">
        <f t="shared" si="130"/>
        <v>333482.5</v>
      </c>
      <c r="AI16" s="2">
        <f t="shared" si="130"/>
        <v>333482.5</v>
      </c>
      <c r="AJ16" s="2">
        <f t="shared" si="130"/>
        <v>333482.5</v>
      </c>
      <c r="AK16" s="2">
        <f t="shared" si="130"/>
        <v>333482.5</v>
      </c>
    </row>
    <row r="18" spans="1:37" x14ac:dyDescent="0.3">
      <c r="A18" s="8" t="s">
        <v>40</v>
      </c>
      <c r="B18" s="5" t="s">
        <v>41</v>
      </c>
      <c r="C18" s="5" t="s">
        <v>41</v>
      </c>
      <c r="D18" s="5" t="s">
        <v>41</v>
      </c>
      <c r="E18" s="5" t="s">
        <v>41</v>
      </c>
      <c r="F18" s="5">
        <f t="shared" ref="F18:J18" si="131">+F2/B2-1</f>
        <v>0.36767263523545135</v>
      </c>
      <c r="G18" s="5">
        <f t="shared" si="131"/>
        <v>0.31544408294494652</v>
      </c>
      <c r="H18" s="5">
        <f t="shared" si="131"/>
        <v>0.322015938106887</v>
      </c>
      <c r="I18" s="5">
        <f t="shared" si="131"/>
        <v>0.3195231161266836</v>
      </c>
      <c r="J18" s="5">
        <f t="shared" si="131"/>
        <v>0.30473679676057541</v>
      </c>
      <c r="K18" s="5">
        <f>+K2/G2-1</f>
        <v>0.29985024019916118</v>
      </c>
      <c r="P18" t="s">
        <v>49</v>
      </c>
      <c r="T18" s="5">
        <f>+T2/S2-1</f>
        <v>0.32966620558405557</v>
      </c>
      <c r="U18" s="5">
        <f t="shared" ref="U18:AK18" si="132">+U2/T2-1</f>
        <v>5.4999999999999938E-2</v>
      </c>
      <c r="V18" s="5">
        <f t="shared" si="132"/>
        <v>5.4999999999999938E-2</v>
      </c>
      <c r="W18" s="5">
        <f t="shared" si="132"/>
        <v>5.4999999999999938E-2</v>
      </c>
      <c r="X18" s="5">
        <f t="shared" si="132"/>
        <v>5.4999999999999938E-2</v>
      </c>
      <c r="Y18" s="5">
        <f t="shared" si="132"/>
        <v>5.4999999999999938E-2</v>
      </c>
      <c r="Z18" s="5">
        <f t="shared" si="132"/>
        <v>5.4999999999999938E-2</v>
      </c>
      <c r="AA18" s="5">
        <f t="shared" si="132"/>
        <v>5.4999999999999938E-2</v>
      </c>
      <c r="AB18" s="5">
        <f t="shared" si="132"/>
        <v>5.4999999999999938E-2</v>
      </c>
      <c r="AC18" s="5">
        <f t="shared" si="132"/>
        <v>5.4999999999999938E-2</v>
      </c>
      <c r="AD18" s="5">
        <f t="shared" si="132"/>
        <v>5.4999999999999938E-2</v>
      </c>
      <c r="AE18" s="5">
        <f t="shared" si="132"/>
        <v>5.4999999999999938E-2</v>
      </c>
      <c r="AF18" s="5">
        <f t="shared" si="132"/>
        <v>5.4999999999999938E-2</v>
      </c>
      <c r="AG18" s="5">
        <f t="shared" si="132"/>
        <v>5.4999999999999938E-2</v>
      </c>
      <c r="AH18" s="5">
        <f t="shared" si="132"/>
        <v>5.4999999999999938E-2</v>
      </c>
      <c r="AI18" s="5">
        <f t="shared" si="132"/>
        <v>5.4999999999999938E-2</v>
      </c>
      <c r="AJ18" s="5">
        <f t="shared" si="132"/>
        <v>5.4999999999999938E-2</v>
      </c>
      <c r="AK18" s="5">
        <f t="shared" si="132"/>
        <v>5.4999999999999938E-2</v>
      </c>
    </row>
    <row r="19" spans="1:37" x14ac:dyDescent="0.3"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37" x14ac:dyDescent="0.3">
      <c r="A20" s="8" t="s">
        <v>42</v>
      </c>
      <c r="B20" s="5">
        <f t="shared" ref="B20:J23" si="133">+B4/B$2</f>
        <v>0.77823601219793836</v>
      </c>
      <c r="C20" s="5">
        <f t="shared" si="133"/>
        <v>0.76204710106303597</v>
      </c>
      <c r="D20" s="5">
        <f t="shared" si="133"/>
        <v>0.75589800557006503</v>
      </c>
      <c r="E20" s="5">
        <f t="shared" si="133"/>
        <v>0.75322897706589009</v>
      </c>
      <c r="F20" s="5">
        <f t="shared" si="133"/>
        <v>0.75727750495390711</v>
      </c>
      <c r="G20" s="5">
        <f t="shared" si="133"/>
        <v>0.75616705673368034</v>
      </c>
      <c r="H20" s="5">
        <f t="shared" si="133"/>
        <v>0.76737693048035927</v>
      </c>
      <c r="I20" s="5">
        <f t="shared" si="133"/>
        <v>0.7702366796975223</v>
      </c>
      <c r="J20" s="5">
        <f t="shared" si="133"/>
        <v>0.77538945911537704</v>
      </c>
      <c r="K20" s="5">
        <f>+K4/K$2</f>
        <v>0.77802521720914919</v>
      </c>
      <c r="S20" s="5">
        <f t="shared" ref="S20:AK23" si="134">+S4/S$2</f>
        <v>0.76148459714060424</v>
      </c>
      <c r="T20" s="5">
        <f t="shared" si="134"/>
        <v>0.76324952091583154</v>
      </c>
      <c r="U20" s="5">
        <f t="shared" si="134"/>
        <v>0.76661564147153061</v>
      </c>
      <c r="V20" s="5">
        <f t="shared" si="134"/>
        <v>0.76993390249326243</v>
      </c>
      <c r="W20" s="5">
        <f t="shared" si="134"/>
        <v>0.77320498444833441</v>
      </c>
      <c r="X20" s="5">
        <f t="shared" si="134"/>
        <v>0.77642955812916381</v>
      </c>
      <c r="Y20" s="5">
        <f t="shared" si="134"/>
        <v>0.77960828479083455</v>
      </c>
      <c r="Z20" s="5">
        <f t="shared" si="134"/>
        <v>0.78274181628669937</v>
      </c>
      <c r="AA20" s="5">
        <f t="shared" si="134"/>
        <v>0.78583079520205434</v>
      </c>
      <c r="AB20" s="5">
        <f t="shared" si="134"/>
        <v>0.7888758549859114</v>
      </c>
      <c r="AC20" s="5">
        <f t="shared" si="134"/>
        <v>0.79187762008089846</v>
      </c>
      <c r="AD20" s="5">
        <f t="shared" si="134"/>
        <v>0.79483670605131207</v>
      </c>
      <c r="AE20" s="5">
        <f t="shared" si="134"/>
        <v>0.79775371970935027</v>
      </c>
      <c r="AF20" s="5">
        <f t="shared" si="134"/>
        <v>0.8006292592395492</v>
      </c>
      <c r="AG20" s="5">
        <f t="shared" si="134"/>
        <v>0.80346391432145126</v>
      </c>
      <c r="AH20" s="5">
        <f t="shared" si="134"/>
        <v>0.8062582662505301</v>
      </c>
      <c r="AI20" s="5">
        <f t="shared" si="134"/>
        <v>0.80901288805739457</v>
      </c>
      <c r="AJ20" s="5">
        <f t="shared" si="134"/>
        <v>0.81172834462529886</v>
      </c>
      <c r="AK20" s="5">
        <f t="shared" si="134"/>
        <v>0.81440519280598189</v>
      </c>
    </row>
    <row r="21" spans="1:37" x14ac:dyDescent="0.3">
      <c r="A21" s="8" t="s">
        <v>43</v>
      </c>
      <c r="B21" s="5">
        <f t="shared" si="133"/>
        <v>0.47159548845956251</v>
      </c>
      <c r="C21" s="5">
        <f t="shared" si="133"/>
        <v>0.50154999424348767</v>
      </c>
      <c r="D21" s="5">
        <f t="shared" si="133"/>
        <v>0.45708016718073563</v>
      </c>
      <c r="E21" s="5">
        <f t="shared" si="133"/>
        <v>0.48070622497269749</v>
      </c>
      <c r="F21" s="5">
        <f t="shared" si="133"/>
        <v>0.47213233393641768</v>
      </c>
      <c r="G21" s="5">
        <f t="shared" si="133"/>
        <v>0.47549709232594473</v>
      </c>
      <c r="H21" s="5">
        <f t="shared" si="133"/>
        <v>0.44759433020562989</v>
      </c>
      <c r="I21" s="5">
        <f t="shared" si="133"/>
        <v>0.45579670761684321</v>
      </c>
      <c r="J21" s="5">
        <f t="shared" si="133"/>
        <v>0.51268086275297009</v>
      </c>
      <c r="K21" s="5">
        <f t="shared" ref="K21:K23" si="135">+K5/K$2</f>
        <v>0.43516892936587898</v>
      </c>
      <c r="S21" s="5">
        <f t="shared" si="134"/>
        <v>0.47758656578220154</v>
      </c>
      <c r="T21" s="5">
        <f t="shared" si="134"/>
        <v>0.46201604787371459</v>
      </c>
      <c r="U21" s="5">
        <f t="shared" si="134"/>
        <v>0.45982639835772543</v>
      </c>
      <c r="V21" s="5">
        <f t="shared" si="134"/>
        <v>0.45764712632759413</v>
      </c>
      <c r="W21" s="5">
        <f t="shared" si="134"/>
        <v>0.4554781826009231</v>
      </c>
      <c r="X21" s="5">
        <f t="shared" si="134"/>
        <v>0.45331951822840688</v>
      </c>
      <c r="Y21" s="5">
        <f t="shared" si="134"/>
        <v>0.45117108449272725</v>
      </c>
      <c r="Z21" s="5">
        <f t="shared" si="134"/>
        <v>0.44903283290745366</v>
      </c>
      <c r="AA21" s="5">
        <f t="shared" si="134"/>
        <v>0.44690471521594921</v>
      </c>
      <c r="AB21" s="5">
        <f t="shared" si="134"/>
        <v>0.44478668339028127</v>
      </c>
      <c r="AC21" s="5">
        <f t="shared" si="134"/>
        <v>0.44267868963013779</v>
      </c>
      <c r="AD21" s="5">
        <f t="shared" si="134"/>
        <v>0.44058068636174852</v>
      </c>
      <c r="AE21" s="5">
        <f t="shared" si="134"/>
        <v>0.43849262623681134</v>
      </c>
      <c r="AF21" s="5">
        <f t="shared" si="134"/>
        <v>0.4364144621314236</v>
      </c>
      <c r="AG21" s="5">
        <f t="shared" si="134"/>
        <v>0.43434614714501879</v>
      </c>
      <c r="AH21" s="5">
        <f t="shared" si="134"/>
        <v>0.43228763459930791</v>
      </c>
      <c r="AI21" s="5">
        <f t="shared" si="134"/>
        <v>0.43023887803722594</v>
      </c>
      <c r="AJ21" s="5">
        <f t="shared" si="134"/>
        <v>0.42819983122188371</v>
      </c>
      <c r="AK21" s="5">
        <f t="shared" si="134"/>
        <v>0.42617044813552407</v>
      </c>
    </row>
    <row r="22" spans="1:37" x14ac:dyDescent="0.3">
      <c r="A22" s="8" t="s">
        <v>44</v>
      </c>
      <c r="B22" s="5">
        <f t="shared" si="133"/>
        <v>0.3160434940400722</v>
      </c>
      <c r="C22" s="5">
        <f t="shared" si="133"/>
        <v>0.32029234554424624</v>
      </c>
      <c r="D22" s="5">
        <f t="shared" si="133"/>
        <v>0.30108289312486952</v>
      </c>
      <c r="E22" s="5">
        <f t="shared" si="133"/>
        <v>0.29014561339643247</v>
      </c>
      <c r="F22" s="5">
        <f t="shared" si="133"/>
        <v>0.28099939691565434</v>
      </c>
      <c r="G22" s="5">
        <f t="shared" si="133"/>
        <v>0.29047566565314076</v>
      </c>
      <c r="H22" s="5">
        <f t="shared" si="133"/>
        <v>0.26994097192218186</v>
      </c>
      <c r="I22" s="5">
        <f t="shared" si="133"/>
        <v>0.2659536020613949</v>
      </c>
      <c r="J22" s="5">
        <f t="shared" si="133"/>
        <v>0.23164959508930222</v>
      </c>
      <c r="K22" s="5">
        <f t="shared" si="135"/>
        <v>0.25573073048110206</v>
      </c>
      <c r="S22" s="5">
        <f t="shared" si="134"/>
        <v>0.30587618855236809</v>
      </c>
      <c r="T22" s="5">
        <f t="shared" si="134"/>
        <v>0.27618614299650279</v>
      </c>
      <c r="U22" s="5">
        <f t="shared" si="134"/>
        <v>0.26964144766483217</v>
      </c>
      <c r="V22" s="5">
        <f t="shared" si="134"/>
        <v>0.26325183990026269</v>
      </c>
      <c r="W22" s="5">
        <f t="shared" si="134"/>
        <v>0.25701364464196264</v>
      </c>
      <c r="X22" s="5">
        <f t="shared" si="134"/>
        <v>0.25092327391584984</v>
      </c>
      <c r="Y22" s="5">
        <f t="shared" si="134"/>
        <v>0.24497722477092448</v>
      </c>
      <c r="Z22" s="5">
        <f t="shared" si="134"/>
        <v>0.23917207726450448</v>
      </c>
      <c r="AA22" s="5">
        <f t="shared" si="134"/>
        <v>0.23350449249520347</v>
      </c>
      <c r="AB22" s="5">
        <f t="shared" si="134"/>
        <v>0.22797121068252094</v>
      </c>
      <c r="AC22" s="5">
        <f t="shared" si="134"/>
        <v>0.22256904929193991</v>
      </c>
      <c r="AD22" s="5">
        <f t="shared" si="134"/>
        <v>0.21729490120445316</v>
      </c>
      <c r="AE22" s="5">
        <f t="shared" si="134"/>
        <v>0.21214573292946615</v>
      </c>
      <c r="AF22" s="5">
        <f t="shared" si="134"/>
        <v>0.20711858286004753</v>
      </c>
      <c r="AG22" s="5">
        <f t="shared" si="134"/>
        <v>0.20221055956952511</v>
      </c>
      <c r="AH22" s="5">
        <f t="shared" si="134"/>
        <v>0.19741884014844635</v>
      </c>
      <c r="AI22" s="5">
        <f t="shared" si="134"/>
        <v>0.19274066858094765</v>
      </c>
      <c r="AJ22" s="5">
        <f t="shared" si="134"/>
        <v>0.18817335415959821</v>
      </c>
      <c r="AK22" s="5">
        <f t="shared" si="134"/>
        <v>0.18371426993780679</v>
      </c>
    </row>
    <row r="23" spans="1:37" x14ac:dyDescent="0.3">
      <c r="A23" s="8" t="s">
        <v>45</v>
      </c>
      <c r="B23" s="5">
        <f t="shared" si="133"/>
        <v>0.17924088100411467</v>
      </c>
      <c r="C23" s="5">
        <f t="shared" si="133"/>
        <v>0.21541295513758063</v>
      </c>
      <c r="D23" s="5">
        <f t="shared" si="133"/>
        <v>0.17873054514943451</v>
      </c>
      <c r="E23" s="5">
        <f t="shared" si="133"/>
        <v>0.16690935566072079</v>
      </c>
      <c r="F23" s="5">
        <f t="shared" si="133"/>
        <v>0.16705436374601534</v>
      </c>
      <c r="G23" s="5">
        <f t="shared" si="133"/>
        <v>0.17227887738497344</v>
      </c>
      <c r="H23" s="5">
        <f t="shared" si="133"/>
        <v>0.16668206184092513</v>
      </c>
      <c r="I23" s="5">
        <f t="shared" si="133"/>
        <v>0.16664413625290711</v>
      </c>
      <c r="J23" s="5">
        <f t="shared" si="133"/>
        <v>0.17514170553774147</v>
      </c>
      <c r="K23" s="5">
        <f t="shared" si="135"/>
        <v>0.17365509880397809</v>
      </c>
      <c r="S23" s="5">
        <f t="shared" si="134"/>
        <v>0.18433289822720744</v>
      </c>
      <c r="T23" s="5">
        <f t="shared" si="134"/>
        <v>0.16808624671774328</v>
      </c>
      <c r="U23" s="5">
        <f t="shared" si="134"/>
        <v>0.16569639486867585</v>
      </c>
      <c r="V23" s="5">
        <f t="shared" si="134"/>
        <v>0.16334052195585111</v>
      </c>
      <c r="W23" s="5">
        <f t="shared" si="134"/>
        <v>0.16101814486643143</v>
      </c>
      <c r="X23" s="5">
        <f t="shared" si="134"/>
        <v>0.15872878735648219</v>
      </c>
      <c r="Y23" s="5">
        <f t="shared" si="134"/>
        <v>0.15647197995330947</v>
      </c>
      <c r="Z23" s="5">
        <f t="shared" si="134"/>
        <v>0.15424725985918658</v>
      </c>
      <c r="AA23" s="5">
        <f t="shared" si="134"/>
        <v>0.15205417085644934</v>
      </c>
      <c r="AB23" s="5">
        <f t="shared" si="134"/>
        <v>0.14989226321394061</v>
      </c>
      <c r="AC23" s="5">
        <f t="shared" si="134"/>
        <v>0.14776109359478509</v>
      </c>
      <c r="AD23" s="5">
        <f t="shared" si="134"/>
        <v>0.14566022496547534</v>
      </c>
      <c r="AE23" s="5">
        <f t="shared" si="134"/>
        <v>0.14358922650625061</v>
      </c>
      <c r="AF23" s="5">
        <f t="shared" si="134"/>
        <v>0.14154767352274941</v>
      </c>
      <c r="AG23" s="5">
        <f t="shared" si="134"/>
        <v>0.13953514735891887</v>
      </c>
      <c r="AH23" s="5">
        <f t="shared" si="134"/>
        <v>0.13755123531116176</v>
      </c>
      <c r="AI23" s="5">
        <f t="shared" si="134"/>
        <v>0.13559553054370449</v>
      </c>
      <c r="AJ23" s="5">
        <f t="shared" si="134"/>
        <v>0.13366763200516843</v>
      </c>
      <c r="AK23" s="5">
        <f t="shared" si="134"/>
        <v>0.13176714434632719</v>
      </c>
    </row>
    <row r="24" spans="1:37" x14ac:dyDescent="0.3">
      <c r="A24" s="8" t="s">
        <v>46</v>
      </c>
      <c r="B24" s="5">
        <f t="shared" ref="B24:J24" si="136">+B9/B2</f>
        <v>-0.18864385130581099</v>
      </c>
      <c r="C24" s="5">
        <f t="shared" si="136"/>
        <v>-0.27520819386227863</v>
      </c>
      <c r="D24" s="5">
        <f t="shared" si="136"/>
        <v>-0.1809955998849746</v>
      </c>
      <c r="E24" s="5">
        <f t="shared" si="136"/>
        <v>-0.18453221696396069</v>
      </c>
      <c r="F24" s="5">
        <f t="shared" si="136"/>
        <v>-0.16290858964418023</v>
      </c>
      <c r="G24" s="5">
        <f t="shared" si="136"/>
        <v>-0.18208457863037855</v>
      </c>
      <c r="H24" s="5">
        <f t="shared" si="136"/>
        <v>-0.11684043348837764</v>
      </c>
      <c r="I24" s="5">
        <f t="shared" si="136"/>
        <v>-0.11815776623362292</v>
      </c>
      <c r="J24" s="5">
        <f t="shared" si="136"/>
        <v>-0.14408270426463674</v>
      </c>
      <c r="K24" s="5">
        <f>+K9/K2</f>
        <v>-8.6529541441809896E-2</v>
      </c>
      <c r="S24" s="5">
        <f t="shared" ref="S24:AK24" si="137">+S9/S2</f>
        <v>-0.20631105542117281</v>
      </c>
      <c r="T24" s="5">
        <f t="shared" si="137"/>
        <v>-0.14303891667212906</v>
      </c>
      <c r="U24" s="5">
        <f t="shared" si="137"/>
        <v>-0.12854859941970276</v>
      </c>
      <c r="V24" s="5">
        <f t="shared" si="137"/>
        <v>-0.11430558569044551</v>
      </c>
      <c r="W24" s="5">
        <f t="shared" si="137"/>
        <v>-0.10030498766098275</v>
      </c>
      <c r="X24" s="5">
        <f t="shared" si="137"/>
        <v>-8.6542021371575101E-2</v>
      </c>
      <c r="Y24" s="5">
        <f t="shared" si="137"/>
        <v>-7.301200442612657E-2</v>
      </c>
      <c r="Z24" s="5">
        <f t="shared" si="137"/>
        <v>-5.9710353744445402E-2</v>
      </c>
      <c r="AA24" s="5">
        <f t="shared" si="137"/>
        <v>-4.6632583365547653E-2</v>
      </c>
      <c r="AB24" s="5">
        <f t="shared" si="137"/>
        <v>-3.3774302300831505E-2</v>
      </c>
      <c r="AC24" s="5">
        <f t="shared" si="137"/>
        <v>-2.1131212435964372E-2</v>
      </c>
      <c r="AD24" s="5">
        <f t="shared" si="137"/>
        <v>-8.6991064803648606E-3</v>
      </c>
      <c r="AE24" s="5">
        <f t="shared" si="137"/>
        <v>3.5261340368222252E-3</v>
      </c>
      <c r="AF24" s="5">
        <f t="shared" si="137"/>
        <v>1.5548540725328632E-2</v>
      </c>
      <c r="AG24" s="5">
        <f t="shared" si="137"/>
        <v>2.7372060247988501E-2</v>
      </c>
      <c r="AH24" s="5">
        <f t="shared" si="137"/>
        <v>3.9000556191614015E-2</v>
      </c>
      <c r="AI24" s="5">
        <f t="shared" si="137"/>
        <v>5.0437810895516556E-2</v>
      </c>
      <c r="AJ24" s="5">
        <f t="shared" si="137"/>
        <v>6.1687527238648565E-2</v>
      </c>
      <c r="AK24" s="5">
        <f t="shared" si="137"/>
        <v>7.2753330386323853E-2</v>
      </c>
    </row>
    <row r="25" spans="1:37" x14ac:dyDescent="0.3">
      <c r="A25" s="8" t="s">
        <v>47</v>
      </c>
      <c r="B25" s="5">
        <f t="shared" ref="B25:J25" si="138">+B13/B12</f>
        <v>-9.1203940790596724E-3</v>
      </c>
      <c r="C25" s="5">
        <f t="shared" si="138"/>
        <v>2.6684665735319511E-3</v>
      </c>
      <c r="D25" s="5">
        <f t="shared" si="138"/>
        <v>-3.4460240116541918E-2</v>
      </c>
      <c r="E25" s="5">
        <f t="shared" si="138"/>
        <v>-2.3904560151633406E-2</v>
      </c>
      <c r="F25" s="5">
        <f t="shared" si="138"/>
        <v>-3.5737597911227152E-2</v>
      </c>
      <c r="G25" s="5">
        <f t="shared" si="138"/>
        <v>-1.5752349411840606E-2</v>
      </c>
      <c r="H25" s="5">
        <f t="shared" si="138"/>
        <v>-5.6281136394237243E-2</v>
      </c>
      <c r="I25" s="5">
        <f t="shared" si="138"/>
        <v>-7.9578474293905702E-2</v>
      </c>
      <c r="J25" s="5">
        <f t="shared" si="138"/>
        <v>-6.819138065757048E-2</v>
      </c>
      <c r="K25" s="5">
        <f>+K13/K12</f>
        <v>-8.2256675279931094E-2</v>
      </c>
      <c r="S25" s="5">
        <f t="shared" ref="S25:AK25" si="139">+S13/S12</f>
        <v>-1.3982985958927619E-2</v>
      </c>
      <c r="T25" s="5">
        <f t="shared" si="139"/>
        <v>-3.4223161777108095E-2</v>
      </c>
      <c r="U25" s="5">
        <f t="shared" si="139"/>
        <v>0.19999999999999998</v>
      </c>
      <c r="V25" s="5">
        <f t="shared" si="139"/>
        <v>0.2</v>
      </c>
      <c r="W25" s="5">
        <f t="shared" si="139"/>
        <v>0.2</v>
      </c>
      <c r="X25" s="5">
        <f t="shared" si="139"/>
        <v>0.2</v>
      </c>
      <c r="Y25" s="5">
        <f t="shared" si="139"/>
        <v>0.2</v>
      </c>
      <c r="Z25" s="5">
        <f t="shared" si="139"/>
        <v>0.2</v>
      </c>
      <c r="AA25" s="5">
        <f t="shared" si="139"/>
        <v>0.2</v>
      </c>
      <c r="AB25" s="5">
        <f t="shared" si="139"/>
        <v>0.2</v>
      </c>
      <c r="AC25" s="5">
        <f t="shared" si="139"/>
        <v>0.2</v>
      </c>
      <c r="AD25" s="5">
        <f t="shared" si="139"/>
        <v>0.2</v>
      </c>
      <c r="AE25" s="5">
        <f t="shared" si="139"/>
        <v>0.2</v>
      </c>
      <c r="AF25" s="5">
        <f t="shared" si="139"/>
        <v>0.2</v>
      </c>
      <c r="AG25" s="5">
        <f t="shared" si="139"/>
        <v>0.2</v>
      </c>
      <c r="AH25" s="5">
        <f t="shared" si="139"/>
        <v>0.2</v>
      </c>
      <c r="AI25" s="5">
        <f t="shared" si="139"/>
        <v>0.2</v>
      </c>
      <c r="AJ25" s="5">
        <f t="shared" si="139"/>
        <v>0.2</v>
      </c>
      <c r="AK25" s="5">
        <f t="shared" si="139"/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Simão Clemente</cp:lastModifiedBy>
  <cp:revision/>
  <dcterms:created xsi:type="dcterms:W3CDTF">2024-10-02T12:14:22Z</dcterms:created>
  <dcterms:modified xsi:type="dcterms:W3CDTF">2024-10-02T14:33:32Z</dcterms:modified>
  <cp:category/>
  <cp:contentStatus/>
</cp:coreProperties>
</file>